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twand\PycharmProjects\practise\"/>
    </mc:Choice>
  </mc:AlternateContent>
  <xr:revisionPtr revIDLastSave="0" documentId="13_ncr:1_{E91F5B67-5689-4672-9A27-1875898F67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ut data" sheetId="1" r:id="rId1"/>
    <sheet name="Mediaan 2022" sheetId="8" r:id="rId2"/>
    <sheet name="Voorblad" sheetId="5" r:id="rId3"/>
    <sheet name="Blad2" sheetId="9" r:id="rId4"/>
    <sheet name="Blad2 (2)" sheetId="11" r:id="rId5"/>
    <sheet name="Blad2 (3)" sheetId="12" r:id="rId6"/>
    <sheet name="Blad2 (4)" sheetId="13" r:id="rId7"/>
    <sheet name="Blad2 (6)" sheetId="16" r:id="rId8"/>
  </sheets>
  <calcPr calcId="191029"/>
  <pivotCaches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" i="1"/>
  <c r="AT233" i="1"/>
  <c r="AT232" i="1"/>
  <c r="AT231" i="1"/>
  <c r="AT230" i="1"/>
  <c r="AT228" i="1"/>
  <c r="AT227" i="1"/>
  <c r="AT226" i="1"/>
  <c r="AT225" i="1"/>
  <c r="AT224" i="1"/>
  <c r="AT222" i="1"/>
  <c r="AT221" i="1"/>
  <c r="AT220" i="1"/>
  <c r="AT219" i="1"/>
  <c r="AT218" i="1"/>
  <c r="AT216" i="1"/>
  <c r="AT215" i="1"/>
  <c r="AT214" i="1"/>
  <c r="AT213" i="1"/>
  <c r="AT212" i="1"/>
  <c r="AT209" i="1"/>
  <c r="AT208" i="1"/>
  <c r="AT207" i="1"/>
  <c r="AT206" i="1"/>
  <c r="AT205" i="1"/>
  <c r="AT204" i="1"/>
  <c r="AT203" i="1"/>
  <c r="AT202" i="1"/>
  <c r="AT201" i="1"/>
  <c r="AT200" i="1"/>
  <c r="AT198" i="1"/>
  <c r="AT197" i="1"/>
  <c r="AT196" i="1"/>
  <c r="AT195" i="1"/>
  <c r="AT194" i="1"/>
  <c r="AT190" i="1"/>
  <c r="AT189" i="1"/>
  <c r="AT188" i="1"/>
  <c r="AT187" i="1"/>
  <c r="AT186" i="1"/>
  <c r="AT184" i="1"/>
  <c r="AT183" i="1"/>
  <c r="AT182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7" i="1"/>
  <c r="AT106" i="1"/>
  <c r="AT105" i="1"/>
  <c r="AT104" i="1"/>
  <c r="AT103" i="1"/>
  <c r="AT102" i="1"/>
  <c r="AT101" i="1"/>
  <c r="AT100" i="1"/>
  <c r="AT99" i="1"/>
  <c r="AT98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2" i="1"/>
  <c r="AT41" i="1"/>
  <c r="AT4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2" i="1"/>
  <c r="AR186" i="1"/>
  <c r="AR187" i="1"/>
  <c r="AR188" i="1"/>
  <c r="AR189" i="1"/>
  <c r="AR190" i="1"/>
  <c r="AR194" i="1"/>
  <c r="AR195" i="1"/>
  <c r="AR196" i="1"/>
  <c r="AR197" i="1"/>
  <c r="AR198" i="1"/>
  <c r="AR200" i="1"/>
  <c r="AR201" i="1"/>
  <c r="AR202" i="1"/>
  <c r="AR203" i="1"/>
  <c r="AR204" i="1"/>
  <c r="AR205" i="1"/>
  <c r="AR206" i="1"/>
  <c r="AR207" i="1"/>
  <c r="AR208" i="1"/>
  <c r="AR209" i="1"/>
  <c r="AR212" i="1"/>
  <c r="AR213" i="1"/>
  <c r="AR214" i="1"/>
  <c r="AR215" i="1"/>
  <c r="AR216" i="1"/>
  <c r="AR218" i="1"/>
  <c r="AR219" i="1"/>
  <c r="AR220" i="1"/>
  <c r="AR221" i="1"/>
  <c r="AR222" i="1"/>
  <c r="AR224" i="1"/>
  <c r="AR225" i="1"/>
  <c r="AR226" i="1"/>
  <c r="AR227" i="1"/>
  <c r="AR228" i="1"/>
  <c r="AR230" i="1"/>
  <c r="AR231" i="1"/>
  <c r="AR232" i="1"/>
  <c r="AR233" i="1"/>
  <c r="AR182" i="1"/>
  <c r="AR183" i="1"/>
  <c r="AR184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40" i="1"/>
  <c r="AR41" i="1"/>
  <c r="AR42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8" i="1"/>
  <c r="AR99" i="1"/>
  <c r="AR100" i="1"/>
  <c r="AR101" i="1"/>
  <c r="AR102" i="1"/>
  <c r="AR103" i="1"/>
  <c r="AR104" i="1"/>
  <c r="AR105" i="1"/>
  <c r="AR106" i="1"/>
  <c r="AR107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8" i="1"/>
  <c r="AQ99" i="1"/>
  <c r="AQ100" i="1"/>
  <c r="AQ101" i="1"/>
  <c r="AQ102" i="1"/>
  <c r="AQ103" i="1"/>
  <c r="AQ104" i="1"/>
  <c r="AQ105" i="1"/>
  <c r="AQ106" i="1"/>
  <c r="AQ107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Q149" i="1"/>
  <c r="AQ151" i="1"/>
  <c r="AQ152" i="1"/>
  <c r="AQ153" i="1"/>
  <c r="AQ154" i="1"/>
  <c r="AQ155" i="1"/>
  <c r="AQ156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2" i="1"/>
  <c r="AQ183" i="1"/>
  <c r="AQ184" i="1"/>
  <c r="AQ185" i="1"/>
  <c r="AQ186" i="1"/>
  <c r="AQ187" i="1"/>
  <c r="AQ188" i="1"/>
  <c r="AQ189" i="1"/>
  <c r="AQ190" i="1"/>
  <c r="AQ194" i="1"/>
  <c r="AQ195" i="1"/>
  <c r="AQ196" i="1"/>
  <c r="AQ197" i="1"/>
  <c r="AQ198" i="1"/>
  <c r="AQ200" i="1"/>
  <c r="AQ201" i="1"/>
  <c r="AQ202" i="1"/>
  <c r="AQ203" i="1"/>
  <c r="AQ204" i="1"/>
  <c r="AQ205" i="1"/>
  <c r="AQ206" i="1"/>
  <c r="AQ207" i="1"/>
  <c r="AQ208" i="1"/>
  <c r="AQ209" i="1"/>
  <c r="AQ212" i="1"/>
  <c r="AQ213" i="1"/>
  <c r="AQ214" i="1"/>
  <c r="AQ215" i="1"/>
  <c r="AQ216" i="1"/>
  <c r="AQ218" i="1"/>
  <c r="AQ219" i="1"/>
  <c r="AQ220" i="1"/>
  <c r="AQ221" i="1"/>
  <c r="AQ222" i="1"/>
  <c r="AQ224" i="1"/>
  <c r="AQ225" i="1"/>
  <c r="AQ226" i="1"/>
  <c r="AQ227" i="1"/>
  <c r="AQ228" i="1"/>
  <c r="AQ230" i="1"/>
  <c r="AQ231" i="1"/>
  <c r="AQ232" i="1"/>
  <c r="AQ233" i="1"/>
  <c r="AQ2" i="1"/>
  <c r="N17" i="13" l="1"/>
  <c r="M17" i="13"/>
  <c r="L17" i="13"/>
  <c r="K17" i="13"/>
  <c r="J17" i="13"/>
  <c r="E6" i="12" l="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5" i="12"/>
  <c r="E12" i="11" l="1"/>
  <c r="E17" i="11" s="1"/>
  <c r="E11" i="11"/>
  <c r="C17" i="11"/>
  <c r="D17" i="11"/>
  <c r="B17" i="11"/>
  <c r="C15" i="11"/>
  <c r="D15" i="11"/>
  <c r="B15" i="11"/>
  <c r="E15" i="11" l="1"/>
  <c r="AP43" i="1"/>
  <c r="AO218" i="1" l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8" i="1"/>
  <c r="AO99" i="1"/>
  <c r="AO100" i="1"/>
  <c r="AO101" i="1"/>
  <c r="AO102" i="1"/>
  <c r="AO103" i="1"/>
  <c r="AO104" i="1"/>
  <c r="AO105" i="1"/>
  <c r="AO106" i="1"/>
  <c r="AO107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2" i="1"/>
  <c r="AO183" i="1"/>
  <c r="AO184" i="1"/>
  <c r="AO185" i="1"/>
  <c r="AO186" i="1"/>
  <c r="AO187" i="1"/>
  <c r="AO188" i="1"/>
  <c r="AO189" i="1"/>
  <c r="AO190" i="1"/>
  <c r="AO194" i="1"/>
  <c r="AO195" i="1"/>
  <c r="AO196" i="1"/>
  <c r="AO197" i="1"/>
  <c r="AO198" i="1"/>
  <c r="AO200" i="1"/>
  <c r="AO201" i="1"/>
  <c r="AO202" i="1"/>
  <c r="AO203" i="1"/>
  <c r="AO204" i="1"/>
  <c r="AO205" i="1"/>
  <c r="AO206" i="1"/>
  <c r="AO207" i="1"/>
  <c r="AO208" i="1"/>
  <c r="AO209" i="1"/>
  <c r="AO212" i="1"/>
  <c r="AO213" i="1"/>
  <c r="AO214" i="1"/>
  <c r="AO215" i="1"/>
  <c r="AO216" i="1"/>
  <c r="AO219" i="1"/>
  <c r="AO220" i="1"/>
  <c r="AO221" i="1"/>
  <c r="AO222" i="1"/>
  <c r="AO224" i="1"/>
  <c r="AO225" i="1"/>
  <c r="AO226" i="1"/>
  <c r="AO227" i="1"/>
  <c r="AO228" i="1"/>
  <c r="AO230" i="1"/>
  <c r="AO231" i="1"/>
  <c r="AO232" i="1"/>
  <c r="AO233" i="1"/>
  <c r="AO3" i="1"/>
  <c r="AO4" i="1"/>
  <c r="AO5" i="1"/>
  <c r="AO6" i="1"/>
  <c r="AO7" i="1"/>
  <c r="AO8" i="1"/>
  <c r="AO2" i="1"/>
  <c r="AL3" i="1"/>
  <c r="AM3" i="1"/>
  <c r="AN3" i="1"/>
  <c r="AL4" i="1"/>
  <c r="AM4" i="1"/>
  <c r="AN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38" i="1"/>
  <c r="AM138" i="1"/>
  <c r="AN138" i="1"/>
  <c r="AL139" i="1"/>
  <c r="AM139" i="1"/>
  <c r="AN139" i="1"/>
  <c r="AL140" i="1"/>
  <c r="AM140" i="1"/>
  <c r="AN140" i="1"/>
  <c r="AL141" i="1"/>
  <c r="AM141" i="1"/>
  <c r="AN141" i="1"/>
  <c r="AL142" i="1"/>
  <c r="AM142" i="1"/>
  <c r="AN142" i="1"/>
  <c r="AL143" i="1"/>
  <c r="AM143" i="1"/>
  <c r="AN143" i="1"/>
  <c r="AL144" i="1"/>
  <c r="AM144" i="1"/>
  <c r="AN144" i="1"/>
  <c r="AL145" i="1"/>
  <c r="AM145" i="1"/>
  <c r="AN145" i="1"/>
  <c r="AL146" i="1"/>
  <c r="AM146" i="1"/>
  <c r="AN146" i="1"/>
  <c r="AL147" i="1"/>
  <c r="AM147" i="1"/>
  <c r="AN147" i="1"/>
  <c r="AL148" i="1"/>
  <c r="AM148" i="1"/>
  <c r="AN148" i="1"/>
  <c r="AL149" i="1"/>
  <c r="AM149" i="1"/>
  <c r="AN149" i="1"/>
  <c r="AL150" i="1"/>
  <c r="AM150" i="1"/>
  <c r="AN150" i="1"/>
  <c r="AL151" i="1"/>
  <c r="AM151" i="1"/>
  <c r="AN151" i="1"/>
  <c r="AL152" i="1"/>
  <c r="AM152" i="1"/>
  <c r="AN152" i="1"/>
  <c r="AL153" i="1"/>
  <c r="AM153" i="1"/>
  <c r="AN153" i="1"/>
  <c r="AL154" i="1"/>
  <c r="AM154" i="1"/>
  <c r="AN154" i="1"/>
  <c r="AL155" i="1"/>
  <c r="AM155" i="1"/>
  <c r="AN155" i="1"/>
  <c r="AL156" i="1"/>
  <c r="AM156" i="1"/>
  <c r="AN156" i="1"/>
  <c r="AL157" i="1"/>
  <c r="AM157" i="1"/>
  <c r="AN157" i="1"/>
  <c r="AL158" i="1"/>
  <c r="AM158" i="1"/>
  <c r="AN158" i="1"/>
  <c r="AL159" i="1"/>
  <c r="AM159" i="1"/>
  <c r="AN159" i="1"/>
  <c r="AL160" i="1"/>
  <c r="AM160" i="1"/>
  <c r="AN160" i="1"/>
  <c r="AL161" i="1"/>
  <c r="AM161" i="1"/>
  <c r="AN161" i="1"/>
  <c r="AL162" i="1"/>
  <c r="AM162" i="1"/>
  <c r="AN162" i="1"/>
  <c r="AL163" i="1"/>
  <c r="AM163" i="1"/>
  <c r="AN163" i="1"/>
  <c r="AL164" i="1"/>
  <c r="AM164" i="1"/>
  <c r="AN164" i="1"/>
  <c r="AL165" i="1"/>
  <c r="AM165" i="1"/>
  <c r="AN165" i="1"/>
  <c r="AL166" i="1"/>
  <c r="AM166" i="1"/>
  <c r="AN166" i="1"/>
  <c r="AL167" i="1"/>
  <c r="AM167" i="1"/>
  <c r="AN167" i="1"/>
  <c r="AL168" i="1"/>
  <c r="AM168" i="1"/>
  <c r="AN168" i="1"/>
  <c r="AL169" i="1"/>
  <c r="AM169" i="1"/>
  <c r="AN169" i="1"/>
  <c r="AL170" i="1"/>
  <c r="AM170" i="1"/>
  <c r="AN170" i="1"/>
  <c r="AL171" i="1"/>
  <c r="AM171" i="1"/>
  <c r="AN171" i="1"/>
  <c r="AL172" i="1"/>
  <c r="AM172" i="1"/>
  <c r="AN172" i="1"/>
  <c r="AL173" i="1"/>
  <c r="AM173" i="1"/>
  <c r="AN173" i="1"/>
  <c r="AL174" i="1"/>
  <c r="AM174" i="1"/>
  <c r="AN174" i="1"/>
  <c r="AL175" i="1"/>
  <c r="AM175" i="1"/>
  <c r="AN175" i="1"/>
  <c r="AL176" i="1"/>
  <c r="AM176" i="1"/>
  <c r="AN176" i="1"/>
  <c r="AL177" i="1"/>
  <c r="AM177" i="1"/>
  <c r="AN177" i="1"/>
  <c r="AL178" i="1"/>
  <c r="AM178" i="1"/>
  <c r="AN178" i="1"/>
  <c r="AL179" i="1"/>
  <c r="AM179" i="1"/>
  <c r="AN179" i="1"/>
  <c r="AL180" i="1"/>
  <c r="AM180" i="1"/>
  <c r="AN180" i="1"/>
  <c r="AL181" i="1"/>
  <c r="AM181" i="1"/>
  <c r="AN181" i="1"/>
  <c r="AL182" i="1"/>
  <c r="AM182" i="1"/>
  <c r="AN182" i="1"/>
  <c r="AL183" i="1"/>
  <c r="AM183" i="1"/>
  <c r="AN183" i="1"/>
  <c r="AL184" i="1"/>
  <c r="AM184" i="1"/>
  <c r="AN184" i="1"/>
  <c r="AL185" i="1"/>
  <c r="AM185" i="1"/>
  <c r="AN185" i="1"/>
  <c r="AL186" i="1"/>
  <c r="AM186" i="1"/>
  <c r="AN186" i="1"/>
  <c r="AL187" i="1"/>
  <c r="AM187" i="1"/>
  <c r="AN187" i="1"/>
  <c r="AL188" i="1"/>
  <c r="AM188" i="1"/>
  <c r="AN188" i="1"/>
  <c r="AL189" i="1"/>
  <c r="AM189" i="1"/>
  <c r="AN189" i="1"/>
  <c r="AL190" i="1"/>
  <c r="AM190" i="1"/>
  <c r="AN190" i="1"/>
  <c r="AL191" i="1"/>
  <c r="AM191" i="1"/>
  <c r="AN191" i="1"/>
  <c r="AL192" i="1"/>
  <c r="AM192" i="1"/>
  <c r="AN192" i="1"/>
  <c r="AL193" i="1"/>
  <c r="AM193" i="1"/>
  <c r="AN193" i="1"/>
  <c r="AL194" i="1"/>
  <c r="AM194" i="1"/>
  <c r="AN194" i="1"/>
  <c r="AL195" i="1"/>
  <c r="AM195" i="1"/>
  <c r="AN195" i="1"/>
  <c r="AL196" i="1"/>
  <c r="AM196" i="1"/>
  <c r="AN196" i="1"/>
  <c r="AL197" i="1"/>
  <c r="AM197" i="1"/>
  <c r="AN197" i="1"/>
  <c r="AL198" i="1"/>
  <c r="AM198" i="1"/>
  <c r="AN198" i="1"/>
  <c r="AL199" i="1"/>
  <c r="AM199" i="1"/>
  <c r="AN199" i="1"/>
  <c r="AL200" i="1"/>
  <c r="AM200" i="1"/>
  <c r="AN200" i="1"/>
  <c r="AL201" i="1"/>
  <c r="AM201" i="1"/>
  <c r="AN201" i="1"/>
  <c r="AL202" i="1"/>
  <c r="AM202" i="1"/>
  <c r="AN202" i="1"/>
  <c r="AL203" i="1"/>
  <c r="AM203" i="1"/>
  <c r="AN203" i="1"/>
  <c r="AL204" i="1"/>
  <c r="AM204" i="1"/>
  <c r="AN204" i="1"/>
  <c r="AL205" i="1"/>
  <c r="AM205" i="1"/>
  <c r="AN205" i="1"/>
  <c r="AL206" i="1"/>
  <c r="AM206" i="1"/>
  <c r="AN206" i="1"/>
  <c r="AL207" i="1"/>
  <c r="AM207" i="1"/>
  <c r="AN207" i="1"/>
  <c r="AL208" i="1"/>
  <c r="AM208" i="1"/>
  <c r="AN208" i="1"/>
  <c r="AL209" i="1"/>
  <c r="AM209" i="1"/>
  <c r="AN209" i="1"/>
  <c r="AL210" i="1"/>
  <c r="AM210" i="1"/>
  <c r="AN210" i="1"/>
  <c r="AL211" i="1"/>
  <c r="AM211" i="1"/>
  <c r="AN211" i="1"/>
  <c r="AL212" i="1"/>
  <c r="AM212" i="1"/>
  <c r="AN212" i="1"/>
  <c r="AL213" i="1"/>
  <c r="AM213" i="1"/>
  <c r="AN213" i="1"/>
  <c r="AL214" i="1"/>
  <c r="AM214" i="1"/>
  <c r="AN214" i="1"/>
  <c r="AL215" i="1"/>
  <c r="AM215" i="1"/>
  <c r="AN215" i="1"/>
  <c r="AL216" i="1"/>
  <c r="AM216" i="1"/>
  <c r="AN216" i="1"/>
  <c r="AL217" i="1"/>
  <c r="AM217" i="1"/>
  <c r="AN217" i="1"/>
  <c r="AL218" i="1"/>
  <c r="AM218" i="1"/>
  <c r="AN218" i="1"/>
  <c r="AL219" i="1"/>
  <c r="AM219" i="1"/>
  <c r="AN219" i="1"/>
  <c r="AL220" i="1"/>
  <c r="AM220" i="1"/>
  <c r="AN220" i="1"/>
  <c r="AL221" i="1"/>
  <c r="AM221" i="1"/>
  <c r="AN221" i="1"/>
  <c r="AL222" i="1"/>
  <c r="AM222" i="1"/>
  <c r="AN222" i="1"/>
  <c r="AL223" i="1"/>
  <c r="AM223" i="1"/>
  <c r="AN223" i="1"/>
  <c r="AL224" i="1"/>
  <c r="AM224" i="1"/>
  <c r="AN224" i="1"/>
  <c r="AL225" i="1"/>
  <c r="AM225" i="1"/>
  <c r="AN225" i="1"/>
  <c r="AL226" i="1"/>
  <c r="AM226" i="1"/>
  <c r="AN226" i="1"/>
  <c r="AL227" i="1"/>
  <c r="AM227" i="1"/>
  <c r="AN227" i="1"/>
  <c r="AL228" i="1"/>
  <c r="AM228" i="1"/>
  <c r="AN228" i="1"/>
  <c r="AL229" i="1"/>
  <c r="AM229" i="1"/>
  <c r="AN229" i="1"/>
  <c r="AL230" i="1"/>
  <c r="AM230" i="1"/>
  <c r="AN230" i="1"/>
  <c r="AL231" i="1"/>
  <c r="AM231" i="1"/>
  <c r="AN231" i="1"/>
  <c r="AL232" i="1"/>
  <c r="AM232" i="1"/>
  <c r="AN232" i="1"/>
  <c r="AL233" i="1"/>
  <c r="AM233" i="1"/>
  <c r="AN233" i="1"/>
  <c r="AL2" i="1"/>
  <c r="AM2" i="1"/>
  <c r="AN2" i="1"/>
  <c r="AA146" i="1"/>
  <c r="Z146" i="1"/>
  <c r="AB176" i="1"/>
  <c r="AI3" i="1"/>
  <c r="AI4" i="1"/>
  <c r="AI5" i="1"/>
  <c r="AI6" i="1"/>
  <c r="AI7" i="1"/>
  <c r="AI9" i="1"/>
  <c r="AI10" i="1"/>
  <c r="AI11" i="1"/>
  <c r="AI12" i="1"/>
  <c r="AI13" i="1"/>
  <c r="AI15" i="1"/>
  <c r="AI16" i="1"/>
  <c r="AI17" i="1"/>
  <c r="AI18" i="1"/>
  <c r="AI19" i="1"/>
  <c r="AI21" i="1"/>
  <c r="AI22" i="1"/>
  <c r="AI23" i="1"/>
  <c r="AI24" i="1"/>
  <c r="AI25" i="1"/>
  <c r="AI27" i="1"/>
  <c r="AI28" i="1"/>
  <c r="AI29" i="1"/>
  <c r="AI30" i="1"/>
  <c r="AI31" i="1"/>
  <c r="AI33" i="1"/>
  <c r="AI34" i="1"/>
  <c r="AI35" i="1"/>
  <c r="AI36" i="1"/>
  <c r="AI37" i="1"/>
  <c r="AI39" i="1"/>
  <c r="AI40" i="1"/>
  <c r="AI41" i="1"/>
  <c r="AI42" i="1"/>
  <c r="AI43" i="1"/>
  <c r="AI45" i="1"/>
  <c r="AI46" i="1"/>
  <c r="AI47" i="1"/>
  <c r="AI48" i="1"/>
  <c r="AI49" i="1"/>
  <c r="AI51" i="1"/>
  <c r="AI52" i="1"/>
  <c r="AI53" i="1"/>
  <c r="AI54" i="1"/>
  <c r="AI55" i="1"/>
  <c r="AI57" i="1"/>
  <c r="AI58" i="1"/>
  <c r="AI59" i="1"/>
  <c r="AI60" i="1"/>
  <c r="AI61" i="1"/>
  <c r="AI63" i="1"/>
  <c r="AI64" i="1"/>
  <c r="AI65" i="1"/>
  <c r="AI66" i="1"/>
  <c r="AI67" i="1"/>
  <c r="AI69" i="1"/>
  <c r="AI70" i="1"/>
  <c r="AI71" i="1"/>
  <c r="AI72" i="1"/>
  <c r="AI73" i="1"/>
  <c r="AI75" i="1"/>
  <c r="AI76" i="1"/>
  <c r="AI77" i="1"/>
  <c r="AI78" i="1"/>
  <c r="AI79" i="1"/>
  <c r="AI81" i="1"/>
  <c r="AI82" i="1"/>
  <c r="AI83" i="1"/>
  <c r="AI84" i="1"/>
  <c r="AI85" i="1"/>
  <c r="AI87" i="1"/>
  <c r="AI88" i="1"/>
  <c r="AI89" i="1"/>
  <c r="AI90" i="1"/>
  <c r="AI91" i="1"/>
  <c r="AI93" i="1"/>
  <c r="AI94" i="1"/>
  <c r="AI95" i="1"/>
  <c r="AI96" i="1"/>
  <c r="AI97" i="1"/>
  <c r="AI99" i="1"/>
  <c r="AI100" i="1"/>
  <c r="AI101" i="1"/>
  <c r="AI102" i="1"/>
  <c r="AI103" i="1"/>
  <c r="AI104" i="1"/>
  <c r="AI105" i="1"/>
  <c r="AI106" i="1"/>
  <c r="AI107" i="1"/>
  <c r="AI108" i="1"/>
  <c r="AI109" i="1"/>
  <c r="AI111" i="1"/>
  <c r="AI112" i="1"/>
  <c r="AI113" i="1"/>
  <c r="AI114" i="1"/>
  <c r="AI115" i="1"/>
  <c r="AI117" i="1"/>
  <c r="AI118" i="1"/>
  <c r="AI119" i="1"/>
  <c r="AI120" i="1"/>
  <c r="AI121" i="1"/>
  <c r="AI123" i="1"/>
  <c r="AI124" i="1"/>
  <c r="AI125" i="1"/>
  <c r="AI126" i="1"/>
  <c r="AI127" i="1"/>
  <c r="AI129" i="1"/>
  <c r="AI130" i="1"/>
  <c r="AI131" i="1"/>
  <c r="AI132" i="1"/>
  <c r="AI133" i="1"/>
  <c r="AI135" i="1"/>
  <c r="AI136" i="1"/>
  <c r="AI137" i="1"/>
  <c r="AI138" i="1"/>
  <c r="AI139" i="1"/>
  <c r="AI141" i="1"/>
  <c r="AI142" i="1"/>
  <c r="AI143" i="1"/>
  <c r="AI144" i="1"/>
  <c r="AI145" i="1"/>
  <c r="AI147" i="1"/>
  <c r="AI148" i="1"/>
  <c r="AI149" i="1"/>
  <c r="AI150" i="1"/>
  <c r="AI151" i="1"/>
  <c r="AI153" i="1"/>
  <c r="AI154" i="1"/>
  <c r="AI155" i="1"/>
  <c r="AI156" i="1"/>
  <c r="AI157" i="1"/>
  <c r="AI159" i="1"/>
  <c r="AI160" i="1"/>
  <c r="AI161" i="1"/>
  <c r="AI162" i="1"/>
  <c r="AI163" i="1"/>
  <c r="AI165" i="1"/>
  <c r="AI166" i="1"/>
  <c r="AI167" i="1"/>
  <c r="AI168" i="1"/>
  <c r="AI169" i="1"/>
  <c r="AI171" i="1"/>
  <c r="AI172" i="1"/>
  <c r="AI173" i="1"/>
  <c r="AI174" i="1"/>
  <c r="AI175" i="1"/>
  <c r="AI177" i="1"/>
  <c r="AI178" i="1"/>
  <c r="AI179" i="1"/>
  <c r="AI180" i="1"/>
  <c r="AI181" i="1"/>
  <c r="AI183" i="1"/>
  <c r="AI184" i="1"/>
  <c r="AI185" i="1"/>
  <c r="AI186" i="1"/>
  <c r="AI187" i="1"/>
  <c r="AI188" i="1"/>
  <c r="AI189" i="1"/>
  <c r="AI190" i="1"/>
  <c r="AI191" i="1"/>
  <c r="AI192" i="1"/>
  <c r="AI193" i="1"/>
  <c r="AI195" i="1"/>
  <c r="AI196" i="1"/>
  <c r="AI197" i="1"/>
  <c r="AI198" i="1"/>
  <c r="AI199" i="1"/>
  <c r="AI201" i="1"/>
  <c r="AI202" i="1"/>
  <c r="AI203" i="1"/>
  <c r="AI204" i="1"/>
  <c r="AI205" i="1"/>
  <c r="AI206" i="1"/>
  <c r="AI207" i="1"/>
  <c r="AI208" i="1"/>
  <c r="AI209" i="1"/>
  <c r="AI210" i="1"/>
  <c r="AI211" i="1"/>
  <c r="AI213" i="1"/>
  <c r="AI214" i="1"/>
  <c r="AI215" i="1"/>
  <c r="AI216" i="1"/>
  <c r="AI217" i="1"/>
  <c r="AI219" i="1"/>
  <c r="AI220" i="1"/>
  <c r="AI221" i="1"/>
  <c r="AI222" i="1"/>
  <c r="AI223" i="1"/>
  <c r="AI225" i="1"/>
  <c r="AI226" i="1"/>
  <c r="AI227" i="1"/>
  <c r="AI228" i="1"/>
  <c r="AI229" i="1"/>
  <c r="AI230" i="1"/>
  <c r="AI231" i="1"/>
  <c r="AI232" i="1"/>
  <c r="AI233" i="1"/>
  <c r="AI234" i="1"/>
  <c r="A234" i="8"/>
  <c r="A233" i="8"/>
  <c r="A232" i="8"/>
  <c r="A231" i="8"/>
  <c r="A230" i="8"/>
  <c r="A228" i="8"/>
  <c r="A227" i="8"/>
  <c r="A226" i="8"/>
  <c r="A225" i="8"/>
  <c r="A224" i="8"/>
  <c r="A222" i="8"/>
  <c r="A221" i="8"/>
  <c r="A220" i="8"/>
  <c r="A219" i="8"/>
  <c r="A218" i="8"/>
  <c r="A216" i="8"/>
  <c r="A215" i="8"/>
  <c r="A214" i="8"/>
  <c r="A213" i="8"/>
  <c r="A212" i="8"/>
  <c r="A210" i="8"/>
  <c r="A209" i="8"/>
  <c r="A208" i="8"/>
  <c r="A207" i="8"/>
  <c r="A206" i="8"/>
  <c r="A204" i="8"/>
  <c r="A203" i="8"/>
  <c r="A202" i="8"/>
  <c r="A201" i="8"/>
  <c r="A200" i="8"/>
  <c r="A198" i="8"/>
  <c r="A197" i="8"/>
  <c r="A196" i="8"/>
  <c r="A195" i="8"/>
  <c r="A194" i="8"/>
  <c r="A192" i="8"/>
  <c r="A191" i="8"/>
  <c r="A190" i="8"/>
  <c r="A189" i="8"/>
  <c r="A188" i="8"/>
  <c r="A186" i="8"/>
  <c r="A185" i="8"/>
  <c r="A184" i="8"/>
  <c r="A183" i="8"/>
  <c r="A182" i="8"/>
  <c r="A180" i="8"/>
  <c r="A179" i="8"/>
  <c r="A178" i="8"/>
  <c r="A177" i="8"/>
  <c r="A176" i="8"/>
  <c r="A174" i="8"/>
  <c r="A173" i="8"/>
  <c r="A172" i="8"/>
  <c r="A171" i="8"/>
  <c r="A170" i="8"/>
  <c r="A168" i="8"/>
  <c r="A167" i="8"/>
  <c r="A166" i="8"/>
  <c r="A165" i="8"/>
  <c r="A164" i="8"/>
  <c r="A162" i="8"/>
  <c r="A161" i="8"/>
  <c r="A160" i="8"/>
  <c r="A159" i="8"/>
  <c r="A158" i="8"/>
  <c r="A156" i="8"/>
  <c r="A155" i="8"/>
  <c r="A154" i="8"/>
  <c r="A153" i="8"/>
  <c r="A152" i="8"/>
  <c r="A150" i="8"/>
  <c r="A149" i="8"/>
  <c r="A148" i="8"/>
  <c r="A147" i="8"/>
  <c r="A146" i="8"/>
  <c r="A144" i="8"/>
  <c r="A143" i="8"/>
  <c r="A142" i="8"/>
  <c r="A141" i="8"/>
  <c r="A140" i="8"/>
  <c r="A138" i="8"/>
  <c r="A137" i="8"/>
  <c r="A136" i="8"/>
  <c r="A135" i="8"/>
  <c r="A134" i="8"/>
  <c r="A132" i="8"/>
  <c r="A131" i="8"/>
  <c r="A130" i="8"/>
  <c r="A129" i="8"/>
  <c r="A128" i="8"/>
  <c r="A126" i="8"/>
  <c r="A125" i="8"/>
  <c r="A124" i="8"/>
  <c r="A123" i="8"/>
  <c r="A122" i="8"/>
  <c r="A120" i="8"/>
  <c r="A119" i="8"/>
  <c r="A118" i="8"/>
  <c r="A117" i="8"/>
  <c r="A116" i="8"/>
  <c r="A114" i="8"/>
  <c r="A113" i="8"/>
  <c r="A112" i="8"/>
  <c r="A111" i="8"/>
  <c r="A110" i="8"/>
  <c r="A108" i="8"/>
  <c r="A107" i="8"/>
  <c r="A106" i="8"/>
  <c r="A105" i="8"/>
  <c r="A104" i="8"/>
  <c r="A102" i="8"/>
  <c r="A101" i="8"/>
  <c r="A100" i="8"/>
  <c r="A99" i="8"/>
  <c r="A98" i="8"/>
  <c r="A96" i="8"/>
  <c r="A95" i="8"/>
  <c r="A94" i="8"/>
  <c r="A93" i="8"/>
  <c r="A92" i="8"/>
  <c r="A90" i="8"/>
  <c r="A89" i="8"/>
  <c r="A88" i="8"/>
  <c r="A87" i="8"/>
  <c r="A86" i="8"/>
  <c r="A84" i="8"/>
  <c r="A83" i="8"/>
  <c r="A82" i="8"/>
  <c r="A81" i="8"/>
  <c r="A80" i="8"/>
  <c r="A78" i="8"/>
  <c r="A77" i="8"/>
  <c r="A76" i="8"/>
  <c r="A75" i="8"/>
  <c r="A74" i="8"/>
  <c r="A72" i="8"/>
  <c r="A71" i="8"/>
  <c r="A70" i="8"/>
  <c r="A69" i="8"/>
  <c r="A68" i="8"/>
  <c r="A66" i="8"/>
  <c r="A65" i="8"/>
  <c r="A64" i="8"/>
  <c r="A63" i="8"/>
  <c r="A62" i="8"/>
  <c r="A60" i="8"/>
  <c r="A59" i="8"/>
  <c r="A58" i="8"/>
  <c r="A57" i="8"/>
  <c r="A56" i="8"/>
  <c r="A54" i="8"/>
  <c r="A53" i="8"/>
  <c r="A52" i="8"/>
  <c r="A51" i="8"/>
  <c r="A50" i="8"/>
  <c r="A48" i="8"/>
  <c r="A47" i="8"/>
  <c r="A46" i="8"/>
  <c r="A45" i="8"/>
  <c r="A44" i="8"/>
  <c r="A42" i="8"/>
  <c r="A41" i="8"/>
  <c r="A40" i="8"/>
  <c r="A39" i="8"/>
  <c r="A38" i="8"/>
  <c r="A36" i="8"/>
  <c r="A35" i="8"/>
  <c r="A34" i="8"/>
  <c r="A33" i="8"/>
  <c r="A32" i="8"/>
  <c r="A30" i="8"/>
  <c r="A29" i="8"/>
  <c r="A28" i="8"/>
  <c r="A27" i="8"/>
  <c r="A26" i="8"/>
  <c r="A24" i="8"/>
  <c r="A23" i="8"/>
  <c r="A22" i="8"/>
  <c r="A21" i="8"/>
  <c r="A20" i="8"/>
  <c r="A18" i="8"/>
  <c r="A17" i="8"/>
  <c r="A16" i="8"/>
  <c r="A15" i="8"/>
  <c r="A14" i="8"/>
  <c r="A12" i="8"/>
  <c r="A11" i="8"/>
  <c r="A10" i="8"/>
  <c r="A9" i="8"/>
  <c r="A8" i="8"/>
  <c r="A6" i="8"/>
  <c r="A5" i="8"/>
  <c r="A4" i="8"/>
  <c r="A3" i="8"/>
  <c r="A2" i="8"/>
  <c r="AG3" i="1"/>
  <c r="AG4" i="1"/>
  <c r="AG5" i="1"/>
  <c r="AG6" i="1"/>
  <c r="AG7" i="1"/>
  <c r="AG9" i="1"/>
  <c r="AG10" i="1"/>
  <c r="AG11" i="1"/>
  <c r="AG12" i="1"/>
  <c r="AG13" i="1"/>
  <c r="AG15" i="1"/>
  <c r="AG16" i="1"/>
  <c r="AG17" i="1"/>
  <c r="AG18" i="1"/>
  <c r="AG19" i="1"/>
  <c r="AG21" i="1"/>
  <c r="AG22" i="1"/>
  <c r="AG23" i="1"/>
  <c r="AG24" i="1"/>
  <c r="AG25" i="1"/>
  <c r="AG27" i="1"/>
  <c r="AG28" i="1"/>
  <c r="AG29" i="1"/>
  <c r="AG30" i="1"/>
  <c r="AG31" i="1"/>
  <c r="AG33" i="1"/>
  <c r="AG34" i="1"/>
  <c r="AG35" i="1"/>
  <c r="AG36" i="1"/>
  <c r="AG37" i="1"/>
  <c r="AG39" i="1"/>
  <c r="AG40" i="1"/>
  <c r="AG41" i="1"/>
  <c r="AG42" i="1"/>
  <c r="AG43" i="1"/>
  <c r="AG45" i="1"/>
  <c r="AG46" i="1"/>
  <c r="AG47" i="1"/>
  <c r="AG48" i="1"/>
  <c r="AG49" i="1"/>
  <c r="AG51" i="1"/>
  <c r="AG52" i="1"/>
  <c r="AG53" i="1"/>
  <c r="AG54" i="1"/>
  <c r="AG55" i="1"/>
  <c r="AG57" i="1"/>
  <c r="AG58" i="1"/>
  <c r="AG59" i="1"/>
  <c r="AG60" i="1"/>
  <c r="AG61" i="1"/>
  <c r="AG63" i="1"/>
  <c r="AG64" i="1"/>
  <c r="AG65" i="1"/>
  <c r="AG66" i="1"/>
  <c r="AG67" i="1"/>
  <c r="AG69" i="1"/>
  <c r="AG70" i="1"/>
  <c r="AG71" i="1"/>
  <c r="AG72" i="1"/>
  <c r="AG73" i="1"/>
  <c r="AG75" i="1"/>
  <c r="AG76" i="1"/>
  <c r="AG77" i="1"/>
  <c r="AG78" i="1"/>
  <c r="AG79" i="1"/>
  <c r="AG81" i="1"/>
  <c r="AG82" i="1"/>
  <c r="AG83" i="1"/>
  <c r="AG84" i="1"/>
  <c r="AG85" i="1"/>
  <c r="AG87" i="1"/>
  <c r="AG88" i="1"/>
  <c r="AG89" i="1"/>
  <c r="AG90" i="1"/>
  <c r="AG91" i="1"/>
  <c r="AG93" i="1"/>
  <c r="AG94" i="1"/>
  <c r="AG95" i="1"/>
  <c r="AG96" i="1"/>
  <c r="AG97" i="1"/>
  <c r="AG99" i="1"/>
  <c r="AG100" i="1"/>
  <c r="AG101" i="1"/>
  <c r="AG102" i="1"/>
  <c r="AG103" i="1"/>
  <c r="AG104" i="1"/>
  <c r="AG105" i="1"/>
  <c r="AG106" i="1"/>
  <c r="AG107" i="1"/>
  <c r="AG108" i="1"/>
  <c r="AG109" i="1"/>
  <c r="AG111" i="1"/>
  <c r="AG112" i="1"/>
  <c r="AG113" i="1"/>
  <c r="AG114" i="1"/>
  <c r="AG115" i="1"/>
  <c r="AG117" i="1"/>
  <c r="AG118" i="1"/>
  <c r="AG119" i="1"/>
  <c r="AG120" i="1"/>
  <c r="AG121" i="1"/>
  <c r="AG123" i="1"/>
  <c r="AG124" i="1"/>
  <c r="AG125" i="1"/>
  <c r="AG126" i="1"/>
  <c r="AG127" i="1"/>
  <c r="AG129" i="1"/>
  <c r="AG130" i="1"/>
  <c r="AG131" i="1"/>
  <c r="AG132" i="1"/>
  <c r="AG133" i="1"/>
  <c r="AG135" i="1"/>
  <c r="AG136" i="1"/>
  <c r="AG137" i="1"/>
  <c r="AG138" i="1"/>
  <c r="AG139" i="1"/>
  <c r="AG141" i="1"/>
  <c r="AG142" i="1"/>
  <c r="AG143" i="1"/>
  <c r="AG144" i="1"/>
  <c r="AG145" i="1"/>
  <c r="AG147" i="1"/>
  <c r="AG148" i="1"/>
  <c r="AG149" i="1"/>
  <c r="AG150" i="1"/>
  <c r="AG151" i="1"/>
  <c r="AG153" i="1"/>
  <c r="AG154" i="1"/>
  <c r="AG155" i="1"/>
  <c r="AG156" i="1"/>
  <c r="AG157" i="1"/>
  <c r="AG159" i="1"/>
  <c r="AG160" i="1"/>
  <c r="AG161" i="1"/>
  <c r="AG162" i="1"/>
  <c r="AG163" i="1"/>
  <c r="AG165" i="1"/>
  <c r="AG166" i="1"/>
  <c r="AG167" i="1"/>
  <c r="AG168" i="1"/>
  <c r="AG169" i="1"/>
  <c r="AG171" i="1"/>
  <c r="AG172" i="1"/>
  <c r="AG173" i="1"/>
  <c r="AG174" i="1"/>
  <c r="AG175" i="1"/>
  <c r="AG177" i="1"/>
  <c r="AG178" i="1"/>
  <c r="AG179" i="1"/>
  <c r="AG180" i="1"/>
  <c r="AG181" i="1"/>
  <c r="AG183" i="1"/>
  <c r="AG184" i="1"/>
  <c r="AG185" i="1"/>
  <c r="AG186" i="1"/>
  <c r="AG187" i="1"/>
  <c r="AG188" i="1"/>
  <c r="AG189" i="1"/>
  <c r="AG190" i="1"/>
  <c r="AG191" i="1"/>
  <c r="AG192" i="1"/>
  <c r="AG193" i="1"/>
  <c r="AG195" i="1"/>
  <c r="AG196" i="1"/>
  <c r="AG197" i="1"/>
  <c r="AG198" i="1"/>
  <c r="AG199" i="1"/>
  <c r="AG201" i="1"/>
  <c r="AG202" i="1"/>
  <c r="AG203" i="1"/>
  <c r="AG204" i="1"/>
  <c r="AG205" i="1"/>
  <c r="AG206" i="1"/>
  <c r="AG207" i="1"/>
  <c r="AG208" i="1"/>
  <c r="AG209" i="1"/>
  <c r="AG210" i="1"/>
  <c r="AG211" i="1"/>
  <c r="AG213" i="1"/>
  <c r="AG214" i="1"/>
  <c r="AG215" i="1"/>
  <c r="AG216" i="1"/>
  <c r="AG217" i="1"/>
  <c r="AG219" i="1"/>
  <c r="AG220" i="1"/>
  <c r="AG221" i="1"/>
  <c r="AG222" i="1"/>
  <c r="AG223" i="1"/>
  <c r="AG225" i="1"/>
  <c r="AG226" i="1"/>
  <c r="AG227" i="1"/>
  <c r="AG228" i="1"/>
  <c r="AG229" i="1"/>
  <c r="AG230" i="1"/>
  <c r="AG231" i="1"/>
  <c r="AG232" i="1"/>
  <c r="AG233" i="1"/>
  <c r="AG234" i="1"/>
  <c r="AF231" i="1"/>
  <c r="AF225" i="1"/>
  <c r="AF219" i="1"/>
  <c r="AF213" i="1"/>
  <c r="AF207" i="1"/>
  <c r="AE17" i="1"/>
  <c r="AE18" i="1"/>
  <c r="AE19" i="1"/>
  <c r="AE21" i="1"/>
  <c r="AE22" i="1"/>
  <c r="AE23" i="1"/>
  <c r="AE24" i="1"/>
  <c r="AE25" i="1"/>
  <c r="AE27" i="1"/>
  <c r="AE28" i="1"/>
  <c r="AE29" i="1"/>
  <c r="AE30" i="1"/>
  <c r="AE31" i="1"/>
  <c r="AE33" i="1"/>
  <c r="AE34" i="1"/>
  <c r="AE35" i="1"/>
  <c r="AE36" i="1"/>
  <c r="AE37" i="1"/>
  <c r="AE39" i="1"/>
  <c r="AE40" i="1"/>
  <c r="AE41" i="1"/>
  <c r="AE42" i="1"/>
  <c r="AE43" i="1"/>
  <c r="AE45" i="1"/>
  <c r="AE46" i="1"/>
  <c r="AE47" i="1"/>
  <c r="AE48" i="1"/>
  <c r="AE49" i="1"/>
  <c r="AE51" i="1"/>
  <c r="AE52" i="1"/>
  <c r="AE53" i="1"/>
  <c r="AE54" i="1"/>
  <c r="AE55" i="1"/>
  <c r="AE57" i="1"/>
  <c r="AE58" i="1"/>
  <c r="AE59" i="1"/>
  <c r="AE60" i="1"/>
  <c r="AE61" i="1"/>
  <c r="AE63" i="1"/>
  <c r="AE64" i="1"/>
  <c r="AE65" i="1"/>
  <c r="AE66" i="1"/>
  <c r="AE67" i="1"/>
  <c r="AE69" i="1"/>
  <c r="AE70" i="1"/>
  <c r="AE71" i="1"/>
  <c r="AE72" i="1"/>
  <c r="AE73" i="1"/>
  <c r="AE75" i="1"/>
  <c r="AE76" i="1"/>
  <c r="AE77" i="1"/>
  <c r="AE78" i="1"/>
  <c r="AE79" i="1"/>
  <c r="AE81" i="1"/>
  <c r="AE82" i="1"/>
  <c r="AE83" i="1"/>
  <c r="AE84" i="1"/>
  <c r="AE85" i="1"/>
  <c r="AE87" i="1"/>
  <c r="AE88" i="1"/>
  <c r="AE89" i="1"/>
  <c r="AE90" i="1"/>
  <c r="AE91" i="1"/>
  <c r="AE93" i="1"/>
  <c r="AE94" i="1"/>
  <c r="AE95" i="1"/>
  <c r="AE96" i="1"/>
  <c r="AE97" i="1"/>
  <c r="AE99" i="1"/>
  <c r="AE100" i="1"/>
  <c r="AE101" i="1"/>
  <c r="AE102" i="1"/>
  <c r="AE103" i="1"/>
  <c r="AE104" i="1"/>
  <c r="AE105" i="1"/>
  <c r="AE106" i="1"/>
  <c r="AE107" i="1"/>
  <c r="AE108" i="1"/>
  <c r="AE109" i="1"/>
  <c r="AE111" i="1"/>
  <c r="AE112" i="1"/>
  <c r="AE113" i="1"/>
  <c r="AE114" i="1"/>
  <c r="AE115" i="1"/>
  <c r="AE117" i="1"/>
  <c r="AE118" i="1"/>
  <c r="AE119" i="1"/>
  <c r="AE120" i="1"/>
  <c r="AE121" i="1"/>
  <c r="AE123" i="1"/>
  <c r="AE124" i="1"/>
  <c r="AE125" i="1"/>
  <c r="AE126" i="1"/>
  <c r="AE127" i="1"/>
  <c r="AE129" i="1"/>
  <c r="AE130" i="1"/>
  <c r="AE131" i="1"/>
  <c r="AE132" i="1"/>
  <c r="AE133" i="1"/>
  <c r="AE135" i="1"/>
  <c r="AE136" i="1"/>
  <c r="AE137" i="1"/>
  <c r="AE138" i="1"/>
  <c r="AE139" i="1"/>
  <c r="AE141" i="1"/>
  <c r="AE142" i="1"/>
  <c r="AE143" i="1"/>
  <c r="AE144" i="1"/>
  <c r="AE145" i="1"/>
  <c r="AE147" i="1"/>
  <c r="AE148" i="1"/>
  <c r="AE149" i="1"/>
  <c r="AE150" i="1"/>
  <c r="AE151" i="1"/>
  <c r="AE153" i="1"/>
  <c r="AE154" i="1"/>
  <c r="AE155" i="1"/>
  <c r="AE156" i="1"/>
  <c r="AE157" i="1"/>
  <c r="AE159" i="1"/>
  <c r="AE160" i="1"/>
  <c r="AE161" i="1"/>
  <c r="AE162" i="1"/>
  <c r="AE163" i="1"/>
  <c r="AE165" i="1"/>
  <c r="AE166" i="1"/>
  <c r="AE167" i="1"/>
  <c r="AE168" i="1"/>
  <c r="AE169" i="1"/>
  <c r="AE171" i="1"/>
  <c r="AE172" i="1"/>
  <c r="AE173" i="1"/>
  <c r="AE174" i="1"/>
  <c r="AE175" i="1"/>
  <c r="AE177" i="1"/>
  <c r="AE178" i="1"/>
  <c r="AE179" i="1"/>
  <c r="AE180" i="1"/>
  <c r="AE181" i="1"/>
  <c r="AE183" i="1"/>
  <c r="AE184" i="1"/>
  <c r="AE185" i="1"/>
  <c r="AE186" i="1"/>
  <c r="AE187" i="1"/>
  <c r="AE188" i="1"/>
  <c r="AE189" i="1"/>
  <c r="AE190" i="1"/>
  <c r="AE191" i="1"/>
  <c r="AE192" i="1"/>
  <c r="AE193" i="1"/>
  <c r="AE195" i="1"/>
  <c r="AE196" i="1"/>
  <c r="AE197" i="1"/>
  <c r="AE198" i="1"/>
  <c r="AE199" i="1"/>
  <c r="AE201" i="1"/>
  <c r="AE202" i="1"/>
  <c r="AE203" i="1"/>
  <c r="AE204" i="1"/>
  <c r="AE205" i="1"/>
  <c r="AE206" i="1"/>
  <c r="AE207" i="1"/>
  <c r="AE208" i="1"/>
  <c r="AE209" i="1"/>
  <c r="AE210" i="1"/>
  <c r="AE211" i="1"/>
  <c r="AE213" i="1"/>
  <c r="AE214" i="1"/>
  <c r="AE215" i="1"/>
  <c r="AE216" i="1"/>
  <c r="AE217" i="1"/>
  <c r="AE219" i="1"/>
  <c r="AE220" i="1"/>
  <c r="AE221" i="1"/>
  <c r="AE222" i="1"/>
  <c r="AE223" i="1"/>
  <c r="AE225" i="1"/>
  <c r="AE226" i="1"/>
  <c r="AE227" i="1"/>
  <c r="AE228" i="1"/>
  <c r="AE229" i="1"/>
  <c r="AE230" i="1"/>
  <c r="AE231" i="1"/>
  <c r="AE232" i="1"/>
  <c r="AE233" i="1"/>
  <c r="AE234" i="1"/>
  <c r="AE15" i="1"/>
  <c r="AE16" i="1"/>
  <c r="AE3" i="1"/>
  <c r="AE4" i="1"/>
  <c r="AE5" i="1"/>
  <c r="AE6" i="1"/>
  <c r="AE7" i="1"/>
  <c r="AE9" i="1"/>
  <c r="AE10" i="1"/>
  <c r="AE11" i="1"/>
  <c r="AE12" i="1"/>
  <c r="AE13" i="1"/>
  <c r="AA62" i="1"/>
  <c r="Z62" i="1"/>
  <c r="Y62" i="1"/>
  <c r="T62" i="1"/>
  <c r="S62" i="1"/>
  <c r="R62" i="1"/>
  <c r="AB224" i="1"/>
  <c r="AB212" i="1"/>
  <c r="AB200" i="1"/>
  <c r="AB156" i="1"/>
  <c r="AB155" i="1"/>
  <c r="AP155" i="1" s="1"/>
  <c r="AB154" i="1"/>
  <c r="AP154" i="1" s="1"/>
  <c r="AB153" i="1"/>
  <c r="AP153" i="1" s="1"/>
  <c r="AB151" i="1"/>
  <c r="AB150" i="1"/>
  <c r="AP150" i="1" s="1"/>
  <c r="AB149" i="1"/>
  <c r="AP149" i="1" s="1"/>
  <c r="AB145" i="1"/>
  <c r="AB144" i="1"/>
  <c r="AP144" i="1" s="1"/>
  <c r="AB143" i="1"/>
  <c r="AP143" i="1" s="1"/>
  <c r="AB142" i="1"/>
  <c r="AP142" i="1" s="1"/>
  <c r="AB141" i="1"/>
  <c r="AP141" i="1" s="1"/>
  <c r="AB140" i="1"/>
  <c r="AB139" i="1"/>
  <c r="AB138" i="1"/>
  <c r="AP138" i="1" s="1"/>
  <c r="AB137" i="1"/>
  <c r="AP137" i="1" s="1"/>
  <c r="AB136" i="1"/>
  <c r="AP136" i="1" s="1"/>
  <c r="AB133" i="1"/>
  <c r="AB132" i="1"/>
  <c r="AP132" i="1" s="1"/>
  <c r="AB131" i="1"/>
  <c r="AP131" i="1" s="1"/>
  <c r="AB117" i="1"/>
  <c r="AP117" i="1" s="1"/>
  <c r="AB118" i="1"/>
  <c r="AP118" i="1" s="1"/>
  <c r="AB119" i="1"/>
  <c r="AP119" i="1" s="1"/>
  <c r="AB120" i="1"/>
  <c r="AP120" i="1" s="1"/>
  <c r="AB121" i="1"/>
  <c r="AB123" i="1"/>
  <c r="AP123" i="1" s="1"/>
  <c r="AB105" i="1"/>
  <c r="AP105" i="1" s="1"/>
  <c r="AB106" i="1"/>
  <c r="AP106" i="1" s="1"/>
  <c r="AB107" i="1"/>
  <c r="AP107" i="1" s="1"/>
  <c r="AB77" i="1"/>
  <c r="AP77" i="1" s="1"/>
  <c r="AB78" i="1"/>
  <c r="AP78" i="1" s="1"/>
  <c r="AB79" i="1"/>
  <c r="AB81" i="1"/>
  <c r="AP81" i="1" s="1"/>
  <c r="AB82" i="1"/>
  <c r="AP82" i="1" s="1"/>
  <c r="AB83" i="1"/>
  <c r="AP83" i="1" s="1"/>
  <c r="AB84" i="1"/>
  <c r="AP84" i="1" s="1"/>
  <c r="AB85" i="1"/>
  <c r="AB87" i="1"/>
  <c r="AP87" i="1" s="1"/>
  <c r="AB88" i="1"/>
  <c r="AP88" i="1" s="1"/>
  <c r="AB89" i="1"/>
  <c r="AP89" i="1" s="1"/>
  <c r="AB90" i="1"/>
  <c r="AP90" i="1" s="1"/>
  <c r="AB91" i="1"/>
  <c r="AB93" i="1"/>
  <c r="AP93" i="1" s="1"/>
  <c r="AB94" i="1"/>
  <c r="AP94" i="1" s="1"/>
  <c r="AB95" i="1"/>
  <c r="AP95" i="1" s="1"/>
  <c r="AB69" i="1"/>
  <c r="AP69" i="1" s="1"/>
  <c r="AB70" i="1"/>
  <c r="AP70" i="1" s="1"/>
  <c r="AB71" i="1"/>
  <c r="AP71" i="1" s="1"/>
  <c r="AB72" i="1"/>
  <c r="AP72" i="1" s="1"/>
  <c r="AB73" i="1"/>
  <c r="AB9" i="1"/>
  <c r="AP9" i="1" s="1"/>
  <c r="AB10" i="1"/>
  <c r="AP10" i="1" s="1"/>
  <c r="AB11" i="1"/>
  <c r="AP11" i="1" s="1"/>
  <c r="AB12" i="1"/>
  <c r="AP12" i="1" s="1"/>
  <c r="AB13" i="1"/>
  <c r="AP13" i="1" s="1"/>
  <c r="AB15" i="1"/>
  <c r="AP15" i="1" s="1"/>
  <c r="AB16" i="1"/>
  <c r="AP16" i="1" s="1"/>
  <c r="AB17" i="1"/>
  <c r="AP17" i="1" s="1"/>
  <c r="AB18" i="1"/>
  <c r="AP18" i="1" s="1"/>
  <c r="AB19" i="1"/>
  <c r="AB21" i="1"/>
  <c r="AP21" i="1" s="1"/>
  <c r="AB22" i="1"/>
  <c r="AP22" i="1" s="1"/>
  <c r="AB23" i="1"/>
  <c r="AP23" i="1" s="1"/>
  <c r="AB24" i="1"/>
  <c r="AP24" i="1" s="1"/>
  <c r="AB25" i="1"/>
  <c r="AB27" i="1"/>
  <c r="AP27" i="1" s="1"/>
  <c r="AB28" i="1"/>
  <c r="AP28" i="1" s="1"/>
  <c r="AB29" i="1"/>
  <c r="AP29" i="1" s="1"/>
  <c r="AB30" i="1"/>
  <c r="AP30" i="1" s="1"/>
  <c r="AB31" i="1"/>
  <c r="AB33" i="1"/>
  <c r="AP33" i="1" s="1"/>
  <c r="AB34" i="1"/>
  <c r="AP34" i="1" s="1"/>
  <c r="AB35" i="1"/>
  <c r="AP35" i="1" s="1"/>
  <c r="AB36" i="1"/>
  <c r="AP36" i="1" s="1"/>
  <c r="AB37" i="1"/>
  <c r="AB39" i="1"/>
  <c r="AP39" i="1" s="1"/>
  <c r="AB40" i="1"/>
  <c r="AP40" i="1" s="1"/>
  <c r="AB41" i="1"/>
  <c r="AP41" i="1" s="1"/>
  <c r="AB42" i="1"/>
  <c r="AP42" i="1" s="1"/>
  <c r="AB46" i="1"/>
  <c r="AP46" i="1" s="1"/>
  <c r="AB47" i="1"/>
  <c r="AP47" i="1" s="1"/>
  <c r="AB48" i="1"/>
  <c r="AP48" i="1" s="1"/>
  <c r="AB49" i="1"/>
  <c r="AB51" i="1"/>
  <c r="AP51" i="1" s="1"/>
  <c r="AB52" i="1"/>
  <c r="AP52" i="1" s="1"/>
  <c r="AB53" i="1"/>
  <c r="AP53" i="1" s="1"/>
  <c r="AB54" i="1"/>
  <c r="AP54" i="1" s="1"/>
  <c r="AB55" i="1"/>
  <c r="AB57" i="1"/>
  <c r="AP57" i="1" s="1"/>
  <c r="AB58" i="1"/>
  <c r="AP58" i="1" s="1"/>
  <c r="AB59" i="1"/>
  <c r="AP59" i="1" s="1"/>
  <c r="AB60" i="1"/>
  <c r="AP60" i="1" s="1"/>
  <c r="AB61" i="1"/>
  <c r="AB63" i="1"/>
  <c r="AP63" i="1" s="1"/>
  <c r="AB64" i="1"/>
  <c r="AP64" i="1" s="1"/>
  <c r="AB65" i="1"/>
  <c r="AP65" i="1" s="1"/>
  <c r="AB66" i="1"/>
  <c r="AP66" i="1" s="1"/>
  <c r="AB67" i="1"/>
  <c r="AB75" i="1"/>
  <c r="AP75" i="1" s="1"/>
  <c r="AB76" i="1"/>
  <c r="AP76" i="1" s="1"/>
  <c r="AB99" i="1"/>
  <c r="AP99" i="1" s="1"/>
  <c r="AB100" i="1"/>
  <c r="AP100" i="1" s="1"/>
  <c r="AB101" i="1"/>
  <c r="AP101" i="1" s="1"/>
  <c r="AB102" i="1"/>
  <c r="AP102" i="1" s="1"/>
  <c r="AB103" i="1"/>
  <c r="AB111" i="1"/>
  <c r="AP111" i="1" s="1"/>
  <c r="AB112" i="1"/>
  <c r="AP112" i="1" s="1"/>
  <c r="AB113" i="1"/>
  <c r="AP113" i="1" s="1"/>
  <c r="AB114" i="1"/>
  <c r="AP114" i="1" s="1"/>
  <c r="AB115" i="1"/>
  <c r="AB124" i="1"/>
  <c r="AP124" i="1" s="1"/>
  <c r="AB125" i="1"/>
  <c r="AP125" i="1" s="1"/>
  <c r="AB126" i="1"/>
  <c r="AP126" i="1" s="1"/>
  <c r="AB127" i="1"/>
  <c r="AB129" i="1"/>
  <c r="AP129" i="1" s="1"/>
  <c r="AB130" i="1"/>
  <c r="AB135" i="1"/>
  <c r="AP135" i="1" s="1"/>
  <c r="AB159" i="1"/>
  <c r="AP159" i="1" s="1"/>
  <c r="AB160" i="1"/>
  <c r="AP160" i="1" s="1"/>
  <c r="AB161" i="1"/>
  <c r="AP161" i="1" s="1"/>
  <c r="AB162" i="1"/>
  <c r="AP162" i="1" s="1"/>
  <c r="AB163" i="1"/>
  <c r="AB165" i="1"/>
  <c r="AP165" i="1" s="1"/>
  <c r="AB166" i="1"/>
  <c r="AP166" i="1" s="1"/>
  <c r="AB167" i="1"/>
  <c r="AP167" i="1" s="1"/>
  <c r="AB168" i="1"/>
  <c r="AP168" i="1" s="1"/>
  <c r="AB169" i="1"/>
  <c r="AB171" i="1"/>
  <c r="AP171" i="1" s="1"/>
  <c r="AB172" i="1"/>
  <c r="AP172" i="1" s="1"/>
  <c r="AB173" i="1"/>
  <c r="AP173" i="1" s="1"/>
  <c r="AB174" i="1"/>
  <c r="AP174" i="1" s="1"/>
  <c r="AB175" i="1"/>
  <c r="AB177" i="1"/>
  <c r="AP177" i="1" s="1"/>
  <c r="AB178" i="1"/>
  <c r="AP178" i="1" s="1"/>
  <c r="AB179" i="1"/>
  <c r="AP179" i="1" s="1"/>
  <c r="AB180" i="1"/>
  <c r="AB183" i="1"/>
  <c r="AP183" i="1" s="1"/>
  <c r="AB184" i="1"/>
  <c r="AP184" i="1" s="1"/>
  <c r="AB185" i="1"/>
  <c r="AP185" i="1" s="1"/>
  <c r="AB186" i="1"/>
  <c r="AP186" i="1" s="1"/>
  <c r="AB187" i="1"/>
  <c r="AB189" i="1"/>
  <c r="AP189" i="1" s="1"/>
  <c r="AB190" i="1"/>
  <c r="AP190" i="1" s="1"/>
  <c r="AB195" i="1"/>
  <c r="AP195" i="1" s="1"/>
  <c r="AB196" i="1"/>
  <c r="AP196" i="1" s="1"/>
  <c r="AB197" i="1"/>
  <c r="AP197" i="1" s="1"/>
  <c r="AB198" i="1"/>
  <c r="AB201" i="1"/>
  <c r="AP201" i="1" s="1"/>
  <c r="AB202" i="1"/>
  <c r="AP202" i="1" s="1"/>
  <c r="AB203" i="1"/>
  <c r="AP203" i="1" s="1"/>
  <c r="AB204" i="1"/>
  <c r="AP204" i="1" s="1"/>
  <c r="AB205" i="1"/>
  <c r="AB207" i="1"/>
  <c r="AP207" i="1" s="1"/>
  <c r="AB208" i="1"/>
  <c r="AP208" i="1" s="1"/>
  <c r="AB209" i="1"/>
  <c r="AP209" i="1" s="1"/>
  <c r="AB213" i="1"/>
  <c r="AP213" i="1" s="1"/>
  <c r="AB214" i="1"/>
  <c r="AP214" i="1" s="1"/>
  <c r="AB215" i="1"/>
  <c r="AP215" i="1" s="1"/>
  <c r="AB216" i="1"/>
  <c r="AB218" i="1"/>
  <c r="AB219" i="1"/>
  <c r="AP219" i="1" s="1"/>
  <c r="AB220" i="1"/>
  <c r="AP220" i="1" s="1"/>
  <c r="AB221" i="1"/>
  <c r="AP221" i="1" s="1"/>
  <c r="AB222" i="1"/>
  <c r="AP222" i="1" s="1"/>
  <c r="AB225" i="1"/>
  <c r="AP225" i="1" s="1"/>
  <c r="AB226" i="1"/>
  <c r="AP226" i="1" s="1"/>
  <c r="AB227" i="1"/>
  <c r="AP227" i="1" s="1"/>
  <c r="AB228" i="1"/>
  <c r="AP228" i="1" s="1"/>
  <c r="AB231" i="1"/>
  <c r="AP231" i="1" s="1"/>
  <c r="AB232" i="1"/>
  <c r="AP232" i="1" s="1"/>
  <c r="AB233" i="1"/>
  <c r="AP233" i="1" s="1"/>
  <c r="AB3" i="1"/>
  <c r="AP3" i="1" s="1"/>
  <c r="AB4" i="1"/>
  <c r="AB5" i="1"/>
  <c r="AB6" i="1"/>
  <c r="AB7" i="1"/>
  <c r="T39" i="1"/>
  <c r="AK200" i="1" l="1"/>
  <c r="AP200" i="1"/>
  <c r="A229" i="8"/>
  <c r="AP224" i="1"/>
  <c r="AC130" i="1"/>
  <c r="AP130" i="1"/>
  <c r="A217" i="8"/>
  <c r="AP212" i="1"/>
  <c r="AK218" i="1"/>
  <c r="AP218" i="1"/>
  <c r="AC197" i="1"/>
  <c r="AP198" i="1"/>
  <c r="AC180" i="1"/>
  <c r="AP180" i="1"/>
  <c r="AC216" i="1"/>
  <c r="AP216" i="1"/>
  <c r="A139" i="8"/>
  <c r="AP140" i="1"/>
  <c r="AC156" i="1"/>
  <c r="AP156" i="1"/>
  <c r="AK176" i="1"/>
  <c r="AP176" i="1"/>
  <c r="AH213" i="1"/>
  <c r="AC142" i="1"/>
  <c r="AC231" i="1"/>
  <c r="AC214" i="1"/>
  <c r="AC196" i="1"/>
  <c r="AC177" i="1"/>
  <c r="AC168" i="1"/>
  <c r="AC100" i="1"/>
  <c r="AC27" i="1"/>
  <c r="AB146" i="1"/>
  <c r="AD219" i="1"/>
  <c r="AC189" i="1"/>
  <c r="AC23" i="1"/>
  <c r="AC220" i="1"/>
  <c r="AC184" i="1"/>
  <c r="AC70" i="1"/>
  <c r="AC119" i="1"/>
  <c r="AC75" i="1"/>
  <c r="AC174" i="1"/>
  <c r="AC54" i="1"/>
  <c r="AC203" i="1"/>
  <c r="AC200" i="1"/>
  <c r="AC208" i="1"/>
  <c r="AC9" i="1"/>
  <c r="AC160" i="1"/>
  <c r="AK140" i="1"/>
  <c r="A205" i="8"/>
  <c r="AC226" i="1"/>
  <c r="AH225" i="1"/>
  <c r="AC155" i="1"/>
  <c r="A181" i="8"/>
  <c r="AC165" i="1"/>
  <c r="AC124" i="1"/>
  <c r="AC172" i="1"/>
  <c r="AK212" i="1"/>
  <c r="AC3" i="1"/>
  <c r="AC117" i="1"/>
  <c r="AC215" i="1"/>
  <c r="AC218" i="1"/>
  <c r="AK224" i="1"/>
  <c r="AC47" i="1"/>
  <c r="A223" i="8"/>
  <c r="AH219" i="1"/>
  <c r="AC221" i="1"/>
  <c r="AC204" i="1"/>
  <c r="AC185" i="1"/>
  <c r="AC161" i="1"/>
  <c r="AC202" i="1"/>
  <c r="AC183" i="1"/>
  <c r="AC173" i="1"/>
  <c r="AC159" i="1"/>
  <c r="AC69" i="1"/>
  <c r="AC82" i="1"/>
  <c r="AC143" i="1"/>
  <c r="AC171" i="1"/>
  <c r="AC179" i="1"/>
  <c r="AC232" i="1"/>
  <c r="AC178" i="1"/>
  <c r="AB62" i="1"/>
  <c r="AP62" i="1" s="1"/>
  <c r="AC150" i="1"/>
  <c r="AC167" i="1"/>
  <c r="AC201" i="1"/>
  <c r="AC213" i="1"/>
  <c r="AC227" i="1"/>
  <c r="AC166" i="1"/>
  <c r="AC137" i="1"/>
  <c r="AC212" i="1"/>
  <c r="AC195" i="1"/>
  <c r="AC207" i="1"/>
  <c r="AC225" i="1"/>
  <c r="AC186" i="1"/>
  <c r="AC162" i="1"/>
  <c r="AC72" i="1"/>
  <c r="AC224" i="1"/>
  <c r="AC53" i="1"/>
  <c r="AC36" i="1"/>
  <c r="AC22" i="1"/>
  <c r="AC78" i="1"/>
  <c r="AC118" i="1"/>
  <c r="AC141" i="1"/>
  <c r="AC154" i="1"/>
  <c r="AD213" i="1"/>
  <c r="AC6" i="1"/>
  <c r="AC33" i="1"/>
  <c r="AC18" i="1"/>
  <c r="AC144" i="1"/>
  <c r="AC219" i="1"/>
  <c r="U62" i="1"/>
  <c r="AC5" i="1"/>
  <c r="AC132" i="1"/>
  <c r="AC176" i="1"/>
  <c r="AD225" i="1"/>
  <c r="AC102" i="1"/>
  <c r="AC29" i="1"/>
  <c r="AC71" i="1"/>
  <c r="AC60" i="1"/>
  <c r="AC46" i="1"/>
  <c r="AC15" i="1"/>
  <c r="AC84" i="1"/>
  <c r="AC129" i="1"/>
  <c r="AC101" i="1"/>
  <c r="AC59" i="1"/>
  <c r="AC28" i="1"/>
  <c r="AC83" i="1"/>
  <c r="AC136" i="1"/>
  <c r="AC149" i="1"/>
  <c r="AC114" i="1"/>
  <c r="AC51" i="1"/>
  <c r="AC52" i="1"/>
  <c r="AC112" i="1"/>
  <c r="AC87" i="1"/>
  <c r="AC34" i="1"/>
  <c r="AC88" i="1"/>
  <c r="AC4" i="1"/>
  <c r="AC111" i="1"/>
  <c r="AC48" i="1"/>
  <c r="AC17" i="1"/>
  <c r="AC106" i="1"/>
  <c r="AC30" i="1"/>
  <c r="AC16" i="1"/>
  <c r="AC105" i="1"/>
  <c r="AC77" i="1"/>
  <c r="AC113" i="1"/>
  <c r="AC123" i="1"/>
  <c r="AC35" i="1"/>
  <c r="AC12" i="1"/>
  <c r="AC94" i="1"/>
  <c r="AC89" i="1"/>
  <c r="AC99" i="1"/>
  <c r="AC57" i="1"/>
  <c r="AC40" i="1"/>
  <c r="AC11" i="1"/>
  <c r="AC93" i="1"/>
  <c r="AC81" i="1"/>
  <c r="AC138" i="1"/>
  <c r="AC21" i="1"/>
  <c r="AC41" i="1"/>
  <c r="AC126" i="1"/>
  <c r="AC125" i="1"/>
  <c r="AC76" i="1"/>
  <c r="AC39" i="1"/>
  <c r="AC24" i="1"/>
  <c r="AC10" i="1"/>
  <c r="AC120" i="1"/>
  <c r="AC58" i="1"/>
  <c r="AC140" i="1"/>
  <c r="AC153" i="1"/>
  <c r="AC135" i="1"/>
  <c r="AC131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A145" i="8" l="1"/>
  <c r="AP146" i="1"/>
  <c r="U132" i="1"/>
  <c r="U136" i="1"/>
  <c r="U140" i="1"/>
  <c r="AK146" i="1"/>
  <c r="U130" i="1"/>
  <c r="U138" i="1"/>
  <c r="U137" i="1"/>
  <c r="U145" i="1"/>
  <c r="U133" i="1"/>
  <c r="U141" i="1"/>
  <c r="V140" i="1" s="1"/>
  <c r="AC62" i="1"/>
  <c r="AK62" i="1"/>
  <c r="A61" i="8"/>
  <c r="U142" i="1"/>
  <c r="U144" i="1"/>
  <c r="U131" i="1"/>
  <c r="U135" i="1"/>
  <c r="U139" i="1"/>
  <c r="U143" i="1"/>
  <c r="U134" i="1"/>
  <c r="V141" i="1" l="1"/>
  <c r="V144" i="1"/>
  <c r="V142" i="1"/>
  <c r="V143" i="1"/>
  <c r="X140" i="1"/>
  <c r="AI140" i="1" s="1"/>
  <c r="X134" i="1"/>
  <c r="AG140" i="1"/>
  <c r="AE140" i="1"/>
  <c r="AG134" i="1" l="1"/>
  <c r="V130" i="1" l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U116" i="1" s="1"/>
  <c r="T115" i="1"/>
  <c r="S115" i="1"/>
  <c r="R115" i="1"/>
  <c r="T114" i="1"/>
  <c r="S114" i="1"/>
  <c r="R114" i="1"/>
  <c r="T113" i="1"/>
  <c r="S113" i="1"/>
  <c r="R113" i="1"/>
  <c r="T112" i="1"/>
  <c r="S112" i="1"/>
  <c r="R112" i="1"/>
  <c r="U112" i="1" s="1"/>
  <c r="T111" i="1"/>
  <c r="S111" i="1"/>
  <c r="R111" i="1"/>
  <c r="T110" i="1"/>
  <c r="S110" i="1"/>
  <c r="R110" i="1"/>
  <c r="T107" i="1"/>
  <c r="S107" i="1"/>
  <c r="R107" i="1"/>
  <c r="T106" i="1"/>
  <c r="S106" i="1"/>
  <c r="R106" i="1"/>
  <c r="U106" i="1" s="1"/>
  <c r="T105" i="1"/>
  <c r="S105" i="1"/>
  <c r="R105" i="1"/>
  <c r="T104" i="1"/>
  <c r="S104" i="1"/>
  <c r="R104" i="1"/>
  <c r="T103" i="1"/>
  <c r="S103" i="1"/>
  <c r="R103" i="1"/>
  <c r="T102" i="1"/>
  <c r="S102" i="1"/>
  <c r="R102" i="1"/>
  <c r="U102" i="1" s="1"/>
  <c r="T101" i="1"/>
  <c r="S101" i="1"/>
  <c r="R101" i="1"/>
  <c r="T100" i="1"/>
  <c r="S100" i="1"/>
  <c r="R100" i="1"/>
  <c r="T99" i="1"/>
  <c r="S99" i="1"/>
  <c r="R99" i="1"/>
  <c r="T98" i="1"/>
  <c r="S98" i="1"/>
  <c r="R98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V138" i="1"/>
  <c r="V137" i="1"/>
  <c r="V136" i="1"/>
  <c r="V135" i="1"/>
  <c r="V134" i="1"/>
  <c r="V132" i="1"/>
  <c r="V131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U174" i="1" s="1"/>
  <c r="T173" i="1"/>
  <c r="S173" i="1"/>
  <c r="R173" i="1"/>
  <c r="T172" i="1"/>
  <c r="S172" i="1"/>
  <c r="R172" i="1"/>
  <c r="T171" i="1"/>
  <c r="S171" i="1"/>
  <c r="R171" i="1"/>
  <c r="T170" i="1"/>
  <c r="S170" i="1"/>
  <c r="R170" i="1"/>
  <c r="U170" i="1" s="1"/>
  <c r="T169" i="1"/>
  <c r="S169" i="1"/>
  <c r="R169" i="1"/>
  <c r="T168" i="1"/>
  <c r="S168" i="1"/>
  <c r="R168" i="1"/>
  <c r="T167" i="1"/>
  <c r="S167" i="1"/>
  <c r="R167" i="1"/>
  <c r="T166" i="1"/>
  <c r="S166" i="1"/>
  <c r="R166" i="1"/>
  <c r="U166" i="1" s="1"/>
  <c r="T165" i="1"/>
  <c r="S165" i="1"/>
  <c r="R165" i="1"/>
  <c r="T164" i="1"/>
  <c r="S164" i="1"/>
  <c r="R164" i="1"/>
  <c r="T163" i="1"/>
  <c r="S163" i="1"/>
  <c r="R163" i="1"/>
  <c r="T162" i="1"/>
  <c r="S162" i="1"/>
  <c r="R162" i="1"/>
  <c r="U162" i="1" s="1"/>
  <c r="T161" i="1"/>
  <c r="S161" i="1"/>
  <c r="R161" i="1"/>
  <c r="T160" i="1"/>
  <c r="S160" i="1"/>
  <c r="R160" i="1"/>
  <c r="T159" i="1"/>
  <c r="S159" i="1"/>
  <c r="R159" i="1"/>
  <c r="T158" i="1"/>
  <c r="S158" i="1"/>
  <c r="R158" i="1"/>
  <c r="U158" i="1" s="1"/>
  <c r="U177" i="1" l="1"/>
  <c r="U182" i="1"/>
  <c r="U186" i="1"/>
  <c r="U190" i="1"/>
  <c r="U197" i="1"/>
  <c r="U202" i="1"/>
  <c r="U206" i="1"/>
  <c r="X182" i="1"/>
  <c r="X170" i="1"/>
  <c r="AG170" i="1" s="1"/>
  <c r="U125" i="1"/>
  <c r="U129" i="1"/>
  <c r="V129" i="1" s="1"/>
  <c r="X158" i="1"/>
  <c r="U88" i="1"/>
  <c r="U80" i="1"/>
  <c r="U84" i="1"/>
  <c r="U92" i="1"/>
  <c r="X92" i="1" s="1"/>
  <c r="U212" i="1"/>
  <c r="U216" i="1"/>
  <c r="U221" i="1"/>
  <c r="U226" i="1"/>
  <c r="U120" i="1"/>
  <c r="X116" i="1" s="1"/>
  <c r="U123" i="1"/>
  <c r="U127" i="1"/>
  <c r="U161" i="1"/>
  <c r="V161" i="1" s="1"/>
  <c r="U124" i="1"/>
  <c r="U68" i="1"/>
  <c r="U228" i="1"/>
  <c r="U77" i="1"/>
  <c r="U81" i="1"/>
  <c r="U85" i="1"/>
  <c r="U89" i="1"/>
  <c r="U93" i="1"/>
  <c r="U99" i="1"/>
  <c r="U103" i="1"/>
  <c r="V102" i="1" s="1"/>
  <c r="U107" i="1"/>
  <c r="V107" i="1" s="1"/>
  <c r="U113" i="1"/>
  <c r="V112" i="1" s="1"/>
  <c r="U117" i="1"/>
  <c r="V116" i="1" s="1"/>
  <c r="U121" i="1"/>
  <c r="U231" i="1"/>
  <c r="U79" i="1"/>
  <c r="U83" i="1"/>
  <c r="U87" i="1"/>
  <c r="U91" i="1"/>
  <c r="U95" i="1"/>
  <c r="U105" i="1"/>
  <c r="V105" i="1" s="1"/>
  <c r="U115" i="1"/>
  <c r="U163" i="1"/>
  <c r="V162" i="1" s="1"/>
  <c r="U167" i="1"/>
  <c r="V166" i="1" s="1"/>
  <c r="U171" i="1"/>
  <c r="V170" i="1" s="1"/>
  <c r="U175" i="1"/>
  <c r="V174" i="1" s="1"/>
  <c r="U71" i="1"/>
  <c r="U128" i="1"/>
  <c r="U119" i="1"/>
  <c r="U111" i="1"/>
  <c r="V111" i="1" s="1"/>
  <c r="U165" i="1"/>
  <c r="V165" i="1" s="1"/>
  <c r="U169" i="1"/>
  <c r="U173" i="1"/>
  <c r="V173" i="1" s="1"/>
  <c r="U98" i="1"/>
  <c r="X98" i="1" s="1"/>
  <c r="U179" i="1"/>
  <c r="U184" i="1"/>
  <c r="U188" i="1"/>
  <c r="U195" i="1"/>
  <c r="U200" i="1"/>
  <c r="U204" i="1"/>
  <c r="U208" i="1"/>
  <c r="U214" i="1"/>
  <c r="U219" i="1"/>
  <c r="U224" i="1"/>
  <c r="U233" i="1"/>
  <c r="V233" i="1" s="1"/>
  <c r="U56" i="1"/>
  <c r="U60" i="1"/>
  <c r="U69" i="1"/>
  <c r="U73" i="1"/>
  <c r="U176" i="1"/>
  <c r="U180" i="1"/>
  <c r="U185" i="1"/>
  <c r="V185" i="1" s="1"/>
  <c r="U189" i="1"/>
  <c r="V189" i="1" s="1"/>
  <c r="U196" i="1"/>
  <c r="V196" i="1" s="1"/>
  <c r="U201" i="1"/>
  <c r="V201" i="1" s="1"/>
  <c r="U205" i="1"/>
  <c r="U209" i="1"/>
  <c r="U215" i="1"/>
  <c r="U220" i="1"/>
  <c r="U230" i="1"/>
  <c r="U57" i="1"/>
  <c r="U61" i="1"/>
  <c r="U70" i="1"/>
  <c r="U159" i="1"/>
  <c r="U225" i="1"/>
  <c r="U74" i="1"/>
  <c r="U78" i="1"/>
  <c r="U82" i="1"/>
  <c r="U86" i="1"/>
  <c r="U90" i="1"/>
  <c r="U94" i="1"/>
  <c r="U100" i="1"/>
  <c r="U104" i="1"/>
  <c r="U110" i="1"/>
  <c r="U114" i="1"/>
  <c r="U118" i="1"/>
  <c r="U126" i="1"/>
  <c r="U58" i="1"/>
  <c r="U75" i="1"/>
  <c r="U160" i="1"/>
  <c r="U164" i="1"/>
  <c r="U168" i="1"/>
  <c r="U172" i="1"/>
  <c r="U101" i="1"/>
  <c r="V101" i="1" s="1"/>
  <c r="U178" i="1"/>
  <c r="V177" i="1" s="1"/>
  <c r="U183" i="1"/>
  <c r="V182" i="1" s="1"/>
  <c r="U187" i="1"/>
  <c r="V186" i="1" s="1"/>
  <c r="U194" i="1"/>
  <c r="U198" i="1"/>
  <c r="V197" i="1" s="1"/>
  <c r="U203" i="1"/>
  <c r="V202" i="1" s="1"/>
  <c r="U207" i="1"/>
  <c r="U213" i="1"/>
  <c r="U218" i="1"/>
  <c r="U222" i="1"/>
  <c r="U227" i="1"/>
  <c r="U232" i="1"/>
  <c r="U55" i="1"/>
  <c r="U59" i="1"/>
  <c r="U72" i="1"/>
  <c r="U76" i="1"/>
  <c r="V70" i="1" l="1"/>
  <c r="V125" i="1"/>
  <c r="V227" i="1"/>
  <c r="V215" i="1"/>
  <c r="V212" i="1"/>
  <c r="V220" i="1"/>
  <c r="V221" i="1"/>
  <c r="V206" i="1"/>
  <c r="AG92" i="1"/>
  <c r="X56" i="1"/>
  <c r="V99" i="1"/>
  <c r="V120" i="1"/>
  <c r="X224" i="1"/>
  <c r="AI224" i="1" s="1"/>
  <c r="V92" i="1"/>
  <c r="AG182" i="1"/>
  <c r="V88" i="1"/>
  <c r="V87" i="1"/>
  <c r="X86" i="1"/>
  <c r="X218" i="1"/>
  <c r="AI218" i="1" s="1"/>
  <c r="V123" i="1"/>
  <c r="AG116" i="1"/>
  <c r="X80" i="1"/>
  <c r="X74" i="1"/>
  <c r="V172" i="1"/>
  <c r="V119" i="1"/>
  <c r="V84" i="1"/>
  <c r="AG158" i="1"/>
  <c r="V114" i="1"/>
  <c r="X128" i="1"/>
  <c r="V80" i="1"/>
  <c r="X164" i="1"/>
  <c r="V168" i="1"/>
  <c r="X110" i="1"/>
  <c r="X200" i="1"/>
  <c r="AI200" i="1" s="1"/>
  <c r="V57" i="1"/>
  <c r="V124" i="1"/>
  <c r="V188" i="1"/>
  <c r="AG98" i="1"/>
  <c r="X176" i="1"/>
  <c r="AI176" i="1" s="1"/>
  <c r="V128" i="1"/>
  <c r="X68" i="1"/>
  <c r="X212" i="1"/>
  <c r="AI212" i="1" s="1"/>
  <c r="V232" i="1"/>
  <c r="X194" i="1"/>
  <c r="V76" i="1"/>
  <c r="V71" i="1"/>
  <c r="V83" i="1"/>
  <c r="V58" i="1"/>
  <c r="V82" i="1"/>
  <c r="V113" i="1"/>
  <c r="V78" i="1"/>
  <c r="V106" i="1"/>
  <c r="V75" i="1"/>
  <c r="V160" i="1"/>
  <c r="V118" i="1"/>
  <c r="V94" i="1"/>
  <c r="V208" i="1"/>
  <c r="V176" i="1"/>
  <c r="V90" i="1"/>
  <c r="V230" i="1"/>
  <c r="V204" i="1"/>
  <c r="V218" i="1"/>
  <c r="V213" i="1"/>
  <c r="W213" i="1"/>
  <c r="V164" i="1"/>
  <c r="V86" i="1"/>
  <c r="V219" i="1"/>
  <c r="W219" i="1"/>
  <c r="V74" i="1"/>
  <c r="V104" i="1"/>
  <c r="V225" i="1"/>
  <c r="W225" i="1"/>
  <c r="V60" i="1"/>
  <c r="V159" i="1"/>
  <c r="V98" i="1"/>
  <c r="V183" i="1"/>
  <c r="V110" i="1"/>
  <c r="V93" i="1"/>
  <c r="V200" i="1"/>
  <c r="V158" i="1"/>
  <c r="V195" i="1"/>
  <c r="V77" i="1"/>
  <c r="V126" i="1"/>
  <c r="V207" i="1"/>
  <c r="V69" i="1"/>
  <c r="V184" i="1"/>
  <c r="V81" i="1"/>
  <c r="V179" i="1"/>
  <c r="V68" i="1"/>
  <c r="V100" i="1"/>
  <c r="V224" i="1"/>
  <c r="V117" i="1"/>
  <c r="V171" i="1"/>
  <c r="V203" i="1"/>
  <c r="V194" i="1"/>
  <c r="V72" i="1"/>
  <c r="V59" i="1"/>
  <c r="V231" i="1"/>
  <c r="V178" i="1"/>
  <c r="V167" i="1"/>
  <c r="V226" i="1"/>
  <c r="V89" i="1"/>
  <c r="V214" i="1"/>
  <c r="AE224" i="1" l="1"/>
  <c r="AG80" i="1"/>
  <c r="AG194" i="1"/>
  <c r="AG86" i="1"/>
  <c r="AG68" i="1"/>
  <c r="AE218" i="1"/>
  <c r="AG56" i="1"/>
  <c r="AG218" i="1"/>
  <c r="AG74" i="1"/>
  <c r="AG224" i="1"/>
  <c r="AG212" i="1"/>
  <c r="AE212" i="1"/>
  <c r="AG164" i="1"/>
  <c r="AE176" i="1"/>
  <c r="AG176" i="1"/>
  <c r="AG110" i="1"/>
  <c r="AG128" i="1"/>
  <c r="AG200" i="1"/>
  <c r="AE200" i="1"/>
  <c r="T156" i="1" l="1"/>
  <c r="S156" i="1"/>
  <c r="R156" i="1"/>
  <c r="T155" i="1"/>
  <c r="S155" i="1"/>
  <c r="R155" i="1"/>
  <c r="U155" i="1" s="1"/>
  <c r="T154" i="1"/>
  <c r="S154" i="1"/>
  <c r="R154" i="1"/>
  <c r="T153" i="1"/>
  <c r="S153" i="1"/>
  <c r="R153" i="1"/>
  <c r="T152" i="1"/>
  <c r="S152" i="1"/>
  <c r="R152" i="1"/>
  <c r="T151" i="1"/>
  <c r="S151" i="1"/>
  <c r="U151" i="1" s="1"/>
  <c r="T150" i="1"/>
  <c r="U150" i="1" s="1"/>
  <c r="T149" i="1"/>
  <c r="S149" i="1"/>
  <c r="T148" i="1"/>
  <c r="S148" i="1"/>
  <c r="T147" i="1"/>
  <c r="U147" i="1" s="1"/>
  <c r="T146" i="1"/>
  <c r="U146" i="1" s="1"/>
  <c r="U154" i="1" l="1"/>
  <c r="U148" i="1"/>
  <c r="U153" i="1"/>
  <c r="V153" i="1" s="1"/>
  <c r="U152" i="1"/>
  <c r="X146" i="1"/>
  <c r="AI146" i="1" s="1"/>
  <c r="U149" i="1"/>
  <c r="V148" i="1" s="1"/>
  <c r="V147" i="1"/>
  <c r="V146" i="1"/>
  <c r="V152" i="1"/>
  <c r="V154" i="1"/>
  <c r="U156" i="1"/>
  <c r="V155" i="1" s="1"/>
  <c r="V150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U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T2" i="1"/>
  <c r="S2" i="1"/>
  <c r="R2" i="1"/>
  <c r="AA230" i="1"/>
  <c r="Z230" i="1"/>
  <c r="Y230" i="1"/>
  <c r="U24" i="1" l="1"/>
  <c r="V149" i="1"/>
  <c r="U27" i="1"/>
  <c r="U37" i="1"/>
  <c r="U2" i="1"/>
  <c r="U31" i="1"/>
  <c r="U14" i="1"/>
  <c r="U10" i="1"/>
  <c r="U47" i="1"/>
  <c r="U43" i="1"/>
  <c r="U34" i="1"/>
  <c r="U12" i="1"/>
  <c r="U21" i="1"/>
  <c r="U50" i="1"/>
  <c r="U22" i="1"/>
  <c r="AE146" i="1"/>
  <c r="AG146" i="1"/>
  <c r="X152" i="1"/>
  <c r="U45" i="1"/>
  <c r="U64" i="1"/>
  <c r="U15" i="1"/>
  <c r="AB230" i="1"/>
  <c r="AP230" i="1" s="1"/>
  <c r="U9" i="1"/>
  <c r="V9" i="1" s="1"/>
  <c r="U5" i="1"/>
  <c r="V5" i="1" s="1"/>
  <c r="U18" i="1"/>
  <c r="U33" i="1"/>
  <c r="U11" i="1"/>
  <c r="U7" i="1"/>
  <c r="U25" i="1"/>
  <c r="V24" i="1" s="1"/>
  <c r="U36" i="1"/>
  <c r="V36" i="1" s="1"/>
  <c r="U28" i="1"/>
  <c r="V27" i="1" s="1"/>
  <c r="U3" i="1"/>
  <c r="V2" i="1" s="1"/>
  <c r="U48" i="1"/>
  <c r="V47" i="1" s="1"/>
  <c r="V14" i="1"/>
  <c r="U17" i="1"/>
  <c r="U63" i="1"/>
  <c r="V62" i="1" s="1"/>
  <c r="U6" i="1"/>
  <c r="U67" i="1"/>
  <c r="U13" i="1"/>
  <c r="U38" i="1"/>
  <c r="U16" i="1"/>
  <c r="U30" i="1"/>
  <c r="V30" i="1" s="1"/>
  <c r="U54" i="1"/>
  <c r="V54" i="1" s="1"/>
  <c r="U8" i="1"/>
  <c r="U4" i="1"/>
  <c r="U53" i="1"/>
  <c r="V53" i="1" s="1"/>
  <c r="U26" i="1"/>
  <c r="U19" i="1"/>
  <c r="U29" i="1"/>
  <c r="U51" i="1"/>
  <c r="U32" i="1"/>
  <c r="U35" i="1"/>
  <c r="U65" i="1"/>
  <c r="U46" i="1"/>
  <c r="V45" i="1" s="1"/>
  <c r="U42" i="1"/>
  <c r="U41" i="1"/>
  <c r="U52" i="1"/>
  <c r="U44" i="1"/>
  <c r="U40" i="1"/>
  <c r="V39" i="1" s="1"/>
  <c r="U20" i="1"/>
  <c r="X20" i="1" s="1"/>
  <c r="U23" i="1"/>
  <c r="V23" i="1" s="1"/>
  <c r="U49" i="1"/>
  <c r="U66" i="1"/>
  <c r="X62" i="1" s="1"/>
  <c r="AA206" i="1"/>
  <c r="Z206" i="1"/>
  <c r="Y206" i="1"/>
  <c r="AA194" i="1"/>
  <c r="Z194" i="1"/>
  <c r="Y194" i="1"/>
  <c r="AA188" i="1"/>
  <c r="Z188" i="1"/>
  <c r="Y188" i="1"/>
  <c r="Y182" i="1"/>
  <c r="Z182" i="1"/>
  <c r="AA182" i="1"/>
  <c r="AA170" i="1"/>
  <c r="Z170" i="1"/>
  <c r="Y170" i="1"/>
  <c r="AA164" i="1"/>
  <c r="Z164" i="1"/>
  <c r="Y164" i="1"/>
  <c r="AA158" i="1"/>
  <c r="Z158" i="1"/>
  <c r="Y158" i="1"/>
  <c r="AA152" i="1"/>
  <c r="Z152" i="1"/>
  <c r="Y152" i="1"/>
  <c r="Z148" i="1"/>
  <c r="AA148" i="1"/>
  <c r="AA147" i="1"/>
  <c r="Z147" i="1"/>
  <c r="AA134" i="1"/>
  <c r="Z134" i="1"/>
  <c r="Y134" i="1"/>
  <c r="Z128" i="1"/>
  <c r="Y128" i="1"/>
  <c r="AA122" i="1"/>
  <c r="Z122" i="1"/>
  <c r="Y122" i="1"/>
  <c r="L122" i="1"/>
  <c r="AA116" i="1"/>
  <c r="Z116" i="1"/>
  <c r="Y116" i="1"/>
  <c r="Y110" i="1"/>
  <c r="Z110" i="1"/>
  <c r="AA110" i="1"/>
  <c r="AA104" i="1"/>
  <c r="Z104" i="1"/>
  <c r="Y104" i="1"/>
  <c r="AA98" i="1"/>
  <c r="Z98" i="1"/>
  <c r="Y98" i="1"/>
  <c r="AA92" i="1"/>
  <c r="Z92" i="1"/>
  <c r="Y92" i="1"/>
  <c r="AA86" i="1"/>
  <c r="Z86" i="1"/>
  <c r="Y86" i="1"/>
  <c r="AA80" i="1"/>
  <c r="Z80" i="1"/>
  <c r="Y80" i="1"/>
  <c r="AA74" i="1"/>
  <c r="Z74" i="1"/>
  <c r="Y74" i="1"/>
  <c r="AB74" i="1" s="1"/>
  <c r="AP74" i="1" s="1"/>
  <c r="AA68" i="1"/>
  <c r="Z68" i="1"/>
  <c r="Y68" i="1"/>
  <c r="AA56" i="1"/>
  <c r="Z56" i="1"/>
  <c r="Y56" i="1"/>
  <c r="AA50" i="1"/>
  <c r="Z50" i="1"/>
  <c r="Y50" i="1"/>
  <c r="AA44" i="1"/>
  <c r="Z45" i="1"/>
  <c r="Z44" i="1"/>
  <c r="Y45" i="1"/>
  <c r="Y44" i="1"/>
  <c r="AA38" i="1"/>
  <c r="Y38" i="1"/>
  <c r="AA32" i="1"/>
  <c r="Z32" i="1"/>
  <c r="Y32" i="1"/>
  <c r="AA26" i="1"/>
  <c r="Z26" i="1"/>
  <c r="Y26" i="1"/>
  <c r="AA20" i="1"/>
  <c r="Z20" i="1"/>
  <c r="Y20" i="1"/>
  <c r="AA14" i="1"/>
  <c r="Z14" i="1"/>
  <c r="Y14" i="1"/>
  <c r="AA8" i="1"/>
  <c r="Z8" i="1"/>
  <c r="Y8" i="1"/>
  <c r="AA2" i="1"/>
  <c r="Z2" i="1"/>
  <c r="Y2" i="1"/>
  <c r="V46" i="1" l="1"/>
  <c r="AB56" i="1"/>
  <c r="AP56" i="1" s="1"/>
  <c r="X2" i="1"/>
  <c r="V42" i="1"/>
  <c r="V12" i="1"/>
  <c r="V11" i="1"/>
  <c r="V21" i="1"/>
  <c r="V33" i="1"/>
  <c r="AB128" i="1"/>
  <c r="V4" i="1"/>
  <c r="X8" i="1"/>
  <c r="AG8" i="1" s="1"/>
  <c r="V50" i="1"/>
  <c r="AB14" i="1"/>
  <c r="AB80" i="1"/>
  <c r="AP80" i="1" s="1"/>
  <c r="X44" i="1"/>
  <c r="AG44" i="1" s="1"/>
  <c r="X26" i="1"/>
  <c r="AG26" i="1" s="1"/>
  <c r="AC56" i="1"/>
  <c r="AE56" i="1" s="1"/>
  <c r="A55" i="8"/>
  <c r="AK56" i="1"/>
  <c r="AI56" i="1"/>
  <c r="AB182" i="1"/>
  <c r="AP182" i="1" s="1"/>
  <c r="AG62" i="1"/>
  <c r="AI62" i="1"/>
  <c r="AB164" i="1"/>
  <c r="AP164" i="1" s="1"/>
  <c r="AB116" i="1"/>
  <c r="AP116" i="1" s="1"/>
  <c r="AB170" i="1"/>
  <c r="AP170" i="1" s="1"/>
  <c r="V35" i="1"/>
  <c r="AC74" i="1"/>
  <c r="AE74" i="1" s="1"/>
  <c r="A73" i="8"/>
  <c r="AK74" i="1"/>
  <c r="AI74" i="1"/>
  <c r="AB98" i="1"/>
  <c r="AP98" i="1" s="1"/>
  <c r="R122" i="1"/>
  <c r="U122" i="1" s="1"/>
  <c r="X122" i="1" s="1"/>
  <c r="AG122" i="1" s="1"/>
  <c r="AL122" i="1"/>
  <c r="AB152" i="1"/>
  <c r="AP152" i="1" s="1"/>
  <c r="AC230" i="1"/>
  <c r="AH230" i="1"/>
  <c r="A235" i="8"/>
  <c r="AK230" i="1"/>
  <c r="AB2" i="1"/>
  <c r="AP2" i="1" s="1"/>
  <c r="AB26" i="1"/>
  <c r="AP26" i="1" s="1"/>
  <c r="AB147" i="1"/>
  <c r="AP147" i="1" s="1"/>
  <c r="AB206" i="1"/>
  <c r="AP206" i="1" s="1"/>
  <c r="AB134" i="1"/>
  <c r="AP134" i="1" s="1"/>
  <c r="AB158" i="1"/>
  <c r="AP158" i="1" s="1"/>
  <c r="AB86" i="1"/>
  <c r="AP86" i="1" s="1"/>
  <c r="AB104" i="1"/>
  <c r="AP104" i="1" s="1"/>
  <c r="AB122" i="1"/>
  <c r="AP122" i="1" s="1"/>
  <c r="AB194" i="1"/>
  <c r="AP194" i="1" s="1"/>
  <c r="AB148" i="1"/>
  <c r="AB92" i="1"/>
  <c r="AP92" i="1" s="1"/>
  <c r="V41" i="1"/>
  <c r="AB20" i="1"/>
  <c r="AP20" i="1" s="1"/>
  <c r="V48" i="1"/>
  <c r="AG152" i="1"/>
  <c r="V8" i="1"/>
  <c r="X38" i="1"/>
  <c r="X32" i="1"/>
  <c r="AB8" i="1"/>
  <c r="AP8" i="1" s="1"/>
  <c r="AB32" i="1"/>
  <c r="AP32" i="1" s="1"/>
  <c r="AB68" i="1"/>
  <c r="AP68" i="1" s="1"/>
  <c r="X50" i="1"/>
  <c r="AB188" i="1"/>
  <c r="AP188" i="1" s="1"/>
  <c r="V38" i="1"/>
  <c r="AG20" i="1"/>
  <c r="V28" i="1"/>
  <c r="V18" i="1"/>
  <c r="X14" i="1"/>
  <c r="AI14" i="1" s="1"/>
  <c r="V22" i="1"/>
  <c r="V34" i="1"/>
  <c r="V17" i="1"/>
  <c r="AB50" i="1"/>
  <c r="AP50" i="1" s="1"/>
  <c r="V66" i="1"/>
  <c r="V10" i="1"/>
  <c r="AB38" i="1"/>
  <c r="AP38" i="1" s="1"/>
  <c r="AB44" i="1"/>
  <c r="AP44" i="1" s="1"/>
  <c r="V63" i="1"/>
  <c r="AB45" i="1"/>
  <c r="AB110" i="1"/>
  <c r="AP110" i="1" s="1"/>
  <c r="V15" i="1"/>
  <c r="V16" i="1"/>
  <c r="V3" i="1"/>
  <c r="V32" i="1"/>
  <c r="V20" i="1"/>
  <c r="V64" i="1"/>
  <c r="V29" i="1"/>
  <c r="V44" i="1"/>
  <c r="V6" i="1"/>
  <c r="V65" i="1"/>
  <c r="V52" i="1"/>
  <c r="V26" i="1"/>
  <c r="V51" i="1"/>
  <c r="V40" i="1"/>
  <c r="AI128" i="1" l="1"/>
  <c r="AP128" i="1"/>
  <c r="AC45" i="1"/>
  <c r="AP45" i="1"/>
  <c r="AC148" i="1"/>
  <c r="AP148" i="1"/>
  <c r="AK14" i="1"/>
  <c r="AP14" i="1"/>
  <c r="AC128" i="1"/>
  <c r="AE128" i="1" s="1"/>
  <c r="AK128" i="1"/>
  <c r="A127" i="8"/>
  <c r="AC14" i="1"/>
  <c r="AE14" i="1" s="1"/>
  <c r="AI8" i="1"/>
  <c r="AI50" i="1"/>
  <c r="A13" i="8"/>
  <c r="V122" i="1"/>
  <c r="AC122" i="1"/>
  <c r="AE122" i="1" s="1"/>
  <c r="AK122" i="1"/>
  <c r="A121" i="8"/>
  <c r="A163" i="8"/>
  <c r="AK164" i="1"/>
  <c r="AC164" i="1"/>
  <c r="AE164" i="1" s="1"/>
  <c r="AI164" i="1"/>
  <c r="AC86" i="1"/>
  <c r="AE86" i="1" s="1"/>
  <c r="AK86" i="1"/>
  <c r="A85" i="8"/>
  <c r="AI86" i="1"/>
  <c r="AC188" i="1"/>
  <c r="AK188" i="1"/>
  <c r="A193" i="8"/>
  <c r="AC20" i="1"/>
  <c r="AE20" i="1" s="1"/>
  <c r="A19" i="8"/>
  <c r="AK20" i="1"/>
  <c r="AI20" i="1"/>
  <c r="AC158" i="1"/>
  <c r="AE158" i="1" s="1"/>
  <c r="AK158" i="1"/>
  <c r="A157" i="8"/>
  <c r="AI158" i="1"/>
  <c r="A175" i="8"/>
  <c r="AK182" i="1"/>
  <c r="A187" i="8"/>
  <c r="AC182" i="1"/>
  <c r="AE182" i="1" s="1"/>
  <c r="AI182" i="1"/>
  <c r="AC50" i="1"/>
  <c r="AE50" i="1" s="1"/>
  <c r="AK50" i="1"/>
  <c r="A49" i="8"/>
  <c r="AC134" i="1"/>
  <c r="AE134" i="1" s="1"/>
  <c r="A133" i="8"/>
  <c r="AK134" i="1"/>
  <c r="AI134" i="1"/>
  <c r="AC152" i="1"/>
  <c r="AE152" i="1" s="1"/>
  <c r="A151" i="8"/>
  <c r="AK152" i="1"/>
  <c r="A169" i="8"/>
  <c r="AK170" i="1"/>
  <c r="AC170" i="1"/>
  <c r="AE170" i="1" s="1"/>
  <c r="AI170" i="1"/>
  <c r="AC38" i="1"/>
  <c r="AE38" i="1" s="1"/>
  <c r="A37" i="8"/>
  <c r="AK38" i="1"/>
  <c r="AC68" i="1"/>
  <c r="AE68" i="1" s="1"/>
  <c r="A67" i="8"/>
  <c r="AK68" i="1"/>
  <c r="AI68" i="1"/>
  <c r="AC92" i="1"/>
  <c r="AE92" i="1" s="1"/>
  <c r="A91" i="8"/>
  <c r="AK92" i="1"/>
  <c r="AI92" i="1"/>
  <c r="AC206" i="1"/>
  <c r="A211" i="8"/>
  <c r="AK206" i="1"/>
  <c r="AC116" i="1"/>
  <c r="AE116" i="1" s="1"/>
  <c r="AK116" i="1"/>
  <c r="A115" i="8"/>
  <c r="AI116" i="1"/>
  <c r="AI122" i="1"/>
  <c r="AK44" i="1"/>
  <c r="A43" i="8"/>
  <c r="AC8" i="1"/>
  <c r="AE8" i="1" s="1"/>
  <c r="A7" i="8"/>
  <c r="AK8" i="1"/>
  <c r="AC194" i="1"/>
  <c r="AE194" i="1" s="1"/>
  <c r="AK194" i="1"/>
  <c r="A199" i="8"/>
  <c r="AI194" i="1"/>
  <c r="AC26" i="1"/>
  <c r="AE26" i="1" s="1"/>
  <c r="A25" i="8"/>
  <c r="AK26" i="1"/>
  <c r="AC98" i="1"/>
  <c r="AE98" i="1" s="1"/>
  <c r="AK98" i="1"/>
  <c r="A97" i="8"/>
  <c r="AI98" i="1"/>
  <c r="AC104" i="1"/>
  <c r="AK104" i="1"/>
  <c r="A103" i="8"/>
  <c r="AC32" i="1"/>
  <c r="AE32" i="1" s="1"/>
  <c r="AK32" i="1"/>
  <c r="A31" i="8"/>
  <c r="AC110" i="1"/>
  <c r="AE110" i="1" s="1"/>
  <c r="AK110" i="1"/>
  <c r="A109" i="8"/>
  <c r="AI110" i="1"/>
  <c r="AI32" i="1"/>
  <c r="AC2" i="1"/>
  <c r="AE2" i="1" s="1"/>
  <c r="A1" i="8"/>
  <c r="AK2" i="1"/>
  <c r="AI26" i="1"/>
  <c r="AI38" i="1"/>
  <c r="AI44" i="1"/>
  <c r="AI152" i="1"/>
  <c r="AC80" i="1"/>
  <c r="AE80" i="1" s="1"/>
  <c r="A79" i="8"/>
  <c r="AK80" i="1"/>
  <c r="AI80" i="1"/>
  <c r="AG14" i="1"/>
  <c r="AG38" i="1"/>
  <c r="AG32" i="1"/>
  <c r="AG50" i="1"/>
  <c r="AC147" i="1"/>
  <c r="AC44" i="1"/>
  <c r="AE44" i="1" s="1"/>
  <c r="G6" i="1"/>
  <c r="G5" i="1"/>
  <c r="G4" i="1"/>
  <c r="AP4" i="1" s="1"/>
  <c r="AG2" i="1" l="1"/>
  <c r="AP6" i="1"/>
  <c r="AI2" i="1"/>
  <c r="AP5" i="1"/>
  <c r="A239" i="8"/>
  <c r="A237" i="8"/>
  <c r="AH201" i="1" l="1"/>
  <c r="AH195" i="1"/>
  <c r="AH183" i="1"/>
  <c r="AH177" i="1"/>
  <c r="AH171" i="1"/>
  <c r="AH165" i="1"/>
  <c r="AH159" i="1"/>
  <c r="AH153" i="1"/>
  <c r="AH147" i="1"/>
  <c r="AH141" i="1"/>
  <c r="AH135" i="1"/>
  <c r="AH129" i="1"/>
  <c r="AH123" i="1"/>
  <c r="AH117" i="1"/>
  <c r="AH111" i="1"/>
  <c r="AH99" i="1"/>
  <c r="AH87" i="1"/>
  <c r="AH81" i="1"/>
  <c r="AH75" i="1"/>
  <c r="AH69" i="1"/>
  <c r="AH63" i="1"/>
  <c r="AH57" i="1"/>
  <c r="AH51" i="1"/>
  <c r="AH45" i="1"/>
  <c r="AH39" i="1"/>
  <c r="AH33" i="1"/>
  <c r="AH27" i="1"/>
  <c r="AH15" i="1"/>
  <c r="AH9" i="1"/>
  <c r="AH3" i="1"/>
  <c r="AF201" i="1" l="1"/>
  <c r="AF195" i="1"/>
  <c r="AF183" i="1"/>
  <c r="AF177" i="1"/>
  <c r="AF171" i="1"/>
  <c r="AF165" i="1"/>
  <c r="AF159" i="1"/>
  <c r="AF153" i="1"/>
  <c r="AF147" i="1"/>
  <c r="AF141" i="1"/>
  <c r="AF135" i="1"/>
  <c r="AF129" i="1"/>
  <c r="AF123" i="1"/>
  <c r="AF117" i="1"/>
  <c r="AF111" i="1"/>
  <c r="AF105" i="1"/>
  <c r="AF99" i="1"/>
  <c r="AF93" i="1"/>
  <c r="AF87" i="1"/>
  <c r="AF81" i="1"/>
  <c r="AF75" i="1"/>
  <c r="AF69" i="1"/>
  <c r="AF63" i="1"/>
  <c r="AF57" i="1"/>
  <c r="AF51" i="1"/>
  <c r="AF45" i="1"/>
  <c r="AF39" i="1"/>
  <c r="AF33" i="1"/>
  <c r="AF27" i="1"/>
  <c r="AF21" i="1"/>
  <c r="AF15" i="1"/>
  <c r="AF9" i="1"/>
  <c r="AF3" i="1"/>
  <c r="W201" i="1"/>
  <c r="W195" i="1"/>
  <c r="W183" i="1"/>
  <c r="W177" i="1"/>
  <c r="W171" i="1"/>
  <c r="W165" i="1"/>
  <c r="W159" i="1"/>
  <c r="W153" i="1"/>
  <c r="W147" i="1"/>
  <c r="W141" i="1"/>
  <c r="W135" i="1"/>
  <c r="W129" i="1"/>
  <c r="W123" i="1"/>
  <c r="W117" i="1"/>
  <c r="W111" i="1"/>
  <c r="W99" i="1"/>
  <c r="W93" i="1"/>
  <c r="W87" i="1"/>
  <c r="W81" i="1"/>
  <c r="W75" i="1"/>
  <c r="W69" i="1"/>
  <c r="W63" i="1"/>
  <c r="W39" i="1"/>
  <c r="W51" i="1"/>
  <c r="W45" i="1"/>
  <c r="W33" i="1"/>
  <c r="W27" i="1"/>
  <c r="W21" i="1"/>
  <c r="W15" i="1"/>
  <c r="W9" i="1"/>
  <c r="W3" i="1"/>
  <c r="W57" i="1" l="1"/>
  <c r="AD201" i="1"/>
  <c r="AD195" i="1"/>
  <c r="AD183" i="1"/>
  <c r="AD177" i="1"/>
  <c r="AD171" i="1"/>
  <c r="AD165" i="1"/>
  <c r="AD159" i="1"/>
  <c r="AD153" i="1"/>
  <c r="AD147" i="1"/>
  <c r="AD141" i="1"/>
  <c r="AD135" i="1"/>
  <c r="AD129" i="1"/>
  <c r="AD123" i="1"/>
  <c r="AD117" i="1"/>
  <c r="AD111" i="1"/>
  <c r="AD105" i="1"/>
  <c r="AD99" i="1"/>
  <c r="AD93" i="1"/>
  <c r="AD87" i="1"/>
  <c r="AD81" i="1"/>
  <c r="AD75" i="1"/>
  <c r="AD69" i="1"/>
  <c r="AD63" i="1"/>
  <c r="AD57" i="1"/>
  <c r="AD51" i="1"/>
  <c r="AD45" i="1"/>
  <c r="AD39" i="1"/>
  <c r="AD33" i="1"/>
  <c r="AD27" i="1"/>
  <c r="AD21" i="1"/>
  <c r="AD15" i="1"/>
  <c r="AD9" i="1"/>
  <c r="AD3" i="1"/>
  <c r="AC66" i="1"/>
  <c r="AE62" i="1" s="1"/>
  <c r="AC65" i="1"/>
  <c r="AC64" i="1"/>
  <c r="AC63" i="1"/>
</calcChain>
</file>

<file path=xl/sharedStrings.xml><?xml version="1.0" encoding="utf-8"?>
<sst xmlns="http://schemas.openxmlformats.org/spreadsheetml/2006/main" count="1115" uniqueCount="314">
  <si>
    <t>Project</t>
  </si>
  <si>
    <t>Programma</t>
  </si>
  <si>
    <t>Ranking</t>
  </si>
  <si>
    <t>Projectcode</t>
  </si>
  <si>
    <t>beheerder</t>
  </si>
  <si>
    <t>Projectnaam</t>
  </si>
  <si>
    <t>Lengte (m)</t>
  </si>
  <si>
    <t>Aantal kunst-werken</t>
  </si>
  <si>
    <t>Normvak</t>
  </si>
  <si>
    <t>Samengevoegd ja/nee</t>
  </si>
  <si>
    <t>Afsplitsing</t>
  </si>
  <si>
    <t>begin VV</t>
  </si>
  <si>
    <t>Eind VV</t>
  </si>
  <si>
    <t>begin PU</t>
  </si>
  <si>
    <t>Eind PU</t>
  </si>
  <si>
    <t>begin R</t>
  </si>
  <si>
    <t>Eind R</t>
  </si>
  <si>
    <t>duur VV</t>
  </si>
  <si>
    <t>duur PU</t>
  </si>
  <si>
    <t>duur R</t>
  </si>
  <si>
    <t>Totale duur</t>
  </si>
  <si>
    <t>Vertraging start</t>
  </si>
  <si>
    <t>Vertraging einde</t>
  </si>
  <si>
    <t>Netto vertraging t.o.v. vorig jaar OF  netto toename in duur</t>
  </si>
  <si>
    <t>Kosten vv</t>
  </si>
  <si>
    <t>Kosten PU</t>
  </si>
  <si>
    <t>Kosten R</t>
  </si>
  <si>
    <t>Kosten totaal</t>
  </si>
  <si>
    <t>22AR+AK</t>
  </si>
  <si>
    <t>Waterschap Rivierenland</t>
  </si>
  <si>
    <t>Streefkerk Ameide Fort Everdingen (SAFE)</t>
  </si>
  <si>
    <t>16-3, 16-4</t>
  </si>
  <si>
    <t>22AR</t>
  </si>
  <si>
    <t>16-4</t>
  </si>
  <si>
    <t>22VLBO16-4 22W</t>
  </si>
  <si>
    <t>25P</t>
  </si>
  <si>
    <t>Waterschap Vallei en Veluwe</t>
  </si>
  <si>
    <t>Grebbedijk</t>
  </si>
  <si>
    <t>45-1</t>
  </si>
  <si>
    <t>25Q</t>
  </si>
  <si>
    <t>25VLBO45-1 25P</t>
  </si>
  <si>
    <t>45-2</t>
  </si>
  <si>
    <t>22D</t>
  </si>
  <si>
    <t>Neder-Betuwe</t>
  </si>
  <si>
    <t>43-5</t>
  </si>
  <si>
    <t>22D + 22VLBO43-5 22AB</t>
  </si>
  <si>
    <t>05C</t>
  </si>
  <si>
    <t>HHRS van Rijnland</t>
  </si>
  <si>
    <t xml:space="preserve">IJsseldijk Gouda spoor 3 (fase 2) </t>
  </si>
  <si>
    <t>14-1</t>
  </si>
  <si>
    <t>IJsseldijk Gouda (fase 2)</t>
  </si>
  <si>
    <t>22AW+BW</t>
  </si>
  <si>
    <t>Sprok-Sterreschans-Heteren</t>
  </si>
  <si>
    <t>43-3 43-4</t>
  </si>
  <si>
    <t>22AW</t>
  </si>
  <si>
    <t>Sprok-Sterreschans (Kop van Betuwe)</t>
  </si>
  <si>
    <t>43-4</t>
  </si>
  <si>
    <t>Sprok-Sterreschans</t>
  </si>
  <si>
    <t>22AG + 22VLB043-4 22AG</t>
  </si>
  <si>
    <t>Algemeen filter (4)</t>
  </si>
  <si>
    <t>Tussenstuk: A50 - Doornenburg (sluit aan bij 22M)</t>
  </si>
  <si>
    <t>22K</t>
  </si>
  <si>
    <t>Stad Tiel excl Fluvia</t>
  </si>
  <si>
    <t>43-6</t>
  </si>
  <si>
    <t>Stad Tiel</t>
  </si>
  <si>
    <t>16E</t>
  </si>
  <si>
    <t>Waterschap Hollandse Delta</t>
  </si>
  <si>
    <t>Zettingsvloeiing V3T</t>
  </si>
  <si>
    <t>25-4, 20-3, 25-2</t>
  </si>
  <si>
    <t>20-3</t>
  </si>
  <si>
    <t>13D</t>
  </si>
  <si>
    <t>Waterschap Aa en Maas</t>
  </si>
  <si>
    <t>Ravenstein - Lith</t>
  </si>
  <si>
    <t>36-3</t>
  </si>
  <si>
    <t>13N</t>
  </si>
  <si>
    <t>13VLBO36-3 13D</t>
  </si>
  <si>
    <t>Algemeen filter (10)</t>
  </si>
  <si>
    <t>Normtraject 36_3 Ravensteijn-Lith</t>
  </si>
  <si>
    <t>36_3</t>
  </si>
  <si>
    <t>06K</t>
  </si>
  <si>
    <t>HHRS van Schieland en de Krimpenerwaard</t>
  </si>
  <si>
    <t>Krachtige IJsseldijken Krimpenerwaard (KIJK)</t>
  </si>
  <si>
    <t>15-3</t>
  </si>
  <si>
    <t xml:space="preserve">06K </t>
  </si>
  <si>
    <t>06K (incl. tussenstukken)</t>
  </si>
  <si>
    <t>34U</t>
  </si>
  <si>
    <t>Waterschap Drents-Overijsselse Delta</t>
  </si>
  <si>
    <t>Zwolle-Olst</t>
  </si>
  <si>
    <t>53-2</t>
  </si>
  <si>
    <t>15Q</t>
  </si>
  <si>
    <t>53-3</t>
  </si>
  <si>
    <t>34M</t>
  </si>
  <si>
    <t>Stadsdijken Zwolle</t>
  </si>
  <si>
    <t>Zwolle</t>
  </si>
  <si>
    <t>15E</t>
  </si>
  <si>
    <t>9-1</t>
  </si>
  <si>
    <t>18D</t>
  </si>
  <si>
    <t>Waterschap Noorderzijlvest</t>
  </si>
  <si>
    <t>Lauwersmeer/Vierhuizergat</t>
  </si>
  <si>
    <t>6-5</t>
  </si>
  <si>
    <t>03E</t>
  </si>
  <si>
    <t>HHRS Hollands Noorderkwartier</t>
  </si>
  <si>
    <t>Wieringermeer C kering</t>
  </si>
  <si>
    <t>C-kering</t>
  </si>
  <si>
    <t>Wieringermeerkering</t>
  </si>
  <si>
    <t>nvt</t>
  </si>
  <si>
    <t>Wieringermeer (C-kering)</t>
  </si>
  <si>
    <t>25L</t>
  </si>
  <si>
    <t>Noordelijke Randmeerdijk (incl WDOD)</t>
  </si>
  <si>
    <t>11-3</t>
  </si>
  <si>
    <t>Noordelijke Randmeerdijk</t>
  </si>
  <si>
    <t>11-5</t>
  </si>
  <si>
    <t>03I</t>
  </si>
  <si>
    <t>Noordzeekanaal (D31 t/m D37)</t>
  </si>
  <si>
    <t>2D</t>
  </si>
  <si>
    <t>HHRS De Stichtse Rijnlanden</t>
  </si>
  <si>
    <t>Wijk bij Duurstede Amerongen (WAM)</t>
  </si>
  <si>
    <t>44-1</t>
  </si>
  <si>
    <t>02D</t>
  </si>
  <si>
    <t>Sterke Lekdijk: Wijk bij Duurstede-Amerongen</t>
  </si>
  <si>
    <t>15-1</t>
  </si>
  <si>
    <t>2G</t>
  </si>
  <si>
    <t>Salmsteke Schoonhoven (SAS)</t>
  </si>
  <si>
    <t>02G</t>
  </si>
  <si>
    <t>Sterke Lekdijk: Salmsteke - Schoonhoven</t>
  </si>
  <si>
    <t>15P</t>
  </si>
  <si>
    <t xml:space="preserve">Vecht Dalfsen Zwolle </t>
  </si>
  <si>
    <t>34AP</t>
  </si>
  <si>
    <t>Vecht- Dalfsen west</t>
  </si>
  <si>
    <t>53-3 + 9-1</t>
  </si>
  <si>
    <t>Vecht Dalfsen west</t>
  </si>
  <si>
    <t>Vecht-Zuid</t>
  </si>
  <si>
    <t>02C</t>
  </si>
  <si>
    <t>Versterking voormalige C-kering HDSR (GHIJ)</t>
  </si>
  <si>
    <t>Versterking voormalige C-kering HDSR</t>
  </si>
  <si>
    <t>22W</t>
  </si>
  <si>
    <t>Vianen</t>
  </si>
  <si>
    <t>22L</t>
  </si>
  <si>
    <t>Wolferen-Sprok</t>
  </si>
  <si>
    <t>22AI</t>
  </si>
  <si>
    <t>Wolferen-Sprok (incl. de Stelt)</t>
  </si>
  <si>
    <t>22AI + 22AJ + 22VLBO43-4 22AI + 22VLBO43-5 22AJ+22VLBO43-4 22AC</t>
  </si>
  <si>
    <t>Sprok - Wolferen</t>
  </si>
  <si>
    <t>05E</t>
  </si>
  <si>
    <t>Verbetering IJsseldijk Gouda (VIJG) spoor 2</t>
  </si>
  <si>
    <t>22X</t>
  </si>
  <si>
    <t>Gorinchem-Waardenburg (GoWa)</t>
  </si>
  <si>
    <t xml:space="preserve">22X   </t>
  </si>
  <si>
    <t>22X (incl. tussenstukken  22BA)</t>
  </si>
  <si>
    <t>22Y</t>
  </si>
  <si>
    <t>Tiel - Waardenburg (TiWa)</t>
  </si>
  <si>
    <t xml:space="preserve">22Y </t>
  </si>
  <si>
    <t>22Y (incl. tussenstukken 22BC)</t>
  </si>
  <si>
    <t>34R</t>
  </si>
  <si>
    <t>Keersluis Zwolle</t>
  </si>
  <si>
    <t>15N</t>
  </si>
  <si>
    <t>18A</t>
  </si>
  <si>
    <t>Eemshaven-Delfzijl</t>
  </si>
  <si>
    <t>6-7</t>
  </si>
  <si>
    <t>Eemshaven – Delfzijl</t>
  </si>
  <si>
    <t>34P</t>
  </si>
  <si>
    <t>Mastenbroek Zwarte Meer</t>
  </si>
  <si>
    <t>10-1</t>
  </si>
  <si>
    <t>10-2</t>
  </si>
  <si>
    <t>15K</t>
  </si>
  <si>
    <t>28F/28G</t>
  </si>
  <si>
    <t>Wetterskip Fryslân</t>
  </si>
  <si>
    <t>Koehool- Lauwersmeer</t>
  </si>
  <si>
    <t>6-3, 6-4</t>
  </si>
  <si>
    <t xml:space="preserve">28F </t>
  </si>
  <si>
    <t>28F + 28G</t>
  </si>
  <si>
    <t>28F &amp; 28G</t>
  </si>
  <si>
    <t>28G</t>
  </si>
  <si>
    <t>West Holwerderpolder – Lauwersmeer</t>
  </si>
  <si>
    <t>34O</t>
  </si>
  <si>
    <t>Mastenbroek IJssel</t>
  </si>
  <si>
    <t>10-3</t>
  </si>
  <si>
    <t>15J</t>
  </si>
  <si>
    <t>25K</t>
  </si>
  <si>
    <t>IJsseldijk Apeldoorns kanaal</t>
  </si>
  <si>
    <t>52-4</t>
  </si>
  <si>
    <t xml:space="preserve"> 52-4</t>
  </si>
  <si>
    <t xml:space="preserve"> 52-4, 11-1</t>
  </si>
  <si>
    <t>Loswal Hattem + Apeldoorns kanaal</t>
  </si>
  <si>
    <t>24AH + 24AN</t>
  </si>
  <si>
    <t>Waterschap Scheldestromen</t>
  </si>
  <si>
    <t>Zuid-Beveland West, Westerschelde S2</t>
  </si>
  <si>
    <t>30-3</t>
  </si>
  <si>
    <t xml:space="preserve">24AH </t>
  </si>
  <si>
    <t>24AG</t>
  </si>
  <si>
    <t>Zuid-Beveland West, Westerschelde</t>
  </si>
  <si>
    <t>31-2</t>
  </si>
  <si>
    <t>24AE</t>
  </si>
  <si>
    <t>Zuid-Beveland Oost, Oosterschelde</t>
  </si>
  <si>
    <t>24AP</t>
  </si>
  <si>
    <t>Zuid-Beveland Oost, Oosterschelde (2)</t>
  </si>
  <si>
    <t>24O</t>
  </si>
  <si>
    <t>Zuid–Beveland Oost, Oosterschelde</t>
  </si>
  <si>
    <t>16M</t>
  </si>
  <si>
    <t>Geervliet - Hekelingen 20-3</t>
  </si>
  <si>
    <t xml:space="preserve">16M </t>
  </si>
  <si>
    <t>16M (nog oud nummer)</t>
  </si>
  <si>
    <t>16VLBO20-3 16M</t>
  </si>
  <si>
    <t>VLRT-4 - Normtraject nr. 20_3</t>
  </si>
  <si>
    <t>13K</t>
  </si>
  <si>
    <t>Cuijk - Ravenstein</t>
  </si>
  <si>
    <t>36-2</t>
  </si>
  <si>
    <t>Delta lengte (m)</t>
  </si>
  <si>
    <t>deltakosten</t>
  </si>
  <si>
    <t>deltakosten2018-2021</t>
  </si>
  <si>
    <t>deltalengte2018-2021</t>
  </si>
  <si>
    <t>grootin2021</t>
  </si>
  <si>
    <t>Vertraging2018-2021</t>
  </si>
  <si>
    <t>efficiency2018_2021</t>
  </si>
  <si>
    <t>VV2020</t>
  </si>
  <si>
    <t>PU2020</t>
  </si>
  <si>
    <t>R2020</t>
  </si>
  <si>
    <t>Rijlabels</t>
  </si>
  <si>
    <t>Omschrijving</t>
  </si>
  <si>
    <t>Naam</t>
  </si>
  <si>
    <t>Programmajaar</t>
  </si>
  <si>
    <t>Veiligheidsranking</t>
  </si>
  <si>
    <t>Naam van beheerder</t>
  </si>
  <si>
    <t>Lengte van dijk</t>
  </si>
  <si>
    <t>Lengte van dijk t.o.v. vorig jaar</t>
  </si>
  <si>
    <t>-</t>
  </si>
  <si>
    <t>Startjaar (voor)verkenning</t>
  </si>
  <si>
    <t>eindjaar (voor)verkenning</t>
  </si>
  <si>
    <t>Startjaar planuitwerking</t>
  </si>
  <si>
    <t>Eindjaar planuitwerking</t>
  </si>
  <si>
    <t>Startjaar realisatie</t>
  </si>
  <si>
    <t>Eindjaar realisatie</t>
  </si>
  <si>
    <t>Duur startjaar-eindjaar (voor)verkenning</t>
  </si>
  <si>
    <t>Duur startjaar-eindjaar planuitwerking</t>
  </si>
  <si>
    <t>Duur startjaar-eindjaar realisatie</t>
  </si>
  <si>
    <t>Totale projectduur van project</t>
  </si>
  <si>
    <t>Vertraging t.o.v. vorig jaar</t>
  </si>
  <si>
    <t>Totale kosten (Voor)verkenning</t>
  </si>
  <si>
    <t>Totale kosten planuitwerking</t>
  </si>
  <si>
    <t>Totale kosten realisatie</t>
  </si>
  <si>
    <t>Totale kosten alle fases</t>
  </si>
  <si>
    <t>Vertraging in jaren (2018-2021)</t>
  </si>
  <si>
    <t>Kostenverandering t.o.v. vorig jaar</t>
  </si>
  <si>
    <t>Kostenverandering in jaren (2018-2021)</t>
  </si>
  <si>
    <t>Scope verandering in meters (2018-2021)</t>
  </si>
  <si>
    <t>Verandering in doelmatigheid (prijs/km) in euro's (2018-2021)</t>
  </si>
  <si>
    <t>In welke fase zit een project anno 2020?</t>
  </si>
  <si>
    <t>Projecten die later starten zijn volatieler</t>
  </si>
  <si>
    <t>Jaren tot planuitwerking begint</t>
  </si>
  <si>
    <t>Projecten die in 2021 boven de mediane prijs zitten (65m)</t>
  </si>
  <si>
    <t>Fort Everdingen-Ameide Sluis + Ameide Streefkerk</t>
  </si>
  <si>
    <t>Sterke Lekdijk</t>
  </si>
  <si>
    <t>IJsseldijk Gouda (VIJG) spoor 2</t>
  </si>
  <si>
    <t>6e</t>
  </si>
  <si>
    <t>24AG ( 24AV-24AM)</t>
  </si>
  <si>
    <t>Zuid-Beveland West, Westerschelde Hansweert</t>
  </si>
  <si>
    <t>30-2</t>
  </si>
  <si>
    <t xml:space="preserve">24AV </t>
  </si>
  <si>
    <t>Zuid-Beveland West, Hansweert S1</t>
  </si>
  <si>
    <t>24AG, 24AL, 24AM</t>
  </si>
  <si>
    <t>30-2, 30-3</t>
  </si>
  <si>
    <t>34Q</t>
  </si>
  <si>
    <t>Mastenbroek Zwarte Water</t>
  </si>
  <si>
    <t>15L</t>
  </si>
  <si>
    <t>Zuid-Beveland West, Westerschelde S3</t>
  </si>
  <si>
    <t>24AO</t>
  </si>
  <si>
    <t>24VLBO30-3 24AI</t>
  </si>
  <si>
    <t>34AK</t>
  </si>
  <si>
    <t>Vecht  - Stenendijk Hasselt</t>
  </si>
  <si>
    <t>Vecht- Stenendijk Hasselt</t>
  </si>
  <si>
    <t>Vecht Stenendijk Hasselt</t>
  </si>
  <si>
    <t>05c</t>
  </si>
  <si>
    <t xml:space="preserve">IJsseldijk Gouda Voorlanden spoor 5 (vh spoor 3 fase 2) + Verbetering IJsseldijk Gouda Stadsfront Voorlanden spoor 3 </t>
  </si>
  <si>
    <t>Wolferen-Sprok incl. DTO</t>
  </si>
  <si>
    <t>31-1</t>
  </si>
  <si>
    <t>Vertraging 2018-2022</t>
  </si>
  <si>
    <t>deltakosten2018-2022</t>
  </si>
  <si>
    <t>Deltalengte2018-2022</t>
  </si>
  <si>
    <t>grootin2022</t>
  </si>
  <si>
    <t>efficiency2018_2022</t>
  </si>
  <si>
    <t>Jaren tot R</t>
  </si>
  <si>
    <t>Kolomlabels</t>
  </si>
  <si>
    <t>Efficiency</t>
  </si>
  <si>
    <t>Gemiddelde van Efficiency</t>
  </si>
  <si>
    <t>Som van Netto vertraging t.o.v. vorig jaar OF  netto toename in duur</t>
  </si>
  <si>
    <t>Gemiddelde van Kosten vv</t>
  </si>
  <si>
    <t>Gemiddelde van Kosten PU</t>
  </si>
  <si>
    <t>Gemiddelde van Kosten R</t>
  </si>
  <si>
    <t>Jaar</t>
  </si>
  <si>
    <t>VV kosten</t>
  </si>
  <si>
    <t>PU kosten</t>
  </si>
  <si>
    <t>R kosten</t>
  </si>
  <si>
    <t>Som van Kosten totaal</t>
  </si>
  <si>
    <t>2018</t>
  </si>
  <si>
    <t>2022</t>
  </si>
  <si>
    <t>VKA vastgesteld of niet</t>
  </si>
  <si>
    <t>Boxmeer - Cuijk (deel)</t>
  </si>
  <si>
    <t>Zurich-Koehool</t>
  </si>
  <si>
    <t>IJsselmeerdijk</t>
  </si>
  <si>
    <t>Stadsdijken Zwolle (15E)</t>
  </si>
  <si>
    <t>Zwart niet in ontwerpprog.</t>
  </si>
  <si>
    <t>Tot 2020 maar</t>
  </si>
  <si>
    <t>tot 2020 maar</t>
  </si>
  <si>
    <t>Uit ontwerp prog</t>
  </si>
  <si>
    <t>Overlap</t>
  </si>
  <si>
    <t>Deze Excel</t>
  </si>
  <si>
    <t>Gemiddelde</t>
  </si>
  <si>
    <t>Tijd tot VKA</t>
  </si>
  <si>
    <t>Voorbij VKA</t>
  </si>
  <si>
    <t>Voorbij VKA naam</t>
  </si>
  <si>
    <t>Groot in 2022 naam</t>
  </si>
  <si>
    <t>klein</t>
  </si>
  <si>
    <t>groot</t>
  </si>
  <si>
    <t>Gemiddelde van Kosten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</si>
</sst>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7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8">
    <xf numFmtId="0" fontId="0" fillId="0" borderId="0" xfId="0"/>
    <xf numFmtId="43" fontId="0" fillId="0" borderId="0" xfId="1" applyFont="1"/>
    <xf numFmtId="1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5" borderId="0" xfId="0" applyFill="1"/>
    <xf numFmtId="0" fontId="5" fillId="6" borderId="0" xfId="0" applyFont="1" applyFill="1"/>
    <xf numFmtId="0" fontId="5" fillId="7" borderId="0" xfId="0" applyFont="1" applyFill="1"/>
    <xf numFmtId="0" fontId="0" fillId="8" borderId="0" xfId="0" applyFill="1"/>
    <xf numFmtId="1" fontId="4" fillId="4" borderId="0" xfId="3" applyNumberFormat="1"/>
    <xf numFmtId="0" fontId="0" fillId="0" borderId="0" xfId="0" applyFill="1" applyAlignment="1">
      <alignment wrapText="1"/>
    </xf>
    <xf numFmtId="0" fontId="3" fillId="0" borderId="0" xfId="2" applyFill="1"/>
    <xf numFmtId="0" fontId="0" fillId="0" borderId="0" xfId="0" applyFill="1"/>
    <xf numFmtId="0" fontId="2" fillId="0" borderId="0" xfId="0" applyFont="1"/>
    <xf numFmtId="0" fontId="9" fillId="0" borderId="0" xfId="0" applyFont="1"/>
    <xf numFmtId="1" fontId="9" fillId="0" borderId="0" xfId="0" applyNumberFormat="1" applyFont="1"/>
    <xf numFmtId="164" fontId="9" fillId="0" borderId="0" xfId="1" applyNumberFormat="1" applyFont="1"/>
    <xf numFmtId="165" fontId="0" fillId="0" borderId="0" xfId="1" applyNumberFormat="1" applyFont="1"/>
    <xf numFmtId="0" fontId="0" fillId="2" borderId="0" xfId="0" applyFill="1" applyAlignment="1">
      <alignment wrapText="1"/>
    </xf>
    <xf numFmtId="0" fontId="0" fillId="2" borderId="0" xfId="0" applyFill="1"/>
    <xf numFmtId="0" fontId="9" fillId="2" borderId="0" xfId="0" applyFont="1" applyFill="1"/>
    <xf numFmtId="165" fontId="2" fillId="0" borderId="0" xfId="1" applyNumberFormat="1" applyFont="1"/>
    <xf numFmtId="165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165" fontId="9" fillId="0" borderId="0" xfId="1" applyNumberFormat="1" applyFont="1"/>
    <xf numFmtId="164" fontId="0" fillId="0" borderId="0" xfId="1" applyNumberFormat="1" applyFont="1" applyFill="1"/>
    <xf numFmtId="43" fontId="0" fillId="0" borderId="0" xfId="1" applyNumberFormat="1" applyFont="1" applyAlignment="1">
      <alignment wrapText="1"/>
    </xf>
    <xf numFmtId="43" fontId="0" fillId="0" borderId="0" xfId="1" applyNumberFormat="1" applyFont="1"/>
    <xf numFmtId="43" fontId="9" fillId="0" borderId="0" xfId="1" applyNumberFormat="1" applyFont="1"/>
    <xf numFmtId="0" fontId="5" fillId="0" borderId="0" xfId="0" applyFont="1" applyFill="1"/>
    <xf numFmtId="0" fontId="9" fillId="0" borderId="0" xfId="0" applyFont="1" applyFill="1" applyAlignment="1">
      <alignment wrapText="1"/>
    </xf>
    <xf numFmtId="0" fontId="9" fillId="0" borderId="0" xfId="3" applyFont="1" applyFill="1"/>
    <xf numFmtId="0" fontId="9" fillId="0" borderId="0" xfId="2" applyFont="1" applyFill="1"/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43" fontId="0" fillId="0" borderId="0" xfId="0" applyNumberFormat="1"/>
    <xf numFmtId="9" fontId="0" fillId="0" borderId="0" xfId="10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64" fontId="0" fillId="0" borderId="0" xfId="0" applyNumberFormat="1"/>
    <xf numFmtId="0" fontId="5" fillId="0" borderId="0" xfId="0" applyFont="1"/>
    <xf numFmtId="0" fontId="6" fillId="0" borderId="0" xfId="13"/>
    <xf numFmtId="0" fontId="10" fillId="0" borderId="0" xfId="13" applyFont="1"/>
    <xf numFmtId="164" fontId="5" fillId="0" borderId="0" xfId="0" applyNumberFormat="1" applyFont="1"/>
    <xf numFmtId="43" fontId="5" fillId="0" borderId="0" xfId="0" applyNumberFormat="1" applyFont="1"/>
  </cellXfs>
  <cellStyles count="43">
    <cellStyle name="Goed" xfId="2" builtinId="26"/>
    <cellStyle name="Komma" xfId="1" builtinId="3"/>
    <cellStyle name="Komma 2" xfId="6" xr:uid="{60AE6EEE-877C-40D3-AC53-6844C913F61D}"/>
    <cellStyle name="Komma 2 2" xfId="8" xr:uid="{4A6E26F0-716C-4438-87A8-8F5B54A132AA}"/>
    <cellStyle name="Komma 2_Blad2 (3)" xfId="11" xr:uid="{F6C608D3-2F11-45A2-B188-4E55AB07EBCD}"/>
    <cellStyle name="Komma 3" xfId="12" xr:uid="{450D8906-C119-4CEB-B672-8288B65D7686}"/>
    <cellStyle name="Neutraal" xfId="3" builtinId="28"/>
    <cellStyle name="Procent" xfId="10" builtinId="5"/>
    <cellStyle name="Procent 2" xfId="5" xr:uid="{2586DA60-CCF7-4E7A-AE9E-6459C59CF654}"/>
    <cellStyle name="Standaard" xfId="0" builtinId="0"/>
    <cellStyle name="Standaard 10" xfId="14" xr:uid="{A600AB60-57E2-4F93-B97F-53D522C9F60B}"/>
    <cellStyle name="Standaard 10 2" xfId="15" xr:uid="{904C3985-64FD-4189-9578-7D17E5D2BC2D}"/>
    <cellStyle name="Standaard 11" xfId="16" xr:uid="{7896A451-A615-4C93-A590-329278A93CBA}"/>
    <cellStyle name="Standaard 11 2" xfId="17" xr:uid="{E0899D85-6198-4692-B43A-2270B9DE34ED}"/>
    <cellStyle name="Standaard 12" xfId="18" xr:uid="{ACD13A0E-4480-457E-B183-9CC84E6B132C}"/>
    <cellStyle name="Standaard 13" xfId="19" xr:uid="{3B3B8F4B-8468-4796-BB5D-CFC1A2B649B2}"/>
    <cellStyle name="Standaard 14" xfId="20" xr:uid="{AF84B54E-32C2-4050-A363-5D7A22CBF029}"/>
    <cellStyle name="Standaard 15" xfId="21" xr:uid="{764CEF23-71A8-4F12-9C9B-CA4530C2F862}"/>
    <cellStyle name="Standaard 16" xfId="22" xr:uid="{DDA9B4B3-BA88-4292-819A-BBC70C28A8E1}"/>
    <cellStyle name="Standaard 17" xfId="23" xr:uid="{131731E5-EB7F-4DC9-B2FA-F15AAC35BFBD}"/>
    <cellStyle name="Standaard 18" xfId="24" xr:uid="{47DBFC1D-6C4E-4387-A9C0-D9CD7463F757}"/>
    <cellStyle name="Standaard 19" xfId="25" xr:uid="{11B51514-E8FA-4EE4-A90E-5E2B39693888}"/>
    <cellStyle name="Standaard 2" xfId="4" xr:uid="{6567644F-1039-45ED-9541-1021E23A707D}"/>
    <cellStyle name="Standaard 2 2" xfId="7" xr:uid="{9A7ED619-6032-4767-80BD-0805FA0F1AD5}"/>
    <cellStyle name="Standaard 2 2 2" xfId="9" xr:uid="{82CE204D-06C8-4C44-9B3B-4290EEA6343C}"/>
    <cellStyle name="Standaard 2 2_Blad2 (3)" xfId="26" xr:uid="{D3463A7A-BDF3-4521-A2B5-F5A28F095E15}"/>
    <cellStyle name="Standaard 2_Blad1" xfId="27" xr:uid="{418B3F1C-412F-4344-8573-ADE513025A1B}"/>
    <cellStyle name="Standaard 20" xfId="28" xr:uid="{6C4E5A71-D738-4CD3-8F04-B1A612B224CD}"/>
    <cellStyle name="Standaard 3" xfId="29" xr:uid="{28E95E5A-B7A8-436D-BF68-39753D819931}"/>
    <cellStyle name="Standaard 3 2" xfId="30" xr:uid="{AD35A71E-AD27-42FA-ADD7-40D48CB3505B}"/>
    <cellStyle name="Standaard 4" xfId="31" xr:uid="{025E4CDC-F403-4F88-96C8-36F85B5E405A}"/>
    <cellStyle name="Standaard 4 2" xfId="32" xr:uid="{B4BBF54F-C5B0-4751-A54D-46751FF4C11A}"/>
    <cellStyle name="Standaard 5" xfId="33" xr:uid="{9E8289DD-8C7F-4C16-8CC1-E23856BB54C2}"/>
    <cellStyle name="Standaard 5 2" xfId="34" xr:uid="{6479846C-6980-4358-95BE-2A74CF6D4FA8}"/>
    <cellStyle name="Standaard 6" xfId="35" xr:uid="{19F01843-4E5E-43E8-9A72-EB5DD4B44AF1}"/>
    <cellStyle name="Standaard 6 2" xfId="36" xr:uid="{9D4BE441-727C-4E95-9F20-A2BAB5D16D18}"/>
    <cellStyle name="Standaard 7" xfId="37" xr:uid="{86C86BE6-74C3-4E0C-966E-72BA2DD9ABB7}"/>
    <cellStyle name="Standaard 7 2" xfId="38" xr:uid="{93E9AA88-D860-4CD6-BA7C-69921C328333}"/>
    <cellStyle name="Standaard 8" xfId="39" xr:uid="{4651760D-1B01-42B5-A1E4-AF77E1508E52}"/>
    <cellStyle name="Standaard 8 2" xfId="40" xr:uid="{1A67F831-3565-4BC0-830C-7FB3CCF61780}"/>
    <cellStyle name="Standaard 9" xfId="41" xr:uid="{8A7354AF-DFBE-4FE9-A668-A0988F1F7C37}"/>
    <cellStyle name="Standaard 9 2" xfId="42" xr:uid="{6EBF7294-E928-4185-8227-100535EDF450}"/>
    <cellStyle name="Standaard_Blad2 (3)" xfId="13" xr:uid="{4E075C76-F948-45C8-B544-7130790DDDDB}"/>
  </cellStyles>
  <dxfs count="10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[Python_trend_analyse_extra_test2.xlsx]Blad2 (2)!Draaitabel1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'Blad2 (2)'!$B$3</c:f>
              <c:strCache>
                <c:ptCount val="1"/>
                <c:pt idx="0">
                  <c:v>Gemiddelde van Kosten vv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'Blad2 (2)'!$A$4:$A$8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'Blad2 (2)'!$B$4:$B$8</c:f>
              <c:numCache>
                <c:formatCode>_(* #,##0.00_);_(* \(#,##0.00\);_(* "-"??_);_(@_)</c:formatCode>
                <c:ptCount val="5"/>
                <c:pt idx="0">
                  <c:v>2.2169779090909092</c:v>
                </c:pt>
                <c:pt idx="1">
                  <c:v>3.2136242282282281</c:v>
                </c:pt>
                <c:pt idx="2">
                  <c:v>5.7098585754985756</c:v>
                </c:pt>
                <c:pt idx="3">
                  <c:v>5.9135740935672505</c:v>
                </c:pt>
                <c:pt idx="4">
                  <c:v>5.8650712250712242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7-4CA5-A026-212098F6B151}"/>
            </c:ext>
          </c:extLst>
        </c:ser>
        <c:ser>
          <c:idx val="1"/>
          <c:order val="1"/>
          <c:tx>
            <c:strRef>
              <c:f>'Blad2 (2)'!$C$3</c:f>
              <c:strCache>
                <c:ptCount val="1"/>
                <c:pt idx="0">
                  <c:v>Gemiddelde van Kosten 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'Blad2 (2)'!$A$4:$A$8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'Blad2 (2)'!$C$4:$C$8</c:f>
              <c:numCache>
                <c:formatCode>_(* #,##0.00_);_(* \(#,##0.00\);_(* "-"??_);_(@_)</c:formatCode>
                <c:ptCount val="5"/>
                <c:pt idx="0">
                  <c:v>5.1218987803805245</c:v>
                </c:pt>
                <c:pt idx="1">
                  <c:v>7.2651828654970751</c:v>
                </c:pt>
                <c:pt idx="2">
                  <c:v>8.5528774928774922</c:v>
                </c:pt>
                <c:pt idx="3">
                  <c:v>10.401549707602335</c:v>
                </c:pt>
                <c:pt idx="4">
                  <c:v>10.595204678362574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7-4CA5-A026-212098F6B151}"/>
            </c:ext>
          </c:extLst>
        </c:ser>
        <c:ser>
          <c:idx val="2"/>
          <c:order val="2"/>
          <c:tx>
            <c:strRef>
              <c:f>'Blad2 (2)'!$D$3</c:f>
              <c:strCache>
                <c:ptCount val="1"/>
                <c:pt idx="0">
                  <c:v>Gemiddelde van Kosten 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'Blad2 (2)'!$A$4:$A$8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'Blad2 (2)'!$D$4:$D$8</c:f>
              <c:numCache>
                <c:formatCode>_(* #,##0.00_);_(* \(#,##0.00\);_(* "-"??_);_(@_)</c:formatCode>
                <c:ptCount val="5"/>
                <c:pt idx="0">
                  <c:v>50.138456280293283</c:v>
                </c:pt>
                <c:pt idx="1">
                  <c:v>55.871947368421068</c:v>
                </c:pt>
                <c:pt idx="2">
                  <c:v>64.557333333333318</c:v>
                </c:pt>
                <c:pt idx="3">
                  <c:v>71.87749287749287</c:v>
                </c:pt>
                <c:pt idx="4">
                  <c:v>75.620826210826209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7-4CA5-A026-212098F6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393568"/>
        <c:axId val="1070849072"/>
      </c:barChart>
      <c:catAx>
        <c:axId val="10703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0849072"/>
        <c:crosses val="autoZero"/>
        <c:auto val="1"/>
        <c:lblAlgn val="ctr"/>
        <c:lblOffset val="100"/>
        <c:noMultiLvlLbl val="0"/>
      </c:catAx>
      <c:valAx>
        <c:axId val="10708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03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'Blad2 (3)'!$K$3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'Blad2 (3)'!$J$4:$J$22</c:f>
              <c:strCache>
                <c:ptCount val="19"/>
                <c:pt idx="0">
                  <c:v>Zwolle-Olst</c:v>
                </c:pt>
                <c:pt idx="1">
                  <c:v>Zuid-Beveland West, Hansweert S1</c:v>
                </c:pt>
                <c:pt idx="2">
                  <c:v>Wolferen-Sprok</c:v>
                </c:pt>
                <c:pt idx="3">
                  <c:v>Wieringermeer C kering</c:v>
                </c:pt>
                <c:pt idx="4">
                  <c:v>Versterking voormalige C-kering HDSR</c:v>
                </c:pt>
                <c:pt idx="5">
                  <c:v>Vecht Dalfsen west</c:v>
                </c:pt>
                <c:pt idx="6">
                  <c:v>Tiel - Waardenburg (TiWa)</c:v>
                </c:pt>
                <c:pt idx="7">
                  <c:v>Stadsdijken Zwolle</c:v>
                </c:pt>
                <c:pt idx="8">
                  <c:v>Sprok-Sterreschans</c:v>
                </c:pt>
                <c:pt idx="9">
                  <c:v>Salmsteke Schoonhoven (SAS)</c:v>
                </c:pt>
                <c:pt idx="10">
                  <c:v>Ravenstein - Lith</c:v>
                </c:pt>
                <c:pt idx="11">
                  <c:v>Neder-Betuwe</c:v>
                </c:pt>
                <c:pt idx="12">
                  <c:v>Mastenbroek IJssel</c:v>
                </c:pt>
                <c:pt idx="13">
                  <c:v>Lauwersmeer/Vierhuizergat</c:v>
                </c:pt>
                <c:pt idx="14">
                  <c:v>Krachtige IJsseldijken Krimpenerwaard (KIJK)</c:v>
                </c:pt>
                <c:pt idx="15">
                  <c:v>Koehool- Lauwersmeer</c:v>
                </c:pt>
                <c:pt idx="16">
                  <c:v>Gorinchem-Waardenburg (GoWa)</c:v>
                </c:pt>
                <c:pt idx="17">
                  <c:v>Eemshaven-Delfzijl</c:v>
                </c:pt>
                <c:pt idx="18">
                  <c:v>Cuijk - Ravenstein</c:v>
                </c:pt>
              </c:strCache>
            </c:strRef>
          </c:cat>
          <c:val>
            <c:numRef>
              <c:f>'Blad2 (3)'!$K$4:$K$22</c:f>
              <c:numCache>
                <c:formatCode>_ * #,##0_ ;_ * \-#,##0_ ;_ * "-"??_ ;_ @_ </c:formatCode>
                <c:ptCount val="19"/>
                <c:pt idx="0">
                  <c:v>167</c:v>
                </c:pt>
                <c:pt idx="1">
                  <c:v>9.4</c:v>
                </c:pt>
                <c:pt idx="2">
                  <c:v>50.300000000000004</c:v>
                </c:pt>
                <c:pt idx="3">
                  <c:v>101.2</c:v>
                </c:pt>
                <c:pt idx="5">
                  <c:v>38.5</c:v>
                </c:pt>
                <c:pt idx="6">
                  <c:v>90</c:v>
                </c:pt>
                <c:pt idx="7">
                  <c:v>107</c:v>
                </c:pt>
                <c:pt idx="8">
                  <c:v>83.73</c:v>
                </c:pt>
                <c:pt idx="10">
                  <c:v>138.19999999999999</c:v>
                </c:pt>
                <c:pt idx="11">
                  <c:v>124.942475</c:v>
                </c:pt>
                <c:pt idx="12">
                  <c:v>69.400000000000006</c:v>
                </c:pt>
                <c:pt idx="13">
                  <c:v>54.199999999999996</c:v>
                </c:pt>
                <c:pt idx="14">
                  <c:v>203.9</c:v>
                </c:pt>
                <c:pt idx="15">
                  <c:v>86.399999999999991</c:v>
                </c:pt>
                <c:pt idx="16">
                  <c:v>107.7</c:v>
                </c:pt>
                <c:pt idx="17">
                  <c:v>77.400000000000006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B-429F-8C46-09289E5B1298}"/>
            </c:ext>
          </c:extLst>
        </c:ser>
        <c:ser>
          <c:idx val="0"/>
          <c:order val="1"/>
          <c:tx>
            <c:strRef>
              <c:f>'Blad2 (3)'!$L$3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'Blad2 (3)'!$L$4:$L$22</c:f>
              <c:numCache>
                <c:formatCode>_ * #,##0_ ;_ * \-#,##0_ ;_ * "-"??_ ;_ @_ </c:formatCode>
                <c:ptCount val="19"/>
                <c:pt idx="0">
                  <c:v>262</c:v>
                </c:pt>
                <c:pt idx="1">
                  <c:v>94.8</c:v>
                </c:pt>
                <c:pt idx="2">
                  <c:v>136.22222222222223</c:v>
                </c:pt>
                <c:pt idx="3">
                  <c:v>64.301111111111112</c:v>
                </c:pt>
                <c:pt idx="4">
                  <c:v>75.444444444444443</c:v>
                </c:pt>
                <c:pt idx="5">
                  <c:v>105.44444444444444</c:v>
                </c:pt>
                <c:pt idx="6">
                  <c:v>332.55555555555554</c:v>
                </c:pt>
                <c:pt idx="7">
                  <c:v>116.66666666666666</c:v>
                </c:pt>
                <c:pt idx="8">
                  <c:v>217.22222222222223</c:v>
                </c:pt>
                <c:pt idx="9">
                  <c:v>70.111111111111114</c:v>
                </c:pt>
                <c:pt idx="10">
                  <c:v>139.22222222222223</c:v>
                </c:pt>
                <c:pt idx="11">
                  <c:v>212.55555555555554</c:v>
                </c:pt>
                <c:pt idx="12">
                  <c:v>78.633333333333326</c:v>
                </c:pt>
                <c:pt idx="13">
                  <c:v>65.888888888888886</c:v>
                </c:pt>
                <c:pt idx="14">
                  <c:v>222</c:v>
                </c:pt>
                <c:pt idx="15">
                  <c:v>310.66666666666669</c:v>
                </c:pt>
                <c:pt idx="16">
                  <c:v>327</c:v>
                </c:pt>
                <c:pt idx="17">
                  <c:v>96.777777777777771</c:v>
                </c:pt>
                <c:pt idx="18">
                  <c:v>101.11111111111111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B-429F-8C46-09289E5B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axId val="1477808080"/>
        <c:axId val="1243840720"/>
      </c:barChart>
      <c:catAx>
        <c:axId val="147780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3840720"/>
        <c:crosses val="autoZero"/>
        <c:auto val="1"/>
        <c:lblAlgn val="ctr"/>
        <c:lblOffset val="100"/>
        <c:noMultiLvlLbl val="0"/>
      </c:catAx>
      <c:valAx>
        <c:axId val="124384072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7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Grote projecten over de tijd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'Blad2 (4)'!$I$6</c:f>
              <c:strCache>
                <c:ptCount val="1"/>
                <c:pt idx="0">
                  <c:v>Gorinchem-Waardenburg (GoWa)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(4)'!$J$6:$N$6</c:f>
              <c:numCache>
                <c:formatCode>_ * #,##0_ ;_ * \-#,##0_ ;_ * "-"??_ ;_ @_ </c:formatCode>
                <c:ptCount val="5"/>
                <c:pt idx="0">
                  <c:v>107.7</c:v>
                </c:pt>
                <c:pt idx="1">
                  <c:v>120</c:v>
                </c:pt>
                <c:pt idx="2">
                  <c:v>269.40777777777782</c:v>
                </c:pt>
                <c:pt idx="3">
                  <c:v>269.41000000000003</c:v>
                </c:pt>
                <c:pt idx="4">
                  <c:v>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37-44BD-9734-AC9BD746EF52}"/>
            </c:ext>
          </c:extLst>
        </c:ser>
        <c:ser>
          <c:idx val="1"/>
          <c:order val="1"/>
          <c:tx>
            <c:strRef>
              <c:f>'Blad2 (4)'!$I$7</c:f>
              <c:strCache>
                <c:ptCount val="1"/>
                <c:pt idx="0">
                  <c:v>Tiel - Waardenburg (TiWa)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(4)'!$J$7:$N$7</c:f>
              <c:numCache>
                <c:formatCode>_ * #,##0_ ;_ * \-#,##0_ ;_ * "-"??_ ;_ @_ </c:formatCode>
                <c:ptCount val="5"/>
                <c:pt idx="0">
                  <c:v>90</c:v>
                </c:pt>
                <c:pt idx="1">
                  <c:v>76.498999999999995</c:v>
                </c:pt>
                <c:pt idx="2">
                  <c:v>213.78155555555557</c:v>
                </c:pt>
                <c:pt idx="3">
                  <c:v>333.55574888888896</c:v>
                </c:pt>
                <c:pt idx="4">
                  <c:v>332.55555555555554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37-44BD-9734-AC9BD746EF52}"/>
            </c:ext>
          </c:extLst>
        </c:ser>
        <c:ser>
          <c:idx val="2"/>
          <c:order val="2"/>
          <c:tx>
            <c:strRef>
              <c:f>'Blad2 (4)'!$I$8</c:f>
              <c:strCache>
                <c:ptCount val="1"/>
                <c:pt idx="0">
                  <c:v>Koehool- Lauwersmeer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(4)'!$J$8:$N$8</c:f>
              <c:numCache>
                <c:formatCode>_ * #,##0_ ;_ * \-#,##0_ ;_ * "-"??_ ;_ @_ </c:formatCode>
                <c:ptCount val="5"/>
                <c:pt idx="0">
                  <c:v>86.399999999999991</c:v>
                </c:pt>
                <c:pt idx="1">
                  <c:v>304.731381</c:v>
                </c:pt>
                <c:pt idx="2">
                  <c:v>310.93490777777777</c:v>
                </c:pt>
                <c:pt idx="3">
                  <c:v>311.13888888888891</c:v>
                </c:pt>
                <c:pt idx="4">
                  <c:v>310.66666666666669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37-44BD-9734-AC9BD746EF52}"/>
            </c:ext>
          </c:extLst>
        </c:ser>
        <c:ser>
          <c:idx val="3"/>
          <c:order val="3"/>
          <c:tx>
            <c:strRef>
              <c:f>'Blad2 (4)'!$I$9</c:f>
              <c:strCache>
                <c:ptCount val="1"/>
                <c:pt idx="0">
                  <c:v>Zwolle-Olst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(4)'!$J$9:$N$9</c:f>
              <c:numCache>
                <c:formatCode>_ * #,##0_ ;_ * \-#,##0_ ;_ * "-"??_ ;_ @_ </c:formatCode>
                <c:ptCount val="5"/>
                <c:pt idx="0">
                  <c:v>167</c:v>
                </c:pt>
                <c:pt idx="1">
                  <c:v>190.56800000000001</c:v>
                </c:pt>
                <c:pt idx="2">
                  <c:v>193.61222222222221</c:v>
                </c:pt>
                <c:pt idx="3">
                  <c:v>193.52777777777774</c:v>
                </c:pt>
                <c:pt idx="4">
                  <c:v>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37-44BD-9734-AC9BD746EF52}"/>
            </c:ext>
          </c:extLst>
        </c:ser>
        <c:ser>
          <c:idx val="4"/>
          <c:order val="4"/>
          <c:tx>
            <c:strRef>
              <c:f>'Blad2 (4)'!$I$10</c:f>
              <c:strCache>
                <c:ptCount val="1"/>
                <c:pt idx="0">
                  <c:v>Krachtige IJsseldijken Krimpenerwaard (KIJK)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(4)'!$J$10:$N$10</c:f>
              <c:numCache>
                <c:formatCode>_ * #,##0_ ;_ * \-#,##0_ ;_ * "-"??_ ;_ @_ </c:formatCode>
                <c:ptCount val="5"/>
                <c:pt idx="0">
                  <c:v>203.9</c:v>
                </c:pt>
                <c:pt idx="1">
                  <c:v>204</c:v>
                </c:pt>
                <c:pt idx="2">
                  <c:v>221.16777777777776</c:v>
                </c:pt>
                <c:pt idx="3">
                  <c:v>222.09555555555556</c:v>
                </c:pt>
                <c:pt idx="4">
                  <c:v>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37-44BD-9734-AC9BD746EF52}"/>
            </c:ext>
          </c:extLst>
        </c:ser>
        <c:ser>
          <c:idx val="5"/>
          <c:order val="5"/>
          <c:tx>
            <c:strRef>
              <c:f>'Blad2 (4)'!$I$11</c:f>
              <c:strCache>
                <c:ptCount val="1"/>
                <c:pt idx="0">
                  <c:v>Sprok-Sterreschans-Heteren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(4)'!$J$11:$N$11</c:f>
              <c:numCache>
                <c:formatCode>_ * #,##0_ ;_ * \-#,##0_ ;_ * "-"??_ ;_ @_ </c:formatCode>
                <c:ptCount val="5"/>
                <c:pt idx="0">
                  <c:v>83.73</c:v>
                </c:pt>
                <c:pt idx="1">
                  <c:v>85.75</c:v>
                </c:pt>
                <c:pt idx="2">
                  <c:v>103.78888888888888</c:v>
                </c:pt>
                <c:pt idx="3">
                  <c:v>213.31444444444446</c:v>
                </c:pt>
                <c:pt idx="4">
                  <c:v>217.22222222222223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37-44BD-9734-AC9BD746EF52}"/>
            </c:ext>
          </c:extLst>
        </c:ser>
        <c:ser>
          <c:idx val="6"/>
          <c:order val="6"/>
          <c:tx>
            <c:strRef>
              <c:f>'Blad2 (4)'!$I$12</c:f>
              <c:strCache>
                <c:ptCount val="1"/>
                <c:pt idx="0">
                  <c:v>Neder-Betuwe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(4)'!$J$12:$N$12</c:f>
              <c:numCache>
                <c:formatCode>_ * #,##0_ ;_ * \-#,##0_ ;_ * "-"??_ ;_ @_ </c:formatCode>
                <c:ptCount val="5"/>
                <c:pt idx="0">
                  <c:v>124.942475</c:v>
                </c:pt>
                <c:pt idx="1">
                  <c:v>124.906271</c:v>
                </c:pt>
                <c:pt idx="2">
                  <c:v>128.65777777777777</c:v>
                </c:pt>
                <c:pt idx="3">
                  <c:v>128.61888888888888</c:v>
                </c:pt>
                <c:pt idx="4">
                  <c:v>212.55555555555554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37-44BD-9734-AC9BD746EF52}"/>
            </c:ext>
          </c:extLst>
        </c:ser>
        <c:ser>
          <c:idx val="7"/>
          <c:order val="7"/>
          <c:tx>
            <c:strRef>
              <c:f>'Blad2 (4)'!$I$13</c:f>
              <c:strCache>
                <c:ptCount val="1"/>
                <c:pt idx="0">
                  <c:v>Vecht Dalfsen Zwolle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(4)'!$J$13:$N$13</c:f>
              <c:numCache>
                <c:formatCode>_ * #,##0_ ;_ * \-#,##0_ ;_ * "-"??_ ;_ @_ </c:formatCode>
                <c:ptCount val="5"/>
                <c:pt idx="0">
                  <c:v>38.5</c:v>
                </c:pt>
                <c:pt idx="1">
                  <c:v>27.900000000000002</c:v>
                </c:pt>
                <c:pt idx="2">
                  <c:v>47.2</c:v>
                </c:pt>
                <c:pt idx="3">
                  <c:v>105.56888888888889</c:v>
                </c:pt>
                <c:pt idx="4">
                  <c:v>105.44444444444444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37-44BD-9734-AC9BD746EF52}"/>
            </c:ext>
          </c:extLst>
        </c:ser>
        <c:ser>
          <c:idx val="8"/>
          <c:order val="8"/>
          <c:tx>
            <c:strRef>
              <c:f>'Blad2 (4)'!$I$14</c:f>
              <c:strCache>
                <c:ptCount val="1"/>
                <c:pt idx="0">
                  <c:v>Ravenstein - Lith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(4)'!$J$14:$N$14</c:f>
              <c:numCache>
                <c:formatCode>_ * #,##0_ ;_ * \-#,##0_ ;_ * "-"??_ ;_ @_ </c:formatCode>
                <c:ptCount val="5"/>
                <c:pt idx="0">
                  <c:v>138.19999999999999</c:v>
                </c:pt>
                <c:pt idx="1">
                  <c:v>138.30000000000001</c:v>
                </c:pt>
                <c:pt idx="2">
                  <c:v>143.02333333333334</c:v>
                </c:pt>
                <c:pt idx="3">
                  <c:v>136.44444444444446</c:v>
                </c:pt>
                <c:pt idx="4">
                  <c:v>139.22222222222223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37-44BD-9734-AC9BD746EF52}"/>
            </c:ext>
          </c:extLst>
        </c:ser>
        <c:ser>
          <c:idx val="9"/>
          <c:order val="9"/>
          <c:tx>
            <c:strRef>
              <c:f>'Blad2 (4)'!$I$15</c:f>
              <c:strCache>
                <c:ptCount val="1"/>
                <c:pt idx="0">
                  <c:v>Wolferen-Sprok incl. DTO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(4)'!$J$15:$N$15</c:f>
              <c:numCache>
                <c:formatCode>_ * #,##0_ ;_ * \-#,##0_ ;_ * "-"??_ ;_ @_ </c:formatCode>
                <c:ptCount val="5"/>
                <c:pt idx="0">
                  <c:v>50.300000000000004</c:v>
                </c:pt>
                <c:pt idx="1">
                  <c:v>50.800000000000004</c:v>
                </c:pt>
                <c:pt idx="2">
                  <c:v>108.80444444444444</c:v>
                </c:pt>
                <c:pt idx="3">
                  <c:v>136.30888888888887</c:v>
                </c:pt>
                <c:pt idx="4">
                  <c:v>136.22222222222223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37-44BD-9734-AC9BD746EF52}"/>
            </c:ext>
          </c:extLst>
        </c:ser>
        <c:ser>
          <c:idx val="10"/>
          <c:order val="10"/>
          <c:tx>
            <c:strRef>
              <c:f>'Blad2 (4)'!$I$16</c:f>
              <c:strCache>
                <c:ptCount val="1"/>
                <c:pt idx="0">
                  <c:v>Cuijk - Ravenstein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(4)'!$J$16:$N$16</c:f>
              <c:numCache>
                <c:formatCode>_ * #,##0_ ;_ * \-#,##0_ ;_ * "-"??_ ;_ @_ </c:formatCode>
                <c:ptCount val="5"/>
                <c:pt idx="1">
                  <c:v>105</c:v>
                </c:pt>
                <c:pt idx="2">
                  <c:v>145.86888888888888</c:v>
                </c:pt>
                <c:pt idx="3">
                  <c:v>143.82</c:v>
                </c:pt>
                <c:pt idx="4">
                  <c:v>101.11111111111111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37-44BD-9734-AC9BD746EF52}"/>
            </c:ext>
          </c:extLst>
        </c:ser>
        <c:ser>
          <c:idx val="11"/>
          <c:order val="11"/>
          <c:tx>
            <c:strRef>
              <c:f>'Blad2 (4)'!$I$17</c:f>
              <c:strCache>
                <c:ptCount val="1"/>
                <c:pt idx="0">
                  <c:v>Gemiddelde</c:v>
                </c:pt>
              </c:strCache>
            </c:strRef>
          </c:tx>
          <c:spPr>
            <a:ln w="571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409259482687394E-2"/>
                  <c:y val="-1.62107378906638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E37-44BD-9734-AC9BD746EF5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E37-44BD-9734-AC9BD746EF5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E37-44BD-9734-AC9BD746EF5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37-44BD-9734-AC9BD746E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E37-44BD-9734-AC9BD746E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'Blad2 (4)'!$J$5:$N$5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'Blad2 (4)'!$J$17:$N$17</c:f>
              <c:numCache>
                <c:formatCode>_ * #,##0_ ;_ * \-#,##0_ ;_ * "-"??_ ;_ @_ </c:formatCode>
                <c:ptCount val="5"/>
                <c:pt idx="0">
                  <c:v>109.06724750000001</c:v>
                </c:pt>
                <c:pt idx="1">
                  <c:v>129.8595138181818</c:v>
                </c:pt>
                <c:pt idx="2">
                  <c:v>171.47705222222223</c:v>
                </c:pt>
                <c:pt idx="3">
                  <c:v>199.43668424242426</c:v>
                </c:pt>
                <c:pt idx="4">
                  <c:v>215.09090909090909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37-44BD-9734-AC9BD746E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6288"/>
        <c:axId val="587841200"/>
      </c:scatterChart>
      <c:valAx>
        <c:axId val="539906288"/>
        <c:scaling>
          <c:orientation val="minMax"/>
          <c:max val="2022"/>
          <c:min val="20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7841200"/>
        <c:crosses val="autoZero"/>
        <c:crossBetween val="midCat"/>
        <c:majorUnit val="1"/>
      </c:valAx>
      <c:valAx>
        <c:axId val="5878412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90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[Python_trend_analyse_extra_test2.xlsx]Blad2 (6)!Draaitabel1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'Blad2 (6)'!$B$4:$B$5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'Blad2 (6)'!$A$6:$A$11</c:f>
              <c:multiLvlStrCache>
                <c:ptCount val="4"/>
                <c:lvl>
                  <c:pt idx="0">
                    <c:v>klein</c:v>
                  </c:pt>
                  <c:pt idx="1">
                    <c:v>groot</c:v>
                  </c:pt>
                  <c:pt idx="2">
                    <c:v>klein</c:v>
                  </c:pt>
                  <c:pt idx="3">
                    <c:v>groot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'Blad2 (6)'!$B$6:$B$11</c:f>
              <c:numCache>
                <c:formatCode>_(* #,##0.00_);_(* \(#,##0.00\);_(* "-"??_);_(@_)</c:formatCode>
                <c:ptCount val="4"/>
                <c:pt idx="0">
                  <c:v>13.984074074074073</c:v>
                </c:pt>
                <c:pt idx="1">
                  <c:v>212.78333333333336</c:v>
                </c:pt>
                <c:pt idx="2">
                  <c:v>29.999542483660125</c:v>
                </c:pt>
                <c:pt idx="3">
                  <c:v>145.16600000000003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F6-4438-B2DE-134E2100DDF5}"/>
            </c:ext>
          </c:extLst>
        </c:ser>
        <c:ser>
          <c:idx val="1"/>
          <c:order val="1"/>
          <c:tx>
            <c:strRef>
              <c:f>'Blad2 (6)'!$C$4:$C$5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'Blad2 (6)'!$A$6:$A$11</c:f>
              <c:multiLvlStrCache>
                <c:ptCount val="4"/>
                <c:lvl>
                  <c:pt idx="0">
                    <c:v>klein</c:v>
                  </c:pt>
                  <c:pt idx="1">
                    <c:v>groot</c:v>
                  </c:pt>
                  <c:pt idx="2">
                    <c:v>klein</c:v>
                  </c:pt>
                  <c:pt idx="3">
                    <c:v>groot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'Blad2 (6)'!$C$6:$C$11</c:f>
              <c:numCache>
                <c:formatCode>_(* #,##0.00_);_(* \(#,##0.00\);_(* "-"??_);_(@_)</c:formatCode>
                <c:ptCount val="4"/>
                <c:pt idx="0">
                  <c:v>17.829444444444444</c:v>
                </c:pt>
                <c:pt idx="1">
                  <c:v>235.43302740740748</c:v>
                </c:pt>
                <c:pt idx="2">
                  <c:v>29.111049673202615</c:v>
                </c:pt>
                <c:pt idx="3">
                  <c:v>134.14694444444444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F6-4438-B2DE-134E2100DDF5}"/>
            </c:ext>
          </c:extLst>
        </c:ser>
        <c:ser>
          <c:idx val="2"/>
          <c:order val="2"/>
          <c:tx>
            <c:strRef>
              <c:f>'Blad2 (6)'!$D$4:$D$5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'Blad2 (6)'!$A$6:$A$11</c:f>
              <c:multiLvlStrCache>
                <c:ptCount val="4"/>
                <c:lvl>
                  <c:pt idx="0">
                    <c:v>klein</c:v>
                  </c:pt>
                  <c:pt idx="1">
                    <c:v>groot</c:v>
                  </c:pt>
                  <c:pt idx="2">
                    <c:v>klein</c:v>
                  </c:pt>
                  <c:pt idx="3">
                    <c:v>groot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'Blad2 (6)'!$D$6:$D$11</c:f>
              <c:numCache>
                <c:formatCode>_(* #,##0.00_);_(* \(#,##0.00\);_(* "-"??_);_(@_)</c:formatCode>
                <c:ptCount val="4"/>
                <c:pt idx="1">
                  <c:v>103.33333333333334</c:v>
                </c:pt>
                <c:pt idx="2">
                  <c:v>30.127916666666671</c:v>
                </c:pt>
                <c:pt idx="3">
                  <c:v>131.56061333333335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F6-4438-B2DE-134E2100DDF5}"/>
            </c:ext>
          </c:extLst>
        </c:ser>
        <c:ser>
          <c:idx val="3"/>
          <c:order val="3"/>
          <c:tx>
            <c:strRef>
              <c:f>'Blad2 (6)'!$E$4:$E$5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'Blad2 (6)'!$A$6:$A$11</c:f>
              <c:multiLvlStrCache>
                <c:ptCount val="4"/>
                <c:lvl>
                  <c:pt idx="0">
                    <c:v>klein</c:v>
                  </c:pt>
                  <c:pt idx="1">
                    <c:v>groot</c:v>
                  </c:pt>
                  <c:pt idx="2">
                    <c:v>klein</c:v>
                  </c:pt>
                  <c:pt idx="3">
                    <c:v>groot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'Blad2 (6)'!$E$6:$E$11</c:f>
              <c:numCache>
                <c:formatCode>_(* #,##0.00_);_(* \(#,##0.00\);_(* "-"??_);_(@_)</c:formatCode>
                <c:ptCount val="4"/>
                <c:pt idx="2">
                  <c:v>31.304915438596492</c:v>
                </c:pt>
                <c:pt idx="3">
                  <c:v>106.44703622222222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F6-4438-B2DE-134E2100DDF5}"/>
            </c:ext>
          </c:extLst>
        </c:ser>
        <c:ser>
          <c:idx val="4"/>
          <c:order val="4"/>
          <c:tx>
            <c:strRef>
              <c:f>'Blad2 (6)'!$F$4:$F$5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'Blad2 (6)'!$A$6:$A$11</c:f>
              <c:multiLvlStrCache>
                <c:ptCount val="4"/>
                <c:lvl>
                  <c:pt idx="0">
                    <c:v>klein</c:v>
                  </c:pt>
                  <c:pt idx="1">
                    <c:v>groot</c:v>
                  </c:pt>
                  <c:pt idx="2">
                    <c:v>klein</c:v>
                  </c:pt>
                  <c:pt idx="3">
                    <c:v>groot</c:v>
                  </c:pt>
                </c:lvl>
                <c:lvl>
                  <c:pt idx="0">
                    <c:v>0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'Blad2 (6)'!$F$6:$F$11</c:f>
              <c:numCache>
                <c:formatCode>_(* #,##0.00_);_(* \(#,##0.00\);_(* "-"??_);_(@_)</c:formatCode>
                <c:ptCount val="4"/>
                <c:pt idx="0">
                  <c:v>24.596659336828306</c:v>
                </c:pt>
                <c:pt idx="1">
                  <c:v>94.329529687500013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F6-4438-B2DE-134E2100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337184"/>
        <c:axId val="1566218080"/>
      </c:barChart>
      <c:catAx>
        <c:axId val="14713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6218080"/>
        <c:crosses val="autoZero"/>
        <c:auto val="1"/>
        <c:lblAlgn val="ctr"/>
        <c:lblOffset val="100"/>
        <c:noMultiLvlLbl val="0"/>
      </c:catAx>
      <c:valAx>
        <c:axId val="15662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713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166687</xdr:rowOff>
    </xdr:from>
    <xdr:to>
      <xdr:col>17</xdr:col>
      <xdr:colOff>257175</xdr:colOff>
      <xdr:row>15</xdr:row>
      <xdr:rowOff>52387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27C0D0F-5B88-472C-B344-C3891D20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25</xdr:row>
      <xdr:rowOff>138111</xdr:rowOff>
    </xdr:from>
    <xdr:to>
      <xdr:col>13</xdr:col>
      <xdr:colOff>352425</xdr:colOff>
      <xdr:row>54</xdr:row>
      <xdr:rowOff>114300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A3492B4-BB9E-42E5-99D9-005CA459A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95248</xdr:colOff>
      <xdr:row>3</xdr:row>
      <xdr:rowOff>185737</xdr:rowOff>
    </xdr:from>
    <xdr:to>
      <xdr:col>23</xdr:col>
      <xdr:colOff>219074</xdr:colOff>
      <xdr:row>28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30779E3-E1CD-4578-B451-CCDBA699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90486</xdr:rowOff>
    </xdr:from>
    <xdr:to>
      <xdr:col>25</xdr:col>
      <xdr:colOff>133350</xdr:colOff>
      <xdr:row>22</xdr:row>
      <xdr:rowOff>76199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D50D485-C5C2-4ECC-A4E7-99CCD5AAC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wan de korte" refreshedDate="44098.624052314815" createdVersion="6" refreshedVersion="6" minRefreshableVersion="3" recordCount="232" xr:uid="{089113F3-FB03-4D88-99D2-32F252808BBC}">
  <cacheSource type="worksheet">
    <worksheetSource ref="A1:AP233" sheet="Input data"/>
  </cacheSource>
  <cacheFields count="42">
    <cacheField name="Project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7"/>
        <n v="38"/>
        <n v="39"/>
        <n v="40"/>
        <n v="30" u="1"/>
      </sharedItems>
    </cacheField>
    <cacheField name="Programma" numFmtId="0">
      <sharedItems containsSemiMixedTypes="0" containsString="0" containsNumber="1" containsInteger="1" minValue="17" maxValue="22" count="6">
        <n v="22"/>
        <n v="21"/>
        <n v="20"/>
        <n v="19"/>
        <n v="18"/>
        <n v="17"/>
      </sharedItems>
    </cacheField>
    <cacheField name="Ranking" numFmtId="0">
      <sharedItems containsBlank="1" containsMixedTypes="1" containsNumber="1" containsInteger="1" minValue="1" maxValue="175"/>
    </cacheField>
    <cacheField name="Projectcode" numFmtId="0">
      <sharedItems containsBlank="1"/>
    </cacheField>
    <cacheField name="beheerder" numFmtId="0">
      <sharedItems containsBlank="1"/>
    </cacheField>
    <cacheField name="Projectnaam" numFmtId="0">
      <sharedItems containsBlank="1"/>
    </cacheField>
    <cacheField name="Lengte (m)" numFmtId="164">
      <sharedItems containsString="0" containsBlank="1" containsNumber="1" minValue="102" maxValue="47345"/>
    </cacheField>
    <cacheField name="Aantal kunst-werken" numFmtId="0">
      <sharedItems containsBlank="1" containsMixedTypes="1" containsNumber="1" containsInteger="1" minValue="1" maxValue="220"/>
    </cacheField>
    <cacheField name="Normvak" numFmtId="0">
      <sharedItems containsBlank="1" containsMixedTypes="1" containsNumber="1" containsInteger="1" minValue="5" maxValue="12"/>
    </cacheField>
    <cacheField name="Samengevoegd ja/nee" numFmtId="0">
      <sharedItems containsString="0" containsBlank="1" containsNumber="1" containsInteger="1" minValue="0" maxValue="1"/>
    </cacheField>
    <cacheField name="Afsplitsing" numFmtId="0">
      <sharedItems containsString="0" containsBlank="1" containsNumber="1" containsInteger="1" minValue="0" maxValue="1"/>
    </cacheField>
    <cacheField name="begin VV" numFmtId="0">
      <sharedItems containsString="0" containsBlank="1" containsNumber="1" containsInteger="1" minValue="2014" maxValue="2028"/>
    </cacheField>
    <cacheField name="Eind VV" numFmtId="0">
      <sharedItems containsString="0" containsBlank="1" containsNumber="1" containsInteger="1" minValue="2017" maxValue="2030"/>
    </cacheField>
    <cacheField name="begin PU" numFmtId="0">
      <sharedItems containsString="0" containsBlank="1" containsNumber="1" containsInteger="1" minValue="2016" maxValue="2030"/>
    </cacheField>
    <cacheField name="Eind PU" numFmtId="0">
      <sharedItems containsString="0" containsBlank="1" containsNumber="1" containsInteger="1" minValue="2017" maxValue="2034"/>
    </cacheField>
    <cacheField name="begin R" numFmtId="0">
      <sharedItems containsString="0" containsBlank="1" containsNumber="1" containsInteger="1" minValue="2016" maxValue="2034"/>
    </cacheField>
    <cacheField name="Eind R" numFmtId="0">
      <sharedItems containsString="0" containsBlank="1" containsNumber="1" containsInteger="1" minValue="2020" maxValue="2036"/>
    </cacheField>
    <cacheField name="duur VV" numFmtId="0">
      <sharedItems containsString="0" containsBlank="1" containsNumber="1" containsInteger="1" minValue="0" maxValue="7"/>
    </cacheField>
    <cacheField name="duur PU" numFmtId="0">
      <sharedItems containsString="0" containsBlank="1" containsNumber="1" containsInteger="1" minValue="0" maxValue="4"/>
    </cacheField>
    <cacheField name="duur R" numFmtId="0">
      <sharedItems containsString="0" containsBlank="1" containsNumber="1" containsInteger="1" minValue="0" maxValue="11"/>
    </cacheField>
    <cacheField name="Totale duur" numFmtId="0">
      <sharedItems containsString="0" containsBlank="1" containsNumber="1" containsInteger="1" minValue="0" maxValue="17"/>
    </cacheField>
    <cacheField name="Netto vertraging t.o.v. vorig jaar OF  netto toename in duur" numFmtId="0">
      <sharedItems containsString="0" containsBlank="1" containsNumber="1" containsInteger="1" minValue="-6" maxValue="11"/>
    </cacheField>
    <cacheField name="Vertraging2018-2021" numFmtId="0">
      <sharedItems containsString="0" containsBlank="1" containsNumber="1" containsInteger="1" minValue="-5" maxValue="10"/>
    </cacheField>
    <cacheField name="Vertraging 2018-2022" numFmtId="0">
      <sharedItems containsString="0" containsBlank="1" containsNumber="1" containsInteger="1" minValue="-2" maxValue="10"/>
    </cacheField>
    <cacheField name="Kosten vv" numFmtId="165">
      <sharedItems containsString="0" containsBlank="1" containsNumber="1" minValue="0" maxValue="20.399999999999999"/>
    </cacheField>
    <cacheField name="Kosten PU" numFmtId="165">
      <sharedItems containsString="0" containsBlank="1" containsNumber="1" minValue="0" maxValue="46.1"/>
    </cacheField>
    <cacheField name="Kosten R" numFmtId="165">
      <sharedItems containsString="0" containsBlank="1" containsNumber="1" minValue="0" maxValue="297.55111111111114"/>
    </cacheField>
    <cacheField name="Kosten totaal" numFmtId="0">
      <sharedItems containsString="0" containsBlank="1" containsNumber="1" minValue="1" maxValue="333.55574888888896"/>
    </cacheField>
    <cacheField name="deltakosten" numFmtId="0">
      <sharedItems containsString="0" containsBlank="1" containsNumber="1" minValue="-72.800000000000011" maxValue="218.33138100000002"/>
    </cacheField>
    <cacheField name="deltakosten2018-2021" numFmtId="0">
      <sharedItems containsString="0" containsBlank="1" containsNumber="1" minValue="-36.898888888888891" maxValue="243.55574888888896"/>
    </cacheField>
    <cacheField name="deltakosten2018-2022" numFmtId="1">
      <sharedItems containsMixedTypes="1" containsNumber="1" minValue="-34.286666666666648" maxValue="91.689999999999984"/>
    </cacheField>
    <cacheField name="deltalengte2018-2021" numFmtId="0">
      <sharedItems containsString="0" containsBlank="1" containsNumber="1" minValue="-27282.272231718722" maxValue="32901.331912956397"/>
    </cacheField>
    <cacheField name="Deltalengte2018-2022" numFmtId="1">
      <sharedItems containsMixedTypes="1" containsNumber="1" minValue="-27282.272231718722" maxValue="32901.331912956397"/>
    </cacheField>
    <cacheField name="efficiency2018_2021" numFmtId="0">
      <sharedItems containsString="0" containsBlank="1" containsNumber="1" minValue="-6.4054139323750956" maxValue="22.54609702959776"/>
    </cacheField>
    <cacheField name="efficiency2018_2022" numFmtId="43">
      <sharedItems containsMixedTypes="1" containsNumber="1" minValue="-6.177884335610619" maxValue="46.08951819823244"/>
    </cacheField>
    <cacheField name="grootin2021" numFmtId="0">
      <sharedItems containsString="0" containsBlank="1" containsNumber="1" containsInteger="1" minValue="0" maxValue="1"/>
    </cacheField>
    <cacheField name="grootin2022" numFmtId="0">
      <sharedItems containsSemiMixedTypes="0" containsString="0" containsNumber="1" containsInteger="1" minValue="0" maxValue="1" count="2">
        <n v="0"/>
        <n v="1"/>
      </sharedItems>
    </cacheField>
    <cacheField name="VV2020" numFmtId="0">
      <sharedItems containsSemiMixedTypes="0" containsString="0" containsNumber="1" containsInteger="1" minValue="0" maxValue="1"/>
    </cacheField>
    <cacheField name="PU2020" numFmtId="0">
      <sharedItems containsSemiMixedTypes="0" containsString="0" containsNumber="1" containsInteger="1" minValue="0" maxValue="1"/>
    </cacheField>
    <cacheField name="R2020" numFmtId="0">
      <sharedItems containsSemiMixedTypes="0" containsString="0" containsNumber="1" containsInteger="1" minValue="0" maxValue="1"/>
    </cacheField>
    <cacheField name="Jaren tot R" numFmtId="0">
      <sharedItems containsString="0" containsBlank="1" containsNumber="1" containsInteger="1" minValue="-4" maxValue="14"/>
    </cacheField>
    <cacheField name="Efficiency" numFmtId="43">
      <sharedItems containsString="0" containsBlank="1" containsNumber="1" minValue="0" maxValue="147.05882352941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wan de korte" refreshedDate="44098.624226388885" createdVersion="6" refreshedVersion="6" minRefreshableVersion="3" recordCount="232" xr:uid="{C80756F1-1791-4DB2-96D5-1906C5F6B7F9}">
  <cacheSource type="worksheet">
    <worksheetSource ref="A1:AQ233" sheet="Input data"/>
  </cacheSource>
  <cacheFields count="43">
    <cacheField name="Project" numFmtId="0">
      <sharedItems containsSemiMixedTypes="0" containsString="0" containsNumber="1" containsInteger="1" minValue="1" maxValue="40" count="3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36"/>
        <n v="37"/>
        <n v="38"/>
        <n v="39"/>
        <n v="40"/>
      </sharedItems>
    </cacheField>
    <cacheField name="Programma" numFmtId="0">
      <sharedItems containsSemiMixedTypes="0" containsString="0" containsNumber="1" containsInteger="1" minValue="17" maxValue="22" count="6">
        <n v="22"/>
        <n v="21"/>
        <n v="20"/>
        <n v="19"/>
        <n v="18"/>
        <n v="17"/>
      </sharedItems>
    </cacheField>
    <cacheField name="Ranking" numFmtId="0">
      <sharedItems containsBlank="1" containsMixedTypes="1" containsNumber="1" containsInteger="1" minValue="1" maxValue="175"/>
    </cacheField>
    <cacheField name="Projectcode" numFmtId="0">
      <sharedItems containsBlank="1"/>
    </cacheField>
    <cacheField name="beheerder" numFmtId="0">
      <sharedItems containsBlank="1"/>
    </cacheField>
    <cacheField name="Projectnaam" numFmtId="0">
      <sharedItems containsBlank="1" count="72">
        <s v="Streefkerk Ameide Fort Everdingen (SAFE)"/>
        <s v="Fort Everdingen-Ameide Sluis + Ameide Streefkerk"/>
        <m/>
        <s v="Grebbedijk"/>
        <s v="Neder-Betuwe"/>
        <s v="IJsseldijk Gouda Voorlanden spoor 5 (vh spoor 3 fase 2) + Verbetering IJsseldijk Gouda Stadsfront Voorlanden spoor 3 "/>
        <s v="IJsseldijk Gouda spoor 3 (fase 2) "/>
        <s v="IJsseldijk Gouda (fase 2)"/>
        <s v="Sprok-Sterreschans-Heteren"/>
        <s v="Sprok-Sterreschans (Kop van Betuwe)"/>
        <s v="Sprok-Sterreschans"/>
        <s v="Tussenstuk: A50 - Doornenburg (sluit aan bij 22M)"/>
        <s v="Stad Tiel excl Fluvia"/>
        <s v="Stad Tiel"/>
        <s v="Zettingsvloeiing V3T"/>
        <s v="Ravenstein - Lith"/>
        <s v="Normtraject 36_3 Ravensteijn-Lith"/>
        <s v="Krachtige IJsseldijken Krimpenerwaard (KIJK)"/>
        <s v="Zwolle-Olst"/>
        <s v="Stadsdijken Zwolle"/>
        <s v="Zwolle"/>
        <s v="Lauwersmeer/Vierhuizergat"/>
        <s v="Wieringermeer C kering"/>
        <s v="Wieringermeerkering"/>
        <s v="Wieringermeer (C-kering)"/>
        <s v="Noordelijke Randmeerdijk (incl WDOD)"/>
        <s v="Noordelijke Randmeerdijk"/>
        <s v="Noordzeekanaal (D31 t/m D37)"/>
        <s v="Wijk bij Duurstede Amerongen (WAM)"/>
        <s v="Sterke Lekdijk: Wijk bij Duurstede-Amerongen"/>
        <s v="Sterke Lekdijk"/>
        <s v="Vecht Dalfsen Zwolle "/>
        <s v="Vecht- Dalfsen west"/>
        <s v="Vecht Dalfsen west"/>
        <s v="Vecht-Zuid"/>
        <s v="Versterking voormalige C-kering HDSR (GHIJ)"/>
        <s v="Versterking voormalige C-kering HDSR"/>
        <s v="Vianen"/>
        <s v="Wolferen-Sprok incl. DTO"/>
        <s v="Wolferen-Sprok"/>
        <s v="Wolferen-Sprok (incl. de Stelt)"/>
        <s v="Sprok - Wolferen"/>
        <s v="IJsseldijk Gouda (VIJG) spoor 2"/>
        <s v="Verbetering IJsseldijk Gouda (VIJG) spoor 2"/>
        <s v="Gorinchem-Waardenburg (GoWa)"/>
        <s v="Tiel - Waardenburg (TiWa)"/>
        <s v="Keersluis Zwolle"/>
        <s v="Eemshaven-Delfzijl"/>
        <s v="Eemshaven – Delfzijl"/>
        <s v="Mastenbroek Zwarte Meer"/>
        <s v="Koehool- Lauwersmeer"/>
        <s v="West Holwerderpolder – Lauwersmeer"/>
        <s v="Mastenbroek IJssel"/>
        <s v="IJsseldijk Apeldoorns kanaal"/>
        <s v="Loswal Hattem + Apeldoorns kanaal"/>
        <s v="Zuid-Beveland West, Westerschelde S2"/>
        <s v="Zuid-Beveland West, Westerschelde"/>
        <s v="Zuid-Beveland Oost, Oosterschelde"/>
        <s v="Zuid-Beveland Oost, Oosterschelde (2)"/>
        <s v="Zuid–Beveland Oost, Oosterschelde"/>
        <s v="Salmsteke Schoonhoven (SAS)"/>
        <s v="Sterke Lekdijk: Salmsteke - Schoonhoven"/>
        <s v="Geervliet - Hekelingen 20-3"/>
        <s v="VLRT-4 - Normtraject nr. 20_3"/>
        <s v="Cuijk - Ravenstein"/>
        <s v="Zuid-Beveland West, Westerschelde Hansweert"/>
        <s v="Zuid-Beveland West, Hansweert S1"/>
        <s v="Mastenbroek Zwarte Water"/>
        <s v="Zuid-Beveland West, Westerschelde S3"/>
        <s v="Vecht  - Stenendijk Hasselt"/>
        <s v="Vecht- Stenendijk Hasselt"/>
        <s v="Vecht Stenendijk Hasselt"/>
      </sharedItems>
    </cacheField>
    <cacheField name="Lengte (m)" numFmtId="164">
      <sharedItems containsString="0" containsBlank="1" containsNumber="1" minValue="102" maxValue="47345"/>
    </cacheField>
    <cacheField name="Aantal kunst-werken" numFmtId="0">
      <sharedItems containsBlank="1" containsMixedTypes="1" containsNumber="1" containsInteger="1" minValue="1" maxValue="220"/>
    </cacheField>
    <cacheField name="Normvak" numFmtId="0">
      <sharedItems containsBlank="1" containsMixedTypes="1" containsNumber="1" containsInteger="1" minValue="5" maxValue="12"/>
    </cacheField>
    <cacheField name="Samengevoegd ja/nee" numFmtId="0">
      <sharedItems containsString="0" containsBlank="1" containsNumber="1" containsInteger="1" minValue="0" maxValue="1"/>
    </cacheField>
    <cacheField name="Afsplitsing" numFmtId="0">
      <sharedItems containsString="0" containsBlank="1" containsNumber="1" containsInteger="1" minValue="0" maxValue="1"/>
    </cacheField>
    <cacheField name="begin VV" numFmtId="0">
      <sharedItems containsString="0" containsBlank="1" containsNumber="1" containsInteger="1" minValue="2014" maxValue="2028"/>
    </cacheField>
    <cacheField name="Eind VV" numFmtId="0">
      <sharedItems containsString="0" containsBlank="1" containsNumber="1" containsInteger="1" minValue="2017" maxValue="2030"/>
    </cacheField>
    <cacheField name="begin PU" numFmtId="0">
      <sharedItems containsString="0" containsBlank="1" containsNumber="1" containsInteger="1" minValue="2016" maxValue="2030"/>
    </cacheField>
    <cacheField name="Eind PU" numFmtId="0">
      <sharedItems containsString="0" containsBlank="1" containsNumber="1" containsInteger="1" minValue="2017" maxValue="2034"/>
    </cacheField>
    <cacheField name="begin R" numFmtId="0">
      <sharedItems containsString="0" containsBlank="1" containsNumber="1" containsInteger="1" minValue="2016" maxValue="2034"/>
    </cacheField>
    <cacheField name="Eind R" numFmtId="0">
      <sharedItems containsString="0" containsBlank="1" containsNumber="1" containsInteger="1" minValue="2020" maxValue="2036"/>
    </cacheField>
    <cacheField name="duur VV" numFmtId="0">
      <sharedItems containsString="0" containsBlank="1" containsNumber="1" containsInteger="1" minValue="0" maxValue="7"/>
    </cacheField>
    <cacheField name="duur PU" numFmtId="0">
      <sharedItems containsString="0" containsBlank="1" containsNumber="1" containsInteger="1" minValue="0" maxValue="4"/>
    </cacheField>
    <cacheField name="duur R" numFmtId="0">
      <sharedItems containsString="0" containsBlank="1" containsNumber="1" containsInteger="1" minValue="0" maxValue="11"/>
    </cacheField>
    <cacheField name="Totale duur" numFmtId="0">
      <sharedItems containsString="0" containsBlank="1" containsNumber="1" containsInteger="1" minValue="0" maxValue="17"/>
    </cacheField>
    <cacheField name="Netto vertraging t.o.v. vorig jaar OF  netto toename in duur" numFmtId="0">
      <sharedItems containsString="0" containsBlank="1" containsNumber="1" containsInteger="1" minValue="-6" maxValue="11"/>
    </cacheField>
    <cacheField name="Vertraging2018-2021" numFmtId="0">
      <sharedItems containsString="0" containsBlank="1" containsNumber="1" containsInteger="1" minValue="-5" maxValue="10"/>
    </cacheField>
    <cacheField name="Vertraging 2018-2022" numFmtId="0">
      <sharedItems containsString="0" containsBlank="1" containsNumber="1" containsInteger="1" minValue="-2" maxValue="10"/>
    </cacheField>
    <cacheField name="Kosten vv" numFmtId="165">
      <sharedItems containsString="0" containsBlank="1" containsNumber="1" minValue="0" maxValue="20.399999999999999"/>
    </cacheField>
    <cacheField name="Kosten PU" numFmtId="165">
      <sharedItems containsString="0" containsBlank="1" containsNumber="1" minValue="0" maxValue="46.1"/>
    </cacheField>
    <cacheField name="Kosten R" numFmtId="165">
      <sharedItems containsString="0" containsBlank="1" containsNumber="1" minValue="0" maxValue="297.55111111111114"/>
    </cacheField>
    <cacheField name="Kosten totaal" numFmtId="0">
      <sharedItems containsString="0" containsBlank="1" containsNumber="1" minValue="1" maxValue="333.55574888888896" count="195">
        <n v="31.888888888888889"/>
        <n v="30"/>
        <n v="30.000000000000004"/>
        <n v="29.2"/>
        <n v="20"/>
        <n v="58.5"/>
        <n v="85.587777777777774"/>
        <n v="84.928888888888892"/>
        <n v="79.393999999999991"/>
        <n v="37.4"/>
        <n v="37.457549999999998"/>
        <n v="212.55555555555554"/>
        <n v="128.61888888888888"/>
        <n v="128.65777777777777"/>
        <n v="124.906271"/>
        <n v="124.942475"/>
        <n v="76.599999999999994"/>
        <n v="22.444444444444443"/>
        <n v="22.514444444444447"/>
        <n v="23.770000000000003"/>
        <n v="23.715"/>
        <n v="23.700000000000003"/>
        <n v="217.22222222222223"/>
        <n v="213.31444444444446"/>
        <n v="103.78888888888888"/>
        <n v="85.75"/>
        <n v="83.73"/>
        <n v="73.240000000000009"/>
        <n v="40.623333333333335"/>
        <n v="24.755555555555553"/>
        <n v="66.667777777777772"/>
        <n v="25.8"/>
        <n v="24.700000000000003"/>
        <n v="26.2"/>
        <n v="40.55555555555555"/>
        <n v="40"/>
        <n v="53.033333333333339"/>
        <n v="52.989000000000004"/>
        <n v="48.900000000000006"/>
        <m/>
        <n v="139.22222222222223"/>
        <n v="136.44444444444446"/>
        <n v="143.02333333333334"/>
        <n v="138.30000000000001"/>
        <n v="138.19999999999999"/>
        <n v="138.23644999999999"/>
        <n v="222"/>
        <n v="222.09555555555556"/>
        <n v="221.16777777777776"/>
        <n v="204"/>
        <n v="203.9"/>
        <n v="224.3"/>
        <n v="262"/>
        <n v="193.52777777777774"/>
        <n v="193.61222222222221"/>
        <n v="190.56800000000001"/>
        <n v="167"/>
        <n v="114.4"/>
        <n v="116.66666666666666"/>
        <n v="98.11"/>
        <n v="73.00888888888889"/>
        <n v="77.699999999999989"/>
        <n v="107"/>
        <n v="150.39999999999998"/>
        <n v="65.888888888888886"/>
        <n v="66.057777777777773"/>
        <n v="62.36346555555555"/>
        <n v="59.5"/>
        <n v="54.199999999999996"/>
        <n v="57"/>
        <n v="64.111111111111114"/>
        <n v="64.301111111111112"/>
        <n v="64.298888888888897"/>
        <n v="101.2"/>
        <n v="103.39999999999999"/>
        <n v="8.6188888888888897"/>
        <n v="10.248888888888889"/>
        <n v="10.507777777777779"/>
        <n v="37.859000000000002"/>
        <n v="22.977777777777778"/>
        <n v="42.435622222222221"/>
        <n v="42.422222222222217"/>
        <n v="29.599999999999998"/>
        <n v="45.8"/>
        <n v="230.453"/>
        <n v="61.211111111111109"/>
        <n v="80.711111111111109"/>
        <n v="50.022222222222219"/>
        <n v="42.6"/>
        <n v="105.44444444444444"/>
        <n v="105.56888888888889"/>
        <n v="47.2"/>
        <n v="27.900000000000002"/>
        <n v="38.5"/>
        <n v="53"/>
        <n v="75.444444444444443"/>
        <n v="84"/>
        <n v="88.149999999999991"/>
        <n v="92.5"/>
        <n v="11.888888888888889"/>
        <n v="14.021111111111111"/>
        <n v="11.521111111111111"/>
        <n v="9.6399488888888882"/>
        <n v="8.8148680629094649"/>
        <n v="5.2"/>
        <n v="136.22222222222223"/>
        <n v="136.30888888888887"/>
        <n v="108.80444444444444"/>
        <n v="50.800000000000004"/>
        <n v="50.300000000000004"/>
        <n v="16.100000000000001"/>
        <n v="15"/>
        <n v="12.665555555555557"/>
        <n v="13.1"/>
        <n v="15.399999999999999"/>
        <n v="12.5"/>
        <n v="14.1"/>
        <n v="327"/>
        <n v="269.41000000000003"/>
        <n v="269.40777777777782"/>
        <n v="120"/>
        <n v="107.7"/>
        <n v="141.80000000000001"/>
        <n v="332.55555555555554"/>
        <n v="333.55574888888896"/>
        <n v="213.78155555555557"/>
        <n v="76.498999999999995"/>
        <n v="90"/>
        <n v="118.30000000000001"/>
        <n v="6.7"/>
        <n v="1"/>
        <n v="6.8669999999999991"/>
        <n v="6.6999999999999993"/>
        <n v="96.777777777777771"/>
        <n v="103.33333333333334"/>
        <n v="76.73"/>
        <n v="77.400000000000006"/>
        <n v="84.5"/>
        <n v="37.888888888888886"/>
        <n v="16.503333333333334"/>
        <n v="89.303333333333342"/>
        <n v="55.511000000000003"/>
        <n v="10.8"/>
        <n v="310.66666666666669"/>
        <n v="311.13888888888891"/>
        <n v="310.93490777777777"/>
        <n v="304.731381"/>
        <n v="86.399999999999991"/>
        <n v="92.1"/>
        <n v="78.633333333333326"/>
        <n v="78"/>
        <n v="68.352222222222224"/>
        <n v="68.352000000000004"/>
        <n v="69.400000000000006"/>
        <n v="52.2"/>
        <n v="21.444444444444443"/>
        <n v="21.637777777777778"/>
        <n v="21.94222222222222"/>
        <n v="13.5"/>
        <n v="24.439999999999998"/>
        <n v="8"/>
        <n v="16.900000000000002"/>
        <n v="5.4355555555555553"/>
        <n v="6.448888888888888"/>
        <n v="6.7250000000000005"/>
        <n v="7.2750000000000004"/>
        <n v="5.7250000000000005"/>
        <n v="3.8"/>
        <n v="70.111111111111114"/>
        <n v="70.24444444444444"/>
        <n v="58.87"/>
        <n v="21"/>
        <n v="16.015555555555558"/>
        <n v="16.015555555555554"/>
        <n v="13.518444444444444"/>
        <n v="16.8"/>
        <n v="98.61"/>
        <n v="101.11111111111111"/>
        <n v="143.82"/>
        <n v="145.86888888888888"/>
        <n v="105"/>
        <n v="94.8"/>
        <n v="66.8"/>
        <n v="14.2"/>
        <n v="9.4"/>
        <n v="60.6"/>
        <n v="3.1"/>
        <n v="43.1"/>
        <n v="9.3000000000000007"/>
        <n v="1.1000000000000001"/>
        <n v="1.9"/>
        <n v="12.055555555555554"/>
        <n v="6.4"/>
        <n v="5.0999999999999996"/>
        <n v="5"/>
      </sharedItems>
    </cacheField>
    <cacheField name="deltakosten" numFmtId="0">
      <sharedItems containsString="0" containsBlank="1" containsNumber="1" minValue="-72.800000000000011" maxValue="218.33138100000002"/>
    </cacheField>
    <cacheField name="deltakosten2018-2021" numFmtId="0">
      <sharedItems containsString="0" containsBlank="1" containsNumber="1" minValue="-36.898888888888891" maxValue="243.55574888888896"/>
    </cacheField>
    <cacheField name="deltakosten2018-2022" numFmtId="1">
      <sharedItems containsMixedTypes="1" containsNumber="1" minValue="-34.286666666666648" maxValue="91.689999999999984"/>
    </cacheField>
    <cacheField name="deltalengte2018-2021" numFmtId="0">
      <sharedItems containsString="0" containsBlank="1" containsNumber="1" minValue="-27282.272231718722" maxValue="32901.331912956397"/>
    </cacheField>
    <cacheField name="Deltalengte2018-2022" numFmtId="1">
      <sharedItems containsMixedTypes="1" containsNumber="1" minValue="-27282.272231718722" maxValue="32901.331912956397"/>
    </cacheField>
    <cacheField name="efficiency2018_2021" numFmtId="0">
      <sharedItems containsString="0" containsBlank="1" containsNumber="1" minValue="-6.4054139323750956" maxValue="22.54609702959776"/>
    </cacheField>
    <cacheField name="efficiency2018_2022" numFmtId="43">
      <sharedItems containsMixedTypes="1" containsNumber="1" minValue="-6.177884335610619" maxValue="46.08951819823244"/>
    </cacheField>
    <cacheField name="grootin2021" numFmtId="0">
      <sharedItems containsString="0" containsBlank="1" containsNumber="1" containsInteger="1" minValue="0" maxValue="1"/>
    </cacheField>
    <cacheField name="grootin2022" numFmtId="0">
      <sharedItems containsSemiMixedTypes="0" containsString="0" containsNumber="1" containsInteger="1" minValue="0" maxValue="1" count="2">
        <n v="0"/>
        <n v="1"/>
      </sharedItems>
    </cacheField>
    <cacheField name="VV2020" numFmtId="0">
      <sharedItems containsSemiMixedTypes="0" containsString="0" containsNumber="1" containsInteger="1" minValue="0" maxValue="1"/>
    </cacheField>
    <cacheField name="PU2020" numFmtId="0">
      <sharedItems containsSemiMixedTypes="0" containsString="0" containsNumber="1" containsInteger="1" minValue="0" maxValue="1"/>
    </cacheField>
    <cacheField name="R2020" numFmtId="0">
      <sharedItems containsSemiMixedTypes="0" containsString="0" containsNumber="1" containsInteger="1" minValue="0" maxValue="1"/>
    </cacheField>
    <cacheField name="Jaren tot R" numFmtId="0">
      <sharedItems containsString="0" containsBlank="1" containsNumber="1" containsInteger="1" minValue="-4" maxValue="14"/>
    </cacheField>
    <cacheField name="Efficiency" numFmtId="43">
      <sharedItems containsString="0" containsBlank="1" containsNumber="1" minValue="0" maxValue="147.05882352941177"/>
    </cacheField>
    <cacheField name="Jaren tot VKA" numFmtId="0">
      <sharedItems containsString="0" containsBlank="1" containsNumber="1" containsInteger="1" minValue="-4" maxValue="10" count="14">
        <n v="2"/>
        <n v="1"/>
        <n v="-2"/>
        <n v="-1"/>
        <n v="0"/>
        <n v="3"/>
        <m/>
        <n v="-3"/>
        <n v="4"/>
        <n v="5"/>
        <n v="-4"/>
        <n v="6"/>
        <n v="10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wan de korte" refreshedDate="44102.724055671293" createdVersion="6" refreshedVersion="6" minRefreshableVersion="3" recordCount="232" xr:uid="{9050F838-33E8-4EDF-9C00-25C1E52233A6}">
  <cacheSource type="worksheet">
    <worksheetSource ref="A1:AT233" sheet="Input data"/>
  </cacheSource>
  <cacheFields count="46">
    <cacheField name="Project" numFmtId="0">
      <sharedItems containsSemiMixedTypes="0" containsString="0" containsNumber="1" containsInteger="1" minValue="1" maxValue="40"/>
    </cacheField>
    <cacheField name="Programma" numFmtId="0">
      <sharedItems containsSemiMixedTypes="0" containsString="0" containsNumber="1" containsInteger="1" minValue="17" maxValue="22" count="6">
        <n v="22"/>
        <n v="21"/>
        <n v="20"/>
        <n v="19"/>
        <n v="18"/>
        <n v="17"/>
      </sharedItems>
    </cacheField>
    <cacheField name="Ranking" numFmtId="0">
      <sharedItems containsBlank="1" containsMixedTypes="1" containsNumber="1" containsInteger="1" minValue="1" maxValue="175"/>
    </cacheField>
    <cacheField name="Projectcode" numFmtId="0">
      <sharedItems containsBlank="1"/>
    </cacheField>
    <cacheField name="beheerder" numFmtId="0">
      <sharedItems containsBlank="1"/>
    </cacheField>
    <cacheField name="Projectnaam" numFmtId="0">
      <sharedItems containsBlank="1"/>
    </cacheField>
    <cacheField name="Lengte (m)" numFmtId="164">
      <sharedItems containsString="0" containsBlank="1" containsNumber="1" minValue="102" maxValue="47345"/>
    </cacheField>
    <cacheField name="Aantal kunst-werken" numFmtId="0">
      <sharedItems containsBlank="1" containsMixedTypes="1" containsNumber="1" containsInteger="1" minValue="1" maxValue="220"/>
    </cacheField>
    <cacheField name="Normvak" numFmtId="0">
      <sharedItems containsBlank="1" containsMixedTypes="1" containsNumber="1" containsInteger="1" minValue="5" maxValue="12"/>
    </cacheField>
    <cacheField name="Samengevoegd ja/nee" numFmtId="0">
      <sharedItems containsString="0" containsBlank="1" containsNumber="1" containsInteger="1" minValue="0" maxValue="1"/>
    </cacheField>
    <cacheField name="Afsplitsing" numFmtId="0">
      <sharedItems containsString="0" containsBlank="1" containsNumber="1" containsInteger="1" minValue="0" maxValue="1"/>
    </cacheField>
    <cacheField name="begin VV" numFmtId="0">
      <sharedItems containsString="0" containsBlank="1" containsNumber="1" containsInteger="1" minValue="2014" maxValue="2028"/>
    </cacheField>
    <cacheField name="Eind VV" numFmtId="0">
      <sharedItems containsString="0" containsBlank="1" containsNumber="1" containsInteger="1" minValue="2017" maxValue="2030"/>
    </cacheField>
    <cacheField name="begin PU" numFmtId="0">
      <sharedItems containsString="0" containsBlank="1" containsNumber="1" containsInteger="1" minValue="2016" maxValue="2030"/>
    </cacheField>
    <cacheField name="Eind PU" numFmtId="0">
      <sharedItems containsString="0" containsBlank="1" containsNumber="1" containsInteger="1" minValue="2017" maxValue="2034"/>
    </cacheField>
    <cacheField name="begin R" numFmtId="0">
      <sharedItems containsString="0" containsBlank="1" containsNumber="1" containsInteger="1" minValue="2016" maxValue="2034"/>
    </cacheField>
    <cacheField name="Eind R" numFmtId="0">
      <sharedItems containsString="0" containsBlank="1" containsNumber="1" containsInteger="1" minValue="2020" maxValue="2036"/>
    </cacheField>
    <cacheField name="duur VV" numFmtId="0">
      <sharedItems containsString="0" containsBlank="1" containsNumber="1" containsInteger="1" minValue="0" maxValue="7"/>
    </cacheField>
    <cacheField name="duur PU" numFmtId="0">
      <sharedItems containsString="0" containsBlank="1" containsNumber="1" containsInteger="1" minValue="0" maxValue="4"/>
    </cacheField>
    <cacheField name="duur R" numFmtId="0">
      <sharedItems containsString="0" containsBlank="1" containsNumber="1" containsInteger="1" minValue="0" maxValue="11"/>
    </cacheField>
    <cacheField name="Totale duur" numFmtId="0">
      <sharedItems containsString="0" containsBlank="1" containsNumber="1" containsInteger="1" minValue="0" maxValue="17"/>
    </cacheField>
    <cacheField name="Netto vertraging t.o.v. vorig jaar OF  netto toename in duur" numFmtId="0">
      <sharedItems containsString="0" containsBlank="1" containsNumber="1" containsInteger="1" minValue="-6" maxValue="11"/>
    </cacheField>
    <cacheField name="Vertraging2018-2021" numFmtId="0">
      <sharedItems containsString="0" containsBlank="1" containsNumber="1" containsInteger="1" minValue="-5" maxValue="10"/>
    </cacheField>
    <cacheField name="Vertraging 2018-2022" numFmtId="0">
      <sharedItems containsString="0" containsBlank="1" containsNumber="1" containsInteger="1" minValue="-2" maxValue="10"/>
    </cacheField>
    <cacheField name="Kosten vv" numFmtId="165">
      <sharedItems containsString="0" containsBlank="1" containsNumber="1" minValue="0" maxValue="20.399999999999999"/>
    </cacheField>
    <cacheField name="Kosten PU" numFmtId="165">
      <sharedItems containsString="0" containsBlank="1" containsNumber="1" minValue="0" maxValue="46.1"/>
    </cacheField>
    <cacheField name="Kosten R" numFmtId="165">
      <sharedItems containsString="0" containsBlank="1" containsNumber="1" minValue="0" maxValue="297.55111111111114"/>
    </cacheField>
    <cacheField name="Kosten totaal" numFmtId="0">
      <sharedItems containsString="0" containsBlank="1" containsNumber="1" minValue="1" maxValue="333.55574888888896"/>
    </cacheField>
    <cacheField name="deltakosten" numFmtId="0">
      <sharedItems containsString="0" containsBlank="1" containsNumber="1" minValue="-72.800000000000011" maxValue="218.33138100000002"/>
    </cacheField>
    <cacheField name="deltakosten2018-2021" numFmtId="0">
      <sharedItems containsString="0" containsBlank="1" containsNumber="1" minValue="-36.898888888888891" maxValue="243.55574888888896"/>
    </cacheField>
    <cacheField name="deltakosten2018-2022" numFmtId="1">
      <sharedItems containsMixedTypes="1" containsNumber="1" minValue="-34.286666666666648" maxValue="91.689999999999984"/>
    </cacheField>
    <cacheField name="deltalengte2018-2021" numFmtId="0">
      <sharedItems containsString="0" containsBlank="1" containsNumber="1" minValue="-27282.272231718722" maxValue="32901.331912956397"/>
    </cacheField>
    <cacheField name="Deltalengte2018-2022" numFmtId="1">
      <sharedItems containsMixedTypes="1" containsNumber="1" minValue="-27282.272231718722" maxValue="32901.331912956397"/>
    </cacheField>
    <cacheField name="efficiency2018_2021" numFmtId="0">
      <sharedItems containsString="0" containsBlank="1" containsNumber="1" minValue="-6.4054139323750956" maxValue="22.54609702959776"/>
    </cacheField>
    <cacheField name="efficiency2018_2022" numFmtId="43">
      <sharedItems containsMixedTypes="1" containsNumber="1" minValue="-6.177884335610619" maxValue="46.08951819823244"/>
    </cacheField>
    <cacheField name="grootin2021" numFmtId="0">
      <sharedItems containsString="0" containsBlank="1" containsNumber="1" containsInteger="1" minValue="0" maxValue="1"/>
    </cacheField>
    <cacheField name="grootin2022" numFmtId="0">
      <sharedItems containsSemiMixedTypes="0" containsString="0" containsNumber="1" containsInteger="1" minValue="0" maxValue="1"/>
    </cacheField>
    <cacheField name="VV2020" numFmtId="0">
      <sharedItems containsSemiMixedTypes="0" containsString="0" containsNumber="1" containsInteger="1" minValue="0" maxValue="1"/>
    </cacheField>
    <cacheField name="PU2020" numFmtId="0">
      <sharedItems containsSemiMixedTypes="0" containsString="0" containsNumber="1" containsInteger="1" minValue="0" maxValue="1"/>
    </cacheField>
    <cacheField name="R2020" numFmtId="0">
      <sharedItems containsSemiMixedTypes="0" containsString="0" containsNumber="1" containsInteger="1" minValue="0" maxValue="1"/>
    </cacheField>
    <cacheField name="Jaren tot R" numFmtId="0">
      <sharedItems containsString="0" containsBlank="1" containsNumber="1" containsInteger="1" minValue="-4" maxValue="14"/>
    </cacheField>
    <cacheField name="Efficiency" numFmtId="43">
      <sharedItems containsString="0" containsBlank="1" containsNumber="1" minValue="0" maxValue="147.05882352941177"/>
    </cacheField>
    <cacheField name="Tijd tot VKA" numFmtId="0">
      <sharedItems containsString="0" containsBlank="1" containsNumber="1" containsInteger="1" minValue="-4" maxValue="10"/>
    </cacheField>
    <cacheField name="Voorbij VKA" numFmtId="0">
      <sharedItems containsBlank="1" containsMixedTypes="1" containsNumber="1" containsInteger="1" minValue="0" maxValue="1"/>
    </cacheField>
    <cacheField name="Voorbij VKA naam" numFmtId="0">
      <sharedItems containsBlank="1" containsMixedTypes="1" containsNumber="1" containsInteger="1" minValue="0" maxValue="1" count="5">
        <n v="1"/>
        <n v="0"/>
        <s v="Na VV" u="1"/>
        <m u="1"/>
        <s v="voor VV" u="1"/>
      </sharedItems>
    </cacheField>
    <cacheField name="Groot in 2022 naam" numFmtId="0">
      <sharedItems containsBlank="1" count="3">
        <s v="klein"/>
        <s v="groo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1"/>
    <s v="22AR+AK"/>
    <s v="Waterschap Rivierenland"/>
    <s v="Streefkerk Ameide Fort Everdingen (SAFE)"/>
    <n v="11755"/>
    <m/>
    <m/>
    <n v="0"/>
    <n v="0"/>
    <n v="2017"/>
    <n v="2022"/>
    <n v="2022"/>
    <n v="2024"/>
    <n v="2024"/>
    <n v="2029"/>
    <n v="5"/>
    <n v="2"/>
    <n v="5"/>
    <n v="12"/>
    <n v="5"/>
    <m/>
    <n v="7"/>
    <n v="3.7777777777777777"/>
    <n v="8"/>
    <n v="20.111111111111111"/>
    <n v="31.888888888888889"/>
    <n v="1.8888888888888893"/>
    <m/>
    <n v="-8.1111111111111107"/>
    <m/>
    <n v="-26606"/>
    <m/>
    <n v="1.930749346578714"/>
    <m/>
    <x v="0"/>
    <n v="1"/>
    <n v="0"/>
    <n v="0"/>
    <n v="4"/>
    <n v="2.7127936102840398"/>
  </r>
  <r>
    <x v="0"/>
    <x v="1"/>
    <n v="1"/>
    <s v="22AR+AK"/>
    <s v="Waterschap Rivierenland"/>
    <s v="Streefkerk Ameide Fort Everdingen (SAFE)"/>
    <n v="39600"/>
    <m/>
    <s v="16-3, 16-4"/>
    <n v="1"/>
    <n v="0"/>
    <n v="2017"/>
    <n v="2021"/>
    <n v="2021"/>
    <n v="2022"/>
    <n v="2022"/>
    <n v="2024"/>
    <n v="4"/>
    <n v="1"/>
    <n v="2"/>
    <n v="7"/>
    <n v="0"/>
    <n v="2"/>
    <m/>
    <n v="6.8344444444444452"/>
    <n v="3"/>
    <n v="20.165555555555553"/>
    <n v="30"/>
    <n v="0"/>
    <n v="0"/>
    <s v=""/>
    <n v="1239"/>
    <s v=""/>
    <n v="-2.446850612956819E-2"/>
    <s v=""/>
    <n v="0"/>
    <x v="0"/>
    <n v="1"/>
    <n v="0"/>
    <n v="0"/>
    <n v="2"/>
    <n v="0.75757575757575757"/>
  </r>
  <r>
    <x v="0"/>
    <x v="2"/>
    <n v="1"/>
    <s v="22AR"/>
    <s v="Waterschap Rivierenland"/>
    <s v="Fort Everdingen-Ameide Sluis + Ameide Streefkerk"/>
    <n v="38361"/>
    <n v="2"/>
    <s v="16-4"/>
    <n v="0"/>
    <n v="0"/>
    <n v="2017"/>
    <n v="2018"/>
    <n v="2018"/>
    <n v="2021"/>
    <n v="2021"/>
    <n v="2024"/>
    <n v="1"/>
    <n v="3"/>
    <n v="3"/>
    <n v="7"/>
    <n v="1"/>
    <m/>
    <m/>
    <n v="3.4611111111111112"/>
    <n v="6.3733333333333348"/>
    <n v="20.165555555555557"/>
    <n v="30.000000000000004"/>
    <n v="0.80000000000000426"/>
    <m/>
    <s v=""/>
    <m/>
    <s v=""/>
    <m/>
    <s v=""/>
    <n v="0"/>
    <x v="0"/>
    <n v="0"/>
    <n v="1"/>
    <n v="0"/>
    <n v="1"/>
    <n v="0.78204426370532587"/>
  </r>
  <r>
    <x v="0"/>
    <x v="3"/>
    <n v="1"/>
    <s v="22AR"/>
    <s v="Waterschap Rivierenland"/>
    <s v="Fort Everdingen-Ameide Sluis + Ameide Streefkerk"/>
    <n v="38361"/>
    <m/>
    <s v="16-4"/>
    <n v="0"/>
    <n v="0"/>
    <n v="2017"/>
    <n v="2019"/>
    <n v="2019"/>
    <n v="2020"/>
    <n v="2020"/>
    <n v="2023"/>
    <n v="2"/>
    <n v="1"/>
    <n v="3"/>
    <n v="6"/>
    <n v="1"/>
    <m/>
    <m/>
    <n v="3"/>
    <n v="6"/>
    <n v="20.2"/>
    <n v="29.2"/>
    <n v="-0.80000000000000071"/>
    <m/>
    <s v=""/>
    <m/>
    <s v=""/>
    <m/>
    <s v=""/>
    <n v="0"/>
    <x v="0"/>
    <n v="0"/>
    <n v="0"/>
    <n v="1"/>
    <n v="0"/>
    <n v="0.76118975000651712"/>
  </r>
  <r>
    <x v="0"/>
    <x v="4"/>
    <n v="1"/>
    <s v="22VLBO16-4 22W"/>
    <s v="Waterschap Rivierenland"/>
    <s v="Fort Everdingen-Ameide Sluis + Ameide Streefkerk"/>
    <n v="38361"/>
    <m/>
    <s v="16-4"/>
    <n v="0"/>
    <n v="0"/>
    <n v="2017"/>
    <n v="2019"/>
    <n v="2019"/>
    <n v="2020"/>
    <n v="2020"/>
    <n v="2022"/>
    <n v="2"/>
    <n v="1"/>
    <n v="2"/>
    <n v="5"/>
    <n v="0"/>
    <m/>
    <m/>
    <n v="3"/>
    <n v="3"/>
    <n v="24"/>
    <n v="30"/>
    <n v="10"/>
    <m/>
    <s v=""/>
    <m/>
    <s v=""/>
    <m/>
    <s v=""/>
    <n v="0"/>
    <x v="0"/>
    <n v="0"/>
    <n v="0"/>
    <n v="1"/>
    <n v="0"/>
    <n v="0.78204426370532576"/>
  </r>
  <r>
    <x v="0"/>
    <x v="5"/>
    <m/>
    <m/>
    <m/>
    <m/>
    <m/>
    <m/>
    <s v="16-4"/>
    <n v="0"/>
    <n v="0"/>
    <n v="2017"/>
    <n v="2019"/>
    <n v="2019"/>
    <n v="2020"/>
    <n v="2020"/>
    <n v="2022"/>
    <n v="2"/>
    <n v="1"/>
    <n v="2"/>
    <n v="5"/>
    <m/>
    <m/>
    <m/>
    <n v="2"/>
    <n v="2"/>
    <n v="16"/>
    <n v="20"/>
    <m/>
    <m/>
    <s v=""/>
    <m/>
    <s v=""/>
    <m/>
    <s v=""/>
    <n v="0"/>
    <x v="0"/>
    <n v="0"/>
    <n v="0"/>
    <n v="1"/>
    <n v="0"/>
    <m/>
  </r>
  <r>
    <x v="1"/>
    <x v="0"/>
    <n v="2"/>
    <s v="25P"/>
    <s v="Waterschap Vallei en Veluwe"/>
    <s v="Grebbedijk"/>
    <n v="5400"/>
    <m/>
    <m/>
    <n v="0"/>
    <n v="0"/>
    <n v="2017"/>
    <n v="2021"/>
    <n v="2021"/>
    <n v="2023"/>
    <n v="2023"/>
    <n v="2026"/>
    <n v="4"/>
    <n v="2"/>
    <n v="3"/>
    <n v="9"/>
    <n v="0"/>
    <m/>
    <n v="0"/>
    <n v="6.7777777777777768"/>
    <n v="5.5"/>
    <n v="46.222222222222221"/>
    <n v="58.5"/>
    <n v="-27.087777777777774"/>
    <m/>
    <n v="-27.030227777777775"/>
    <m/>
    <n v="46.096176043620289"/>
    <m/>
    <n v="3.8477763958606515"/>
    <m/>
    <x v="0"/>
    <n v="1"/>
    <n v="0"/>
    <n v="0"/>
    <n v="3"/>
    <n v="10.833333333333332"/>
  </r>
  <r>
    <x v="1"/>
    <x v="1"/>
    <n v="2"/>
    <s v="25P"/>
    <s v="Waterschap Vallei en Veluwe"/>
    <s v="Grebbedijk"/>
    <n v="5400"/>
    <m/>
    <s v="45-1"/>
    <n v="0"/>
    <n v="0"/>
    <n v="2017"/>
    <n v="2021"/>
    <n v="2021"/>
    <n v="2024"/>
    <n v="2024"/>
    <n v="2026"/>
    <n v="4"/>
    <n v="3"/>
    <n v="2"/>
    <n v="9"/>
    <n v="0"/>
    <n v="0"/>
    <m/>
    <n v="6.8288888888888888"/>
    <n v="5.4944444444444445"/>
    <n v="73.264444444444436"/>
    <n v="85.587777777777774"/>
    <n v="0.65888888888888175"/>
    <n v="48.187777777777775"/>
    <s v=""/>
    <n v="46.096176043620289"/>
    <s v=""/>
    <n v="8.8640315398935741"/>
    <s v=""/>
    <n v="1"/>
    <x v="0"/>
    <n v="1"/>
    <n v="0"/>
    <n v="0"/>
    <n v="4"/>
    <n v="15.849588477366254"/>
  </r>
  <r>
    <x v="1"/>
    <x v="2"/>
    <n v="4"/>
    <s v="25Q"/>
    <s v="Waterschap Vallei en Veluwe"/>
    <s v="Grebbedijk"/>
    <n v="5353.9038239563797"/>
    <n v="6"/>
    <s v="45-1"/>
    <n v="0"/>
    <n v="0"/>
    <n v="2017"/>
    <n v="2021"/>
    <n v="2021"/>
    <n v="2024"/>
    <n v="2024"/>
    <n v="2026"/>
    <n v="4"/>
    <n v="3"/>
    <n v="2"/>
    <n v="9"/>
    <n v="0"/>
    <m/>
    <m/>
    <n v="6.8288888888888888"/>
    <n v="4.9000000000000004"/>
    <n v="73.2"/>
    <n v="84.928888888888892"/>
    <n v="5.5348888888889007"/>
    <m/>
    <s v=""/>
    <m/>
    <s v=""/>
    <m/>
    <s v=""/>
    <n v="1"/>
    <x v="0"/>
    <n v="1"/>
    <n v="0"/>
    <n v="0"/>
    <n v="4"/>
    <n v="15.86298366228942"/>
  </r>
  <r>
    <x v="1"/>
    <x v="3"/>
    <n v="3"/>
    <s v="25Q"/>
    <s v="Waterschap Vallei en Veluwe"/>
    <s v="Grebbedijk"/>
    <n v="5353.9038239563797"/>
    <m/>
    <s v="45-1"/>
    <n v="0"/>
    <n v="0"/>
    <n v="2017"/>
    <n v="2021"/>
    <n v="2021"/>
    <n v="2024"/>
    <n v="2024"/>
    <n v="2026"/>
    <n v="4"/>
    <n v="3"/>
    <n v="2"/>
    <n v="9"/>
    <n v="0"/>
    <m/>
    <m/>
    <n v="0.6"/>
    <n v="5.4939999999999998"/>
    <n v="73.3"/>
    <n v="79.393999999999991"/>
    <n v="41.993999999999993"/>
    <m/>
    <s v=""/>
    <m/>
    <s v=""/>
    <m/>
    <s v=""/>
    <n v="1"/>
    <x v="0"/>
    <n v="1"/>
    <n v="0"/>
    <n v="0"/>
    <n v="4"/>
    <n v="14.829179344751497"/>
  </r>
  <r>
    <x v="1"/>
    <x v="4"/>
    <n v="3"/>
    <s v="25VLBO45-1 25P"/>
    <s v="Waterschap Vallei en Veluwe"/>
    <s v="Grebbedijk"/>
    <n v="5353.9038239563797"/>
    <m/>
    <s v="45-1"/>
    <n v="0"/>
    <n v="0"/>
    <n v="2017"/>
    <n v="2021"/>
    <n v="2021"/>
    <n v="2023"/>
    <n v="2023"/>
    <n v="2026"/>
    <n v="4"/>
    <n v="2"/>
    <n v="3"/>
    <n v="9"/>
    <n v="0"/>
    <m/>
    <m/>
    <n v="1.9"/>
    <n v="3.7"/>
    <n v="31.8"/>
    <n v="37.4"/>
    <n v="-5.7549999999999102E-2"/>
    <m/>
    <s v=""/>
    <m/>
    <s v=""/>
    <m/>
    <s v=""/>
    <n v="1"/>
    <x v="0"/>
    <n v="1"/>
    <n v="0"/>
    <n v="0"/>
    <n v="3"/>
    <n v="6.9855569374726807"/>
  </r>
  <r>
    <x v="1"/>
    <x v="5"/>
    <n v="3"/>
    <m/>
    <s v="Waterschap Vallei en Veluwe"/>
    <s v="Grebbedijk"/>
    <n v="5353.9038239563797"/>
    <m/>
    <s v="45-2"/>
    <n v="0"/>
    <n v="0"/>
    <n v="2017"/>
    <n v="2021"/>
    <n v="2021"/>
    <n v="2023"/>
    <n v="2023"/>
    <n v="2026"/>
    <n v="4"/>
    <n v="2"/>
    <n v="3"/>
    <n v="9"/>
    <m/>
    <m/>
    <m/>
    <n v="1.9"/>
    <n v="3.7429000000000006"/>
    <n v="31.81465"/>
    <n v="37.457549999999998"/>
    <m/>
    <m/>
    <s v=""/>
    <m/>
    <s v=""/>
    <m/>
    <s v=""/>
    <n v="1"/>
    <x v="0"/>
    <n v="1"/>
    <n v="0"/>
    <n v="0"/>
    <n v="3"/>
    <n v="6.9963061032949145"/>
  </r>
  <r>
    <x v="2"/>
    <x v="0"/>
    <n v="3"/>
    <s v="22D"/>
    <s v="Waterschap Rivierenland"/>
    <s v="Neder-Betuwe"/>
    <n v="20200"/>
    <m/>
    <m/>
    <n v="0"/>
    <n v="0"/>
    <n v="2016"/>
    <n v="2020"/>
    <n v="2020"/>
    <n v="2023"/>
    <n v="2023"/>
    <n v="2028"/>
    <n v="4"/>
    <n v="3"/>
    <n v="5"/>
    <n v="12"/>
    <n v="1"/>
    <m/>
    <n v="4"/>
    <n v="9"/>
    <n v="13.444444444444443"/>
    <n v="190.11111111111111"/>
    <n v="212.55555555555554"/>
    <n v="83.936666666666667"/>
    <m/>
    <n v="35.59419166666666"/>
    <m/>
    <n v="91.829682285890158"/>
    <m/>
    <n v="4.9720202694414262"/>
    <m/>
    <x v="1"/>
    <n v="0"/>
    <n v="1"/>
    <n v="0"/>
    <n v="3"/>
    <n v="10.522552255225522"/>
  </r>
  <r>
    <x v="2"/>
    <x v="1"/>
    <n v="3"/>
    <s v="22D"/>
    <s v="Waterschap Rivierenland"/>
    <s v="Neder-Betuwe"/>
    <n v="20200"/>
    <m/>
    <s v="43-5"/>
    <n v="0"/>
    <n v="0"/>
    <n v="2016"/>
    <n v="2020"/>
    <n v="2020"/>
    <n v="2023"/>
    <n v="2023"/>
    <n v="2027"/>
    <n v="4"/>
    <n v="3"/>
    <n v="4"/>
    <n v="11"/>
    <n v="2"/>
    <n v="3"/>
    <m/>
    <n v="9.0399999999999991"/>
    <n v="7.7166666666666668"/>
    <n v="111.86222222222221"/>
    <n v="128.61888888888888"/>
    <n v="-3.8888888888891415E-2"/>
    <n v="3.6764138888888738"/>
    <s v=""/>
    <n v="91.829682285890158"/>
    <s v=""/>
    <n v="0.15375388711677296"/>
    <s v=""/>
    <n v="1"/>
    <x v="1"/>
    <n v="0"/>
    <n v="1"/>
    <n v="0"/>
    <n v="3"/>
    <n v="6.3672717271727164"/>
  </r>
  <r>
    <x v="2"/>
    <x v="2"/>
    <n v="5"/>
    <s v="22D"/>
    <s v="Waterschap Rivierenland"/>
    <s v="Neder-Betuwe"/>
    <n v="22510"/>
    <n v="220"/>
    <s v="43-5"/>
    <n v="0"/>
    <n v="0"/>
    <n v="2016"/>
    <n v="2019"/>
    <n v="2019"/>
    <n v="2022"/>
    <n v="2022"/>
    <n v="2025"/>
    <n v="3"/>
    <n v="3"/>
    <n v="3"/>
    <n v="9"/>
    <n v="1"/>
    <m/>
    <m/>
    <n v="9.0399999999999991"/>
    <n v="7.7177777777777772"/>
    <n v="111.9"/>
    <n v="128.65777777777777"/>
    <n v="3.7515067777777631"/>
    <m/>
    <s v=""/>
    <m/>
    <s v=""/>
    <m/>
    <s v=""/>
    <n v="1"/>
    <x v="1"/>
    <n v="0"/>
    <n v="1"/>
    <n v="0"/>
    <n v="2"/>
    <n v="5.7155831975911928"/>
  </r>
  <r>
    <x v="2"/>
    <x v="3"/>
    <n v="4"/>
    <s v="22D"/>
    <s v="Waterschap Rivierenland"/>
    <s v="Neder-Betuwe"/>
    <n v="22510"/>
    <m/>
    <s v="43-5"/>
    <n v="0"/>
    <n v="0"/>
    <n v="2016"/>
    <n v="2019"/>
    <n v="2019"/>
    <n v="2021"/>
    <n v="2021"/>
    <n v="2024"/>
    <n v="3"/>
    <n v="2"/>
    <n v="3"/>
    <n v="8"/>
    <n v="0"/>
    <m/>
    <m/>
    <n v="5.3252709999999999"/>
    <n v="7.718"/>
    <n v="111.863"/>
    <n v="124.906271"/>
    <n v="-3.6203999999997905E-2"/>
    <m/>
    <s v=""/>
    <m/>
    <s v=""/>
    <m/>
    <s v=""/>
    <n v="1"/>
    <x v="1"/>
    <n v="0"/>
    <n v="1"/>
    <n v="0"/>
    <n v="1"/>
    <n v="5.5489236339404711"/>
  </r>
  <r>
    <x v="2"/>
    <x v="4"/>
    <n v="5"/>
    <s v="22D + 22VLBO43-5 22AB"/>
    <s v="Waterschap Rivierenland"/>
    <s v="Neder-Betuwe"/>
    <n v="20108.17031771411"/>
    <m/>
    <s v="43-5"/>
    <n v="0"/>
    <n v="0"/>
    <n v="2016"/>
    <n v="2019"/>
    <n v="2019"/>
    <n v="2021"/>
    <n v="2021"/>
    <n v="2024"/>
    <n v="3"/>
    <n v="2"/>
    <n v="3"/>
    <n v="8"/>
    <n v="0"/>
    <m/>
    <m/>
    <n v="5.3252709999999999"/>
    <n v="7.7172040000000006"/>
    <n v="111.9"/>
    <n v="124.942475"/>
    <n v="48.342475000000007"/>
    <m/>
    <s v=""/>
    <m/>
    <s v=""/>
    <m/>
    <s v=""/>
    <n v="1"/>
    <x v="1"/>
    <n v="0"/>
    <n v="1"/>
    <n v="0"/>
    <n v="1"/>
    <n v="6.2135178400559434"/>
  </r>
  <r>
    <x v="2"/>
    <x v="5"/>
    <n v="6"/>
    <s v="22D"/>
    <s v="Waterschap Rivierenland"/>
    <s v="Neder-Betuwe"/>
    <m/>
    <m/>
    <m/>
    <n v="0"/>
    <n v="0"/>
    <n v="2016"/>
    <n v="2019"/>
    <n v="2019"/>
    <n v="2021"/>
    <n v="2021"/>
    <n v="2024"/>
    <n v="3"/>
    <n v="2"/>
    <n v="3"/>
    <n v="8"/>
    <m/>
    <m/>
    <m/>
    <n v="3.8"/>
    <n v="7.7"/>
    <n v="65.099999999999994"/>
    <n v="76.599999999999994"/>
    <m/>
    <m/>
    <s v=""/>
    <m/>
    <s v=""/>
    <m/>
    <s v=""/>
    <n v="1"/>
    <x v="1"/>
    <n v="0"/>
    <n v="1"/>
    <n v="0"/>
    <n v="1"/>
    <m/>
  </r>
  <r>
    <x v="3"/>
    <x v="0"/>
    <n v="5"/>
    <s v="05c"/>
    <s v="HHRS van Rijnland"/>
    <s v="IJsseldijk Gouda Voorlanden spoor 5 (vh spoor 3 fase 2) + Verbetering IJsseldijk Gouda Stadsfront Voorlanden spoor 3 "/>
    <n v="2246"/>
    <m/>
    <m/>
    <n v="1"/>
    <n v="0"/>
    <n v="2021"/>
    <n v="2023"/>
    <n v="2023"/>
    <n v="2025"/>
    <n v="2025"/>
    <n v="2028"/>
    <n v="2"/>
    <n v="2"/>
    <n v="3"/>
    <n v="7"/>
    <n v="-2"/>
    <m/>
    <n v="0"/>
    <n v="0.66666666666666663"/>
    <n v="0.44444444444444448"/>
    <n v="21.333333333333332"/>
    <n v="22.444444444444443"/>
    <n v="-7.0000000000003837E-2"/>
    <m/>
    <n v="-7.0000000000003837E-2"/>
    <m/>
    <n v="102.30998476669174"/>
    <m/>
    <n v="-1.0626288311432042"/>
    <m/>
    <x v="0"/>
    <n v="0"/>
    <n v="0"/>
    <n v="0"/>
    <n v="5"/>
    <n v="9.9930741070545164"/>
  </r>
  <r>
    <x v="3"/>
    <x v="1"/>
    <n v="5"/>
    <s v="05c"/>
    <s v="HHRS van Rijnland"/>
    <s v="IJsseldijk Gouda spoor 3 (fase 2) "/>
    <n v="2144"/>
    <n v="3"/>
    <s v="14-1"/>
    <n v="0"/>
    <n v="0"/>
    <n v="2020"/>
    <n v="2022"/>
    <n v="2022"/>
    <n v="2024"/>
    <n v="2024"/>
    <n v="2029"/>
    <n v="2"/>
    <n v="2"/>
    <n v="5"/>
    <n v="9"/>
    <n v="-1"/>
    <n v="2"/>
    <m/>
    <n v="2"/>
    <n v="2.37"/>
    <n v="18.144444444444446"/>
    <n v="22.514444444444447"/>
    <n v="-1.2555555555555564"/>
    <n v="-1.1855555555555561"/>
    <s v=""/>
    <n v="0.30998476669174124"/>
    <s v=""/>
    <m/>
    <s v=""/>
    <n v="0"/>
    <x v="0"/>
    <n v="1"/>
    <n v="0"/>
    <n v="0"/>
    <n v="4"/>
    <n v="10.501140132669985"/>
  </r>
  <r>
    <x v="3"/>
    <x v="2"/>
    <n v="9"/>
    <s v="05c"/>
    <s v="HHRS van Rijnland"/>
    <s v="IJsseldijk Gouda (fase 2)"/>
    <n v="2143.6900152333083"/>
    <n v="4"/>
    <s v="14-1"/>
    <n v="0"/>
    <n v="0"/>
    <n v="2016"/>
    <n v="2020"/>
    <n v="2020"/>
    <n v="2022"/>
    <n v="2022"/>
    <n v="2026"/>
    <n v="4"/>
    <n v="2"/>
    <n v="4"/>
    <n v="10"/>
    <n v="3"/>
    <m/>
    <m/>
    <n v="3.5700000000000003"/>
    <n v="1.8"/>
    <n v="18.400000000000002"/>
    <n v="23.770000000000003"/>
    <n v="5.5000000000003268E-2"/>
    <m/>
    <s v=""/>
    <m/>
    <s v=""/>
    <m/>
    <s v=""/>
    <n v="0"/>
    <x v="0"/>
    <n v="0"/>
    <n v="1"/>
    <n v="0"/>
    <n v="2"/>
    <n v="11.088356913120668"/>
  </r>
  <r>
    <x v="3"/>
    <x v="3"/>
    <n v="7"/>
    <s v="05c"/>
    <s v="HHRS van Rijnland"/>
    <s v="IJsseldijk Gouda (fase 2)"/>
    <n v="2143.6900152333083"/>
    <n v="3"/>
    <s v="14-1"/>
    <n v="0"/>
    <n v="0"/>
    <n v="2016"/>
    <n v="2018"/>
    <n v="2018"/>
    <n v="2021"/>
    <n v="2021"/>
    <n v="2023"/>
    <n v="2"/>
    <n v="3"/>
    <n v="2"/>
    <n v="7"/>
    <n v="0"/>
    <m/>
    <m/>
    <n v="1.2"/>
    <n v="2.37"/>
    <n v="20.145"/>
    <n v="23.715"/>
    <n v="1.4999999999997016E-2"/>
    <m/>
    <s v=""/>
    <m/>
    <s v=""/>
    <m/>
    <s v=""/>
    <n v="0"/>
    <x v="0"/>
    <n v="0"/>
    <n v="1"/>
    <n v="0"/>
    <n v="1"/>
    <n v="11.062700218538351"/>
  </r>
  <r>
    <x v="3"/>
    <x v="4"/>
    <n v="10"/>
    <s v="05c"/>
    <s v="HHRS van Rijnland"/>
    <s v="IJsseldijk Gouda (fase 2)"/>
    <n v="2143.6900152333083"/>
    <n v="3"/>
    <s v="14-1"/>
    <n v="0"/>
    <n v="0"/>
    <n v="2016"/>
    <n v="2019"/>
    <n v="2019"/>
    <n v="2021"/>
    <n v="2021"/>
    <n v="2023"/>
    <n v="3"/>
    <n v="2"/>
    <n v="2"/>
    <n v="7"/>
    <n v="0"/>
    <m/>
    <m/>
    <n v="1.2"/>
    <n v="2.4"/>
    <n v="20.100000000000001"/>
    <n v="23.700000000000003"/>
    <n v="0"/>
    <m/>
    <s v=""/>
    <m/>
    <s v=""/>
    <m/>
    <s v=""/>
    <n v="0"/>
    <x v="0"/>
    <n v="0"/>
    <n v="1"/>
    <n v="0"/>
    <n v="1"/>
    <n v="11.055702938197721"/>
  </r>
  <r>
    <x v="3"/>
    <x v="5"/>
    <n v="9"/>
    <s v="05c"/>
    <s v="HHRS van Rijnland"/>
    <s v="IJsseldijk Gouda (fase 2)"/>
    <m/>
    <m/>
    <m/>
    <n v="0"/>
    <n v="0"/>
    <n v="2016"/>
    <n v="2019"/>
    <n v="2019"/>
    <n v="2021"/>
    <n v="2021"/>
    <n v="2023"/>
    <n v="3"/>
    <n v="2"/>
    <n v="2"/>
    <n v="7"/>
    <m/>
    <m/>
    <m/>
    <n v="1.2"/>
    <n v="2.4"/>
    <n v="20.100000000000001"/>
    <n v="23.700000000000003"/>
    <m/>
    <m/>
    <s v=""/>
    <m/>
    <s v=""/>
    <m/>
    <s v=""/>
    <n v="0"/>
    <x v="0"/>
    <n v="0"/>
    <n v="1"/>
    <n v="0"/>
    <n v="1"/>
    <m/>
  </r>
  <r>
    <x v="4"/>
    <x v="0"/>
    <n v="6"/>
    <s v="22AW+BW"/>
    <s v="Waterschap Rivierenland"/>
    <s v="Sprok-Sterreschans-Heteren"/>
    <n v="38459"/>
    <m/>
    <m/>
    <n v="0"/>
    <n v="0"/>
    <n v="2019"/>
    <n v="2021"/>
    <n v="2021"/>
    <n v="2025"/>
    <n v="2025"/>
    <n v="2036"/>
    <n v="2"/>
    <n v="4"/>
    <n v="11"/>
    <n v="17"/>
    <n v="5"/>
    <m/>
    <n v="8"/>
    <n v="13.555555555555554"/>
    <n v="27"/>
    <n v="176.66666666666666"/>
    <n v="217.22222222222223"/>
    <n v="3.9077777777777669"/>
    <m/>
    <n v="-6.582222222222228"/>
    <m/>
    <n v="25059.240667356971"/>
    <m/>
    <n v="-0.55407166650776851"/>
    <m/>
    <x v="1"/>
    <n v="1"/>
    <n v="0"/>
    <n v="0"/>
    <n v="5"/>
    <n v="5.6481505557144542"/>
  </r>
  <r>
    <x v="4"/>
    <x v="1"/>
    <n v="6"/>
    <s v="22AW+BW"/>
    <s v="Waterschap Rivierenland"/>
    <s v="Sprok-Sterreschans-Heteren"/>
    <n v="38459"/>
    <m/>
    <s v="43-3 43-4"/>
    <n v="1"/>
    <n v="0"/>
    <n v="2018"/>
    <n v="2023"/>
    <n v="2023"/>
    <n v="2025"/>
    <n v="2025"/>
    <n v="2030"/>
    <n v="5"/>
    <n v="2"/>
    <n v="5"/>
    <n v="12"/>
    <n v="-2"/>
    <n v="3"/>
    <m/>
    <n v="9.3699999999999992"/>
    <n v="21.555555555555554"/>
    <n v="182.38888888888891"/>
    <n v="213.31444444444446"/>
    <n v="109.52555555555558"/>
    <n v="129.58444444444444"/>
    <s v=""/>
    <n v="25059.240667356971"/>
    <s v=""/>
    <n v="-0.70207806215863755"/>
    <s v=""/>
    <n v="1"/>
    <x v="1"/>
    <n v="1"/>
    <n v="0"/>
    <n v="0"/>
    <n v="5"/>
    <n v="5.5465416273029575"/>
  </r>
  <r>
    <x v="4"/>
    <x v="2"/>
    <n v="14"/>
    <s v="22AW"/>
    <s v="Waterschap Rivierenland"/>
    <s v="Sprok-Sterreschans (Kop van Betuwe)"/>
    <n v="13500"/>
    <n v="9"/>
    <s v="43-4"/>
    <n v="0"/>
    <n v="0"/>
    <n v="2018"/>
    <n v="2023"/>
    <n v="2023"/>
    <n v="2026"/>
    <n v="2026"/>
    <n v="2032"/>
    <n v="5"/>
    <n v="3"/>
    <n v="6"/>
    <n v="14"/>
    <n v="5"/>
    <m/>
    <m/>
    <n v="8.3888888888888893"/>
    <n v="16.2"/>
    <n v="79.199999999999989"/>
    <n v="103.78888888888888"/>
    <n v="18.038888888888877"/>
    <m/>
    <s v=""/>
    <m/>
    <s v=""/>
    <m/>
    <s v=""/>
    <n v="1"/>
    <x v="1"/>
    <n v="1"/>
    <n v="0"/>
    <n v="0"/>
    <n v="6"/>
    <n v="7.6880658436213984"/>
  </r>
  <r>
    <x v="4"/>
    <x v="3"/>
    <n v="13"/>
    <s v="22AW"/>
    <s v="Waterschap Rivierenland"/>
    <s v="Sprok-Sterreschans"/>
    <n v="13500"/>
    <m/>
    <s v="43-4"/>
    <n v="0"/>
    <n v="0"/>
    <n v="2018"/>
    <n v="2022"/>
    <n v="2022"/>
    <n v="2024"/>
    <n v="2024"/>
    <n v="2027"/>
    <n v="4"/>
    <n v="2"/>
    <n v="3"/>
    <n v="9"/>
    <n v="0"/>
    <m/>
    <m/>
    <n v="6.94"/>
    <n v="8.6"/>
    <n v="70.209999999999994"/>
    <n v="85.75"/>
    <n v="2.019999999999996"/>
    <m/>
    <s v=""/>
    <m/>
    <s v=""/>
    <m/>
    <s v=""/>
    <n v="1"/>
    <x v="1"/>
    <n v="1"/>
    <n v="0"/>
    <n v="0"/>
    <n v="4"/>
    <n v="6.3518518518518521"/>
  </r>
  <r>
    <x v="4"/>
    <x v="4"/>
    <n v="17"/>
    <s v="22AG + 22VLB043-4 22AG"/>
    <s v="Waterschap Rivierenland"/>
    <s v="Sprok-Sterreschans"/>
    <n v="13399.759332643031"/>
    <m/>
    <s v="43-4"/>
    <n v="0"/>
    <n v="0"/>
    <n v="2018"/>
    <n v="2022"/>
    <n v="2022"/>
    <n v="2024"/>
    <n v="2024"/>
    <n v="2027"/>
    <n v="4"/>
    <n v="2"/>
    <n v="3"/>
    <n v="9"/>
    <n v="0"/>
    <m/>
    <m/>
    <n v="4.1400000000000006"/>
    <n v="8.48"/>
    <n v="71.11"/>
    <n v="83.73"/>
    <n v="10.489999999999995"/>
    <m/>
    <s v=""/>
    <m/>
    <s v=""/>
    <m/>
    <s v=""/>
    <n v="1"/>
    <x v="1"/>
    <n v="1"/>
    <n v="0"/>
    <n v="0"/>
    <n v="4"/>
    <n v="6.2486196894615951"/>
  </r>
  <r>
    <x v="4"/>
    <x v="5"/>
    <n v="15"/>
    <s v="Algemeen filter (4)"/>
    <s v="Waterschap Rivierenland"/>
    <s v="Tussenstuk: A50 - Doornenburg (sluit aan bij 22M)"/>
    <m/>
    <m/>
    <s v="43-4"/>
    <n v="0"/>
    <n v="0"/>
    <n v="2018"/>
    <n v="2022"/>
    <n v="2022"/>
    <n v="2024"/>
    <n v="2024"/>
    <n v="2027"/>
    <n v="4"/>
    <n v="2"/>
    <n v="3"/>
    <n v="9"/>
    <m/>
    <m/>
    <m/>
    <n v="3.6399999999999997"/>
    <n v="7.4"/>
    <n v="62.2"/>
    <n v="73.240000000000009"/>
    <m/>
    <m/>
    <s v=""/>
    <m/>
    <s v=""/>
    <m/>
    <s v=""/>
    <n v="1"/>
    <x v="1"/>
    <n v="1"/>
    <n v="0"/>
    <n v="0"/>
    <n v="4"/>
    <m/>
  </r>
  <r>
    <x v="5"/>
    <x v="0"/>
    <n v="7"/>
    <s v="22K"/>
    <s v="Waterschap Rivierenland"/>
    <s v="Stad Tiel excl Fluvia"/>
    <n v="2585"/>
    <m/>
    <s v="43-6"/>
    <n v="0"/>
    <n v="0"/>
    <n v="2018"/>
    <n v="2020"/>
    <n v="2020"/>
    <n v="2022"/>
    <n v="2022"/>
    <n v="2025"/>
    <n v="2"/>
    <n v="2"/>
    <n v="3"/>
    <n v="7"/>
    <n v="0"/>
    <m/>
    <n v="0"/>
    <n v="4.09"/>
    <n v="6.333333333333333"/>
    <n v="30.2"/>
    <n v="40.623333333333335"/>
    <n v="15.867777777777782"/>
    <m/>
    <n v="17.367777777777778"/>
    <m/>
    <n v="-110.94996646869367"/>
    <m/>
    <n v="1.9928003438641735"/>
    <m/>
    <x v="0"/>
    <n v="0"/>
    <n v="1"/>
    <n v="0"/>
    <n v="2"/>
    <n v="15.715022566086397"/>
  </r>
  <r>
    <x v="5"/>
    <x v="1"/>
    <n v="7"/>
    <s v="22K"/>
    <s v="Waterschap Rivierenland"/>
    <s v="Stad Tiel excl Fluvia"/>
    <n v="2585"/>
    <m/>
    <s v="43-6"/>
    <n v="0"/>
    <n v="0"/>
    <n v="2018"/>
    <n v="2020"/>
    <n v="2020"/>
    <n v="2022"/>
    <n v="2022"/>
    <n v="2025"/>
    <n v="2"/>
    <n v="2"/>
    <n v="3"/>
    <n v="7"/>
    <n v="1"/>
    <n v="0"/>
    <m/>
    <n v="4.09"/>
    <n v="5.583333333333333"/>
    <n v="15.082222222222223"/>
    <n v="24.755555555555553"/>
    <n v="-41.912222222222219"/>
    <n v="5.5555555555550029E-2"/>
    <s v=""/>
    <n v="-110.94996646869367"/>
    <s v=""/>
    <n v="0.41472613761414046"/>
    <s v=""/>
    <n v="0"/>
    <x v="0"/>
    <n v="0"/>
    <n v="1"/>
    <n v="0"/>
    <n v="2"/>
    <n v="9.5766172361917032"/>
  </r>
  <r>
    <x v="5"/>
    <x v="2"/>
    <n v="17"/>
    <s v="22K"/>
    <s v="Waterschap Rivierenland"/>
    <s v="Stad Tiel"/>
    <n v="2585"/>
    <n v="20"/>
    <s v="43-6"/>
    <n v="0"/>
    <n v="0"/>
    <n v="2018"/>
    <n v="2020"/>
    <n v="2020"/>
    <n v="2022"/>
    <n v="2022"/>
    <n v="2024"/>
    <n v="2"/>
    <n v="2"/>
    <n v="2"/>
    <n v="6"/>
    <n v="0"/>
    <m/>
    <m/>
    <n v="4.6377777777777771"/>
    <n v="5.03"/>
    <n v="57"/>
    <n v="66.667777777777772"/>
    <n v="40.867777777777775"/>
    <m/>
    <s v=""/>
    <m/>
    <s v=""/>
    <m/>
    <s v=""/>
    <n v="0"/>
    <x v="0"/>
    <n v="0"/>
    <n v="1"/>
    <n v="0"/>
    <n v="2"/>
    <n v="25.790242854072641"/>
  </r>
  <r>
    <x v="5"/>
    <x v="3"/>
    <n v="14"/>
    <s v="22K"/>
    <s v="Waterschap Rivierenland"/>
    <s v="Stad Tiel"/>
    <n v="1800"/>
    <m/>
    <s v="43-6"/>
    <n v="0"/>
    <n v="0"/>
    <n v="2018"/>
    <n v="2020"/>
    <n v="2020"/>
    <n v="2022"/>
    <n v="2022"/>
    <n v="2024"/>
    <n v="2"/>
    <n v="2"/>
    <n v="2"/>
    <n v="6"/>
    <n v="-1"/>
    <m/>
    <m/>
    <n v="2.2999999999999998"/>
    <n v="2.4"/>
    <n v="21.1"/>
    <n v="25.8"/>
    <n v="1.0999999999999979"/>
    <m/>
    <s v=""/>
    <m/>
    <s v=""/>
    <m/>
    <s v=""/>
    <n v="0"/>
    <x v="0"/>
    <n v="0"/>
    <n v="1"/>
    <n v="0"/>
    <n v="2"/>
    <n v="14.333333333333334"/>
  </r>
  <r>
    <x v="5"/>
    <x v="4"/>
    <n v="23"/>
    <s v="22K"/>
    <s v="Waterschap Rivierenland"/>
    <s v="Stad Tiel"/>
    <n v="2695.9499664686937"/>
    <m/>
    <s v="43-6"/>
    <n v="0"/>
    <n v="0"/>
    <n v="2018"/>
    <n v="2020"/>
    <n v="2020"/>
    <n v="2022"/>
    <n v="2022"/>
    <n v="2025"/>
    <n v="2"/>
    <n v="2"/>
    <n v="3"/>
    <n v="7"/>
    <n v="-1"/>
    <m/>
    <m/>
    <n v="1.2"/>
    <n v="2.4"/>
    <n v="21.1"/>
    <n v="24.700000000000003"/>
    <n v="-1.4999999999999964"/>
    <m/>
    <s v=""/>
    <m/>
    <s v=""/>
    <m/>
    <s v=""/>
    <n v="0"/>
    <x v="0"/>
    <n v="0"/>
    <n v="1"/>
    <n v="0"/>
    <n v="2"/>
    <n v="9.1618910985775628"/>
  </r>
  <r>
    <x v="5"/>
    <x v="5"/>
    <n v="16"/>
    <s v="22K"/>
    <s v="Waterschap Rivierenland"/>
    <s v="Stad Tiel"/>
    <m/>
    <m/>
    <m/>
    <n v="0"/>
    <n v="0"/>
    <n v="2016"/>
    <n v="2020"/>
    <n v="2020"/>
    <n v="2022"/>
    <n v="2022"/>
    <n v="2024"/>
    <n v="4"/>
    <n v="2"/>
    <n v="2"/>
    <n v="8"/>
    <m/>
    <m/>
    <m/>
    <n v="2.5999999999999996"/>
    <n v="2.4"/>
    <n v="21.2"/>
    <n v="26.2"/>
    <m/>
    <m/>
    <s v=""/>
    <m/>
    <s v=""/>
    <m/>
    <s v=""/>
    <n v="0"/>
    <x v="0"/>
    <n v="0"/>
    <n v="1"/>
    <n v="0"/>
    <n v="2"/>
    <m/>
  </r>
  <r>
    <x v="6"/>
    <x v="0"/>
    <n v="8"/>
    <s v="16E"/>
    <s v="Waterschap Hollandse Delta"/>
    <s v="Zettingsvloeiing V3T"/>
    <n v="6050"/>
    <m/>
    <m/>
    <n v="0"/>
    <n v="0"/>
    <m/>
    <m/>
    <n v="2020"/>
    <n v="2022"/>
    <n v="2022"/>
    <n v="2025"/>
    <n v="0"/>
    <n v="2"/>
    <n v="3"/>
    <n v="5"/>
    <n v="3"/>
    <m/>
    <n v="-2"/>
    <n v="4"/>
    <m/>
    <n v="36.55555555555555"/>
    <n v="40.55555555555555"/>
    <n v="0.55555555555555003"/>
    <m/>
    <n v="0.55555555555555003"/>
    <m/>
    <n v="-323.86885018160046"/>
    <m/>
    <n v="-0.96855189720475998"/>
    <m/>
    <x v="0"/>
    <n v="0"/>
    <n v="1"/>
    <n v="0"/>
    <n v="2"/>
    <n v="6.7033976124885211"/>
  </r>
  <r>
    <x v="6"/>
    <x v="1"/>
    <n v="8"/>
    <s v="16E"/>
    <s v="Waterschap Hollandse Delta"/>
    <s v="Zettingsvloeiing V3T"/>
    <n v="6374"/>
    <m/>
    <s v="25-4, 20-3, 25-2"/>
    <n v="0"/>
    <n v="0"/>
    <m/>
    <m/>
    <m/>
    <m/>
    <n v="2022"/>
    <n v="2024"/>
    <m/>
    <m/>
    <n v="2"/>
    <n v="2"/>
    <n v="-6"/>
    <n v="-5"/>
    <m/>
    <m/>
    <m/>
    <n v="40"/>
    <n v="40"/>
    <n v="-13.033333333333339"/>
    <n v="-8.9000000000000057"/>
    <s v=""/>
    <n v="0.13114981839953543"/>
    <s v=""/>
    <n v="-1.3964553145254115"/>
    <s v=""/>
    <n v="0"/>
    <x v="0"/>
    <n v="0"/>
    <n v="0"/>
    <n v="0"/>
    <n v="2"/>
    <n v="6.2754941951678695"/>
  </r>
  <r>
    <x v="6"/>
    <x v="2"/>
    <n v="23"/>
    <s v="16E"/>
    <s v="Waterschap Hollandse Delta"/>
    <s v="Zettingsvloeiing V3T"/>
    <n v="6373.8688501816005"/>
    <n v="30"/>
    <s v="25-4, 20-3, 25-2"/>
    <n v="0"/>
    <n v="0"/>
    <n v="2017"/>
    <n v="2020"/>
    <n v="2020"/>
    <n v="2023"/>
    <n v="2023"/>
    <n v="2025"/>
    <n v="3"/>
    <n v="3"/>
    <n v="2"/>
    <n v="8"/>
    <n v="1"/>
    <m/>
    <m/>
    <n v="8.6055555555555561"/>
    <n v="4.8888888888888893"/>
    <n v="39.538888888888891"/>
    <n v="53.033333333333339"/>
    <n v="4.4333333333334224E-2"/>
    <m/>
    <s v=""/>
    <m/>
    <s v=""/>
    <m/>
    <s v=""/>
    <n v="0"/>
    <x v="0"/>
    <n v="0"/>
    <n v="1"/>
    <n v="0"/>
    <n v="3"/>
    <n v="8.3204305861772383"/>
  </r>
  <r>
    <x v="6"/>
    <x v="3"/>
    <n v="21"/>
    <s v="16E"/>
    <s v="Waterschap Hollandse Delta"/>
    <s v="Zettingsvloeiing V3T"/>
    <n v="6373.8688501816005"/>
    <m/>
    <s v="25-4, 20-3, 25-2"/>
    <n v="0"/>
    <n v="0"/>
    <n v="2017"/>
    <n v="2020"/>
    <n v="2020"/>
    <n v="2022"/>
    <n v="2022"/>
    <n v="2024"/>
    <n v="3"/>
    <n v="2"/>
    <n v="2"/>
    <n v="7"/>
    <n v="0"/>
    <m/>
    <m/>
    <n v="6.5"/>
    <n v="4.8890000000000002"/>
    <n v="41.6"/>
    <n v="52.989000000000004"/>
    <n v="4.0889999999999986"/>
    <m/>
    <s v=""/>
    <m/>
    <s v=""/>
    <m/>
    <s v=""/>
    <n v="0"/>
    <x v="0"/>
    <n v="0"/>
    <n v="1"/>
    <n v="0"/>
    <n v="2"/>
    <n v="8.3134751036633379"/>
  </r>
  <r>
    <x v="6"/>
    <x v="4"/>
    <n v="29"/>
    <s v="16E"/>
    <s v="Waterschap Hollandse Delta"/>
    <s v="Zettingsvloeiing V3T"/>
    <n v="6373.8688501816005"/>
    <m/>
    <s v="20-3"/>
    <n v="0"/>
    <n v="0"/>
    <n v="2017"/>
    <n v="2020"/>
    <n v="2020"/>
    <n v="2022"/>
    <n v="2022"/>
    <n v="2024"/>
    <n v="3"/>
    <n v="2"/>
    <n v="2"/>
    <n v="7"/>
    <n v="7"/>
    <m/>
    <m/>
    <n v="2.4"/>
    <n v="4.9000000000000004"/>
    <n v="41.6"/>
    <n v="48.900000000000006"/>
    <m/>
    <m/>
    <s v=""/>
    <m/>
    <s v=""/>
    <m/>
    <s v=""/>
    <n v="0"/>
    <x v="0"/>
    <n v="0"/>
    <n v="1"/>
    <n v="0"/>
    <n v="2"/>
    <n v="7.671949509693281"/>
  </r>
  <r>
    <x v="6"/>
    <x v="5"/>
    <n v="12"/>
    <s v="13D"/>
    <s v="Waterschap Aa en Maas"/>
    <s v="Ravenstein - Lith"/>
    <n v="26552"/>
    <m/>
    <s v="36-3"/>
    <m/>
    <m/>
    <m/>
    <m/>
    <m/>
    <m/>
    <m/>
    <m/>
    <n v="0"/>
    <n v="0"/>
    <n v="0"/>
    <n v="0"/>
    <m/>
    <m/>
    <m/>
    <m/>
    <m/>
    <m/>
    <m/>
    <m/>
    <m/>
    <s v=""/>
    <m/>
    <s v=""/>
    <m/>
    <s v=""/>
    <n v="0"/>
    <x v="0"/>
    <n v="0"/>
    <n v="0"/>
    <n v="0"/>
    <m/>
    <n v="0"/>
  </r>
  <r>
    <x v="7"/>
    <x v="0"/>
    <n v="12"/>
    <s v="13D"/>
    <s v="Waterschap Aa en Maas"/>
    <s v="Ravenstein - Lith"/>
    <n v="26552"/>
    <m/>
    <s v="36-3"/>
    <n v="0"/>
    <n v="0"/>
    <n v="2017"/>
    <n v="2020"/>
    <n v="2020"/>
    <n v="2023"/>
    <n v="2023"/>
    <n v="2026"/>
    <n v="3"/>
    <n v="3"/>
    <n v="3"/>
    <n v="9"/>
    <n v="1"/>
    <m/>
    <n v="0"/>
    <n v="6.5555555555555554"/>
    <n v="13.777777777777779"/>
    <n v="118.88888888888889"/>
    <n v="139.22222222222223"/>
    <n v="2.7777777777777715"/>
    <m/>
    <n v="2.8142277777777736"/>
    <m/>
    <n v="2375.3769354652104"/>
    <m/>
    <n v="-0.47288578502653067"/>
    <m/>
    <x v="1"/>
    <n v="0"/>
    <n v="1"/>
    <n v="0"/>
    <n v="3"/>
    <n v="5.243379866760403"/>
  </r>
  <r>
    <x v="7"/>
    <x v="1"/>
    <n v="12"/>
    <s v="13D"/>
    <s v="Waterschap Aa en Maas"/>
    <s v="Ravenstein - Lith"/>
    <n v="26552"/>
    <m/>
    <s v="36-3"/>
    <n v="0"/>
    <n v="0"/>
    <n v="2017"/>
    <n v="2020"/>
    <n v="2020"/>
    <n v="2022"/>
    <n v="2022"/>
    <n v="2025"/>
    <n v="3"/>
    <n v="2"/>
    <n v="3"/>
    <n v="8"/>
    <n v="-1"/>
    <n v="-1"/>
    <m/>
    <n v="6.5555555555555554"/>
    <n v="13.777777777777779"/>
    <n v="116.11111111111111"/>
    <n v="136.44444444444446"/>
    <n v="-6.5788888888888835"/>
    <n v="-1.7555555555555316"/>
    <s v=""/>
    <n v="2375.3769354652104"/>
    <s v=""/>
    <n v="-0.57750230271927538"/>
    <s v=""/>
    <n v="0"/>
    <x v="1"/>
    <n v="0"/>
    <n v="1"/>
    <n v="0"/>
    <n v="2"/>
    <n v="5.1387633490676583"/>
  </r>
  <r>
    <x v="7"/>
    <x v="2"/>
    <n v="29"/>
    <s v="13N"/>
    <s v="Waterschap Aa en Maas"/>
    <s v="Ravenstein - Lith"/>
    <n v="26552"/>
    <n v="1"/>
    <s v="36-3"/>
    <n v="0"/>
    <n v="0"/>
    <n v="2017"/>
    <n v="2020"/>
    <n v="2020"/>
    <n v="2022"/>
    <n v="2022"/>
    <n v="2026"/>
    <n v="3"/>
    <n v="2"/>
    <n v="4"/>
    <n v="9"/>
    <n v="0"/>
    <m/>
    <m/>
    <n v="12.823333333333334"/>
    <n v="13.8"/>
    <n v="116.4"/>
    <n v="143.02333333333334"/>
    <n v="4.7233333333333292"/>
    <m/>
    <s v=""/>
    <m/>
    <s v=""/>
    <m/>
    <s v=""/>
    <n v="0"/>
    <x v="1"/>
    <n v="0"/>
    <n v="1"/>
    <n v="0"/>
    <n v="2"/>
    <n v="5.3865371095711563"/>
  </r>
  <r>
    <x v="7"/>
    <x v="3"/>
    <n v="27"/>
    <s v="13N"/>
    <s v="Waterschap Aa en Maas"/>
    <s v="Ravenstein - Lith"/>
    <n v="24176.62306453479"/>
    <m/>
    <s v="36-3"/>
    <n v="0"/>
    <n v="0"/>
    <n v="2017"/>
    <n v="2020"/>
    <n v="2020"/>
    <n v="2022"/>
    <n v="2022"/>
    <n v="2026"/>
    <n v="3"/>
    <n v="2"/>
    <n v="4"/>
    <n v="9"/>
    <n v="0"/>
    <m/>
    <m/>
    <n v="8.3000000000000007"/>
    <n v="13.8"/>
    <n v="116.2"/>
    <n v="138.30000000000001"/>
    <n v="0.10000000000002274"/>
    <m/>
    <s v=""/>
    <m/>
    <s v=""/>
    <m/>
    <s v=""/>
    <n v="0"/>
    <x v="1"/>
    <n v="0"/>
    <n v="1"/>
    <n v="0"/>
    <n v="2"/>
    <n v="5.7204018787419182"/>
  </r>
  <r>
    <x v="7"/>
    <x v="4"/>
    <n v="34"/>
    <s v="13VLBO36-3 13D"/>
    <s v="Waterschap Aa en Maas"/>
    <s v="Ravenstein - Lith"/>
    <n v="24176.62306453479"/>
    <m/>
    <s v="36-3"/>
    <n v="0"/>
    <n v="0"/>
    <n v="2017"/>
    <n v="2020"/>
    <n v="2020"/>
    <n v="2023"/>
    <n v="2023"/>
    <n v="2026"/>
    <n v="3"/>
    <n v="3"/>
    <n v="3"/>
    <n v="9"/>
    <n v="0"/>
    <m/>
    <m/>
    <n v="6.9"/>
    <n v="13.8"/>
    <n v="117.5"/>
    <n v="138.19999999999999"/>
    <n v="-3.6450000000002092E-2"/>
    <m/>
    <s v=""/>
    <m/>
    <s v=""/>
    <m/>
    <s v=""/>
    <n v="0"/>
    <x v="1"/>
    <n v="0"/>
    <n v="1"/>
    <n v="0"/>
    <n v="3"/>
    <n v="5.7162656517869337"/>
  </r>
  <r>
    <x v="7"/>
    <x v="5"/>
    <n v="24"/>
    <s v="Algemeen filter (10)"/>
    <s v="Waterschap Aa en Maas"/>
    <s v="Normtraject 36_3 Ravensteijn-Lith"/>
    <m/>
    <m/>
    <s v="36_3"/>
    <n v="0"/>
    <n v="0"/>
    <n v="2017"/>
    <n v="2020"/>
    <n v="2020"/>
    <n v="2023"/>
    <n v="2023"/>
    <n v="2026"/>
    <n v="3"/>
    <n v="3"/>
    <n v="3"/>
    <n v="9"/>
    <m/>
    <m/>
    <m/>
    <n v="6.9121499999999996"/>
    <n v="13.824300000000001"/>
    <n v="117.5"/>
    <n v="138.23644999999999"/>
    <m/>
    <m/>
    <s v=""/>
    <m/>
    <s v=""/>
    <m/>
    <s v=""/>
    <n v="0"/>
    <x v="1"/>
    <n v="0"/>
    <n v="1"/>
    <n v="0"/>
    <n v="3"/>
    <m/>
  </r>
  <r>
    <x v="8"/>
    <x v="0"/>
    <n v="14"/>
    <s v="06K"/>
    <s v="HHRS van Schieland en de Krimpenerwaard"/>
    <s v="Krachtige IJsseldijken Krimpenerwaard (KIJK)"/>
    <n v="10472"/>
    <m/>
    <s v="15-3"/>
    <n v="0"/>
    <n v="0"/>
    <n v="2016"/>
    <n v="2020"/>
    <n v="2020"/>
    <n v="2022"/>
    <n v="2022"/>
    <n v="2029"/>
    <n v="4"/>
    <n v="2"/>
    <n v="7"/>
    <n v="13"/>
    <n v="2"/>
    <m/>
    <n v="3"/>
    <n v="16.222222222222221"/>
    <n v="24"/>
    <n v="181.77777777777777"/>
    <n v="222"/>
    <n v="-9.5555555555563387E-2"/>
    <m/>
    <n v="20.304444444444442"/>
    <m/>
    <n v="362.70746169521408"/>
    <m/>
    <n v="1.704762488760263"/>
    <m/>
    <x v="1"/>
    <n v="0"/>
    <n v="1"/>
    <n v="0"/>
    <n v="2"/>
    <n v="21.199388846447672"/>
  </r>
  <r>
    <x v="8"/>
    <x v="1"/>
    <n v="14"/>
    <s v="06K"/>
    <s v="HHRS van Schieland en de Krimpenerwaard"/>
    <s v="Krachtige IJsseldijken Krimpenerwaard (KIJK)"/>
    <n v="10510"/>
    <m/>
    <s v="15-3"/>
    <n v="0"/>
    <n v="0"/>
    <n v="2016"/>
    <n v="2019"/>
    <n v="2019"/>
    <n v="2022"/>
    <n v="2022"/>
    <n v="2027"/>
    <n v="3"/>
    <n v="3"/>
    <n v="5"/>
    <n v="11"/>
    <n v="1"/>
    <n v="1"/>
    <m/>
    <n v="16.267777777777777"/>
    <n v="24"/>
    <n v="181.82777777777778"/>
    <n v="222.09555555555556"/>
    <n v="0.92777777777780557"/>
    <n v="18.195555555555558"/>
    <s v=""/>
    <n v="400.70746169521408"/>
    <s v=""/>
    <n v="0.9622703774669823"/>
    <s v=""/>
    <n v="1"/>
    <x v="1"/>
    <n v="0"/>
    <n v="1"/>
    <n v="0"/>
    <n v="2"/>
    <n v="21.131832117559998"/>
  </r>
  <r>
    <x v="8"/>
    <x v="2"/>
    <n v="36"/>
    <s v="06K "/>
    <s v="HHRS van Schieland en de Krimpenerwaard"/>
    <s v="Krachtige IJsseldijken Krimpenerwaard (KIJK)"/>
    <n v="10472"/>
    <n v="39"/>
    <s v="15-3"/>
    <n v="0"/>
    <n v="0"/>
    <n v="2017"/>
    <n v="2019"/>
    <n v="2019"/>
    <n v="2022"/>
    <n v="2022"/>
    <n v="2027"/>
    <n v="2"/>
    <n v="3"/>
    <n v="5"/>
    <n v="10"/>
    <n v="1"/>
    <m/>
    <m/>
    <n v="16.267777777777777"/>
    <n v="22.9"/>
    <n v="182"/>
    <n v="221.16777777777776"/>
    <n v="17.167777777777758"/>
    <m/>
    <s v=""/>
    <m/>
    <s v=""/>
    <m/>
    <s v=""/>
    <n v="1"/>
    <x v="1"/>
    <n v="0"/>
    <n v="1"/>
    <n v="0"/>
    <n v="2"/>
    <n v="21.119917664035309"/>
  </r>
  <r>
    <x v="8"/>
    <x v="3"/>
    <n v="32"/>
    <s v="06K (incl. tussenstukken)"/>
    <s v="HHRS van Schieland en de Krimpenerwaard"/>
    <s v="Krachtige IJsseldijken Krimpenerwaard (KIJK)"/>
    <n v="10459.2925383048"/>
    <m/>
    <s v="15-3"/>
    <n v="0"/>
    <n v="0"/>
    <n v="2017"/>
    <n v="2019"/>
    <n v="2019"/>
    <n v="2021"/>
    <n v="2021"/>
    <n v="2026"/>
    <n v="2"/>
    <n v="2"/>
    <n v="5"/>
    <n v="9"/>
    <n v="-1"/>
    <m/>
    <m/>
    <n v="0"/>
    <n v="20.5"/>
    <n v="183.5"/>
    <n v="204"/>
    <n v="9.9999999999994316E-2"/>
    <m/>
    <s v=""/>
    <m/>
    <s v=""/>
    <m/>
    <s v=""/>
    <n v="1"/>
    <x v="1"/>
    <n v="0"/>
    <n v="1"/>
    <n v="0"/>
    <n v="1"/>
    <n v="19.5041872337824"/>
  </r>
  <r>
    <x v="8"/>
    <x v="4"/>
    <n v="42"/>
    <s v="06K"/>
    <s v="HHRS van Schieland en de Krimpenerwaard"/>
    <s v="Krachtige IJsseldijken Krimpenerwaard (KIJK)"/>
    <n v="10109.292538304786"/>
    <m/>
    <s v="15-3"/>
    <n v="0"/>
    <n v="0"/>
    <n v="2017"/>
    <n v="2019"/>
    <n v="2019"/>
    <n v="2022"/>
    <n v="2022"/>
    <n v="2027"/>
    <n v="2"/>
    <n v="3"/>
    <n v="5"/>
    <n v="10"/>
    <n v="0"/>
    <m/>
    <m/>
    <n v="0"/>
    <n v="20.399999999999999"/>
    <n v="183.5"/>
    <n v="203.9"/>
    <n v="-20.400000000000006"/>
    <m/>
    <s v=""/>
    <m/>
    <s v=""/>
    <m/>
    <s v=""/>
    <n v="1"/>
    <x v="1"/>
    <n v="0"/>
    <n v="1"/>
    <n v="0"/>
    <n v="2"/>
    <n v="20.169561740093016"/>
  </r>
  <r>
    <x v="8"/>
    <x v="5"/>
    <n v="32"/>
    <s v="06K"/>
    <s v="HHRS van Schieland en de Krimpenerwaard"/>
    <s v="Krachtige IJsseldijken Krimpenerwaard (KIJK)"/>
    <m/>
    <m/>
    <m/>
    <n v="0"/>
    <n v="0"/>
    <n v="2017"/>
    <n v="2019"/>
    <n v="2019"/>
    <n v="2022"/>
    <n v="2022"/>
    <n v="2027"/>
    <n v="2"/>
    <n v="3"/>
    <n v="5"/>
    <n v="10"/>
    <m/>
    <m/>
    <m/>
    <n v="20.399999999999999"/>
    <n v="20.399999999999999"/>
    <n v="183.5"/>
    <n v="224.3"/>
    <m/>
    <m/>
    <s v=""/>
    <m/>
    <s v=""/>
    <m/>
    <s v=""/>
    <n v="1"/>
    <x v="1"/>
    <n v="0"/>
    <n v="1"/>
    <n v="0"/>
    <n v="2"/>
    <m/>
  </r>
  <r>
    <x v="9"/>
    <x v="0"/>
    <n v="23"/>
    <s v="34U"/>
    <s v="Waterschap Drents-Overijsselse Delta"/>
    <s v="Zwolle-Olst"/>
    <n v="28880"/>
    <n v="5"/>
    <s v="53-2"/>
    <n v="0"/>
    <n v="0"/>
    <n v="2016"/>
    <n v="2021"/>
    <n v="2021"/>
    <n v="2023"/>
    <n v="2023"/>
    <n v="2027"/>
    <n v="5"/>
    <n v="2"/>
    <n v="4"/>
    <n v="11"/>
    <m/>
    <m/>
    <n v="0"/>
    <n v="12.222222222222221"/>
    <n v="27.555555555555557"/>
    <n v="222.22222222222223"/>
    <n v="262"/>
    <n v="68.472222222222257"/>
    <m/>
    <n v="15.872222222222263"/>
    <m/>
    <n v="4017.7749777699282"/>
    <m/>
    <n v="2.3550046833199643"/>
    <m/>
    <x v="1"/>
    <n v="1"/>
    <n v="0"/>
    <n v="0"/>
    <n v="3"/>
    <n v="9.0720221606648206"/>
  </r>
  <r>
    <x v="9"/>
    <x v="1"/>
    <n v="23"/>
    <s v="34U"/>
    <s v="Waterschap Drents-Overijsselse Delta"/>
    <s v="Zwolle-Olst"/>
    <n v="28880"/>
    <n v="5"/>
    <s v="53-2"/>
    <n v="0"/>
    <n v="0"/>
    <n v="2016"/>
    <n v="2020"/>
    <n v="2020"/>
    <n v="2023"/>
    <n v="2023"/>
    <n v="2027"/>
    <n v="4"/>
    <n v="3"/>
    <n v="4"/>
    <n v="11"/>
    <n v="0"/>
    <n v="2"/>
    <m/>
    <n v="12.272222222222222"/>
    <n v="19.100000000000001"/>
    <n v="162.15555555555551"/>
    <n v="193.52777777777774"/>
    <n v="-8.4444444444471856E-2"/>
    <n v="26.527777777777743"/>
    <s v=""/>
    <n v="4017.7749777699282"/>
    <s v=""/>
    <n v="-1.591713877914458E-2"/>
    <s v=""/>
    <n v="1"/>
    <x v="1"/>
    <n v="0"/>
    <n v="1"/>
    <n v="0"/>
    <n v="3"/>
    <n v="6.7011003385657117"/>
  </r>
  <r>
    <x v="9"/>
    <x v="2"/>
    <n v="53"/>
    <s v="34U"/>
    <s v="Waterschap Drents-Overijsselse Delta"/>
    <s v="Zwolle-Olst"/>
    <n v="28880"/>
    <n v="11"/>
    <s v="53-2"/>
    <n v="0"/>
    <n v="0"/>
    <n v="2016"/>
    <n v="2020"/>
    <n v="2020"/>
    <n v="2023"/>
    <n v="2023"/>
    <n v="2027"/>
    <n v="4"/>
    <n v="3"/>
    <n v="4"/>
    <n v="11"/>
    <n v="-1"/>
    <m/>
    <m/>
    <n v="12.273333333333333"/>
    <n v="19.100000000000001"/>
    <n v="162.23888888888888"/>
    <n v="193.61222222222221"/>
    <n v="3.0442222222222028"/>
    <m/>
    <s v=""/>
    <m/>
    <s v=""/>
    <m/>
    <s v=""/>
    <n v="1"/>
    <x v="1"/>
    <n v="0"/>
    <n v="1"/>
    <n v="0"/>
    <n v="3"/>
    <n v="6.7040243151738999"/>
  </r>
  <r>
    <x v="9"/>
    <x v="3"/>
    <n v="51"/>
    <s v="34U"/>
    <s v="Waterschap Drents-Overijsselse Delta"/>
    <s v="Zwolle-Olst"/>
    <n v="24862.225022230072"/>
    <n v="2"/>
    <s v="53-2"/>
    <n v="0"/>
    <n v="0"/>
    <n v="2016"/>
    <n v="2020"/>
    <n v="2020"/>
    <n v="2023"/>
    <n v="2023"/>
    <n v="2028"/>
    <n v="4"/>
    <n v="3"/>
    <n v="5"/>
    <n v="12"/>
    <n v="1"/>
    <m/>
    <m/>
    <n v="9.3000000000000007"/>
    <n v="19.100000000000001"/>
    <n v="162.16800000000001"/>
    <n v="190.56800000000001"/>
    <n v="23.568000000000012"/>
    <m/>
    <s v=""/>
    <m/>
    <s v=""/>
    <m/>
    <s v=""/>
    <n v="1"/>
    <x v="1"/>
    <n v="0"/>
    <n v="1"/>
    <n v="0"/>
    <n v="3"/>
    <n v="7.6649615965428426"/>
  </r>
  <r>
    <x v="9"/>
    <x v="4"/>
    <n v="52"/>
    <s v="15Q"/>
    <s v="Waterschap Drents-Overijsselse Delta"/>
    <s v="Zwolle-Olst"/>
    <n v="24862.225022230072"/>
    <n v="2"/>
    <s v="53-3"/>
    <n v="0"/>
    <n v="0"/>
    <n v="2016"/>
    <n v="2020"/>
    <n v="2020"/>
    <n v="2023"/>
    <n v="2023"/>
    <n v="2027"/>
    <n v="4"/>
    <n v="3"/>
    <n v="4"/>
    <n v="11"/>
    <n v="2"/>
    <m/>
    <m/>
    <n v="9.3000000000000007"/>
    <n v="16.600000000000001"/>
    <n v="141.1"/>
    <n v="167"/>
    <n v="52.599999999999994"/>
    <m/>
    <s v=""/>
    <m/>
    <s v=""/>
    <m/>
    <s v=""/>
    <n v="1"/>
    <x v="1"/>
    <n v="0"/>
    <n v="1"/>
    <n v="0"/>
    <n v="3"/>
    <n v="6.7170174773448563"/>
  </r>
  <r>
    <x v="9"/>
    <x v="5"/>
    <n v="40"/>
    <s v="15Q"/>
    <s v="Waterschap Drents-Overijsselse Delta"/>
    <s v="Zwolle-Olst"/>
    <m/>
    <m/>
    <m/>
    <n v="0"/>
    <n v="0"/>
    <n v="2016"/>
    <n v="2020"/>
    <n v="2020"/>
    <n v="2023"/>
    <n v="2023"/>
    <n v="2025"/>
    <n v="4"/>
    <n v="3"/>
    <n v="2"/>
    <n v="9"/>
    <m/>
    <m/>
    <m/>
    <n v="18.3"/>
    <n v="40"/>
    <n v="56.1"/>
    <n v="114.4"/>
    <m/>
    <m/>
    <s v=""/>
    <m/>
    <s v=""/>
    <m/>
    <s v=""/>
    <n v="1"/>
    <x v="1"/>
    <n v="0"/>
    <n v="1"/>
    <n v="0"/>
    <n v="3"/>
    <m/>
  </r>
  <r>
    <x v="10"/>
    <x v="0"/>
    <n v="25"/>
    <s v="34M"/>
    <s v="Waterschap Drents-Overijsselse Delta"/>
    <s v="Stadsdijken Zwolle"/>
    <n v="7651"/>
    <n v="5"/>
    <s v="53-3"/>
    <n v="0"/>
    <n v="0"/>
    <n v="2014"/>
    <n v="2020"/>
    <n v="2020"/>
    <n v="2022"/>
    <n v="2022"/>
    <n v="2025"/>
    <n v="6"/>
    <n v="2"/>
    <n v="3"/>
    <n v="11"/>
    <n v="0"/>
    <m/>
    <n v="3"/>
    <n v="6.6666666666666661"/>
    <n v="30"/>
    <n v="80"/>
    <n v="116.66666666666666"/>
    <n v="18.556666666666658"/>
    <m/>
    <n v="61.956666666666635"/>
    <m/>
    <n v="-355.34961436817048"/>
    <m/>
    <n v="1.884158730073203"/>
    <m/>
    <x v="1"/>
    <n v="0"/>
    <n v="1"/>
    <n v="0"/>
    <n v="2"/>
    <n v="15.248551387618175"/>
  </r>
  <r>
    <x v="10"/>
    <x v="1"/>
    <n v="25"/>
    <s v="34M"/>
    <s v="Waterschap Drents-Overijsselse Delta"/>
    <s v="Stadsdijken Zwolle"/>
    <n v="7651"/>
    <n v="5"/>
    <s v="53-3"/>
    <n v="0"/>
    <n v="0"/>
    <n v="2014"/>
    <n v="2020"/>
    <n v="2020"/>
    <n v="2022"/>
    <n v="2022"/>
    <n v="2025"/>
    <n v="6"/>
    <n v="2"/>
    <n v="3"/>
    <n v="11"/>
    <n v="2"/>
    <n v="3"/>
    <m/>
    <n v="6.61"/>
    <n v="30"/>
    <n v="61.5"/>
    <n v="98.11"/>
    <n v="25.101111111111109"/>
    <n v="-8.89"/>
    <s v=""/>
    <n v="-355.34961436817048"/>
    <s v=""/>
    <n v="-0.54123228635166321"/>
    <s v=""/>
    <n v="1"/>
    <x v="1"/>
    <n v="0"/>
    <n v="1"/>
    <n v="0"/>
    <n v="2"/>
    <n v="12.823160371193309"/>
  </r>
  <r>
    <x v="10"/>
    <x v="2"/>
    <n v="55"/>
    <s v="34M"/>
    <s v="Waterschap Drents-Overijsselse Delta"/>
    <s v="Zwolle"/>
    <n v="7641"/>
    <n v="11"/>
    <s v="53-3"/>
    <n v="0"/>
    <n v="0"/>
    <n v="2016"/>
    <n v="2018"/>
    <n v="2018"/>
    <n v="2021"/>
    <n v="2021"/>
    <n v="2025"/>
    <n v="2"/>
    <n v="3"/>
    <n v="4"/>
    <n v="9"/>
    <n v="0"/>
    <m/>
    <m/>
    <n v="6.6088888888888899"/>
    <n v="9.6000000000000014"/>
    <n v="56.8"/>
    <n v="73.00888888888889"/>
    <n v="-4.6911111111110984"/>
    <m/>
    <s v=""/>
    <m/>
    <s v=""/>
    <m/>
    <s v=""/>
    <n v="1"/>
    <x v="1"/>
    <n v="0"/>
    <n v="1"/>
    <n v="0"/>
    <n v="1"/>
    <n v="9.5548866495077718"/>
  </r>
  <r>
    <x v="10"/>
    <x v="3"/>
    <n v="54"/>
    <s v="34M"/>
    <s v="Waterschap Drents-Overijsselse Delta"/>
    <s v="Zwolle"/>
    <n v="8006.3496143681705"/>
    <n v="5"/>
    <s v="53-3"/>
    <n v="0"/>
    <n v="0"/>
    <n v="2016"/>
    <n v="2018"/>
    <n v="2018"/>
    <n v="2021"/>
    <n v="2021"/>
    <n v="2025"/>
    <n v="2"/>
    <n v="3"/>
    <n v="4"/>
    <n v="9"/>
    <n v="1"/>
    <m/>
    <m/>
    <n v="6.6"/>
    <n v="9.5"/>
    <n v="61.599999999999994"/>
    <n v="77.699999999999989"/>
    <n v="-29.300000000000011"/>
    <m/>
    <s v=""/>
    <m/>
    <s v=""/>
    <m/>
    <s v=""/>
    <n v="1"/>
    <x v="1"/>
    <n v="0"/>
    <n v="1"/>
    <n v="0"/>
    <n v="1"/>
    <n v="9.7047972849648989"/>
  </r>
  <r>
    <x v="10"/>
    <x v="4"/>
    <n v="56"/>
    <s v="15E"/>
    <s v="Waterschap Drents-Overijsselse Delta"/>
    <s v="Zwolle"/>
    <n v="8006.3496143681705"/>
    <n v="5"/>
    <s v="53-3"/>
    <n v="0"/>
    <n v="0"/>
    <n v="2016"/>
    <n v="2018"/>
    <n v="2018"/>
    <n v="2021"/>
    <n v="2021"/>
    <n v="2024"/>
    <n v="2"/>
    <n v="3"/>
    <n v="3"/>
    <n v="8"/>
    <n v="-1"/>
    <m/>
    <m/>
    <n v="6.6"/>
    <n v="4.5"/>
    <n v="95.9"/>
    <n v="107"/>
    <n v="-43.399999999999977"/>
    <m/>
    <s v=""/>
    <m/>
    <s v=""/>
    <m/>
    <s v=""/>
    <n v="1"/>
    <x v="1"/>
    <n v="0"/>
    <n v="1"/>
    <n v="0"/>
    <n v="1"/>
    <n v="13.364392657544972"/>
  </r>
  <r>
    <x v="10"/>
    <x v="5"/>
    <n v="43"/>
    <s v="15E"/>
    <s v="Waterschap Drents-Overijsselse Delta"/>
    <s v="Zwolle"/>
    <m/>
    <m/>
    <m/>
    <n v="0"/>
    <n v="0"/>
    <n v="2016"/>
    <n v="2018"/>
    <n v="2018"/>
    <n v="2021"/>
    <n v="2021"/>
    <n v="2025"/>
    <n v="2"/>
    <n v="3"/>
    <n v="4"/>
    <n v="9"/>
    <m/>
    <m/>
    <m/>
    <n v="0"/>
    <n v="11.7"/>
    <n v="138.69999999999999"/>
    <n v="150.39999999999998"/>
    <m/>
    <m/>
    <s v=""/>
    <m/>
    <s v=""/>
    <m/>
    <s v=""/>
    <n v="1"/>
    <x v="1"/>
    <n v="0"/>
    <n v="1"/>
    <n v="0"/>
    <n v="1"/>
    <m/>
  </r>
  <r>
    <x v="11"/>
    <x v="0"/>
    <n v="77"/>
    <s v="18D"/>
    <s v="Waterschap Noorderzijlvest"/>
    <s v="Lauwersmeer/Vierhuizergat"/>
    <n v="9018"/>
    <m/>
    <m/>
    <n v="0"/>
    <n v="0"/>
    <n v="2016"/>
    <n v="2020"/>
    <n v="2020"/>
    <n v="2022"/>
    <n v="2022"/>
    <n v="2027"/>
    <n v="4"/>
    <n v="2"/>
    <n v="5"/>
    <n v="11"/>
    <n v="0"/>
    <m/>
    <n v="5"/>
    <n v="8.4444444444444446"/>
    <n v="6.1111111111111107"/>
    <n v="51.333333333333336"/>
    <n v="65.888888888888886"/>
    <n v="-0.16888888888888687"/>
    <m/>
    <n v="2.6311111111111174"/>
    <m/>
    <n v="1155.9687590998346"/>
    <m/>
    <n v="0.55755294451608695"/>
    <m/>
    <x v="1"/>
    <n v="0"/>
    <n v="1"/>
    <n v="0"/>
    <n v="2"/>
    <n v="7.306374904511963"/>
  </r>
  <r>
    <x v="11"/>
    <x v="1"/>
    <n v="77"/>
    <s v="18D"/>
    <s v="Waterschap Noorderzijlvest"/>
    <s v="Lauwersmeer/Vierhuizergat"/>
    <n v="8100"/>
    <m/>
    <s v="6-5"/>
    <n v="0"/>
    <n v="0"/>
    <n v="2016"/>
    <n v="2021"/>
    <n v="2021"/>
    <n v="2023"/>
    <n v="2023"/>
    <n v="2027"/>
    <n v="5"/>
    <n v="2"/>
    <n v="4"/>
    <n v="11"/>
    <n v="2"/>
    <n v="5"/>
    <m/>
    <n v="8.4577777777777765"/>
    <n v="6.2"/>
    <n v="51.4"/>
    <n v="66.057777777777773"/>
    <n v="3.6943122222222229"/>
    <n v="11.857777777777777"/>
    <s v=""/>
    <n v="237.96875909983464"/>
    <s v=""/>
    <n v="1.2613884789995646"/>
    <s v=""/>
    <n v="1"/>
    <x v="1"/>
    <n v="1"/>
    <n v="0"/>
    <n v="0"/>
    <n v="3"/>
    <n v="8.1552812071330578"/>
  </r>
  <r>
    <x v="11"/>
    <x v="2"/>
    <n v="124"/>
    <s v="18D"/>
    <s v="Waterschap Noorderzijlvest"/>
    <s v="Lauwersmeer/Vierhuizergat"/>
    <n v="8768"/>
    <n v="1"/>
    <s v="6-5"/>
    <n v="0"/>
    <n v="0"/>
    <n v="2017"/>
    <n v="2020"/>
    <n v="2020"/>
    <n v="2022"/>
    <n v="2022"/>
    <n v="2026"/>
    <n v="3"/>
    <n v="2"/>
    <n v="4"/>
    <n v="9"/>
    <n v="0"/>
    <m/>
    <m/>
    <n v="4.8134655555555552"/>
    <n v="6.2"/>
    <n v="51.349999999999994"/>
    <n v="62.36346555555555"/>
    <n v="2.8634655555555497"/>
    <m/>
    <s v=""/>
    <m/>
    <s v=""/>
    <m/>
    <s v=""/>
    <n v="1"/>
    <x v="1"/>
    <n v="0"/>
    <n v="1"/>
    <n v="0"/>
    <n v="2"/>
    <n v="7.1126215277777769"/>
  </r>
  <r>
    <x v="11"/>
    <x v="3"/>
    <n v="122"/>
    <s v="18D"/>
    <s v="Waterschap Noorderzijlvest"/>
    <s v="Lauwersmeer/Vierhuizergat"/>
    <n v="8031.0312409001699"/>
    <s v="6-5"/>
    <m/>
    <n v="0"/>
    <n v="0"/>
    <n v="2017"/>
    <n v="2020"/>
    <n v="2020"/>
    <n v="2022"/>
    <n v="2022"/>
    <n v="2026"/>
    <n v="3"/>
    <n v="2"/>
    <n v="4"/>
    <n v="9"/>
    <n v="3"/>
    <m/>
    <m/>
    <n v="1.9"/>
    <n v="6.2"/>
    <n v="51.4"/>
    <n v="59.5"/>
    <n v="5.3000000000000043"/>
    <m/>
    <s v=""/>
    <m/>
    <s v=""/>
    <m/>
    <s v=""/>
    <n v="1"/>
    <x v="1"/>
    <n v="0"/>
    <n v="1"/>
    <n v="0"/>
    <n v="2"/>
    <n v="7.4087621147556213"/>
  </r>
  <r>
    <x v="11"/>
    <x v="4"/>
    <n v="106"/>
    <s v="18D"/>
    <s v="Waterschap Noorderzijlvest"/>
    <s v="Lauwersmeer/Vierhuizergat"/>
    <n v="7862.0312409001654"/>
    <m/>
    <m/>
    <n v="0"/>
    <n v="0"/>
    <n v="2017"/>
    <n v="2019"/>
    <n v="2019"/>
    <n v="2021"/>
    <n v="2021"/>
    <n v="2023"/>
    <n v="2"/>
    <n v="2"/>
    <n v="2"/>
    <n v="6"/>
    <n v="-1"/>
    <m/>
    <m/>
    <n v="1.9"/>
    <n v="5.5"/>
    <n v="46.8"/>
    <n v="54.199999999999996"/>
    <n v="-2.8000000000000043"/>
    <m/>
    <s v=""/>
    <m/>
    <s v=""/>
    <m/>
    <s v=""/>
    <n v="1"/>
    <x v="1"/>
    <n v="0"/>
    <n v="1"/>
    <n v="0"/>
    <n v="1"/>
    <n v="6.8938927281334932"/>
  </r>
  <r>
    <x v="11"/>
    <x v="5"/>
    <n v="99"/>
    <s v="18D"/>
    <s v="Waterschap Noorderzijlvest"/>
    <s v="Lauwersmeer/Vierhuizergat"/>
    <m/>
    <m/>
    <m/>
    <n v="0"/>
    <n v="0"/>
    <n v="2017"/>
    <n v="2020"/>
    <n v="2020"/>
    <n v="2022"/>
    <n v="2024"/>
    <n v="2026"/>
    <n v="3"/>
    <n v="2"/>
    <n v="2"/>
    <n v="7"/>
    <m/>
    <m/>
    <m/>
    <n v="4.6999999999999993"/>
    <n v="5.5"/>
    <n v="46.8"/>
    <n v="57"/>
    <m/>
    <m/>
    <s v=""/>
    <m/>
    <s v=""/>
    <m/>
    <s v=""/>
    <n v="1"/>
    <x v="1"/>
    <n v="0"/>
    <n v="1"/>
    <n v="0"/>
    <n v="4"/>
    <m/>
  </r>
  <r>
    <x v="12"/>
    <x v="0"/>
    <n v="58"/>
    <s v="03E"/>
    <s v="HHRS Hollands Noorderkwartier"/>
    <s v="Wieringermeer C kering"/>
    <n v="6000"/>
    <n v="3"/>
    <s v="C-kering"/>
    <m/>
    <m/>
    <n v="2016"/>
    <n v="2021"/>
    <n v="2021"/>
    <n v="2023"/>
    <n v="2023"/>
    <n v="2026"/>
    <n v="5"/>
    <n v="2"/>
    <n v="3"/>
    <n v="10"/>
    <n v="-1"/>
    <m/>
    <n v="1"/>
    <n v="4.2222222222222223"/>
    <n v="5.333333333333333"/>
    <n v="54.555555555555557"/>
    <n v="64.111111111111114"/>
    <n v="-0.18999999999999773"/>
    <m/>
    <n v="2.0099999999999909"/>
    <m/>
    <n v="-27282.272231718722"/>
    <m/>
    <n v="7.644527405108672"/>
    <m/>
    <x v="0"/>
    <n v="1"/>
    <n v="0"/>
    <n v="0"/>
    <n v="3"/>
    <n v="10.685185185185185"/>
  </r>
  <r>
    <x v="12"/>
    <x v="1"/>
    <n v="58"/>
    <s v="03E"/>
    <s v="HHRS Hollands Noorderkwartier"/>
    <s v="Wieringermeer C kering"/>
    <n v="6000"/>
    <n v="3"/>
    <s v="C-kering"/>
    <n v="0"/>
    <n v="0"/>
    <n v="2016"/>
    <n v="2020"/>
    <n v="2020"/>
    <n v="2023"/>
    <n v="2023"/>
    <n v="2027"/>
    <n v="4"/>
    <n v="3"/>
    <n v="4"/>
    <n v="11"/>
    <n v="1"/>
    <n v="2"/>
    <m/>
    <n v="4.2866666666666662"/>
    <n v="5.3577777777777778"/>
    <n v="54.656666666666673"/>
    <n v="64.301111111111112"/>
    <n v="2.2222222222154642E-3"/>
    <n v="-36.898888888888891"/>
    <s v=""/>
    <n v="-27282.272231718722"/>
    <s v=""/>
    <n v="7.6761940717753383"/>
    <s v=""/>
    <n v="0"/>
    <x v="0"/>
    <n v="0"/>
    <n v="1"/>
    <n v="0"/>
    <n v="3"/>
    <n v="10.716851851851851"/>
  </r>
  <r>
    <x v="12"/>
    <x v="2"/>
    <s v="C-kering"/>
    <s v="03E"/>
    <s v="HHRS Hollands Noorderkwartier"/>
    <s v="Wieringermeerkering"/>
    <n v="5985"/>
    <n v="5"/>
    <m/>
    <n v="0"/>
    <n v="0"/>
    <n v="2017"/>
    <n v="2021"/>
    <n v="2021"/>
    <n v="2023"/>
    <n v="2023"/>
    <n v="2027"/>
    <n v="4"/>
    <n v="2"/>
    <n v="4"/>
    <n v="10"/>
    <n v="1"/>
    <m/>
    <m/>
    <n v="4.3055555555555562"/>
    <n v="5.34"/>
    <n v="54.653333333333336"/>
    <n v="64.298888888888897"/>
    <n v="-36.901111111111106"/>
    <m/>
    <s v=""/>
    <m/>
    <s v=""/>
    <m/>
    <s v=""/>
    <n v="0"/>
    <x v="0"/>
    <n v="1"/>
    <n v="0"/>
    <n v="0"/>
    <n v="3"/>
    <n v="10.74333983105913"/>
  </r>
  <r>
    <x v="12"/>
    <x v="3"/>
    <s v="C-kering"/>
    <s v="03E"/>
    <s v="HHRS Hollands Noorderkwartier"/>
    <s v="Wieringermeerkering"/>
    <n v="33282.272231718722"/>
    <s v="nvt"/>
    <n v="12"/>
    <n v="0"/>
    <n v="0"/>
    <n v="2018"/>
    <n v="2020"/>
    <n v="2020"/>
    <n v="2023"/>
    <n v="2023"/>
    <n v="2027"/>
    <n v="2"/>
    <n v="3"/>
    <n v="4"/>
    <n v="9"/>
    <n v="0"/>
    <m/>
    <m/>
    <n v="2.59"/>
    <n v="10.38"/>
    <n v="88.23"/>
    <n v="101.2"/>
    <n v="0"/>
    <m/>
    <s v=""/>
    <m/>
    <s v=""/>
    <m/>
    <s v=""/>
    <n v="0"/>
    <x v="0"/>
    <n v="0"/>
    <n v="1"/>
    <n v="0"/>
    <n v="3"/>
    <n v="3.0406577800765127"/>
  </r>
  <r>
    <x v="12"/>
    <x v="4"/>
    <m/>
    <s v="03E"/>
    <s v="HHRS Hollands Noorderkwartier"/>
    <s v="Wieringermeerkering"/>
    <n v="33282.272231718722"/>
    <n v="12"/>
    <m/>
    <n v="0"/>
    <n v="0"/>
    <n v="2018"/>
    <n v="2020"/>
    <n v="2020"/>
    <n v="2023"/>
    <n v="2023"/>
    <n v="2027"/>
    <n v="2"/>
    <n v="3"/>
    <n v="4"/>
    <n v="9"/>
    <n v="-2"/>
    <m/>
    <m/>
    <n v="2.6"/>
    <n v="10.4"/>
    <n v="88.2"/>
    <n v="101.2"/>
    <n v="-2.1999999999999886"/>
    <m/>
    <s v=""/>
    <m/>
    <s v=""/>
    <m/>
    <s v=""/>
    <n v="0"/>
    <x v="0"/>
    <n v="0"/>
    <n v="1"/>
    <n v="0"/>
    <n v="3"/>
    <n v="3.0406577800765127"/>
  </r>
  <r>
    <x v="12"/>
    <x v="5"/>
    <s v="C-kering"/>
    <s v="03E"/>
    <s v="HHRS Hollands Noorderkwartier"/>
    <s v="Wieringermeer (C-kering)"/>
    <m/>
    <m/>
    <m/>
    <n v="0"/>
    <n v="0"/>
    <n v="2016"/>
    <n v="2020"/>
    <n v="2020"/>
    <n v="2023"/>
    <n v="2023"/>
    <n v="2027"/>
    <n v="4"/>
    <n v="3"/>
    <n v="4"/>
    <n v="11"/>
    <m/>
    <m/>
    <m/>
    <n v="4.8"/>
    <n v="10.4"/>
    <n v="88.199999999999989"/>
    <n v="103.39999999999999"/>
    <m/>
    <m/>
    <s v=""/>
    <m/>
    <s v=""/>
    <m/>
    <s v=""/>
    <n v="0"/>
    <x v="0"/>
    <n v="0"/>
    <n v="1"/>
    <n v="0"/>
    <n v="3"/>
    <m/>
  </r>
  <r>
    <x v="13"/>
    <x v="0"/>
    <n v="148"/>
    <s v="25L"/>
    <s v="Waterschap Vallei en Veluwe"/>
    <s v="Noordelijke Randmeerdijk (incl WDOD)"/>
    <n v="977"/>
    <n v="10"/>
    <s v="11-3"/>
    <n v="0"/>
    <n v="0"/>
    <n v="2014"/>
    <n v="2017"/>
    <n v="2017"/>
    <n v="2021"/>
    <n v="2021"/>
    <n v="2024"/>
    <n v="3"/>
    <n v="4"/>
    <n v="3"/>
    <n v="10"/>
    <n v="0"/>
    <m/>
    <n v="4"/>
    <n v="2.8411111111111111"/>
    <n v="2.2222222222222223"/>
    <n v="3.5555555555555558"/>
    <n v="8.6188888888888897"/>
    <n v="-1.629999999999999"/>
    <m/>
    <n v="-1.629999999999999"/>
    <m/>
    <n v="-11632.249444803267"/>
    <m/>
    <n v="6.4425842137001013"/>
    <m/>
    <x v="0"/>
    <n v="0"/>
    <n v="1"/>
    <n v="0"/>
    <n v="1"/>
    <n v="8.8217900602752195"/>
  </r>
  <r>
    <x v="13"/>
    <x v="1"/>
    <n v="148"/>
    <s v="25L"/>
    <s v="Waterschap Vallei en Veluwe"/>
    <s v="Noordelijke Randmeerdijk (incl WDOD)"/>
    <n v="1040"/>
    <n v="10"/>
    <s v="11-3"/>
    <n v="0"/>
    <n v="1"/>
    <n v="2014"/>
    <n v="2019"/>
    <n v="2019"/>
    <n v="2021"/>
    <n v="2021"/>
    <n v="2024"/>
    <n v="5"/>
    <n v="2"/>
    <n v="3"/>
    <n v="10"/>
    <n v="3"/>
    <n v="4"/>
    <m/>
    <n v="3.4477777777777776"/>
    <n v="1.7288888888888889"/>
    <n v="5.0722222222222229"/>
    <n v="10.248888888888889"/>
    <n v="-0.25888888888889028"/>
    <n v="-19.751111111111111"/>
    <s v=""/>
    <n v="-11569.249444803267"/>
    <s v=""/>
    <n v="7.4754950081257352"/>
    <s v=""/>
    <n v="0"/>
    <x v="0"/>
    <n v="0"/>
    <n v="1"/>
    <n v="0"/>
    <n v="1"/>
    <n v="9.8547008547008534"/>
  </r>
  <r>
    <x v="13"/>
    <x v="2"/>
    <n v="175"/>
    <s v="25L"/>
    <s v="Waterschap Vallei en Veluwe"/>
    <s v="Noordelijke Randmeerdijk"/>
    <n v="12941"/>
    <n v="1"/>
    <s v="11-3"/>
    <n v="0"/>
    <n v="0"/>
    <n v="2017"/>
    <n v="2018"/>
    <n v="2018"/>
    <n v="2021"/>
    <n v="2021"/>
    <n v="2024"/>
    <n v="1"/>
    <n v="3"/>
    <n v="3"/>
    <n v="7"/>
    <n v="0"/>
    <m/>
    <m/>
    <n v="2.8411111111111111"/>
    <n v="1.6666666666666667"/>
    <n v="6"/>
    <n v="10.507777777777779"/>
    <n v="-27.351222222222223"/>
    <m/>
    <s v=""/>
    <m/>
    <s v=""/>
    <m/>
    <s v=""/>
    <n v="0"/>
    <x v="0"/>
    <n v="0"/>
    <n v="1"/>
    <n v="0"/>
    <n v="1"/>
    <n v="0.81197571886081277"/>
  </r>
  <r>
    <x v="13"/>
    <x v="3"/>
    <n v="172"/>
    <s v="25L"/>
    <s v="Waterschap Vallei en Veluwe"/>
    <s v="Noordelijke Randmeerdijk"/>
    <n v="12609.249444803267"/>
    <s v="11-3"/>
    <n v="5"/>
    <n v="0"/>
    <n v="0"/>
    <n v="2017"/>
    <n v="2018"/>
    <n v="2018"/>
    <n v="2021"/>
    <n v="2021"/>
    <n v="2024"/>
    <n v="1"/>
    <n v="3"/>
    <n v="3"/>
    <n v="7"/>
    <n v="1"/>
    <m/>
    <m/>
    <n v="1.5"/>
    <n v="2.3620000000000001"/>
    <n v="33.997"/>
    <n v="37.859000000000002"/>
    <n v="7.8590000000000018"/>
    <m/>
    <s v=""/>
    <m/>
    <s v=""/>
    <m/>
    <s v=""/>
    <n v="0"/>
    <x v="0"/>
    <n v="0"/>
    <n v="1"/>
    <n v="0"/>
    <n v="1"/>
    <n v="3.0024784715162474"/>
  </r>
  <r>
    <x v="13"/>
    <x v="4"/>
    <m/>
    <s v="25L"/>
    <s v="Waterschap Vallei en Veluwe"/>
    <s v="Noordelijke Randmeerdijk"/>
    <n v="12609.249444803267"/>
    <n v="6"/>
    <s v="11-5"/>
    <n v="0"/>
    <n v="0"/>
    <n v="2017"/>
    <n v="2018"/>
    <n v="2018"/>
    <n v="2021"/>
    <n v="2021"/>
    <n v="2023"/>
    <n v="1"/>
    <n v="3"/>
    <n v="2"/>
    <n v="6"/>
    <n v="0"/>
    <m/>
    <m/>
    <n v="1.5"/>
    <n v="3"/>
    <n v="25.5"/>
    <n v="30"/>
    <n v="0"/>
    <m/>
    <s v=""/>
    <m/>
    <s v=""/>
    <m/>
    <s v=""/>
    <n v="0"/>
    <x v="0"/>
    <n v="0"/>
    <n v="1"/>
    <n v="0"/>
    <n v="1"/>
    <n v="2.3792058465751187"/>
  </r>
  <r>
    <x v="13"/>
    <x v="5"/>
    <s v="C-kering"/>
    <s v="25L"/>
    <s v="Waterschap Vallei en Veluwe"/>
    <s v="Noordelijke Randmeerdijk"/>
    <m/>
    <m/>
    <m/>
    <n v="0"/>
    <n v="0"/>
    <n v="2017"/>
    <n v="2018"/>
    <n v="2018"/>
    <n v="2021"/>
    <n v="2021"/>
    <n v="2023"/>
    <n v="1"/>
    <n v="3"/>
    <n v="2"/>
    <n v="6"/>
    <m/>
    <m/>
    <m/>
    <n v="1.5"/>
    <n v="3"/>
    <n v="25.5"/>
    <n v="30"/>
    <m/>
    <m/>
    <s v=""/>
    <m/>
    <s v=""/>
    <m/>
    <s v=""/>
    <n v="0"/>
    <x v="0"/>
    <n v="0"/>
    <n v="1"/>
    <n v="0"/>
    <n v="1"/>
    <m/>
  </r>
  <r>
    <x v="14"/>
    <x v="0"/>
    <s v="C-kering"/>
    <s v="03I"/>
    <s v="HHRS Hollands Noorderkwartier"/>
    <s v="Noordzeekanaal (D31 t/m D37)"/>
    <n v="3680"/>
    <n v="23"/>
    <s v="C-kering"/>
    <n v="0"/>
    <n v="0"/>
    <n v="2015"/>
    <n v="2020"/>
    <n v="2020"/>
    <n v="2022"/>
    <n v="2022"/>
    <n v="2027"/>
    <n v="5"/>
    <n v="2"/>
    <n v="5"/>
    <n v="12"/>
    <n v="3"/>
    <m/>
    <n v="4"/>
    <n v="6.4222222222222225"/>
    <n v="2.1111111111111112"/>
    <n v="14.444444444444445"/>
    <n v="22.977777777777778"/>
    <n v="-19.457844444444444"/>
    <m/>
    <n v="-19.457844444444444"/>
    <m/>
    <n v="-24320"/>
    <m/>
    <n v="4.6131395324034798"/>
    <m/>
    <x v="0"/>
    <n v="0"/>
    <n v="1"/>
    <n v="0"/>
    <n v="2"/>
    <n v="6.2439613526570046"/>
  </r>
  <r>
    <x v="14"/>
    <x v="1"/>
    <s v="C-kering"/>
    <s v="03I"/>
    <s v="HHRS Hollands Noorderkwartier"/>
    <s v="Noordzeekanaal (D31 t/m D37)"/>
    <n v="28070"/>
    <n v="23"/>
    <s v="C-kering"/>
    <n v="0"/>
    <n v="0"/>
    <n v="2015"/>
    <n v="2021"/>
    <n v="2021"/>
    <n v="2023"/>
    <n v="2023"/>
    <n v="2024"/>
    <n v="6"/>
    <n v="2"/>
    <n v="1"/>
    <n v="9"/>
    <n v="1"/>
    <n v="1"/>
    <m/>
    <n v="6.4222888888888887"/>
    <n v="4.2711111111111117"/>
    <n v="31.742222222222221"/>
    <n v="42.435622222222221"/>
    <n v="1.3400000000004297E-2"/>
    <n v="-3.3643777777777757"/>
    <s v=""/>
    <n v="70"/>
    <s v=""/>
    <n v="-0.1239357954320548"/>
    <s v=""/>
    <n v="0"/>
    <x v="0"/>
    <n v="1"/>
    <n v="0"/>
    <n v="0"/>
    <n v="3"/>
    <n v="1.5117784902822309"/>
  </r>
  <r>
    <x v="14"/>
    <x v="2"/>
    <s v="C-kering"/>
    <s v="03I"/>
    <s v="HHRS Hollands Noorderkwartier"/>
    <s v="Noordzeekanaal (D31 t/m D37)"/>
    <n v="28070"/>
    <n v="30"/>
    <m/>
    <n v="0"/>
    <n v="0"/>
    <n v="2016"/>
    <n v="2018"/>
    <n v="2018"/>
    <n v="2021"/>
    <n v="2021"/>
    <n v="2024"/>
    <n v="2"/>
    <n v="3"/>
    <n v="3"/>
    <n v="8"/>
    <n v="1"/>
    <m/>
    <m/>
    <n v="6.4222222222222225"/>
    <n v="4.3"/>
    <n v="31.7"/>
    <n v="42.422222222222217"/>
    <n v="12.822222222222219"/>
    <m/>
    <s v=""/>
    <m/>
    <s v=""/>
    <m/>
    <s v=""/>
    <n v="0"/>
    <x v="0"/>
    <n v="0"/>
    <n v="1"/>
    <n v="0"/>
    <n v="1"/>
    <n v="1.5113011122986184"/>
  </r>
  <r>
    <x v="14"/>
    <x v="3"/>
    <s v="C-kering"/>
    <s v="03I"/>
    <s v="HHRS Hollands Noorderkwartier"/>
    <s v="Noordzeekanaal (D31 t/m D37)"/>
    <n v="28084"/>
    <n v="21"/>
    <m/>
    <n v="0"/>
    <n v="0"/>
    <n v="2016"/>
    <n v="2018"/>
    <n v="2018"/>
    <n v="2021"/>
    <n v="2021"/>
    <n v="2023"/>
    <n v="2"/>
    <n v="3"/>
    <n v="2"/>
    <n v="7"/>
    <n v="-1"/>
    <m/>
    <m/>
    <n v="2.2999999999999998"/>
    <n v="2.9"/>
    <n v="24.4"/>
    <n v="29.599999999999998"/>
    <n v="-16.2"/>
    <m/>
    <s v=""/>
    <m/>
    <s v=""/>
    <m/>
    <s v=""/>
    <n v="0"/>
    <x v="0"/>
    <n v="0"/>
    <n v="1"/>
    <n v="0"/>
    <n v="1"/>
    <n v="1.0539809143996581"/>
  </r>
  <r>
    <x v="14"/>
    <x v="4"/>
    <m/>
    <s v="03I"/>
    <s v="HHRS Hollands Noorderkwartier"/>
    <s v="Noordzeekanaal (D31 t/m D37)"/>
    <n v="28000"/>
    <m/>
    <m/>
    <n v="0"/>
    <n v="0"/>
    <n v="2016"/>
    <n v="2018"/>
    <n v="2018"/>
    <n v="2021"/>
    <n v="2021"/>
    <n v="2024"/>
    <n v="2"/>
    <n v="3"/>
    <n v="3"/>
    <n v="8"/>
    <n v="-3"/>
    <m/>
    <m/>
    <n v="2.2999999999999998"/>
    <n v="4.5999999999999996"/>
    <n v="38.9"/>
    <n v="45.8"/>
    <m/>
    <m/>
    <s v=""/>
    <m/>
    <s v=""/>
    <m/>
    <s v=""/>
    <n v="0"/>
    <x v="0"/>
    <n v="0"/>
    <n v="1"/>
    <n v="0"/>
    <n v="1"/>
    <n v="1.6357142857142857"/>
  </r>
  <r>
    <x v="14"/>
    <x v="5"/>
    <s v="C-kering"/>
    <s v="03I"/>
    <s v="HHRS Hollands Noorderkwartier"/>
    <s v="Noordzeekanaal (D31 t/m D37)"/>
    <m/>
    <m/>
    <m/>
    <n v="0"/>
    <n v="0"/>
    <n v="2016"/>
    <n v="2019"/>
    <n v="2019"/>
    <n v="2022"/>
    <n v="2022"/>
    <n v="2027"/>
    <n v="3"/>
    <n v="3"/>
    <n v="5"/>
    <n v="11"/>
    <m/>
    <m/>
    <m/>
    <n v="7.1630000000000003"/>
    <n v="23.49"/>
    <n v="199.8"/>
    <n v="230.453"/>
    <m/>
    <m/>
    <s v=""/>
    <m/>
    <s v=""/>
    <m/>
    <s v=""/>
    <n v="0"/>
    <x v="0"/>
    <n v="0"/>
    <n v="1"/>
    <n v="0"/>
    <n v="2"/>
    <m/>
  </r>
  <r>
    <x v="15"/>
    <x v="0"/>
    <n v="10"/>
    <s v="2D"/>
    <s v="HHRS De Stichtse Rijnlanden"/>
    <s v="Wijk bij Duurstede Amerongen (WAM)"/>
    <n v="9800"/>
    <n v="2"/>
    <s v="44-1"/>
    <n v="0"/>
    <n v="0"/>
    <n v="2017"/>
    <n v="2021"/>
    <n v="2021"/>
    <n v="2023"/>
    <n v="2023"/>
    <n v="2027"/>
    <n v="4"/>
    <n v="2"/>
    <n v="4"/>
    <n v="10"/>
    <n v="0"/>
    <m/>
    <n v="10"/>
    <n v="7.2111111111111112"/>
    <n v="14.666666666666666"/>
    <n v="39.333333333333329"/>
    <n v="61.211111111111109"/>
    <n v="-19.5"/>
    <m/>
    <n v="-19.5"/>
    <m/>
    <n v="9800"/>
    <m/>
    <n v="6.2460317460317452"/>
    <m/>
    <x v="0"/>
    <n v="1"/>
    <n v="0"/>
    <n v="0"/>
    <n v="3"/>
    <n v="6.2460317460317452"/>
  </r>
  <r>
    <x v="15"/>
    <x v="1"/>
    <n v="10"/>
    <s v="2D"/>
    <s v="HHRS De Stichtse Rijnlanden"/>
    <s v="Wijk bij Duurstede Amerongen (WAM)"/>
    <n v="9800"/>
    <n v="2"/>
    <s v="44-1"/>
    <n v="0"/>
    <n v="0"/>
    <n v="2017"/>
    <n v="2021"/>
    <n v="2021"/>
    <n v="2023"/>
    <n v="2023"/>
    <n v="2027"/>
    <n v="4"/>
    <n v="2"/>
    <n v="4"/>
    <n v="10"/>
    <n v="0"/>
    <n v="10"/>
    <m/>
    <n v="7.2111111111111112"/>
    <n v="14.7"/>
    <n v="58.8"/>
    <n v="80.711111111111109"/>
    <n v="30.68888888888889"/>
    <n v="80.711111111111109"/>
    <s v=""/>
    <n v="9800"/>
    <s v=""/>
    <m/>
    <s v=""/>
    <n v="1"/>
    <x v="0"/>
    <n v="1"/>
    <n v="0"/>
    <n v="0"/>
    <n v="3"/>
    <n v="8.2358276643990926"/>
  </r>
  <r>
    <x v="15"/>
    <x v="2"/>
    <n v="25"/>
    <s v="02D"/>
    <s v="HHRS De Stichtse Rijnlanden"/>
    <s v="Sterke Lekdijk: Wijk bij Duurstede-Amerongen"/>
    <n v="11007"/>
    <n v="1"/>
    <s v="44-1"/>
    <n v="0"/>
    <n v="0"/>
    <n v="2017"/>
    <n v="2018"/>
    <n v="2018"/>
    <n v="2020"/>
    <n v="2020"/>
    <n v="2027"/>
    <n v="1"/>
    <n v="2"/>
    <n v="7"/>
    <n v="10"/>
    <n v="1"/>
    <m/>
    <m/>
    <n v="7.2111111111111112"/>
    <n v="0"/>
    <n v="42.81111111111111"/>
    <n v="50.022222222222219"/>
    <n v="7.4222222222222172"/>
    <m/>
    <s v=""/>
    <m/>
    <s v=""/>
    <m/>
    <s v=""/>
    <n v="1"/>
    <x v="0"/>
    <n v="0"/>
    <n v="0"/>
    <n v="1"/>
    <n v="0"/>
    <n v="4.5445827402763896"/>
  </r>
  <r>
    <x v="15"/>
    <x v="3"/>
    <n v="23"/>
    <s v="02D"/>
    <s v="HHRS De Stichtse Rijnlanden"/>
    <s v="Sterke Lekdijk: Wijk bij Duurstede-Amerongen"/>
    <n v="11007"/>
    <m/>
    <s v="44-1"/>
    <n v="0"/>
    <n v="0"/>
    <n v="2017"/>
    <n v="2018"/>
    <n v="2018"/>
    <n v="2020"/>
    <n v="2020"/>
    <n v="2026"/>
    <n v="1"/>
    <n v="2"/>
    <n v="6"/>
    <n v="9"/>
    <m/>
    <m/>
    <m/>
    <n v="0"/>
    <n v="0"/>
    <n v="42.6"/>
    <n v="42.6"/>
    <m/>
    <m/>
    <s v=""/>
    <m/>
    <s v=""/>
    <m/>
    <s v=""/>
    <n v="1"/>
    <x v="0"/>
    <n v="0"/>
    <n v="0"/>
    <n v="1"/>
    <n v="0"/>
    <n v="3.8702643772145002"/>
  </r>
  <r>
    <x v="15"/>
    <x v="4"/>
    <m/>
    <m/>
    <s v="HHRS De Stichtse Rijnlanden"/>
    <s v="Sterke Lekdijk"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0"/>
    <n v="0"/>
    <n v="0"/>
    <n v="0"/>
    <m/>
    <m/>
  </r>
  <r>
    <x v="15"/>
    <x v="5"/>
    <m/>
    <m/>
    <s v="HHRS De Stichtse Rijnlanden"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0"/>
    <n v="0"/>
    <n v="0"/>
    <n v="0"/>
    <m/>
    <m/>
  </r>
  <r>
    <x v="16"/>
    <x v="0"/>
    <n v="25"/>
    <s v="15P"/>
    <s v="Waterschap Drents-Overijsselse Delta"/>
    <s v="Vecht Dalfsen Zwolle "/>
    <n v="32000"/>
    <m/>
    <m/>
    <n v="0"/>
    <n v="0"/>
    <n v="2019"/>
    <n v="2023"/>
    <n v="2023"/>
    <n v="2026"/>
    <n v="2026"/>
    <n v="2029"/>
    <n v="4"/>
    <n v="3"/>
    <n v="3"/>
    <n v="10"/>
    <n v="-2"/>
    <m/>
    <n v="0"/>
    <n v="11.666666666666666"/>
    <n v="12.222222222222221"/>
    <n v="81.555555555555557"/>
    <n v="105.44444444444444"/>
    <n v="-0.12444444444444969"/>
    <m/>
    <n v="14.37555555555555"/>
    <m/>
    <n v="16306.394517841267"/>
    <m/>
    <n v="0.92954749103942635"/>
    <m/>
    <x v="1"/>
    <n v="1"/>
    <n v="0"/>
    <n v="0"/>
    <n v="6"/>
    <n v="3.2951388888888888"/>
  </r>
  <r>
    <x v="16"/>
    <x v="1"/>
    <m/>
    <s v="15P"/>
    <s v="Waterschap Drents-Overijsselse Delta"/>
    <s v="Vecht Dalfsen Zwolle "/>
    <n v="33335"/>
    <n v="3"/>
    <s v="53-3"/>
    <n v="1"/>
    <n v="0"/>
    <n v="2019"/>
    <n v="2024"/>
    <n v="2024"/>
    <n v="2027"/>
    <n v="2027"/>
    <n v="2031"/>
    <n v="5"/>
    <n v="3"/>
    <n v="4"/>
    <n v="12"/>
    <n v="3"/>
    <n v="2"/>
    <m/>
    <n v="11.672222222222222"/>
    <n v="12.247777777777777"/>
    <n v="81.648888888888891"/>
    <n v="105.56888888888889"/>
    <n v="58.36888888888889"/>
    <n v="67.068888888888893"/>
    <s v=""/>
    <n v="17641.394517841269"/>
    <s v=""/>
    <n v="0.71367983632604659"/>
    <s v=""/>
    <n v="1"/>
    <x v="1"/>
    <n v="1"/>
    <n v="0"/>
    <n v="0"/>
    <n v="7"/>
    <n v="3.1669083212506042"/>
  </r>
  <r>
    <x v="16"/>
    <x v="2"/>
    <n v="82"/>
    <s v="34AP"/>
    <s v="Waterschap Drents-Overijsselse Delta"/>
    <s v="Vecht- Dalfsen west"/>
    <n v="16275"/>
    <n v="12"/>
    <s v="53-3 + 9-1"/>
    <n v="0"/>
    <n v="0"/>
    <n v="2017"/>
    <n v="2022"/>
    <n v="2022"/>
    <n v="2024"/>
    <n v="2024"/>
    <n v="2026"/>
    <n v="5"/>
    <n v="2"/>
    <n v="2"/>
    <n v="9"/>
    <n v="-1"/>
    <m/>
    <m/>
    <n v="4.5"/>
    <n v="4.5"/>
    <n v="38.200000000000003"/>
    <n v="47.2"/>
    <n v="19.3"/>
    <m/>
    <s v=""/>
    <m/>
    <s v=""/>
    <m/>
    <s v=""/>
    <n v="1"/>
    <x v="1"/>
    <n v="1"/>
    <n v="0"/>
    <n v="0"/>
    <n v="4"/>
    <n v="2.9001536098310297"/>
  </r>
  <r>
    <x v="16"/>
    <x v="3"/>
    <n v="56"/>
    <s v="34AP"/>
    <s v="Waterschap Drents-Overijsselse Delta"/>
    <s v="Vecht Dalfsen west"/>
    <n v="16275"/>
    <m/>
    <s v="53-3 + 9-1"/>
    <n v="0"/>
    <n v="0"/>
    <n v="2018"/>
    <n v="2022"/>
    <n v="2022"/>
    <n v="2025"/>
    <n v="2025"/>
    <n v="2028"/>
    <n v="4"/>
    <n v="3"/>
    <n v="3"/>
    <n v="10"/>
    <n v="0"/>
    <m/>
    <m/>
    <n v="1.4259999999999999"/>
    <n v="2.79"/>
    <n v="23.684000000000001"/>
    <n v="27.900000000000002"/>
    <n v="-10.599999999999998"/>
    <m/>
    <s v=""/>
    <m/>
    <s v=""/>
    <m/>
    <s v=""/>
    <n v="1"/>
    <x v="1"/>
    <n v="1"/>
    <n v="0"/>
    <n v="0"/>
    <n v="5"/>
    <n v="1.7142857142857146"/>
  </r>
  <r>
    <x v="16"/>
    <x v="4"/>
    <n v="58"/>
    <s v="15P"/>
    <s v="Waterschap Drents-Overijsselse Delta"/>
    <s v="Vecht-Zuid"/>
    <n v="15693.605482158733"/>
    <n v="2"/>
    <s v="53-3"/>
    <n v="0"/>
    <n v="0"/>
    <n v="2018"/>
    <n v="2022"/>
    <n v="2022"/>
    <n v="2025"/>
    <n v="2025"/>
    <n v="2028"/>
    <n v="4"/>
    <n v="3"/>
    <n v="3"/>
    <n v="10"/>
    <n v="-2"/>
    <m/>
    <m/>
    <n v="1.6"/>
    <n v="3.9"/>
    <n v="33"/>
    <n v="38.5"/>
    <n v="-14.5"/>
    <m/>
    <s v=""/>
    <m/>
    <s v=""/>
    <m/>
    <s v=""/>
    <n v="1"/>
    <x v="1"/>
    <n v="1"/>
    <n v="0"/>
    <n v="0"/>
    <n v="5"/>
    <n v="2.4532284849245576"/>
  </r>
  <r>
    <x v="16"/>
    <x v="5"/>
    <n v="45"/>
    <s v="15P"/>
    <s v="Waterschap Drents-Overijsselse Delta"/>
    <s v="Vecht-Zuid"/>
    <m/>
    <m/>
    <m/>
    <n v="0"/>
    <n v="0"/>
    <n v="2017"/>
    <n v="2024"/>
    <n v="2024"/>
    <n v="2027"/>
    <n v="2027"/>
    <n v="2029"/>
    <n v="7"/>
    <n v="3"/>
    <n v="2"/>
    <n v="12"/>
    <m/>
    <m/>
    <m/>
    <n v="4.0999999999999996"/>
    <n v="5.0999999999999996"/>
    <n v="43.8"/>
    <n v="53"/>
    <m/>
    <m/>
    <s v=""/>
    <m/>
    <s v=""/>
    <m/>
    <s v=""/>
    <n v="1"/>
    <x v="1"/>
    <n v="1"/>
    <n v="0"/>
    <n v="0"/>
    <n v="7"/>
    <m/>
  </r>
  <r>
    <x v="17"/>
    <x v="0"/>
    <s v="C-kering"/>
    <s v="02C"/>
    <s v="HHRS De Stichtse Rijnlanden"/>
    <s v="Versterking voormalige C-kering HDSR (GHIJ)"/>
    <n v="10800"/>
    <m/>
    <m/>
    <n v="0"/>
    <n v="0"/>
    <n v="2019"/>
    <n v="2022"/>
    <n v="2022"/>
    <n v="2024"/>
    <n v="2024"/>
    <n v="2028"/>
    <n v="3"/>
    <n v="2"/>
    <n v="4"/>
    <n v="9"/>
    <n v="1"/>
    <m/>
    <m/>
    <n v="5.6666666666666661"/>
    <n v="7.5555555555555554"/>
    <n v="62.222222222222221"/>
    <n v="75.444444444444443"/>
    <n v="-8.5555555555555571"/>
    <m/>
    <s v=""/>
    <m/>
    <s v=""/>
    <m/>
    <s v=""/>
    <m/>
    <x v="1"/>
    <n v="1"/>
    <n v="0"/>
    <n v="0"/>
    <n v="4"/>
    <n v="6.9855967078189298"/>
  </r>
  <r>
    <x v="17"/>
    <x v="1"/>
    <s v="C-kering"/>
    <s v="02C"/>
    <s v="HHRS De Stichtse Rijnlanden"/>
    <s v="Versterking voormalige C-kering HDSR (GHIJ)"/>
    <n v="12376"/>
    <n v="49"/>
    <s v="C-kering"/>
    <n v="0"/>
    <n v="1"/>
    <n v="2020"/>
    <n v="2022"/>
    <n v="2022"/>
    <n v="2024"/>
    <n v="2024"/>
    <n v="2028"/>
    <n v="2"/>
    <n v="2"/>
    <n v="4"/>
    <n v="8"/>
    <n v="-3"/>
    <m/>
    <m/>
    <n v="4.2"/>
    <n v="8.4"/>
    <n v="71.400000000000006"/>
    <n v="84"/>
    <n v="-4.1499999999999915"/>
    <n v="84"/>
    <s v=""/>
    <n v="12376"/>
    <s v=""/>
    <m/>
    <s v=""/>
    <n v="1"/>
    <x v="1"/>
    <n v="1"/>
    <n v="0"/>
    <n v="0"/>
    <n v="4"/>
    <n v="6.7873303167420813"/>
  </r>
  <r>
    <x v="17"/>
    <x v="2"/>
    <s v="C-kering"/>
    <s v="02C"/>
    <s v="HHRS De Stichtse Rijnlanden"/>
    <s v="Versterking voormalige C-kering HDSR"/>
    <n v="12376"/>
    <n v="54"/>
    <s v="nvt"/>
    <n v="0"/>
    <n v="1"/>
    <n v="2017"/>
    <n v="2022"/>
    <n v="2022"/>
    <n v="2024"/>
    <n v="2024"/>
    <n v="2028"/>
    <n v="5"/>
    <n v="2"/>
    <n v="4"/>
    <n v="11"/>
    <n v="0"/>
    <m/>
    <m/>
    <n v="8.3999999999999986"/>
    <n v="8.4"/>
    <n v="71.349999999999994"/>
    <n v="88.149999999999991"/>
    <n v="-4.3500000000000085"/>
    <m/>
    <s v=""/>
    <m/>
    <s v=""/>
    <m/>
    <s v=""/>
    <n v="1"/>
    <x v="1"/>
    <n v="1"/>
    <n v="0"/>
    <n v="0"/>
    <n v="4"/>
    <n v="7.1226567550096958"/>
  </r>
  <r>
    <x v="17"/>
    <x v="3"/>
    <s v="C-kering"/>
    <s v="02C"/>
    <s v="HHRS De Stichtse Rijnlanden"/>
    <s v="Versterking voormalige C-kering HDSR"/>
    <n v="12376"/>
    <m/>
    <m/>
    <n v="0"/>
    <n v="1"/>
    <n v="2017"/>
    <n v="2022"/>
    <n v="2022"/>
    <n v="2024"/>
    <n v="2024"/>
    <n v="2028"/>
    <n v="5"/>
    <n v="2"/>
    <n v="4"/>
    <n v="11"/>
    <n v="11"/>
    <m/>
    <m/>
    <n v="12.7"/>
    <n v="8.4"/>
    <n v="71.400000000000006"/>
    <n v="92.5"/>
    <m/>
    <m/>
    <s v=""/>
    <m/>
    <s v=""/>
    <m/>
    <s v=""/>
    <n v="1"/>
    <x v="1"/>
    <n v="1"/>
    <n v="0"/>
    <n v="0"/>
    <n v="4"/>
    <n v="7.4741435035552684"/>
  </r>
  <r>
    <x v="17"/>
    <x v="4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17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18"/>
    <x v="0"/>
    <n v="1"/>
    <s v="22W"/>
    <s v="Waterschap Rivierenland"/>
    <s v="Vianen"/>
    <n v="1195"/>
    <m/>
    <m/>
    <n v="0"/>
    <n v="0"/>
    <n v="2016"/>
    <n v="2018"/>
    <n v="2018"/>
    <n v="2020"/>
    <n v="2020"/>
    <n v="2022"/>
    <n v="2"/>
    <n v="2"/>
    <n v="2"/>
    <n v="6"/>
    <n v="0"/>
    <m/>
    <n v="2"/>
    <n v="1"/>
    <n v="1.3333333333333333"/>
    <n v="9.5555555555555554"/>
    <n v="11.888888888888889"/>
    <n v="-2.1322222222222216"/>
    <m/>
    <n v="-5.7470902851316863"/>
    <m/>
    <n v="75.086287778749011"/>
    <m/>
    <n v="2.0778366769268661"/>
    <m/>
    <x v="0"/>
    <n v="0"/>
    <n v="0"/>
    <n v="1"/>
    <n v="0"/>
    <n v="9.9488609948860987"/>
  </r>
  <r>
    <x v="18"/>
    <x v="1"/>
    <n v="1"/>
    <s v="22W"/>
    <s v="Waterschap Rivierenland"/>
    <s v="Vianen"/>
    <n v="1195"/>
    <m/>
    <s v="16-4"/>
    <n v="0"/>
    <n v="0"/>
    <n v="2016"/>
    <n v="2018"/>
    <n v="2018"/>
    <n v="2020"/>
    <n v="2020"/>
    <n v="2022"/>
    <n v="2"/>
    <n v="2"/>
    <n v="2"/>
    <n v="6"/>
    <n v="0"/>
    <n v="2"/>
    <m/>
    <n v="0.99222222222222212"/>
    <n v="1.4622222222222221"/>
    <n v="11.566666666666666"/>
    <n v="14.021111111111111"/>
    <n v="2.5"/>
    <n v="5.206243048201646"/>
    <s v=""/>
    <n v="75.086287778749011"/>
    <s v=""/>
    <n v="3.8621230553555037"/>
    <s v=""/>
    <n v="0"/>
    <x v="0"/>
    <n v="0"/>
    <n v="0"/>
    <n v="1"/>
    <n v="0"/>
    <n v="11.733147373314736"/>
  </r>
  <r>
    <x v="18"/>
    <x v="2"/>
    <n v="3"/>
    <s v="22W"/>
    <s v="Waterschap Rivierenland"/>
    <s v="Vianen"/>
    <n v="1119.913712221251"/>
    <n v="3"/>
    <s v="16-4"/>
    <n v="0"/>
    <n v="0"/>
    <n v="2016"/>
    <n v="2018"/>
    <n v="2018"/>
    <n v="2020"/>
    <n v="2020"/>
    <n v="2022"/>
    <n v="2"/>
    <n v="2"/>
    <n v="2"/>
    <n v="6"/>
    <n v="1"/>
    <m/>
    <m/>
    <n v="0.99222222222222234"/>
    <n v="1.4622222222222221"/>
    <n v="9.0666666666666664"/>
    <n v="11.521111111111111"/>
    <n v="1.8811622222222226"/>
    <m/>
    <s v=""/>
    <m/>
    <s v=""/>
    <m/>
    <s v=""/>
    <n v="0"/>
    <x v="0"/>
    <n v="0"/>
    <n v="0"/>
    <n v="1"/>
    <n v="0"/>
    <n v="10.287498925484172"/>
  </r>
  <r>
    <x v="18"/>
    <x v="3"/>
    <n v="2"/>
    <s v="22W"/>
    <s v="Waterschap Rivierenland"/>
    <s v="Vianen"/>
    <n v="1119.913712221251"/>
    <m/>
    <s v="16-4"/>
    <n v="0"/>
    <n v="0"/>
    <n v="2016"/>
    <n v="2018"/>
    <n v="2018"/>
    <n v="2019"/>
    <n v="2019"/>
    <n v="2021"/>
    <n v="2"/>
    <n v="1"/>
    <n v="2"/>
    <n v="5"/>
    <n v="1"/>
    <m/>
    <m/>
    <n v="3.9"/>
    <n v="1.3399488888888889"/>
    <n v="4.4000000000000004"/>
    <n v="9.6399488888888882"/>
    <n v="0.82508082597942334"/>
    <m/>
    <s v=""/>
    <m/>
    <s v=""/>
    <m/>
    <s v=""/>
    <n v="0"/>
    <x v="0"/>
    <n v="0"/>
    <n v="0"/>
    <n v="1"/>
    <n v="-1"/>
    <n v="8.6077603869756114"/>
  </r>
  <r>
    <x v="18"/>
    <x v="4"/>
    <n v="2"/>
    <s v="22W"/>
    <s v="Waterschap Rivierenland"/>
    <s v="Vianen"/>
    <n v="1119.913712221251"/>
    <n v="3"/>
    <s v="16-4"/>
    <n v="0"/>
    <n v="0"/>
    <n v="2016"/>
    <n v="2018"/>
    <n v="2018"/>
    <n v="2019"/>
    <n v="2019"/>
    <n v="2020"/>
    <n v="2"/>
    <n v="1"/>
    <n v="1"/>
    <n v="4"/>
    <n v="0"/>
    <m/>
    <m/>
    <n v="3.9"/>
    <n v="0.51735453293783862"/>
    <n v="4.3975135299716275"/>
    <n v="8.8148680629094649"/>
    <n v="3.6148680629094647"/>
    <m/>
    <s v=""/>
    <m/>
    <s v=""/>
    <m/>
    <s v=""/>
    <n v="0"/>
    <x v="0"/>
    <n v="0"/>
    <n v="0"/>
    <n v="0"/>
    <n v="-1"/>
    <n v="7.8710243179592325"/>
  </r>
  <r>
    <x v="18"/>
    <x v="5"/>
    <n v="1"/>
    <s v="22W"/>
    <s v="Waterschap Rivierenland"/>
    <s v="Vianen"/>
    <m/>
    <m/>
    <m/>
    <n v="0"/>
    <n v="0"/>
    <n v="2016"/>
    <n v="2018"/>
    <n v="2018"/>
    <n v="2019"/>
    <n v="2019"/>
    <n v="2020"/>
    <n v="2"/>
    <n v="1"/>
    <n v="1"/>
    <n v="4"/>
    <m/>
    <m/>
    <m/>
    <n v="0.3"/>
    <n v="0.5"/>
    <n v="4.4000000000000004"/>
    <n v="5.2"/>
    <m/>
    <m/>
    <s v=""/>
    <m/>
    <s v=""/>
    <m/>
    <s v=""/>
    <n v="0"/>
    <x v="0"/>
    <n v="0"/>
    <n v="0"/>
    <n v="0"/>
    <n v="-1"/>
    <m/>
  </r>
  <r>
    <x v="19"/>
    <x v="0"/>
    <n v="6"/>
    <s v="22L"/>
    <s v="Waterschap Rivierenland"/>
    <s v="Wolferen-Sprok incl. DTO"/>
    <n v="13175"/>
    <m/>
    <s v="43-4"/>
    <n v="0"/>
    <n v="0"/>
    <n v="2016"/>
    <n v="2020"/>
    <n v="2020"/>
    <n v="2022"/>
    <n v="2022"/>
    <n v="2026"/>
    <n v="4"/>
    <n v="2"/>
    <n v="4"/>
    <n v="10"/>
    <n v="0"/>
    <m/>
    <n v="3"/>
    <n v="7.4444444444444446"/>
    <n v="14.888888888888889"/>
    <n v="113.88888888888889"/>
    <n v="136.22222222222223"/>
    <n v="-8.6666666666644687E-2"/>
    <m/>
    <n v="-34.286666666666648"/>
    <m/>
    <n v="-2340"/>
    <m/>
    <n v="5.5941645881318642"/>
    <m/>
    <x v="1"/>
    <n v="0"/>
    <n v="1"/>
    <n v="0"/>
    <n v="2"/>
    <n v="10.339447606999789"/>
  </r>
  <r>
    <x v="19"/>
    <x v="1"/>
    <n v="6"/>
    <s v="22L"/>
    <s v="Waterschap Rivierenland"/>
    <s v="Wolferen-Sprok"/>
    <n v="13300"/>
    <m/>
    <s v="43-4"/>
    <n v="0"/>
    <n v="0"/>
    <n v="2016"/>
    <n v="2020"/>
    <n v="2020"/>
    <n v="2022"/>
    <n v="2022"/>
    <n v="2026"/>
    <n v="4"/>
    <n v="2"/>
    <n v="4"/>
    <n v="10"/>
    <n v="2"/>
    <n v="3"/>
    <m/>
    <n v="7.477777777777777"/>
    <n v="14.92"/>
    <n v="113.91111111111111"/>
    <n v="136.30888888888887"/>
    <n v="27.504444444444431"/>
    <n v="86.008888888888862"/>
    <s v=""/>
    <n v="-2215"/>
    <s v=""/>
    <n v="7.0067647903731807"/>
    <s v=""/>
    <n v="1"/>
    <x v="1"/>
    <n v="0"/>
    <n v="1"/>
    <n v="0"/>
    <n v="2"/>
    <n v="10.248788638262321"/>
  </r>
  <r>
    <x v="19"/>
    <x v="2"/>
    <n v="15"/>
    <s v="22AI"/>
    <s v="Waterschap Rivierenland"/>
    <s v="Wolferen-Sprok (incl. de Stelt)"/>
    <n v="10600"/>
    <n v="97"/>
    <s v="43-4"/>
    <n v="0"/>
    <n v="0"/>
    <n v="2016"/>
    <n v="2018"/>
    <n v="2018"/>
    <n v="2020"/>
    <n v="2020"/>
    <n v="2024"/>
    <n v="2"/>
    <n v="2"/>
    <n v="4"/>
    <n v="8"/>
    <n v="3"/>
    <m/>
    <m/>
    <n v="7.4777777777777779"/>
    <n v="11.326666666666666"/>
    <n v="90"/>
    <n v="108.80444444444444"/>
    <n v="58.004444444444438"/>
    <m/>
    <s v=""/>
    <m/>
    <s v=""/>
    <m/>
    <s v=""/>
    <n v="1"/>
    <x v="1"/>
    <n v="0"/>
    <n v="0"/>
    <n v="1"/>
    <n v="0"/>
    <n v="10.264570230607967"/>
  </r>
  <r>
    <x v="19"/>
    <x v="3"/>
    <n v="12"/>
    <s v="22AI"/>
    <s v="Waterschap Rivierenland"/>
    <s v="Wolferen-Sprok"/>
    <n v="10600"/>
    <m/>
    <s v="43-4"/>
    <n v="0"/>
    <n v="0"/>
    <n v="2018"/>
    <n v="2019"/>
    <n v="2019"/>
    <n v="2021"/>
    <n v="2021"/>
    <n v="2023"/>
    <n v="1"/>
    <n v="2"/>
    <n v="2"/>
    <n v="5"/>
    <n v="-2"/>
    <m/>
    <m/>
    <n v="0"/>
    <n v="46.1"/>
    <n v="4.7"/>
    <n v="50.800000000000004"/>
    <n v="0.5"/>
    <m/>
    <s v=""/>
    <m/>
    <s v=""/>
    <m/>
    <s v=""/>
    <n v="1"/>
    <x v="1"/>
    <n v="0"/>
    <n v="1"/>
    <n v="0"/>
    <n v="1"/>
    <n v="4.7924528301886795"/>
  </r>
  <r>
    <x v="19"/>
    <x v="4"/>
    <n v="4"/>
    <s v="22AI + 22AJ + 22VLBO43-4 22AI + 22VLBO43-5 22AJ+22VLBO43-4 22AC"/>
    <s v="Waterschap Rivierenland"/>
    <s v="Wolferen-Sprok"/>
    <n v="15515"/>
    <m/>
    <s v="43-5"/>
    <n v="0"/>
    <n v="0"/>
    <n v="2016"/>
    <n v="2018"/>
    <n v="2018"/>
    <n v="2020"/>
    <n v="2020"/>
    <n v="2023"/>
    <n v="2"/>
    <n v="2"/>
    <n v="3"/>
    <n v="7"/>
    <n v="1"/>
    <m/>
    <m/>
    <n v="0"/>
    <n v="5.6"/>
    <n v="44.7"/>
    <n v="50.300000000000004"/>
    <n v="34.200000000000003"/>
    <m/>
    <s v=""/>
    <m/>
    <s v=""/>
    <m/>
    <s v=""/>
    <n v="1"/>
    <x v="1"/>
    <n v="0"/>
    <n v="0"/>
    <n v="1"/>
    <n v="0"/>
    <n v="3.2420238478891399"/>
  </r>
  <r>
    <x v="19"/>
    <x v="5"/>
    <n v="4"/>
    <s v="22L"/>
    <s v="Waterschap Rivierenland"/>
    <s v="Sprok - Wolferen"/>
    <m/>
    <m/>
    <m/>
    <n v="0"/>
    <n v="0"/>
    <n v="2017"/>
    <n v="2018"/>
    <n v="2018"/>
    <n v="2020"/>
    <n v="2020"/>
    <n v="2023"/>
    <n v="1"/>
    <n v="2"/>
    <n v="3"/>
    <n v="6"/>
    <m/>
    <m/>
    <m/>
    <n v="0"/>
    <n v="1.7"/>
    <n v="14.4"/>
    <n v="16.100000000000001"/>
    <m/>
    <m/>
    <s v=""/>
    <m/>
    <s v=""/>
    <m/>
    <s v=""/>
    <n v="1"/>
    <x v="1"/>
    <n v="0"/>
    <n v="0"/>
    <n v="1"/>
    <n v="0"/>
    <m/>
  </r>
  <r>
    <x v="20"/>
    <x v="0"/>
    <n v="5"/>
    <s v="05E"/>
    <s v="HHRS van Rijnland"/>
    <s v="IJsseldijk Gouda (VIJG) spoor 2"/>
    <n v="102"/>
    <m/>
    <m/>
    <n v="0"/>
    <n v="0"/>
    <n v="2018"/>
    <n v="2021"/>
    <n v="2021"/>
    <n v="2022"/>
    <n v="2022"/>
    <n v="2026"/>
    <n v="3"/>
    <n v="1"/>
    <n v="4"/>
    <n v="8"/>
    <n v="2"/>
    <m/>
    <n v="3"/>
    <n v="2.4444444444444446"/>
    <n v="1"/>
    <n v="11.555555555555555"/>
    <n v="15"/>
    <n v="2.3344444444444434"/>
    <m/>
    <n v="3.9344444444444431"/>
    <m/>
    <n v="-21"/>
    <m/>
    <n v="46.08951819823244"/>
    <m/>
    <x v="0"/>
    <n v="1"/>
    <n v="0"/>
    <n v="0"/>
    <n v="2"/>
    <n v="147.05882352941177"/>
  </r>
  <r>
    <x v="20"/>
    <x v="1"/>
    <n v="5"/>
    <s v="05E"/>
    <s v="HHRS van Rijnland"/>
    <s v="IJsseldijk Gouda (VIJG) spoor 2"/>
    <n v="102"/>
    <n v="3"/>
    <s v="14-1"/>
    <n v="0"/>
    <n v="0"/>
    <n v="2019"/>
    <n v="2020"/>
    <n v="2020"/>
    <n v="2021"/>
    <n v="2021"/>
    <n v="2025"/>
    <n v="1"/>
    <n v="1"/>
    <n v="4"/>
    <n v="6"/>
    <n v="1"/>
    <n v="1"/>
    <m/>
    <n v="0"/>
    <n v="1.1055555555555556"/>
    <n v="11.56"/>
    <n v="12.665555555555557"/>
    <n v="-0.43444444444444308"/>
    <n v="0.16555555555555657"/>
    <s v=""/>
    <n v="-21"/>
    <s v=""/>
    <n v="22.54609702959776"/>
    <s v=""/>
    <n v="0"/>
    <x v="0"/>
    <n v="0"/>
    <n v="1"/>
    <n v="0"/>
    <n v="1"/>
    <n v="124.17211328976036"/>
  </r>
  <r>
    <x v="20"/>
    <x v="2"/>
    <n v="9"/>
    <s v="05E"/>
    <s v="HHRS van Rijnland"/>
    <s v="Verbetering IJsseldijk Gouda (VIJG) spoor 2"/>
    <n v="123"/>
    <n v="4"/>
    <s v="14-1"/>
    <n v="0"/>
    <n v="0"/>
    <n v="2018"/>
    <n v="2019"/>
    <n v="2019"/>
    <n v="2021"/>
    <n v="2021"/>
    <n v="2023"/>
    <n v="1"/>
    <n v="2"/>
    <n v="2"/>
    <n v="5"/>
    <n v="-1"/>
    <m/>
    <m/>
    <n v="1.1000000000000001"/>
    <n v="1"/>
    <n v="11"/>
    <n v="13.1"/>
    <n v="-2.2999999999999989"/>
    <m/>
    <s v=""/>
    <m/>
    <s v=""/>
    <m/>
    <s v=""/>
    <n v="0"/>
    <x v="0"/>
    <n v="0"/>
    <n v="1"/>
    <n v="0"/>
    <n v="1"/>
    <n v="106.5040650406504"/>
  </r>
  <r>
    <x v="20"/>
    <x v="3"/>
    <n v="7"/>
    <s v="05E"/>
    <s v="HHRS van Rijnland"/>
    <s v="Verbetering IJsseldijk Gouda (VIJG) spoor 2"/>
    <n v="123.8"/>
    <n v="3"/>
    <s v="14-1"/>
    <n v="0"/>
    <n v="0"/>
    <n v="2017"/>
    <n v="2018"/>
    <n v="2018"/>
    <n v="2021"/>
    <n v="2021"/>
    <n v="2023"/>
    <n v="1"/>
    <n v="3"/>
    <n v="2"/>
    <n v="6"/>
    <n v="1"/>
    <m/>
    <m/>
    <n v="1.2"/>
    <n v="2.6"/>
    <n v="11.6"/>
    <n v="15.399999999999999"/>
    <n v="2.8999999999999986"/>
    <m/>
    <s v=""/>
    <m/>
    <s v=""/>
    <m/>
    <s v=""/>
    <n v="0"/>
    <x v="0"/>
    <n v="0"/>
    <n v="1"/>
    <n v="0"/>
    <n v="1"/>
    <n v="124.39418416801291"/>
  </r>
  <r>
    <x v="20"/>
    <x v="4"/>
    <n v="10"/>
    <s v="6e"/>
    <s v="HHRS van Rijnland"/>
    <s v="Verbetering IJsseldijk Gouda (VIJG) spoor 2"/>
    <n v="123"/>
    <n v="3"/>
    <s v="14-1"/>
    <n v="0"/>
    <n v="0"/>
    <m/>
    <m/>
    <n v="2017"/>
    <n v="2019"/>
    <n v="2019"/>
    <n v="2022"/>
    <n v="0"/>
    <n v="2"/>
    <n v="3"/>
    <n v="5"/>
    <n v="0"/>
    <m/>
    <m/>
    <n v="0"/>
    <n v="1.5"/>
    <n v="11"/>
    <n v="12.5"/>
    <n v="-1.5999999999999996"/>
    <m/>
    <s v=""/>
    <m/>
    <s v=""/>
    <m/>
    <s v=""/>
    <n v="0"/>
    <x v="0"/>
    <n v="0"/>
    <n v="0"/>
    <n v="1"/>
    <n v="-1"/>
    <n v="101.6260162601626"/>
  </r>
  <r>
    <x v="20"/>
    <x v="5"/>
    <n v="13"/>
    <s v="05E"/>
    <s v="HHRS van Rijnland"/>
    <s v="Verbetering IJsseldijk Gouda (VIJG) spoor 2"/>
    <m/>
    <m/>
    <m/>
    <n v="0"/>
    <n v="0"/>
    <n v="2016"/>
    <n v="2017"/>
    <n v="2017"/>
    <n v="2019"/>
    <n v="2019"/>
    <n v="2021"/>
    <n v="1"/>
    <n v="2"/>
    <n v="2"/>
    <n v="5"/>
    <m/>
    <m/>
    <m/>
    <n v="1.1000000000000001"/>
    <n v="2"/>
    <n v="11"/>
    <n v="14.1"/>
    <m/>
    <m/>
    <s v=""/>
    <m/>
    <s v=""/>
    <m/>
    <s v=""/>
    <n v="0"/>
    <x v="0"/>
    <n v="0"/>
    <n v="0"/>
    <n v="1"/>
    <n v="-1"/>
    <m/>
  </r>
  <r>
    <x v="21"/>
    <x v="0"/>
    <n v="7"/>
    <s v="22X"/>
    <s v="Waterschap Rivierenland"/>
    <s v="Gorinchem-Waardenburg (GoWa)"/>
    <n v="23450"/>
    <m/>
    <s v="43-6"/>
    <n v="0"/>
    <n v="0"/>
    <n v="2015"/>
    <n v="2018"/>
    <n v="2018"/>
    <n v="2020"/>
    <n v="2020"/>
    <n v="2027"/>
    <n v="3"/>
    <n v="2"/>
    <n v="7"/>
    <n v="12"/>
    <n v="2"/>
    <m/>
    <n v="4"/>
    <n v="19.444444444444443"/>
    <n v="27.555555555555557"/>
    <n v="280"/>
    <n v="327"/>
    <n v="57.589999999999975"/>
    <m/>
    <n v="91.689999999999984"/>
    <m/>
    <n v="9299.6133758498181"/>
    <m/>
    <n v="9.3518123667377395"/>
    <m/>
    <x v="1"/>
    <n v="0"/>
    <n v="0"/>
    <n v="1"/>
    <n v="0"/>
    <n v="13.944562899786781"/>
  </r>
  <r>
    <x v="21"/>
    <x v="1"/>
    <n v="7"/>
    <s v="22X"/>
    <s v="Waterschap Rivierenland"/>
    <s v="Gorinchem-Waardenburg (GoWa)"/>
    <n v="23450"/>
    <m/>
    <s v="43-6"/>
    <n v="0"/>
    <n v="0"/>
    <n v="2015"/>
    <n v="2018"/>
    <n v="2018"/>
    <n v="2020"/>
    <n v="2020"/>
    <n v="2025"/>
    <n v="3"/>
    <n v="2"/>
    <n v="5"/>
    <n v="10"/>
    <n v="1"/>
    <n v="2"/>
    <m/>
    <n v="19.542222222222222"/>
    <n v="27.645555555555553"/>
    <n v="222.22222222222223"/>
    <n v="269.41000000000003"/>
    <n v="2.2222222222012533E-3"/>
    <n v="161.71000000000004"/>
    <s v=""/>
    <n v="9299.6133758498181"/>
    <s v=""/>
    <n v="3.8775998999072891"/>
    <s v=""/>
    <n v="1"/>
    <x v="1"/>
    <n v="0"/>
    <n v="0"/>
    <n v="1"/>
    <n v="0"/>
    <n v="11.488699360341153"/>
  </r>
  <r>
    <x v="21"/>
    <x v="2"/>
    <n v="19"/>
    <s v="22X   "/>
    <s v="Waterschap Rivierenland"/>
    <s v="Gorinchem-Waardenburg (GoWa)"/>
    <n v="23450"/>
    <n v="150"/>
    <s v="43-6"/>
    <n v="0"/>
    <n v="0"/>
    <n v="2016"/>
    <n v="2018"/>
    <n v="2018"/>
    <n v="2020"/>
    <n v="2020"/>
    <n v="2025"/>
    <n v="2"/>
    <n v="2"/>
    <n v="5"/>
    <n v="9"/>
    <n v="2"/>
    <m/>
    <m/>
    <n v="19.542222222222222"/>
    <n v="27.645555555555557"/>
    <n v="222.22000000000003"/>
    <n v="269.40777777777782"/>
    <n v="149.40777777777782"/>
    <m/>
    <s v=""/>
    <m/>
    <s v=""/>
    <m/>
    <s v=""/>
    <n v="1"/>
    <x v="1"/>
    <n v="0"/>
    <n v="0"/>
    <n v="1"/>
    <n v="0"/>
    <n v="11.488604596067285"/>
  </r>
  <r>
    <x v="21"/>
    <x v="3"/>
    <n v="16"/>
    <s v="22X (incl. tussenstukken  22BA)"/>
    <s v="Waterschap Rivierenland"/>
    <s v="Gorinchem-Waardenburg (GoWa)"/>
    <n v="23450"/>
    <m/>
    <s v="43-6"/>
    <n v="0"/>
    <n v="0"/>
    <n v="2016"/>
    <n v="2018"/>
    <n v="2018"/>
    <n v="2020"/>
    <n v="2020"/>
    <n v="2023"/>
    <n v="2"/>
    <n v="2"/>
    <n v="3"/>
    <n v="7"/>
    <n v="-1"/>
    <m/>
    <m/>
    <n v="0"/>
    <n v="0"/>
    <n v="120"/>
    <n v="120"/>
    <n v="12.299999999999997"/>
    <m/>
    <s v=""/>
    <m/>
    <s v=""/>
    <m/>
    <s v=""/>
    <n v="1"/>
    <x v="1"/>
    <n v="0"/>
    <n v="0"/>
    <n v="1"/>
    <n v="0"/>
    <n v="5.1172707889125801"/>
  </r>
  <r>
    <x v="21"/>
    <x v="4"/>
    <n v="25"/>
    <s v="22X"/>
    <s v="Waterschap Rivierenland"/>
    <s v="Gorinchem-Waardenburg (GoWa)"/>
    <n v="14150.386624150182"/>
    <m/>
    <s v="43-6"/>
    <n v="0"/>
    <n v="0"/>
    <n v="2016"/>
    <n v="2018"/>
    <n v="2018"/>
    <n v="2020"/>
    <n v="2020"/>
    <n v="2024"/>
    <n v="2"/>
    <n v="2"/>
    <n v="4"/>
    <n v="8"/>
    <n v="0"/>
    <m/>
    <m/>
    <n v="0"/>
    <n v="6.5"/>
    <n v="101.2"/>
    <n v="107.7"/>
    <n v="-34.100000000000009"/>
    <m/>
    <s v=""/>
    <m/>
    <s v=""/>
    <m/>
    <s v=""/>
    <n v="1"/>
    <x v="1"/>
    <n v="0"/>
    <n v="0"/>
    <n v="1"/>
    <n v="0"/>
    <n v="7.6110994604338638"/>
  </r>
  <r>
    <x v="21"/>
    <x v="5"/>
    <n v="17"/>
    <s v="22X"/>
    <s v="Waterschap Rivierenland"/>
    <s v="Gorinchem-Waardenburg (GoWa)"/>
    <m/>
    <m/>
    <m/>
    <n v="0"/>
    <n v="0"/>
    <n v="2016"/>
    <n v="2018"/>
    <n v="2018"/>
    <n v="2020"/>
    <n v="2020"/>
    <n v="2024"/>
    <n v="2"/>
    <n v="2"/>
    <n v="4"/>
    <n v="8"/>
    <m/>
    <m/>
    <m/>
    <n v="0"/>
    <n v="14.9"/>
    <n v="126.9"/>
    <n v="141.80000000000001"/>
    <m/>
    <m/>
    <s v=""/>
    <m/>
    <s v=""/>
    <m/>
    <s v=""/>
    <n v="1"/>
    <x v="1"/>
    <n v="0"/>
    <n v="0"/>
    <n v="1"/>
    <n v="0"/>
    <m/>
  </r>
  <r>
    <x v="22"/>
    <x v="0"/>
    <n v="7"/>
    <s v="22Y"/>
    <s v="Waterschap Rivierenland"/>
    <s v="Tiel - Waardenburg (TiWa)"/>
    <n v="19500"/>
    <m/>
    <s v="43-6"/>
    <n v="0"/>
    <n v="0"/>
    <n v="2015"/>
    <n v="2018"/>
    <n v="2018"/>
    <n v="2020"/>
    <n v="2020"/>
    <n v="2028"/>
    <n v="3"/>
    <n v="2"/>
    <n v="8"/>
    <n v="13"/>
    <n v="0"/>
    <m/>
    <n v="7"/>
    <n v="12.222222222222221"/>
    <n v="23.666666666666668"/>
    <n v="296.66666666666669"/>
    <n v="332.55555555555554"/>
    <n v="-1.0001933333334136"/>
    <m/>
    <n v="27.299806666666598"/>
    <m/>
    <n v="6999.9991711241255"/>
    <m/>
    <n v="12.43874643874644"/>
    <m/>
    <x v="1"/>
    <n v="0"/>
    <n v="0"/>
    <n v="1"/>
    <n v="0"/>
    <n v="17.054131054131055"/>
  </r>
  <r>
    <x v="22"/>
    <x v="1"/>
    <n v="7"/>
    <s v="22Y"/>
    <s v="Waterschap Rivierenland"/>
    <s v="Tiel - Waardenburg (TiWa)"/>
    <n v="19500"/>
    <m/>
    <s v="43-6"/>
    <n v="0"/>
    <n v="0"/>
    <n v="2015"/>
    <n v="2018"/>
    <n v="2018"/>
    <n v="2020"/>
    <n v="2020"/>
    <n v="2028"/>
    <n v="3"/>
    <n v="2"/>
    <n v="8"/>
    <n v="13"/>
    <n v="5"/>
    <n v="7"/>
    <m/>
    <n v="12.255748888888892"/>
    <n v="23.748888888888892"/>
    <n v="297.55111111111114"/>
    <n v="333.55574888888896"/>
    <n v="119.77419333333339"/>
    <n v="243.55574888888896"/>
    <s v=""/>
    <n v="6999.9991711241255"/>
    <s v=""/>
    <n v="9.905423497375498"/>
    <s v=""/>
    <n v="1"/>
    <x v="1"/>
    <n v="0"/>
    <n v="0"/>
    <n v="1"/>
    <n v="0"/>
    <n v="17.105423019943025"/>
  </r>
  <r>
    <x v="22"/>
    <x v="2"/>
    <n v="21"/>
    <s v="22Y "/>
    <s v="Waterschap Rivierenland"/>
    <s v="Tiel - Waardenburg (TiWa)"/>
    <n v="19500"/>
    <n v="115"/>
    <s v="43-6"/>
    <n v="0"/>
    <n v="0"/>
    <n v="2016"/>
    <n v="2018"/>
    <n v="2018"/>
    <n v="2020"/>
    <n v="2021"/>
    <n v="2025"/>
    <n v="2"/>
    <n v="2"/>
    <n v="4"/>
    <n v="8"/>
    <n v="3"/>
    <m/>
    <m/>
    <n v="12.256666666666668"/>
    <n v="23.748888888888889"/>
    <n v="177.77600000000001"/>
    <n v="213.78155555555557"/>
    <n v="137.28255555555558"/>
    <m/>
    <s v=""/>
    <m/>
    <s v=""/>
    <m/>
    <s v=""/>
    <n v="1"/>
    <x v="1"/>
    <n v="0"/>
    <n v="0"/>
    <n v="0"/>
    <n v="1"/>
    <n v="10.963156695156696"/>
  </r>
  <r>
    <x v="22"/>
    <x v="3"/>
    <n v="18"/>
    <s v="22Y (incl. tussenstukken 22BC)"/>
    <s v="Waterschap Rivierenland"/>
    <s v="Tiel - Waardenburg (TiWa)"/>
    <n v="19500"/>
    <m/>
    <s v="43-6"/>
    <n v="0"/>
    <n v="0"/>
    <m/>
    <m/>
    <n v="2018"/>
    <n v="2020"/>
    <n v="2020"/>
    <n v="2023"/>
    <n v="0"/>
    <n v="2"/>
    <n v="3"/>
    <n v="5"/>
    <n v="-1"/>
    <m/>
    <m/>
    <n v="0"/>
    <n v="6.5"/>
    <n v="69.998999999999995"/>
    <n v="76.498999999999995"/>
    <n v="-13.501000000000005"/>
    <m/>
    <s v=""/>
    <m/>
    <s v=""/>
    <m/>
    <s v=""/>
    <n v="1"/>
    <x v="1"/>
    <n v="0"/>
    <n v="0"/>
    <n v="1"/>
    <n v="0"/>
    <n v="3.923025641025641"/>
  </r>
  <r>
    <x v="22"/>
    <x v="4"/>
    <n v="27"/>
    <s v="22Y"/>
    <s v="Waterschap Rivierenland"/>
    <s v="Tiel - Waardenburg (TiWa)"/>
    <n v="12500.000828875875"/>
    <m/>
    <s v="43-6"/>
    <n v="0"/>
    <n v="0"/>
    <m/>
    <m/>
    <n v="2018"/>
    <n v="2021"/>
    <n v="2021"/>
    <n v="2024"/>
    <n v="0"/>
    <n v="3"/>
    <n v="3"/>
    <n v="6"/>
    <n v="1"/>
    <m/>
    <m/>
    <n v="0"/>
    <n v="3.7"/>
    <n v="86.3"/>
    <n v="90"/>
    <n v="-28.300000000000011"/>
    <m/>
    <s v=""/>
    <m/>
    <s v=""/>
    <m/>
    <s v=""/>
    <n v="1"/>
    <x v="1"/>
    <n v="0"/>
    <n v="1"/>
    <n v="0"/>
    <n v="1"/>
    <n v="7.199999522567528"/>
  </r>
  <r>
    <x v="22"/>
    <x v="5"/>
    <n v="18"/>
    <s v="22Y"/>
    <s v="Waterschap Rivierenland"/>
    <s v="Tiel - Waardenburg (TiWa)"/>
    <m/>
    <m/>
    <m/>
    <n v="0"/>
    <n v="0"/>
    <m/>
    <m/>
    <n v="2018"/>
    <n v="2020"/>
    <n v="2020"/>
    <n v="2023"/>
    <n v="0"/>
    <n v="2"/>
    <n v="3"/>
    <n v="5"/>
    <m/>
    <m/>
    <m/>
    <n v="0"/>
    <n v="12.4"/>
    <n v="105.9"/>
    <n v="118.30000000000001"/>
    <m/>
    <m/>
    <s v=""/>
    <m/>
    <s v=""/>
    <m/>
    <s v=""/>
    <n v="1"/>
    <x v="1"/>
    <n v="0"/>
    <n v="0"/>
    <n v="1"/>
    <n v="0"/>
    <m/>
  </r>
  <r>
    <x v="23"/>
    <x v="0"/>
    <n v="25"/>
    <s v="34R"/>
    <s v="Waterschap Drents-Overijsselse Delta"/>
    <s v="Keersluis Zwolle"/>
    <n v="283"/>
    <m/>
    <m/>
    <n v="0"/>
    <n v="0"/>
    <n v="2023"/>
    <n v="2025"/>
    <n v="2025"/>
    <n v="2027"/>
    <n v="2027"/>
    <n v="2029"/>
    <n v="2"/>
    <n v="2"/>
    <n v="2"/>
    <n v="6"/>
    <n v="0"/>
    <m/>
    <n v="0"/>
    <n v="0.26"/>
    <n v="0.7"/>
    <n v="5.74"/>
    <n v="6.7"/>
    <n v="0"/>
    <m/>
    <n v="0"/>
    <m/>
    <n v="0.14224693342839601"/>
    <m/>
    <n v="-1.1905926376144293E-2"/>
    <m/>
    <x v="0"/>
    <n v="0"/>
    <n v="0"/>
    <n v="0"/>
    <n v="7"/>
    <n v="23.674911660777386"/>
  </r>
  <r>
    <x v="23"/>
    <x v="1"/>
    <n v="25"/>
    <s v="34R"/>
    <s v="Waterschap Drents-Overijsselse Delta"/>
    <s v="Keersluis Zwolle"/>
    <n v="283"/>
    <n v="1"/>
    <s v="53-3"/>
    <n v="0"/>
    <n v="0"/>
    <n v="2023"/>
    <n v="2025"/>
    <n v="2025"/>
    <n v="2027"/>
    <n v="2027"/>
    <n v="2029"/>
    <n v="2"/>
    <n v="2"/>
    <n v="2"/>
    <n v="6"/>
    <n v="-3"/>
    <n v="0"/>
    <m/>
    <n v="0.26"/>
    <n v="0.7"/>
    <n v="5.74"/>
    <n v="6.7"/>
    <n v="5.7"/>
    <n v="0"/>
    <s v=""/>
    <n v="0.14224693342839601"/>
    <s v=""/>
    <n v="-1.1905926376144293E-2"/>
    <s v=""/>
    <n v="0"/>
    <x v="0"/>
    <n v="0"/>
    <n v="0"/>
    <n v="0"/>
    <n v="7"/>
    <n v="23.674911660777386"/>
  </r>
  <r>
    <x v="23"/>
    <x v="2"/>
    <n v="56"/>
    <s v="34R"/>
    <s v="Waterschap Drents-Overijsselse Delta"/>
    <s v="Keersluis Zwolle"/>
    <n v="282.8577530665716"/>
    <m/>
    <s v="53-3"/>
    <n v="0"/>
    <n v="0"/>
    <n v="2017"/>
    <n v="2022"/>
    <n v="2022"/>
    <n v="2024"/>
    <n v="2024"/>
    <n v="2026"/>
    <n v="5"/>
    <n v="2"/>
    <n v="2"/>
    <n v="9"/>
    <n v="0"/>
    <m/>
    <m/>
    <n v="0"/>
    <n v="0.3"/>
    <n v="0.7"/>
    <n v="1"/>
    <n v="-5.8669999999999991"/>
    <m/>
    <s v=""/>
    <m/>
    <s v=""/>
    <m/>
    <s v=""/>
    <n v="0"/>
    <x v="0"/>
    <n v="1"/>
    <n v="0"/>
    <n v="0"/>
    <n v="4"/>
    <n v="3.535345908530378"/>
  </r>
  <r>
    <x v="23"/>
    <x v="3"/>
    <n v="55"/>
    <s v="34R"/>
    <s v="Waterschap Drents-Overijsselse Delta"/>
    <s v="Keersluis Zwolle"/>
    <n v="282.8577530665716"/>
    <s v="53-3"/>
    <m/>
    <n v="0"/>
    <n v="0"/>
    <n v="2017"/>
    <n v="2022"/>
    <n v="2022"/>
    <n v="2024"/>
    <n v="2024"/>
    <n v="2026"/>
    <n v="5"/>
    <n v="2"/>
    <n v="2"/>
    <n v="9"/>
    <n v="3"/>
    <m/>
    <m/>
    <n v="0.42200000000000004"/>
    <n v="0.66700000000000004"/>
    <n v="5.7779999999999996"/>
    <n v="6.8669999999999991"/>
    <n v="0.16699999999999982"/>
    <m/>
    <s v=""/>
    <m/>
    <s v=""/>
    <m/>
    <s v=""/>
    <n v="0"/>
    <x v="0"/>
    <n v="1"/>
    <n v="0"/>
    <n v="0"/>
    <n v="4"/>
    <n v="24.277220353878104"/>
  </r>
  <r>
    <x v="23"/>
    <x v="4"/>
    <n v="57"/>
    <s v="15N"/>
    <s v="Waterschap Drents-Overijsselse Delta"/>
    <s v="Keersluis Zwolle"/>
    <n v="282.8577530665716"/>
    <m/>
    <m/>
    <n v="0"/>
    <n v="0"/>
    <n v="2017"/>
    <n v="2019"/>
    <n v="2019"/>
    <n v="2021"/>
    <n v="2021"/>
    <n v="2023"/>
    <n v="2"/>
    <n v="2"/>
    <n v="2"/>
    <n v="6"/>
    <n v="-1"/>
    <m/>
    <m/>
    <n v="0.2"/>
    <n v="0.7"/>
    <n v="5.8"/>
    <n v="6.6999999999999993"/>
    <n v="0"/>
    <m/>
    <s v=""/>
    <m/>
    <s v=""/>
    <m/>
    <s v=""/>
    <n v="0"/>
    <x v="0"/>
    <n v="0"/>
    <n v="1"/>
    <n v="0"/>
    <n v="1"/>
    <n v="23.686817587153531"/>
  </r>
  <r>
    <x v="23"/>
    <x v="5"/>
    <n v="44"/>
    <s v="15N"/>
    <s v="Waterschap Drents-Overijsselse Delta"/>
    <s v="Keersluis Zwolle"/>
    <m/>
    <m/>
    <m/>
    <n v="0"/>
    <n v="0"/>
    <n v="2017"/>
    <n v="2019"/>
    <n v="2019"/>
    <n v="2022"/>
    <n v="2022"/>
    <n v="2024"/>
    <n v="2"/>
    <n v="3"/>
    <n v="2"/>
    <n v="7"/>
    <m/>
    <m/>
    <m/>
    <n v="0.2"/>
    <n v="0.7"/>
    <n v="5.8"/>
    <n v="6.6999999999999993"/>
    <m/>
    <m/>
    <s v=""/>
    <m/>
    <s v=""/>
    <m/>
    <s v=""/>
    <n v="0"/>
    <x v="0"/>
    <n v="0"/>
    <n v="1"/>
    <n v="0"/>
    <n v="2"/>
    <m/>
  </r>
  <r>
    <x v="24"/>
    <x v="0"/>
    <n v="49"/>
    <s v="18A"/>
    <s v="Waterschap Noorderzijlvest"/>
    <s v="Eemshaven-Delfzijl"/>
    <n v="11700"/>
    <m/>
    <s v="6-7"/>
    <n v="0"/>
    <n v="0"/>
    <m/>
    <m/>
    <m/>
    <m/>
    <n v="2016"/>
    <n v="2021"/>
    <m/>
    <m/>
    <n v="5"/>
    <n v="5"/>
    <n v="0"/>
    <m/>
    <n v="0"/>
    <n v="0"/>
    <n v="36.444444444444443"/>
    <n v="60.333333333333329"/>
    <n v="96.777777777777771"/>
    <m/>
    <m/>
    <n v="7.0999999999999943"/>
    <m/>
    <n v="-141.0723808203802"/>
    <m/>
    <n v="1.7350348109435307"/>
    <m/>
    <x v="1"/>
    <n v="0"/>
    <n v="0"/>
    <n v="1"/>
    <n v="-4"/>
    <n v="8.2716049382716044"/>
  </r>
  <r>
    <x v="24"/>
    <x v="1"/>
    <n v="49"/>
    <s v="18A"/>
    <s v="Waterschap Noorderzijlvest"/>
    <s v="Eemshaven-Delfzijl"/>
    <n v="11700"/>
    <m/>
    <s v="6-7"/>
    <n v="0"/>
    <n v="0"/>
    <m/>
    <m/>
    <m/>
    <m/>
    <n v="2016"/>
    <n v="2021"/>
    <m/>
    <m/>
    <n v="5"/>
    <n v="5"/>
    <n v="0"/>
    <n v="0"/>
    <m/>
    <n v="0"/>
    <n v="43.333333333333336"/>
    <n v="60"/>
    <n v="103.33333333333334"/>
    <n v="0"/>
    <n v="25.933333333333337"/>
    <s v=""/>
    <n v="-141.0723808203802"/>
    <s v=""/>
    <n v="2.2953387045807601"/>
    <s v=""/>
    <n v="0"/>
    <x v="1"/>
    <n v="0"/>
    <n v="0"/>
    <n v="1"/>
    <n v="-4"/>
    <n v="8.8319088319088337"/>
  </r>
  <r>
    <x v="24"/>
    <x v="2"/>
    <n v="118"/>
    <s v="18A"/>
    <s v="Waterschap Noorderzijlvest"/>
    <s v="Eemshaven-Delfzijl"/>
    <n v="11740"/>
    <n v="13"/>
    <s v="6-7"/>
    <n v="0"/>
    <n v="0"/>
    <m/>
    <m/>
    <n v="2017"/>
    <n v="2018"/>
    <n v="2018"/>
    <n v="2022"/>
    <m/>
    <n v="1"/>
    <n v="4"/>
    <n v="5"/>
    <n v="0"/>
    <m/>
    <m/>
    <n v="0"/>
    <n v="43.333333333333336"/>
    <n v="60"/>
    <n v="103.33333333333334"/>
    <n v="26.603333333333339"/>
    <m/>
    <s v=""/>
    <m/>
    <s v=""/>
    <m/>
    <s v=""/>
    <n v="0"/>
    <x v="1"/>
    <n v="0"/>
    <n v="0"/>
    <n v="1"/>
    <n v="-2"/>
    <n v="8.801817149346963"/>
  </r>
  <r>
    <x v="24"/>
    <x v="3"/>
    <n v="115"/>
    <s v="18A"/>
    <s v="Waterschap Noorderzijlvest"/>
    <s v="Eemshaven-Delfzijl"/>
    <n v="11841.07238082038"/>
    <m/>
    <s v="6-7"/>
    <n v="0"/>
    <n v="0"/>
    <m/>
    <m/>
    <n v="2017"/>
    <n v="2018"/>
    <n v="2018"/>
    <n v="2022"/>
    <m/>
    <n v="1"/>
    <n v="4"/>
    <n v="5"/>
    <n v="0"/>
    <m/>
    <m/>
    <n v="0"/>
    <n v="25.3"/>
    <n v="51.43"/>
    <n v="76.73"/>
    <n v="-0.67000000000000171"/>
    <m/>
    <s v=""/>
    <m/>
    <s v=""/>
    <m/>
    <s v=""/>
    <n v="0"/>
    <x v="1"/>
    <n v="0"/>
    <n v="0"/>
    <n v="1"/>
    <n v="-2"/>
    <n v="6.4799874143395746"/>
  </r>
  <r>
    <x v="24"/>
    <x v="4"/>
    <n v="84"/>
    <s v="18A"/>
    <s v="Waterschap Noorderzijlvest"/>
    <s v="Eemshaven-Delfzijl"/>
    <n v="11841.07238082038"/>
    <m/>
    <m/>
    <n v="0"/>
    <n v="0"/>
    <m/>
    <m/>
    <m/>
    <m/>
    <n v="2017"/>
    <n v="2022"/>
    <m/>
    <m/>
    <n v="5"/>
    <n v="5"/>
    <n v="-1"/>
    <m/>
    <m/>
    <n v="0"/>
    <n v="0"/>
    <n v="77.400000000000006"/>
    <n v="77.400000000000006"/>
    <n v="-7.0999999999999943"/>
    <m/>
    <s v=""/>
    <m/>
    <s v=""/>
    <m/>
    <s v=""/>
    <n v="0"/>
    <x v="1"/>
    <n v="0"/>
    <n v="0"/>
    <n v="1"/>
    <n v="-3"/>
    <n v="6.5365701273280736"/>
  </r>
  <r>
    <x v="24"/>
    <x v="5"/>
    <n v="70"/>
    <s v="18A"/>
    <s v="Waterschap Noorderzijlvest"/>
    <s v="Eemshaven – Delfzijl"/>
    <m/>
    <m/>
    <m/>
    <n v="0"/>
    <n v="0"/>
    <m/>
    <m/>
    <n v="2016"/>
    <n v="2017"/>
    <n v="2017"/>
    <n v="2022"/>
    <m/>
    <n v="1"/>
    <n v="5"/>
    <n v="6"/>
    <m/>
    <m/>
    <m/>
    <n v="0"/>
    <n v="6.2"/>
    <n v="78.3"/>
    <n v="84.5"/>
    <m/>
    <m/>
    <s v=""/>
    <m/>
    <s v=""/>
    <m/>
    <s v=""/>
    <n v="0"/>
    <x v="1"/>
    <n v="0"/>
    <n v="0"/>
    <n v="1"/>
    <n v="-3"/>
    <m/>
  </r>
  <r>
    <x v="25"/>
    <x v="0"/>
    <n v="65"/>
    <s v="34P"/>
    <s v="Waterschap Drents-Overijsselse Delta"/>
    <s v="Mastenbroek Zwarte Meer"/>
    <n v="5770"/>
    <m/>
    <s v="10-1"/>
    <n v="0"/>
    <n v="0"/>
    <n v="2024"/>
    <n v="2026"/>
    <n v="2026"/>
    <n v="2029"/>
    <n v="2029"/>
    <n v="2032"/>
    <n v="2"/>
    <n v="3"/>
    <n v="3"/>
    <n v="8"/>
    <n v="-4"/>
    <m/>
    <n v="3"/>
    <n v="4.333333333333333"/>
    <n v="3.6666666666666665"/>
    <n v="29.888888888888886"/>
    <n v="37.888888888888886"/>
    <n v="21.385555555555552"/>
    <m/>
    <n v="10.585555555555551"/>
    <m/>
    <n v="-1308.8308712956323"/>
    <m/>
    <n v="5.0408562043990566"/>
    <m/>
    <x v="0"/>
    <n v="0"/>
    <n v="0"/>
    <n v="0"/>
    <n v="9"/>
    <n v="6.5665318698247637"/>
  </r>
  <r>
    <x v="25"/>
    <x v="1"/>
    <n v="65"/>
    <s v="34P"/>
    <s v="Waterschap Drents-Overijsselse Delta"/>
    <s v="Mastenbroek Zwarte Meer"/>
    <n v="7100"/>
    <m/>
    <s v="10-1"/>
    <n v="1"/>
    <n v="0"/>
    <n v="2024"/>
    <n v="2026"/>
    <n v="2026"/>
    <n v="2029"/>
    <n v="2029"/>
    <n v="2036"/>
    <n v="2"/>
    <n v="3"/>
    <n v="7"/>
    <n v="12"/>
    <n v="4"/>
    <n v="7"/>
    <m/>
    <n v="5.2033333333333331"/>
    <n v="11.3"/>
    <n v="0"/>
    <n v="16.503333333333334"/>
    <n v="-72.800000000000011"/>
    <n v="5.7033333333333331"/>
    <s v=""/>
    <n v="21.169128704367722"/>
    <s v=""/>
    <n v="0.79873748011419909"/>
    <s v=""/>
    <n v="0"/>
    <x v="0"/>
    <n v="0"/>
    <n v="0"/>
    <n v="0"/>
    <n v="9"/>
    <n v="2.3244131455399062"/>
  </r>
  <r>
    <x v="25"/>
    <x v="2"/>
    <n v="109"/>
    <s v="34P"/>
    <s v="Waterschap Drents-Overijsselse Delta"/>
    <s v="Mastenbroek Zwarte Meer"/>
    <n v="7078.8308712956323"/>
    <n v="12"/>
    <s v="10-2"/>
    <n v="1"/>
    <n v="0"/>
    <n v="2024"/>
    <n v="2026"/>
    <n v="2026"/>
    <n v="2029"/>
    <n v="2029"/>
    <n v="2032"/>
    <n v="2"/>
    <n v="3"/>
    <n v="3"/>
    <n v="8"/>
    <n v="1"/>
    <m/>
    <m/>
    <n v="3.7033333333333336"/>
    <n v="9"/>
    <n v="76.600000000000009"/>
    <n v="89.303333333333342"/>
    <n v="33.792333333333339"/>
    <m/>
    <s v=""/>
    <m/>
    <s v=""/>
    <m/>
    <s v=""/>
    <n v="0"/>
    <x v="0"/>
    <n v="0"/>
    <n v="0"/>
    <n v="0"/>
    <n v="9"/>
    <n v="12.615548380376579"/>
  </r>
  <r>
    <x v="25"/>
    <x v="3"/>
    <n v="108"/>
    <s v="34P"/>
    <s v="Waterschap Drents-Overijsselse Delta"/>
    <s v="Mastenbroek Zwarte Meer"/>
    <n v="7078.8308712956323"/>
    <m/>
    <s v="10-2"/>
    <n v="1"/>
    <n v="0"/>
    <n v="2024"/>
    <n v="2026"/>
    <n v="2026"/>
    <n v="2029"/>
    <n v="2029"/>
    <n v="2031"/>
    <n v="2"/>
    <n v="3"/>
    <n v="2"/>
    <n v="7"/>
    <n v="2"/>
    <m/>
    <m/>
    <n v="3.8780000000000001"/>
    <n v="6.1890000000000001"/>
    <n v="45.444000000000003"/>
    <n v="55.511000000000003"/>
    <n v="44.710999999999999"/>
    <m/>
    <s v=""/>
    <m/>
    <s v=""/>
    <m/>
    <s v=""/>
    <n v="0"/>
    <x v="0"/>
    <n v="0"/>
    <n v="0"/>
    <n v="0"/>
    <n v="9"/>
    <n v="7.8418316540228163"/>
  </r>
  <r>
    <x v="25"/>
    <x v="4"/>
    <n v="96"/>
    <s v="15K"/>
    <s v="Waterschap Drents-Overijsselse Delta"/>
    <s v="Mastenbroek Zwarte Meer"/>
    <n v="7078.8308712956323"/>
    <m/>
    <m/>
    <n v="0"/>
    <n v="0"/>
    <n v="2024"/>
    <n v="2026"/>
    <n v="2026"/>
    <n v="2029"/>
    <m/>
    <m/>
    <n v="2"/>
    <n v="3"/>
    <n v="0"/>
    <n v="5"/>
    <m/>
    <m/>
    <m/>
    <n v="4.0999999999999996"/>
    <n v="6.7"/>
    <n v="0"/>
    <n v="10.8"/>
    <n v="10.8"/>
    <m/>
    <s v=""/>
    <m/>
    <s v=""/>
    <m/>
    <s v=""/>
    <n v="0"/>
    <x v="0"/>
    <n v="0"/>
    <n v="0"/>
    <n v="0"/>
    <m/>
    <n v="1.5256756654257071"/>
  </r>
  <r>
    <x v="25"/>
    <x v="5"/>
    <n v="88"/>
    <s v="15K"/>
    <s v="Waterschap Drents-Overijsselse Delta"/>
    <s v="Mastenbroek Zwarte Meer"/>
    <m/>
    <m/>
    <m/>
    <n v="0"/>
    <n v="0"/>
    <m/>
    <m/>
    <m/>
    <m/>
    <m/>
    <m/>
    <m/>
    <m/>
    <m/>
    <m/>
    <m/>
    <m/>
    <m/>
    <m/>
    <m/>
    <m/>
    <m/>
    <m/>
    <m/>
    <s v=""/>
    <m/>
    <s v=""/>
    <m/>
    <s v=""/>
    <n v="0"/>
    <x v="0"/>
    <n v="0"/>
    <n v="0"/>
    <n v="0"/>
    <m/>
    <m/>
  </r>
  <r>
    <x v="26"/>
    <x v="0"/>
    <n v="75"/>
    <s v="28F/28G"/>
    <s v="Wetterskip Fryslân"/>
    <s v="Koehool- Lauwersmeer"/>
    <n v="47300"/>
    <m/>
    <s v="6-3, 6-4"/>
    <n v="0"/>
    <n v="0"/>
    <n v="2016"/>
    <n v="2021"/>
    <n v="2021"/>
    <n v="2024"/>
    <n v="2024"/>
    <n v="2030"/>
    <n v="5"/>
    <n v="3"/>
    <n v="6"/>
    <n v="14"/>
    <n v="1"/>
    <m/>
    <n v="7"/>
    <n v="14.555555555555555"/>
    <n v="23.888888888888889"/>
    <n v="272.22222222222223"/>
    <n v="310.66666666666669"/>
    <n v="-0.47222222222222854"/>
    <m/>
    <n v="5.2277777777777743"/>
    <m/>
    <n v="32901.331912956397"/>
    <m/>
    <n v="4.7431033249628571"/>
    <m/>
    <x v="1"/>
    <n v="1"/>
    <n v="0"/>
    <n v="0"/>
    <n v="4"/>
    <n v="6.56800563777308"/>
  </r>
  <r>
    <x v="26"/>
    <x v="1"/>
    <n v="75"/>
    <s v="28F/28G"/>
    <s v="Wetterskip Fryslân"/>
    <s v="Koehool- Lauwersmeer"/>
    <n v="47300"/>
    <m/>
    <s v="6-3, 6-4"/>
    <n v="1"/>
    <n v="0"/>
    <n v="2016"/>
    <n v="2021"/>
    <n v="2021"/>
    <n v="2023"/>
    <n v="2023"/>
    <n v="2029"/>
    <n v="5"/>
    <n v="2"/>
    <n v="6"/>
    <n v="13"/>
    <n v="0"/>
    <n v="6"/>
    <m/>
    <n v="14.565555555555555"/>
    <n v="23.94"/>
    <n v="272.63333333333333"/>
    <n v="311.13888888888891"/>
    <n v="0.20398111111114758"/>
    <n v="224.73888888888894"/>
    <s v=""/>
    <n v="32901.331912956397"/>
    <s v=""/>
    <n v="0.57743417920089435"/>
    <s v=""/>
    <n v="1"/>
    <x v="1"/>
    <n v="1"/>
    <n v="0"/>
    <n v="0"/>
    <n v="3"/>
    <n v="6.5779891942682651"/>
  </r>
  <r>
    <x v="26"/>
    <x v="2"/>
    <n v="123"/>
    <s v="28F "/>
    <s v="Wetterskip Fryslân"/>
    <s v="Koehool- Lauwersmeer"/>
    <n v="47345"/>
    <n v="2"/>
    <s v="6-3, 6-4"/>
    <n v="1"/>
    <n v="0"/>
    <n v="2017"/>
    <n v="2021"/>
    <n v="2021"/>
    <n v="2023"/>
    <n v="2023"/>
    <n v="2030"/>
    <n v="4"/>
    <n v="2"/>
    <n v="7"/>
    <n v="13"/>
    <n v="0"/>
    <m/>
    <m/>
    <n v="14.460463333333333"/>
    <n v="23.94"/>
    <n v="272.53444444444443"/>
    <n v="310.93490777777777"/>
    <n v="6.2035267777777676"/>
    <m/>
    <s v=""/>
    <m/>
    <s v=""/>
    <m/>
    <s v=""/>
    <n v="1"/>
    <x v="1"/>
    <n v="1"/>
    <n v="0"/>
    <n v="0"/>
    <n v="3"/>
    <n v="6.5674286150127319"/>
  </r>
  <r>
    <x v="26"/>
    <x v="3"/>
    <n v="120"/>
    <s v="28F + 28G"/>
    <s v="Wetterskip Fryslân"/>
    <s v="Koehool- Lauwersmeer"/>
    <n v="47345"/>
    <m/>
    <s v="6-3, 6-4"/>
    <n v="1"/>
    <n v="0"/>
    <n v="2017"/>
    <n v="2021"/>
    <n v="2021"/>
    <n v="2023"/>
    <n v="2023"/>
    <n v="2030"/>
    <n v="4"/>
    <n v="2"/>
    <n v="7"/>
    <n v="13"/>
    <n v="6"/>
    <m/>
    <m/>
    <n v="9.5913810000000002"/>
    <n v="23.94"/>
    <n v="271.2"/>
    <n v="304.731381"/>
    <n v="218.33138100000002"/>
    <m/>
    <s v=""/>
    <m/>
    <s v=""/>
    <m/>
    <s v=""/>
    <n v="1"/>
    <x v="1"/>
    <n v="1"/>
    <n v="0"/>
    <n v="0"/>
    <n v="3"/>
    <n v="6.4364004857957546"/>
  </r>
  <r>
    <x v="26"/>
    <x v="4"/>
    <n v="104"/>
    <s v="28F &amp; 28G"/>
    <s v="Wetterskip Fryslân"/>
    <s v="Koehool- Lauwersmeer"/>
    <n v="14398.668087043601"/>
    <m/>
    <s v="6-5"/>
    <n v="1"/>
    <n v="0"/>
    <n v="2017"/>
    <n v="2019"/>
    <n v="2019"/>
    <n v="2021"/>
    <n v="2021"/>
    <n v="2024"/>
    <n v="2"/>
    <n v="2"/>
    <n v="3"/>
    <n v="7"/>
    <n v="-2"/>
    <m/>
    <m/>
    <n v="1.7"/>
    <n v="8.8999999999999986"/>
    <n v="75.8"/>
    <n v="86.399999999999991"/>
    <n v="-5.7000000000000028"/>
    <m/>
    <s v=""/>
    <m/>
    <s v=""/>
    <m/>
    <s v=""/>
    <n v="1"/>
    <x v="1"/>
    <n v="0"/>
    <n v="1"/>
    <n v="0"/>
    <n v="1"/>
    <n v="6.0005550150673708"/>
  </r>
  <r>
    <x v="26"/>
    <x v="5"/>
    <n v="98"/>
    <s v="28G"/>
    <s v="Wetterskip Fryslân"/>
    <s v="West Holwerderpolder – Lauwersmeer"/>
    <m/>
    <m/>
    <m/>
    <n v="0"/>
    <n v="0"/>
    <n v="2016"/>
    <n v="2019"/>
    <n v="2019"/>
    <n v="2023"/>
    <n v="2023"/>
    <n v="2025"/>
    <n v="3"/>
    <n v="4"/>
    <n v="2"/>
    <n v="9"/>
    <m/>
    <m/>
    <m/>
    <n v="7.4"/>
    <n v="8.8999999999999986"/>
    <n v="75.8"/>
    <n v="92.1"/>
    <m/>
    <m/>
    <s v=""/>
    <m/>
    <s v=""/>
    <m/>
    <s v=""/>
    <n v="1"/>
    <x v="1"/>
    <n v="0"/>
    <n v="1"/>
    <n v="0"/>
    <n v="3"/>
    <m/>
  </r>
  <r>
    <x v="27"/>
    <x v="0"/>
    <n v="50"/>
    <s v="34O"/>
    <s v="Waterschap Drents-Overijsselse Delta"/>
    <s v="Mastenbroek IJssel"/>
    <n v="14623"/>
    <m/>
    <s v="10-3"/>
    <n v="0"/>
    <n v="0"/>
    <n v="2022"/>
    <n v="2024"/>
    <n v="2024"/>
    <n v="2027"/>
    <n v="2027"/>
    <n v="2030"/>
    <n v="2"/>
    <n v="3"/>
    <n v="3"/>
    <n v="8"/>
    <n v="0"/>
    <m/>
    <n v="1"/>
    <n v="4.5555555555555554"/>
    <n v="7.7777777777777777"/>
    <n v="66.3"/>
    <n v="78.633333333333326"/>
    <n v="0.63333333333332575"/>
    <m/>
    <n v="-16.566666666666677"/>
    <m/>
    <n v="7617.5092065269946"/>
    <m/>
    <n v="-4.5291415091547336"/>
    <m/>
    <x v="1"/>
    <n v="0"/>
    <n v="0"/>
    <n v="0"/>
    <n v="7"/>
    <n v="5.3773735439604273"/>
  </r>
  <r>
    <x v="27"/>
    <x v="1"/>
    <n v="50"/>
    <s v="34O"/>
    <s v="Waterschap Drents-Overijsselse Delta"/>
    <s v="Mastenbroek IJssel"/>
    <n v="14836"/>
    <m/>
    <s v="10-3"/>
    <n v="0"/>
    <n v="0"/>
    <n v="2022"/>
    <n v="2024"/>
    <n v="2024"/>
    <n v="2027"/>
    <n v="2027"/>
    <n v="2030"/>
    <n v="2"/>
    <n v="3"/>
    <n v="3"/>
    <n v="8"/>
    <n v="0"/>
    <n v="1"/>
    <m/>
    <n v="3.9"/>
    <n v="7.8"/>
    <n v="66.3"/>
    <n v="78"/>
    <n v="9.647777777777776"/>
    <n v="8.5999999999999943"/>
    <s v=""/>
    <n v="7830.5092065269946"/>
    <s v=""/>
    <n v="-4.6490332520906259"/>
    <s v=""/>
    <n v="1"/>
    <x v="1"/>
    <n v="0"/>
    <n v="0"/>
    <n v="0"/>
    <n v="7"/>
    <n v="5.257481801024535"/>
  </r>
  <r>
    <x v="27"/>
    <x v="2"/>
    <n v="96"/>
    <s v="34O"/>
    <s v="Waterschap Drents-Overijsselse Delta"/>
    <s v="Mastenbroek IJssel"/>
    <n v="7005.4907934730054"/>
    <n v="8"/>
    <s v="10-3"/>
    <n v="0"/>
    <n v="0"/>
    <n v="2022"/>
    <n v="2024"/>
    <n v="2024"/>
    <n v="2027"/>
    <n v="2027"/>
    <n v="2030"/>
    <n v="2"/>
    <n v="3"/>
    <n v="3"/>
    <n v="8"/>
    <n v="0"/>
    <m/>
    <m/>
    <n v="3.4122222222222223"/>
    <n v="6.7577777777777781"/>
    <n v="58.182222222222229"/>
    <n v="68.352222222222224"/>
    <n v="2.2222222222012533E-4"/>
    <m/>
    <s v=""/>
    <m/>
    <s v=""/>
    <m/>
    <s v=""/>
    <n v="1"/>
    <x v="1"/>
    <n v="0"/>
    <n v="0"/>
    <n v="0"/>
    <n v="7"/>
    <n v="9.756949832252408"/>
  </r>
  <r>
    <x v="27"/>
    <x v="3"/>
    <n v="96"/>
    <s v="34O"/>
    <s v="Waterschap Drents-Overijsselse Delta"/>
    <s v="Mastenbroek IJssel"/>
    <n v="7005.4907934730054"/>
    <m/>
    <s v="10-3"/>
    <n v="0"/>
    <n v="0"/>
    <n v="2022"/>
    <n v="2024"/>
    <n v="2024"/>
    <n v="2027"/>
    <n v="2027"/>
    <n v="2030"/>
    <n v="2"/>
    <n v="3"/>
    <n v="3"/>
    <n v="8"/>
    <n v="1"/>
    <m/>
    <m/>
    <n v="3.4119999999999999"/>
    <n v="6.758"/>
    <n v="58.182000000000002"/>
    <n v="68.352000000000004"/>
    <n v="-1.0480000000000018"/>
    <m/>
    <s v=""/>
    <m/>
    <s v=""/>
    <m/>
    <s v=""/>
    <n v="1"/>
    <x v="1"/>
    <n v="0"/>
    <n v="0"/>
    <n v="0"/>
    <n v="7"/>
    <n v="9.756918111102701"/>
  </r>
  <r>
    <x v="27"/>
    <x v="4"/>
    <n v="85"/>
    <s v="15J"/>
    <s v="Waterschap Drents-Overijsselse Delta"/>
    <s v="Mastenbroek IJssel"/>
    <n v="7005.4907934730054"/>
    <m/>
    <s v="10-3"/>
    <n v="0"/>
    <n v="0"/>
    <n v="2022"/>
    <n v="2024"/>
    <n v="2024"/>
    <n v="2027"/>
    <n v="2027"/>
    <n v="2029"/>
    <n v="2"/>
    <n v="3"/>
    <n v="2"/>
    <n v="7"/>
    <n v="1"/>
    <m/>
    <m/>
    <n v="3.5"/>
    <n v="6.9"/>
    <n v="59"/>
    <n v="69.400000000000006"/>
    <n v="17.200000000000003"/>
    <m/>
    <s v=""/>
    <m/>
    <s v=""/>
    <m/>
    <s v=""/>
    <n v="1"/>
    <x v="1"/>
    <n v="0"/>
    <n v="0"/>
    <n v="0"/>
    <n v="7"/>
    <n v="9.9065150531151609"/>
  </r>
  <r>
    <x v="27"/>
    <x v="5"/>
    <n v="75"/>
    <s v="15J"/>
    <s v="Waterschap Drents-Overijsselse Delta"/>
    <s v="Mastenbroek IJssel"/>
    <m/>
    <m/>
    <m/>
    <n v="0"/>
    <n v="0"/>
    <n v="2023"/>
    <n v="2025"/>
    <n v="2025"/>
    <n v="2027"/>
    <n v="2027"/>
    <n v="2029"/>
    <n v="2"/>
    <n v="2"/>
    <n v="2"/>
    <n v="6"/>
    <m/>
    <m/>
    <m/>
    <n v="2.6"/>
    <n v="5.2"/>
    <n v="44.4"/>
    <n v="52.2"/>
    <m/>
    <m/>
    <s v=""/>
    <m/>
    <s v=""/>
    <m/>
    <s v=""/>
    <n v="1"/>
    <x v="1"/>
    <n v="0"/>
    <n v="0"/>
    <n v="0"/>
    <n v="7"/>
    <m/>
  </r>
  <r>
    <x v="28"/>
    <x v="0"/>
    <n v="94"/>
    <s v="25K"/>
    <s v="Waterschap Vallei en Veluwe"/>
    <s v="IJsseldijk Apeldoorns kanaal"/>
    <n v="2700"/>
    <m/>
    <s v="52-4"/>
    <n v="0"/>
    <n v="0"/>
    <n v="2016"/>
    <n v="2018"/>
    <n v="2018"/>
    <n v="2021"/>
    <n v="2021"/>
    <n v="2024"/>
    <n v="2"/>
    <n v="3"/>
    <n v="3"/>
    <n v="8"/>
    <n v="2"/>
    <m/>
    <n v="1"/>
    <n v="2.6666666666666665"/>
    <n v="4.333333333333333"/>
    <n v="14.444444444444445"/>
    <n v="21.444444444444443"/>
    <n v="-0.19333333333333513"/>
    <m/>
    <n v="11.746666666666663"/>
    <m/>
    <n v="-545.72257161103425"/>
    <m/>
    <n v="4.0911642685920739"/>
    <m/>
    <x v="0"/>
    <n v="0"/>
    <n v="1"/>
    <n v="0"/>
    <n v="1"/>
    <n v="7.9423868312757193"/>
  </r>
  <r>
    <x v="28"/>
    <x v="1"/>
    <n v="94"/>
    <s v="25K"/>
    <s v="Waterschap Vallei en Veluwe"/>
    <s v="IJsseldijk Apeldoorns kanaal"/>
    <n v="2700"/>
    <m/>
    <s v="52-4"/>
    <n v="0"/>
    <n v="0"/>
    <n v="2016"/>
    <n v="2017"/>
    <n v="2018"/>
    <n v="2021"/>
    <n v="2021"/>
    <n v="2023"/>
    <n v="1"/>
    <n v="3"/>
    <n v="2"/>
    <n v="6"/>
    <n v="-1"/>
    <n v="-1"/>
    <m/>
    <n v="2.6933333333333334"/>
    <n v="4.3977777777777787"/>
    <n v="14.546666666666667"/>
    <n v="21.637777777777778"/>
    <n v="-0.3044444444444423"/>
    <n v="9.137777777777778"/>
    <s v=""/>
    <n v="-545.72257161103425"/>
    <s v=""/>
    <n v="4.162769206863679"/>
    <s v=""/>
    <n v="0"/>
    <x v="0"/>
    <n v="0"/>
    <n v="1"/>
    <n v="0"/>
    <n v="1"/>
    <n v="8.0139917695473244"/>
  </r>
  <r>
    <x v="28"/>
    <x v="2"/>
    <n v="141"/>
    <s v="25K"/>
    <s v="Waterschap Vallei en Veluwe"/>
    <s v="IJsseldijk Apeldoorns kanaal"/>
    <n v="3245.7225716110343"/>
    <n v="4"/>
    <s v=" 52-4"/>
    <n v="0"/>
    <n v="0"/>
    <n v="2016"/>
    <n v="2018"/>
    <n v="2018"/>
    <n v="2020"/>
    <n v="2020"/>
    <n v="2023"/>
    <n v="2"/>
    <n v="2"/>
    <n v="3"/>
    <n v="7"/>
    <n v="1"/>
    <m/>
    <m/>
    <n v="2.6933333333333334"/>
    <n v="4.7777777777777777"/>
    <n v="14.47111111111111"/>
    <n v="21.94222222222222"/>
    <n v="8.4422222222222203"/>
    <m/>
    <s v=""/>
    <m/>
    <s v=""/>
    <m/>
    <s v=""/>
    <n v="0"/>
    <x v="0"/>
    <n v="0"/>
    <n v="0"/>
    <n v="1"/>
    <n v="0"/>
    <n v="6.7603505038112557"/>
  </r>
  <r>
    <x v="28"/>
    <x v="3"/>
    <n v="138"/>
    <s v="25K"/>
    <s v="Waterschap Vallei en Veluwe"/>
    <s v="IJsseldijk Apeldoorns kanaal"/>
    <n v="3245.7225716110343"/>
    <m/>
    <s v=" 52-4, 11-1"/>
    <n v="0"/>
    <n v="0"/>
    <n v="2016"/>
    <n v="2018"/>
    <n v="2018"/>
    <n v="2020"/>
    <n v="2020"/>
    <n v="2022"/>
    <n v="2"/>
    <n v="2"/>
    <n v="2"/>
    <n v="6"/>
    <n v="-1"/>
    <m/>
    <m/>
    <n v="2.42"/>
    <n v="0.28000000000000003"/>
    <n v="10.8"/>
    <n v="13.5"/>
    <n v="1"/>
    <m/>
    <s v=""/>
    <m/>
    <s v=""/>
    <m/>
    <s v=""/>
    <n v="0"/>
    <x v="0"/>
    <n v="0"/>
    <n v="0"/>
    <n v="1"/>
    <n v="0"/>
    <n v="4.1593203676983377"/>
  </r>
  <r>
    <x v="28"/>
    <x v="4"/>
    <n v="121"/>
    <s v="25K"/>
    <s v="Waterschap Vallei en Veluwe"/>
    <s v="IJsseldijk Apeldoorns kanaal"/>
    <n v="3245.7225716110343"/>
    <m/>
    <s v="52-4"/>
    <n v="0"/>
    <n v="0"/>
    <n v="2016"/>
    <n v="2018"/>
    <n v="2018"/>
    <n v="2020"/>
    <n v="2020"/>
    <n v="2023"/>
    <n v="2"/>
    <n v="2"/>
    <n v="3"/>
    <n v="7"/>
    <n v="0"/>
    <m/>
    <m/>
    <n v="2.42"/>
    <n v="0.28000000000000003"/>
    <n v="9.8000000000000007"/>
    <n v="12.5"/>
    <n v="-11.939999999999998"/>
    <m/>
    <s v=""/>
    <m/>
    <s v=""/>
    <m/>
    <s v=""/>
    <n v="0"/>
    <x v="0"/>
    <n v="0"/>
    <n v="0"/>
    <n v="1"/>
    <n v="0"/>
    <n v="3.8512225626836458"/>
  </r>
  <r>
    <x v="28"/>
    <x v="5"/>
    <n v="118"/>
    <s v="25K"/>
    <s v="Waterschap Vallei en Veluwe"/>
    <s v="Loswal Hattem + Apeldoorns kanaal"/>
    <m/>
    <m/>
    <m/>
    <n v="0"/>
    <n v="0"/>
    <n v="2016"/>
    <n v="2018"/>
    <n v="2018"/>
    <n v="2020"/>
    <n v="2020"/>
    <n v="2023"/>
    <n v="2"/>
    <n v="2"/>
    <n v="3"/>
    <n v="7"/>
    <m/>
    <m/>
    <m/>
    <n v="7"/>
    <n v="1.8399999999999999"/>
    <n v="15.6"/>
    <n v="24.439999999999998"/>
    <m/>
    <m/>
    <s v=""/>
    <m/>
    <s v=""/>
    <m/>
    <s v=""/>
    <n v="0"/>
    <x v="0"/>
    <n v="0"/>
    <n v="0"/>
    <n v="1"/>
    <n v="0"/>
    <m/>
  </r>
  <r>
    <x v="29"/>
    <x v="0"/>
    <n v="12"/>
    <s v="24AH + 24AN"/>
    <s v="Waterschap Scheldestromen"/>
    <s v="Zuid-Beveland West, Westerschelde S2"/>
    <n v="24300"/>
    <m/>
    <m/>
    <n v="0"/>
    <n v="0"/>
    <n v="2021"/>
    <n v="2022"/>
    <n v="2022"/>
    <n v="2025"/>
    <n v="2025"/>
    <n v="2028"/>
    <n v="1"/>
    <n v="3"/>
    <n v="3"/>
    <n v="7"/>
    <n v="-1"/>
    <m/>
    <n v="1"/>
    <n v="0.64"/>
    <n v="0.64"/>
    <n v="6.72"/>
    <n v="8"/>
    <n v="0"/>
    <m/>
    <n v="-16.900000000000002"/>
    <m/>
    <n v="-549.9939715291257"/>
    <m/>
    <n v="-0.35086240792986551"/>
    <m/>
    <x v="0"/>
    <n v="0"/>
    <n v="0"/>
    <n v="0"/>
    <n v="5"/>
    <n v="0.32921810699588477"/>
  </r>
  <r>
    <x v="29"/>
    <x v="1"/>
    <n v="13"/>
    <s v="24AH + 24AN"/>
    <s v="Waterschap Scheldestromen"/>
    <s v="Zuid-Beveland West, Westerschelde S2"/>
    <n v="24850"/>
    <m/>
    <s v="30-3"/>
    <n v="0"/>
    <n v="0"/>
    <n v="2020"/>
    <n v="2022"/>
    <n v="2022"/>
    <n v="2024"/>
    <n v="2024"/>
    <n v="2028"/>
    <n v="2"/>
    <n v="2"/>
    <n v="4"/>
    <n v="8"/>
    <n v="-1"/>
    <n v="2"/>
    <m/>
    <n v="0.64"/>
    <n v="0.64"/>
    <n v="6.72"/>
    <n v="8"/>
    <n v="0"/>
    <n v="-8.9000000000000021"/>
    <s v=""/>
    <n v="6.0284708742983639E-3"/>
    <s v=""/>
    <n v="-0.35814905834391864"/>
    <s v=""/>
    <n v="0"/>
    <x v="0"/>
    <n v="1"/>
    <n v="0"/>
    <n v="0"/>
    <n v="4"/>
    <n v="0.32193158953722334"/>
  </r>
  <r>
    <x v="29"/>
    <x v="2"/>
    <n v="33"/>
    <s v="24AH "/>
    <s v="Waterschap Scheldestromen"/>
    <s v="Zuid-Beveland West, Westerschelde S2"/>
    <n v="24849.998829690201"/>
    <n v="38"/>
    <s v="30-3"/>
    <n v="0"/>
    <n v="0"/>
    <n v="2019"/>
    <n v="2023"/>
    <n v="2023"/>
    <n v="2025"/>
    <n v="2025"/>
    <n v="2028"/>
    <n v="4"/>
    <n v="2"/>
    <n v="3"/>
    <n v="9"/>
    <n v="0"/>
    <m/>
    <m/>
    <n v="0.4"/>
    <n v="0.8"/>
    <n v="6.8000000000000007"/>
    <n v="8"/>
    <n v="0"/>
    <m/>
    <s v=""/>
    <m/>
    <s v=""/>
    <m/>
    <s v=""/>
    <n v="0"/>
    <x v="0"/>
    <n v="1"/>
    <n v="0"/>
    <n v="0"/>
    <n v="5"/>
    <n v="0.32193160469857995"/>
  </r>
  <r>
    <x v="29"/>
    <x v="3"/>
    <n v="29"/>
    <s v="24AH + 24AN"/>
    <s v="Waterschap Scheldestromen"/>
    <s v="Zuid-Beveland West, Westerschelde S2"/>
    <n v="24849.998829690201"/>
    <s v="30-3"/>
    <s v="30-3"/>
    <n v="0"/>
    <n v="0"/>
    <n v="2017"/>
    <n v="2021"/>
    <n v="2021"/>
    <n v="2023"/>
    <n v="2023"/>
    <n v="2026"/>
    <n v="4"/>
    <n v="2"/>
    <n v="3"/>
    <n v="9"/>
    <n v="3"/>
    <m/>
    <m/>
    <n v="0.4"/>
    <n v="0.8"/>
    <n v="6.8"/>
    <n v="8"/>
    <n v="-8.9000000000000021"/>
    <m/>
    <s v=""/>
    <m/>
    <s v=""/>
    <m/>
    <s v=""/>
    <n v="0"/>
    <x v="0"/>
    <n v="1"/>
    <n v="0"/>
    <n v="0"/>
    <n v="3"/>
    <n v="0.32193160469857995"/>
  </r>
  <r>
    <x v="29"/>
    <x v="4"/>
    <n v="8"/>
    <s v="24AG"/>
    <s v="Waterschap Scheldestromen"/>
    <s v="Zuid-Beveland West, Westerschelde"/>
    <n v="24849.993971529126"/>
    <m/>
    <s v="30-3"/>
    <n v="0"/>
    <n v="0"/>
    <n v="2017"/>
    <n v="2018"/>
    <n v="2018"/>
    <n v="2019"/>
    <n v="2019"/>
    <n v="2023"/>
    <n v="1"/>
    <n v="1"/>
    <n v="4"/>
    <n v="6"/>
    <m/>
    <m/>
    <m/>
    <n v="0.4"/>
    <n v="1.7000000000000002"/>
    <n v="14.8"/>
    <n v="16.900000000000002"/>
    <n v="16.900000000000002"/>
    <m/>
    <s v=""/>
    <m/>
    <s v=""/>
    <m/>
    <s v=""/>
    <n v="0"/>
    <x v="0"/>
    <n v="0"/>
    <n v="0"/>
    <n v="1"/>
    <n v="-1"/>
    <n v="0.68008064788114198"/>
  </r>
  <r>
    <x v="29"/>
    <x v="5"/>
    <m/>
    <m/>
    <s v="Waterschap Scheldestromen"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x v="0"/>
    <n v="0"/>
    <n v="0"/>
    <n v="0"/>
    <m/>
    <m/>
  </r>
  <r>
    <x v="30"/>
    <x v="0"/>
    <n v="55"/>
    <s v="24AE"/>
    <s v="Waterschap Scheldestromen"/>
    <s v="Zuid-Beveland Oost, Oosterschelde"/>
    <n v="1850"/>
    <m/>
    <s v="31-1"/>
    <n v="0"/>
    <n v="0"/>
    <n v="2023"/>
    <n v="2025"/>
    <n v="2025"/>
    <n v="2027"/>
    <n v="2027"/>
    <n v="2029"/>
    <n v="2"/>
    <n v="2"/>
    <n v="2"/>
    <n v="6"/>
    <n v="-1"/>
    <m/>
    <n v="1"/>
    <n v="0.44"/>
    <n v="0.44"/>
    <n v="4.5555555555555554"/>
    <n v="5.4355555555555553"/>
    <n v="-1.0133333333333328"/>
    <m/>
    <n v="-2.9383333333333335"/>
    <m/>
    <n v="49.99631860416207"/>
    <m/>
    <n v="-0.24241091249517499"/>
    <m/>
    <x v="0"/>
    <n v="0"/>
    <n v="0"/>
    <n v="0"/>
    <n v="7"/>
    <n v="2.9381381381381377"/>
  </r>
  <r>
    <x v="30"/>
    <x v="1"/>
    <n v="56"/>
    <s v="24AE"/>
    <s v="Waterschap Scheldestromen"/>
    <s v="Zuid-Beveland Oost, Oosterschelde"/>
    <n v="1500"/>
    <m/>
    <s v="31-2"/>
    <n v="0"/>
    <n v="0"/>
    <n v="2023"/>
    <n v="2025"/>
    <n v="2025"/>
    <n v="2027"/>
    <n v="2027"/>
    <n v="2030"/>
    <n v="2"/>
    <n v="2"/>
    <n v="3"/>
    <n v="7"/>
    <n v="-1"/>
    <n v="2"/>
    <m/>
    <n v="0.51555555555555554"/>
    <n v="0.51555555555555554"/>
    <n v="5.4177777777777774"/>
    <n v="6.448888888888888"/>
    <n v="-0.27611111111111253"/>
    <n v="0.72388888888888747"/>
    <s v=""/>
    <n v="-300.00368139583793"/>
    <s v=""/>
    <n v="1.1187102086259459"/>
    <s v=""/>
    <n v="0"/>
    <x v="0"/>
    <n v="0"/>
    <n v="0"/>
    <n v="0"/>
    <n v="7"/>
    <n v="4.2992592592592587"/>
  </r>
  <r>
    <x v="30"/>
    <x v="2"/>
    <n v="101"/>
    <s v="24AP"/>
    <s v="Waterschap Scheldestromen"/>
    <s v="Zuid-Beveland Oost, Oosterschelde (2)"/>
    <n v="1500"/>
    <n v="7"/>
    <s v="31-2"/>
    <n v="0"/>
    <n v="0"/>
    <n v="2021"/>
    <n v="2025"/>
    <n v="2025"/>
    <n v="2027"/>
    <n v="2027"/>
    <n v="2029"/>
    <n v="4"/>
    <n v="2"/>
    <n v="2"/>
    <n v="8"/>
    <n v="2"/>
    <m/>
    <m/>
    <n v="0.875"/>
    <n v="1"/>
    <n v="4.8500000000000005"/>
    <n v="6.7250000000000005"/>
    <n v="-0.54999999999999982"/>
    <m/>
    <s v=""/>
    <m/>
    <s v=""/>
    <m/>
    <s v=""/>
    <n v="0"/>
    <x v="0"/>
    <n v="0"/>
    <n v="0"/>
    <n v="0"/>
    <n v="7"/>
    <n v="4.4833333333333334"/>
  </r>
  <r>
    <x v="30"/>
    <x v="3"/>
    <n v="100"/>
    <s v="24AE"/>
    <s v="Waterschap Scheldestromen"/>
    <s v="Zuid-Beveland Oost, Oosterschelde"/>
    <n v="1800.0036813958379"/>
    <m/>
    <s v="31-2"/>
    <n v="0"/>
    <n v="0"/>
    <n v="2020"/>
    <n v="2022"/>
    <n v="2022"/>
    <n v="2024"/>
    <n v="2024"/>
    <n v="2026"/>
    <n v="2"/>
    <n v="2"/>
    <n v="2"/>
    <n v="6"/>
    <n v="1"/>
    <m/>
    <m/>
    <n v="1.375"/>
    <n v="1"/>
    <n v="4.9000000000000004"/>
    <n v="7.2750000000000004"/>
    <n v="1.5499999999999998"/>
    <m/>
    <s v=""/>
    <m/>
    <s v=""/>
    <m/>
    <s v=""/>
    <n v="0"/>
    <x v="0"/>
    <n v="1"/>
    <n v="0"/>
    <n v="0"/>
    <n v="4"/>
    <n v="4.0416584005864369"/>
  </r>
  <r>
    <x v="30"/>
    <x v="4"/>
    <n v="88"/>
    <s v="24AE"/>
    <s v="Waterschap Scheldestromen"/>
    <s v="Zuid-Beveland Oost, Oosterschelde"/>
    <n v="1800.0036813958379"/>
    <m/>
    <s v="31-2"/>
    <n v="0"/>
    <n v="0"/>
    <n v="2016"/>
    <n v="2018"/>
    <n v="2018"/>
    <n v="2020"/>
    <n v="2020"/>
    <n v="2021"/>
    <n v="2"/>
    <n v="2"/>
    <n v="1"/>
    <n v="5"/>
    <n v="1"/>
    <m/>
    <m/>
    <n v="0.27500000000000002"/>
    <n v="0.55000000000000004"/>
    <n v="4.9000000000000004"/>
    <n v="5.7250000000000005"/>
    <n v="1.9250000000000007"/>
    <m/>
    <s v=""/>
    <m/>
    <s v=""/>
    <m/>
    <s v=""/>
    <n v="0"/>
    <x v="0"/>
    <n v="0"/>
    <n v="0"/>
    <n v="1"/>
    <n v="0"/>
    <n v="3.1805490506333127"/>
  </r>
  <r>
    <x v="30"/>
    <x v="5"/>
    <n v="80"/>
    <s v="24O"/>
    <s v="Waterschap Scheldestromen"/>
    <s v="Zuid–Beveland Oost, Oosterschelde"/>
    <m/>
    <m/>
    <m/>
    <n v="0"/>
    <n v="0"/>
    <n v="2016"/>
    <n v="2018"/>
    <n v="2018"/>
    <n v="2019"/>
    <n v="2019"/>
    <n v="2020"/>
    <n v="2"/>
    <n v="1"/>
    <n v="1"/>
    <n v="4"/>
    <m/>
    <m/>
    <m/>
    <n v="0.1"/>
    <n v="0.2"/>
    <n v="3.5"/>
    <n v="3.8"/>
    <m/>
    <m/>
    <s v=""/>
    <m/>
    <s v=""/>
    <m/>
    <s v=""/>
    <n v="0"/>
    <x v="0"/>
    <n v="0"/>
    <n v="0"/>
    <n v="0"/>
    <n v="-1"/>
    <m/>
  </r>
  <r>
    <x v="31"/>
    <x v="0"/>
    <n v="22"/>
    <s v="2G"/>
    <s v="HHRS De Stichtse Rijnlanden"/>
    <s v="Salmsteke Schoonhoven (SAS)"/>
    <n v="8339"/>
    <m/>
    <m/>
    <n v="0"/>
    <n v="0"/>
    <n v="2020"/>
    <n v="2022"/>
    <n v="2022"/>
    <n v="2024"/>
    <n v="2024"/>
    <n v="2028"/>
    <n v="2"/>
    <n v="2"/>
    <n v="4"/>
    <n v="8"/>
    <n v="0"/>
    <m/>
    <m/>
    <n v="8"/>
    <n v="12.444444444444443"/>
    <n v="49.666666666666671"/>
    <n v="70.111111111111114"/>
    <n v="-0.13333333333332575"/>
    <m/>
    <s v=""/>
    <m/>
    <s v=""/>
    <m/>
    <s v=""/>
    <m/>
    <x v="1"/>
    <n v="1"/>
    <n v="0"/>
    <n v="0"/>
    <n v="4"/>
    <n v="8.4076161543483767"/>
  </r>
  <r>
    <x v="31"/>
    <x v="1"/>
    <n v="22"/>
    <s v="2G"/>
    <s v="HHRS De Stichtse Rijnlanden"/>
    <s v="Salmsteke Schoonhoven (SAS)"/>
    <n v="8339"/>
    <m/>
    <m/>
    <n v="1"/>
    <n v="0"/>
    <n v="2020"/>
    <n v="2022"/>
    <n v="2022"/>
    <n v="2024"/>
    <n v="2024"/>
    <n v="2028"/>
    <n v="2"/>
    <n v="2"/>
    <n v="4"/>
    <n v="8"/>
    <n v="0"/>
    <m/>
    <m/>
    <n v="7.7"/>
    <n v="12.508888888888889"/>
    <n v="50.035555555555554"/>
    <n v="70.24444444444444"/>
    <n v="11.374444444444443"/>
    <m/>
    <s v=""/>
    <m/>
    <s v=""/>
    <m/>
    <s v=""/>
    <n v="1"/>
    <x v="1"/>
    <n v="1"/>
    <n v="0"/>
    <n v="0"/>
    <n v="4"/>
    <n v="8.4236052817417484"/>
  </r>
  <r>
    <x v="31"/>
    <x v="2"/>
    <n v="52"/>
    <s v="02G"/>
    <s v="HHRS De Stichtse Rijnlanden"/>
    <s v="Sterke Lekdijk: Salmsteke - Schoonhoven"/>
    <n v="8339"/>
    <m/>
    <s v="15-1"/>
    <n v="1"/>
    <n v="0"/>
    <n v="2020"/>
    <n v="2022"/>
    <n v="2022"/>
    <n v="2024"/>
    <n v="2024"/>
    <n v="2028"/>
    <n v="2"/>
    <n v="2"/>
    <n v="4"/>
    <n v="8"/>
    <m/>
    <m/>
    <m/>
    <n v="2.5566666666666671"/>
    <n v="5.1133333333333342"/>
    <n v="51.199999999999996"/>
    <n v="58.87"/>
    <m/>
    <m/>
    <s v=""/>
    <m/>
    <s v=""/>
    <m/>
    <s v=""/>
    <n v="1"/>
    <x v="1"/>
    <n v="1"/>
    <n v="0"/>
    <n v="0"/>
    <n v="4"/>
    <n v="7.0595994723587951"/>
  </r>
  <r>
    <x v="31"/>
    <x v="3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31"/>
    <x v="4"/>
    <m/>
    <m/>
    <m/>
    <m/>
    <m/>
    <m/>
    <m/>
    <n v="0"/>
    <n v="0"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31"/>
    <x v="5"/>
    <m/>
    <m/>
    <m/>
    <m/>
    <m/>
    <m/>
    <m/>
    <n v="0"/>
    <n v="0"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32"/>
    <x v="0"/>
    <n v="8"/>
    <s v="16M"/>
    <s v="Waterschap Hollandse Delta"/>
    <s v="Geervliet - Hekelingen 20-3"/>
    <n v="21900"/>
    <m/>
    <m/>
    <n v="0"/>
    <n v="0"/>
    <n v="2017"/>
    <n v="2022"/>
    <n v="2022"/>
    <n v="2024"/>
    <n v="2024"/>
    <n v="2027"/>
    <n v="5"/>
    <n v="2"/>
    <n v="3"/>
    <n v="10"/>
    <n v="0"/>
    <m/>
    <n v="3"/>
    <n v="5.4444444444444446"/>
    <n v="5"/>
    <n v="10.555555555555555"/>
    <n v="21"/>
    <n v="4.984444444444442"/>
    <m/>
    <n v="4.984444444444442"/>
    <m/>
    <n v="19545.976711010968"/>
    <m/>
    <n v="-6.177884335610619"/>
    <m/>
    <x v="0"/>
    <n v="1"/>
    <n v="0"/>
    <n v="0"/>
    <n v="4"/>
    <n v="0.95890410958904115"/>
  </r>
  <r>
    <x v="32"/>
    <x v="1"/>
    <n v="8"/>
    <s v="16M"/>
    <s v="Waterschap Hollandse Delta"/>
    <s v="Geervliet - Hekelingen 20-3"/>
    <n v="21900"/>
    <n v="8"/>
    <s v="20-3"/>
    <n v="0"/>
    <n v="0"/>
    <n v="2017"/>
    <n v="2022"/>
    <n v="2022"/>
    <n v="2024"/>
    <n v="2024"/>
    <n v="2027"/>
    <n v="5"/>
    <n v="2"/>
    <n v="3"/>
    <n v="10"/>
    <n v="0"/>
    <n v="3"/>
    <m/>
    <n v="3.7411111111111115"/>
    <n v="1.7"/>
    <n v="10.574444444444445"/>
    <n v="16.015555555555558"/>
    <n v="0"/>
    <n v="-0.78444444444444272"/>
    <s v=""/>
    <n v="19545.976711010968"/>
    <s v=""/>
    <n v="-6.4054139323750956"/>
    <s v=""/>
    <n v="0"/>
    <x v="0"/>
    <n v="1"/>
    <n v="0"/>
    <n v="0"/>
    <n v="4"/>
    <n v="0.73130390664637257"/>
  </r>
  <r>
    <x v="32"/>
    <x v="2"/>
    <n v="22"/>
    <s v="16M "/>
    <s v="Waterschap Hollandse Delta"/>
    <s v="Geervliet - Hekelingen 20-3"/>
    <n v="21911"/>
    <n v="7"/>
    <s v="20-3"/>
    <n v="0"/>
    <n v="0"/>
    <n v="2017"/>
    <n v="2022"/>
    <n v="2022"/>
    <n v="2024"/>
    <n v="2024"/>
    <n v="2027"/>
    <n v="5"/>
    <n v="2"/>
    <n v="3"/>
    <n v="10"/>
    <n v="0"/>
    <m/>
    <m/>
    <n v="3.7411111111111106"/>
    <n v="1.7000000000000002"/>
    <n v="10.574444444444444"/>
    <n v="16.015555555555554"/>
    <n v="2.4971111111111099"/>
    <m/>
    <s v=""/>
    <m/>
    <s v=""/>
    <m/>
    <s v=""/>
    <n v="0"/>
    <x v="0"/>
    <n v="1"/>
    <n v="0"/>
    <n v="0"/>
    <n v="4"/>
    <n v="0.73093676945623443"/>
  </r>
  <r>
    <x v="32"/>
    <x v="3"/>
    <n v="20"/>
    <s v="16M (nog oud nummer)"/>
    <s v="Waterschap Hollandse Delta"/>
    <s v="Geervliet - Hekelingen 20-3"/>
    <n v="2354"/>
    <m/>
    <s v="20-3"/>
    <n v="0"/>
    <n v="0"/>
    <n v="2017"/>
    <n v="2022"/>
    <n v="2022"/>
    <n v="2024"/>
    <n v="2024"/>
    <n v="2027"/>
    <n v="5"/>
    <n v="2"/>
    <n v="3"/>
    <n v="10"/>
    <n v="3"/>
    <m/>
    <m/>
    <n v="1.2444444444444445"/>
    <n v="1.7"/>
    <n v="10.574"/>
    <n v="13.518444444444444"/>
    <n v="-3.2815555555555562"/>
    <m/>
    <s v=""/>
    <m/>
    <s v=""/>
    <m/>
    <s v=""/>
    <n v="0"/>
    <x v="0"/>
    <n v="1"/>
    <n v="0"/>
    <n v="0"/>
    <n v="4"/>
    <n v="5.742754649296705"/>
  </r>
  <r>
    <x v="32"/>
    <x v="4"/>
    <n v="30"/>
    <s v="16VLBO20-3 16M"/>
    <s v="Waterschap Hollandse Delta"/>
    <s v="VLRT-4 - Normtraject nr. 20_3"/>
    <n v="2354.0232889890303"/>
    <m/>
    <s v="20-3"/>
    <n v="0"/>
    <n v="0"/>
    <n v="2017"/>
    <n v="2020"/>
    <n v="2020"/>
    <n v="2022"/>
    <n v="2022"/>
    <n v="2024"/>
    <n v="3"/>
    <n v="2"/>
    <n v="2"/>
    <n v="7"/>
    <m/>
    <m/>
    <m/>
    <n v="0.8"/>
    <n v="1.7"/>
    <n v="14.3"/>
    <n v="16.8"/>
    <m/>
    <m/>
    <s v=""/>
    <m/>
    <s v=""/>
    <m/>
    <s v=""/>
    <n v="0"/>
    <x v="0"/>
    <n v="0"/>
    <n v="1"/>
    <n v="0"/>
    <n v="2"/>
    <n v="7.1367178390214683"/>
  </r>
  <r>
    <x v="32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x v="0"/>
    <n v="0"/>
    <n v="0"/>
    <n v="0"/>
    <m/>
    <m/>
  </r>
  <r>
    <x v="33"/>
    <x v="0"/>
    <s v="C-kering"/>
    <s v="03E"/>
    <s v="HHRS Hollands Noorderkwartier"/>
    <s v="Wieringermeer C kering"/>
    <n v="6000"/>
    <m/>
    <m/>
    <n v="0"/>
    <n v="0"/>
    <n v="2018"/>
    <n v="2021"/>
    <n v="2021"/>
    <n v="2023"/>
    <n v="2023"/>
    <n v="2026"/>
    <n v="3"/>
    <n v="2"/>
    <n v="3"/>
    <n v="8"/>
    <n v="0"/>
    <m/>
    <n v="0"/>
    <n v="4.2866666666666662"/>
    <n v="5.3577777777777778"/>
    <n v="54.656666666666673"/>
    <n v="64.301111111111112"/>
    <n v="0"/>
    <m/>
    <n v="2.1999999999999886"/>
    <m/>
    <n v="-27282.272231718722"/>
    <m/>
    <n v="7.6761940717753383"/>
    <m/>
    <x v="1"/>
    <n v="1"/>
    <n v="0"/>
    <n v="0"/>
    <n v="3"/>
    <n v="10.716851851851851"/>
  </r>
  <r>
    <x v="33"/>
    <x v="1"/>
    <s v="C-kering"/>
    <s v="03E"/>
    <s v="HHRS Hollands Noorderkwartier"/>
    <s v="Wieringermeer C kering"/>
    <n v="6000"/>
    <n v="3"/>
    <s v="C-kering"/>
    <n v="0"/>
    <n v="0"/>
    <n v="2018"/>
    <n v="2020"/>
    <n v="2020"/>
    <n v="2023"/>
    <n v="2023"/>
    <n v="2026"/>
    <n v="2"/>
    <n v="3"/>
    <n v="3"/>
    <n v="8"/>
    <n v="-2"/>
    <n v="0"/>
    <m/>
    <n v="4.2866666666666662"/>
    <n v="5.3577777777777778"/>
    <n v="54.656666666666673"/>
    <n v="64.301111111111112"/>
    <n v="2.2222222222154642E-3"/>
    <n v="-36.898888888888891"/>
    <s v=""/>
    <n v="-27282.272231718722"/>
    <s v=""/>
    <n v="7.6761940717753383"/>
    <s v=""/>
    <n v="0"/>
    <x v="1"/>
    <n v="0"/>
    <n v="1"/>
    <n v="0"/>
    <n v="3"/>
    <n v="10.716851851851851"/>
  </r>
  <r>
    <x v="33"/>
    <x v="2"/>
    <s v="C-kering"/>
    <s v="03E"/>
    <s v="HHRS Hollands Noorderkwartier"/>
    <s v="Wieringermeerkering"/>
    <n v="5985"/>
    <n v="5"/>
    <s v="nvt"/>
    <n v="0"/>
    <n v="0"/>
    <n v="2016"/>
    <n v="2021"/>
    <n v="2021"/>
    <n v="2023"/>
    <n v="2023"/>
    <n v="2026"/>
    <n v="5"/>
    <n v="2"/>
    <n v="3"/>
    <n v="10"/>
    <n v="3"/>
    <m/>
    <m/>
    <n v="4.3055555555555562"/>
    <n v="5.34"/>
    <n v="54.653333333333336"/>
    <n v="64.298888888888897"/>
    <n v="-34.311111111111103"/>
    <m/>
    <s v=""/>
    <m/>
    <s v=""/>
    <m/>
    <s v=""/>
    <n v="0"/>
    <x v="1"/>
    <n v="1"/>
    <n v="0"/>
    <n v="0"/>
    <n v="3"/>
    <n v="10.74333983105913"/>
  </r>
  <r>
    <x v="33"/>
    <x v="3"/>
    <s v="C-kering"/>
    <s v="03E"/>
    <s v="HHRS Hollands Noorderkwartier"/>
    <s v="Wieringermeerkering"/>
    <n v="33282.272231718722"/>
    <s v="nvt"/>
    <m/>
    <n v="0"/>
    <n v="0"/>
    <n v="2018"/>
    <n v="2020"/>
    <n v="2020"/>
    <n v="2022"/>
    <n v="2022"/>
    <n v="2025"/>
    <n v="2"/>
    <n v="2"/>
    <n v="3"/>
    <n v="7"/>
    <n v="-1"/>
    <m/>
    <m/>
    <n v="10.38"/>
    <n v="0"/>
    <n v="88.23"/>
    <n v="98.61"/>
    <n v="-2.5900000000000034"/>
    <m/>
    <s v=""/>
    <m/>
    <s v=""/>
    <m/>
    <s v=""/>
    <n v="0"/>
    <x v="1"/>
    <n v="0"/>
    <n v="1"/>
    <n v="0"/>
    <n v="2"/>
    <n v="2.9628385740449099"/>
  </r>
  <r>
    <x v="33"/>
    <x v="4"/>
    <m/>
    <s v="03E"/>
    <s v="HHRS Hollands Noorderkwartier"/>
    <s v="Wieringermeerkering"/>
    <n v="33282.272231718722"/>
    <n v="12"/>
    <m/>
    <n v="0"/>
    <n v="0"/>
    <n v="2018"/>
    <n v="2020"/>
    <n v="2020"/>
    <n v="2023"/>
    <n v="2023"/>
    <n v="2026"/>
    <n v="2"/>
    <n v="3"/>
    <n v="3"/>
    <n v="8"/>
    <n v="-2"/>
    <m/>
    <m/>
    <n v="2.6"/>
    <n v="10.4"/>
    <n v="88.2"/>
    <n v="101.2"/>
    <n v="-2.1999999999999886"/>
    <m/>
    <s v=""/>
    <m/>
    <s v=""/>
    <m/>
    <s v=""/>
    <n v="0"/>
    <x v="1"/>
    <n v="0"/>
    <n v="1"/>
    <n v="0"/>
    <n v="3"/>
    <n v="3.0406577800765127"/>
  </r>
  <r>
    <x v="33"/>
    <x v="5"/>
    <s v="C-kering"/>
    <s v="03E"/>
    <s v="HHRS Hollands Noorderkwartier"/>
    <s v="Wieringermeer C kering"/>
    <m/>
    <m/>
    <m/>
    <n v="0"/>
    <n v="0"/>
    <n v="2017"/>
    <n v="2021"/>
    <n v="2021"/>
    <n v="2024"/>
    <n v="2024"/>
    <n v="2027"/>
    <n v="4"/>
    <n v="3"/>
    <n v="3"/>
    <n v="10"/>
    <m/>
    <m/>
    <m/>
    <n v="4.8"/>
    <n v="10.4"/>
    <n v="88.199999999999989"/>
    <n v="103.39999999999999"/>
    <m/>
    <m/>
    <s v=""/>
    <m/>
    <s v=""/>
    <m/>
    <s v=""/>
    <n v="0"/>
    <x v="1"/>
    <n v="1"/>
    <n v="0"/>
    <n v="0"/>
    <n v="4"/>
    <m/>
  </r>
  <r>
    <x v="34"/>
    <x v="0"/>
    <n v="15"/>
    <s v="13K"/>
    <s v="Waterschap Aa en Maas"/>
    <s v="Cuijk - Ravenstein"/>
    <n v="21020"/>
    <n v="10"/>
    <s v="36-2"/>
    <n v="0"/>
    <n v="0"/>
    <n v="2019"/>
    <n v="2023"/>
    <n v="2023"/>
    <n v="2025"/>
    <n v="2025"/>
    <n v="2029"/>
    <n v="4"/>
    <n v="2"/>
    <n v="4"/>
    <n v="10"/>
    <n v="0"/>
    <m/>
    <m/>
    <n v="2.8888888888888888"/>
    <n v="10.666666666666666"/>
    <n v="87.555555555555557"/>
    <n v="101.11111111111111"/>
    <n v="-42.708888888888879"/>
    <m/>
    <s v=""/>
    <m/>
    <s v=""/>
    <m/>
    <s v=""/>
    <m/>
    <x v="1"/>
    <n v="1"/>
    <n v="0"/>
    <n v="0"/>
    <n v="5"/>
    <n v="4.8102336399196535"/>
  </r>
  <r>
    <x v="34"/>
    <x v="1"/>
    <n v="15"/>
    <s v="13K"/>
    <s v="Waterschap Aa en Maas"/>
    <s v="Cuijk - Ravenstein"/>
    <n v="21020"/>
    <n v="10"/>
    <s v="36-2"/>
    <n v="0"/>
    <n v="0"/>
    <n v="2019"/>
    <n v="2023"/>
    <n v="2023"/>
    <n v="2025"/>
    <n v="2025"/>
    <n v="2029"/>
    <n v="4"/>
    <n v="2"/>
    <n v="4"/>
    <n v="10"/>
    <n v="-1"/>
    <m/>
    <m/>
    <n v="7.195555555555555"/>
    <n v="14.7"/>
    <n v="121.92444444444443"/>
    <n v="143.82"/>
    <n v="-2.0488888888888823"/>
    <m/>
    <s v=""/>
    <n v="21020"/>
    <s v=""/>
    <m/>
    <s v=""/>
    <n v="1"/>
    <x v="1"/>
    <n v="1"/>
    <n v="0"/>
    <n v="0"/>
    <n v="5"/>
    <n v="6.8420551855375829"/>
  </r>
  <r>
    <x v="34"/>
    <x v="2"/>
    <n v="40"/>
    <s v="13K"/>
    <s v="Waterschap Aa en Maas"/>
    <s v="Cuijk - Ravenstein"/>
    <n v="20854"/>
    <n v="1"/>
    <s v="36-2"/>
    <n v="0"/>
    <n v="0"/>
    <n v="2019"/>
    <n v="2023"/>
    <n v="2023"/>
    <n v="2025"/>
    <n v="2025"/>
    <n v="2030"/>
    <n v="4"/>
    <n v="2"/>
    <n v="5"/>
    <n v="11"/>
    <n v="0"/>
    <m/>
    <m/>
    <n v="7.2688888888888901"/>
    <n v="14.6"/>
    <n v="124"/>
    <n v="145.86888888888888"/>
    <n v="40.868888888888875"/>
    <m/>
    <s v=""/>
    <m/>
    <s v=""/>
    <m/>
    <s v=""/>
    <n v="1"/>
    <x v="1"/>
    <n v="1"/>
    <n v="0"/>
    <n v="0"/>
    <n v="5"/>
    <n v="6.9947678569525698"/>
  </r>
  <r>
    <x v="34"/>
    <x v="3"/>
    <n v="36"/>
    <s v="13K"/>
    <s v="Waterschap Aa en Maas"/>
    <s v="Cuijk - Ravenstein"/>
    <n v="20854"/>
    <m/>
    <s v="36-2"/>
    <n v="0"/>
    <n v="0"/>
    <n v="2019"/>
    <n v="2023"/>
    <n v="2023"/>
    <n v="2025"/>
    <n v="2025"/>
    <n v="2030"/>
    <n v="4"/>
    <n v="2"/>
    <n v="5"/>
    <n v="11"/>
    <m/>
    <m/>
    <m/>
    <n v="5.5"/>
    <n v="10.5"/>
    <n v="89"/>
    <n v="105"/>
    <m/>
    <m/>
    <s v=""/>
    <m/>
    <s v=""/>
    <m/>
    <s v=""/>
    <n v="1"/>
    <x v="1"/>
    <n v="1"/>
    <n v="0"/>
    <n v="0"/>
    <n v="5"/>
    <n v="5.035005274767431"/>
  </r>
  <r>
    <x v="34"/>
    <x v="4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34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35"/>
    <x v="0"/>
    <n v="4"/>
    <s v="24AG ( 24AV-24AM)"/>
    <s v="Waterschap Scheldestromen"/>
    <s v="Zuid-Beveland West, Westerschelde Hansweert"/>
    <n v="5150"/>
    <m/>
    <m/>
    <n v="0"/>
    <n v="0"/>
    <n v="2017"/>
    <n v="2019"/>
    <n v="2019"/>
    <n v="2021"/>
    <n v="2021"/>
    <n v="2026"/>
    <n v="2"/>
    <n v="2"/>
    <n v="5"/>
    <n v="9"/>
    <n v="0"/>
    <m/>
    <n v="3"/>
    <n v="3.6"/>
    <n v="7.2"/>
    <n v="84"/>
    <n v="94.8"/>
    <n v="0"/>
    <m/>
    <n v="-9.4"/>
    <m/>
    <n v="3199.9992320992751"/>
    <m/>
    <n v="16.582524271844658"/>
    <n v="1"/>
    <x v="1"/>
    <n v="0"/>
    <n v="1"/>
    <n v="0"/>
    <n v="1"/>
    <n v="18.407766990291261"/>
  </r>
  <r>
    <x v="35"/>
    <x v="1"/>
    <n v="4"/>
    <s v="24AG ( 24AV-24AM)"/>
    <s v="Waterschap Scheldestromen"/>
    <s v="Zuid-Beveland West, Westerschelde Hansweert"/>
    <n v="5150"/>
    <m/>
    <s v="30-2"/>
    <n v="0"/>
    <n v="0"/>
    <n v="2017"/>
    <n v="2019"/>
    <n v="2019"/>
    <n v="2021"/>
    <n v="2021"/>
    <n v="2026"/>
    <n v="2"/>
    <n v="2"/>
    <n v="5"/>
    <n v="9"/>
    <n v="1"/>
    <n v="3"/>
    <m/>
    <n v="3.6"/>
    <n v="7.2"/>
    <n v="84"/>
    <n v="94.8"/>
    <n v="28"/>
    <n v="85.399999999999991"/>
    <s v=""/>
    <n v="3199.9992320992751"/>
    <s v=""/>
    <n v="13.587256068072712"/>
    <s v=""/>
    <n v="1"/>
    <x v="1"/>
    <n v="0"/>
    <n v="1"/>
    <n v="0"/>
    <n v="1"/>
    <n v="18.407766990291261"/>
  </r>
  <r>
    <x v="35"/>
    <x v="2"/>
    <n v="6"/>
    <s v="24AV "/>
    <s v="Waterschap Scheldestromen"/>
    <s v="Zuid-Beveland West, Hansweert S1"/>
    <n v="4507"/>
    <m/>
    <s v="30-2"/>
    <m/>
    <n v="0"/>
    <n v="2017"/>
    <n v="2018"/>
    <n v="2019"/>
    <n v="2023"/>
    <n v="2023"/>
    <n v="2026"/>
    <n v="1"/>
    <n v="4"/>
    <n v="3"/>
    <n v="8"/>
    <n v="3"/>
    <m/>
    <m/>
    <n v="3.6"/>
    <n v="6.2"/>
    <n v="57"/>
    <n v="66.8"/>
    <n v="52.599999999999994"/>
    <m/>
    <s v=""/>
    <m/>
    <s v=""/>
    <m/>
    <s v=""/>
    <n v="1"/>
    <x v="1"/>
    <n v="0"/>
    <n v="1"/>
    <n v="0"/>
    <n v="3"/>
    <n v="14.821388950521412"/>
  </r>
  <r>
    <x v="35"/>
    <x v="3"/>
    <n v="5"/>
    <s v="24AG, 24AL, 24AM"/>
    <s v="Waterschap Scheldestromen"/>
    <s v="Zuid-Beveland West, Hansweert S1"/>
    <n v="5150"/>
    <m/>
    <s v="30-2, 30-3"/>
    <n v="0"/>
    <n v="0"/>
    <m/>
    <m/>
    <n v="2018"/>
    <n v="2021"/>
    <n v="2021"/>
    <n v="2023"/>
    <n v="0"/>
    <n v="3"/>
    <n v="2"/>
    <n v="5"/>
    <n v="-1"/>
    <m/>
    <m/>
    <n v="1.5"/>
    <n v="1.1000000000000001"/>
    <n v="11.6"/>
    <n v="14.2"/>
    <n v="4.7999999999999989"/>
    <m/>
    <s v=""/>
    <m/>
    <s v=""/>
    <m/>
    <s v=""/>
    <n v="1"/>
    <x v="1"/>
    <n v="0"/>
    <n v="1"/>
    <n v="0"/>
    <n v="1"/>
    <n v="2.7572815533980579"/>
  </r>
  <r>
    <x v="35"/>
    <x v="4"/>
    <n v="8"/>
    <s v="24AG"/>
    <s v="Waterschap Scheldestromen"/>
    <s v="Zuid-Beveland West, Westerschelde"/>
    <n v="1950.0007679007249"/>
    <m/>
    <s v="30-3"/>
    <n v="0"/>
    <n v="0"/>
    <n v="2017"/>
    <n v="2019"/>
    <n v="2019"/>
    <n v="2021"/>
    <n v="2021"/>
    <n v="2023"/>
    <n v="2"/>
    <n v="2"/>
    <n v="2"/>
    <n v="6"/>
    <m/>
    <m/>
    <m/>
    <n v="0.5"/>
    <n v="0.9"/>
    <n v="8"/>
    <n v="9.4"/>
    <n v="9.4"/>
    <m/>
    <s v=""/>
    <m/>
    <s v=""/>
    <m/>
    <s v=""/>
    <n v="1"/>
    <x v="1"/>
    <n v="0"/>
    <n v="1"/>
    <n v="0"/>
    <n v="1"/>
    <n v="4.8205109222185483"/>
  </r>
  <r>
    <x v="35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x v="1"/>
    <n v="0"/>
    <n v="0"/>
    <n v="0"/>
    <m/>
    <m/>
  </r>
  <r>
    <x v="36"/>
    <x v="0"/>
    <n v="65"/>
    <s v="34Q"/>
    <s v="Waterschap Drents-Overijsselse Delta"/>
    <s v="Mastenbroek Zwarte Water"/>
    <n v="11700"/>
    <m/>
    <s v="10-1"/>
    <n v="0"/>
    <n v="0"/>
    <n v="2028"/>
    <n v="2030"/>
    <n v="2030"/>
    <n v="2032"/>
    <n v="2032"/>
    <n v="2035"/>
    <n v="2"/>
    <n v="2"/>
    <n v="3"/>
    <n v="7"/>
    <n v="0"/>
    <m/>
    <n v="1"/>
    <n v="2.2000000000000002"/>
    <n v="6.2"/>
    <n v="52.2"/>
    <n v="60.6"/>
    <n v="0"/>
    <m/>
    <n v="0"/>
    <m/>
    <n v="6300.4147746233803"/>
    <m/>
    <n v="3.4571326630157175"/>
    <n v="0"/>
    <x v="0"/>
    <n v="0"/>
    <n v="0"/>
    <n v="0"/>
    <n v="12"/>
    <n v="5.1794871794871797"/>
  </r>
  <r>
    <x v="36"/>
    <x v="1"/>
    <n v="65"/>
    <s v="34Q"/>
    <s v="Waterschap Drents-Overijsselse Delta"/>
    <s v="Mastenbroek Zwarte Water"/>
    <n v="11700"/>
    <m/>
    <s v="10-1"/>
    <n v="0"/>
    <n v="0"/>
    <n v="2028"/>
    <n v="2030"/>
    <n v="2030"/>
    <n v="2032"/>
    <n v="2032"/>
    <n v="2035"/>
    <n v="2"/>
    <n v="2"/>
    <n v="3"/>
    <n v="7"/>
    <n v="1"/>
    <n v="1"/>
    <m/>
    <n v="2.2000000000000002"/>
    <n v="6.2"/>
    <n v="52.2"/>
    <n v="60.6"/>
    <n v="57.5"/>
    <n v="51.3"/>
    <s v=""/>
    <n v="6300.4147746233803"/>
    <s v=""/>
    <n v="3.4571326630157175"/>
    <s v=""/>
    <n v="0"/>
    <x v="0"/>
    <n v="0"/>
    <n v="0"/>
    <n v="0"/>
    <n v="12"/>
    <n v="5.1794871794871797"/>
  </r>
  <r>
    <x v="36"/>
    <x v="2"/>
    <n v="113"/>
    <s v="34Q"/>
    <s v="Waterschap Drents-Overijsselse Delta"/>
    <s v="Mastenbroek Zwarte Water"/>
    <n v="5399.5852253766197"/>
    <n v="11"/>
    <s v="10-1"/>
    <n v="0"/>
    <n v="0"/>
    <n v="2028"/>
    <n v="2030"/>
    <n v="2030"/>
    <n v="2032"/>
    <n v="2032"/>
    <n v="2034"/>
    <n v="2"/>
    <n v="2"/>
    <n v="2"/>
    <n v="6"/>
    <n v="-2"/>
    <m/>
    <m/>
    <n v="0.9"/>
    <n v="2.2000000000000002"/>
    <n v="0"/>
    <n v="3.1"/>
    <n v="-40"/>
    <m/>
    <s v=""/>
    <m/>
    <s v=""/>
    <m/>
    <s v=""/>
    <n v="0"/>
    <x v="0"/>
    <n v="0"/>
    <n v="0"/>
    <n v="0"/>
    <n v="12"/>
    <n v="0.57411817215715411"/>
  </r>
  <r>
    <x v="36"/>
    <x v="3"/>
    <n v="112"/>
    <s v="34Q"/>
    <s v="Waterschap Drents-Overijsselse Delta"/>
    <s v="Mastenbroek Zwarte Water"/>
    <n v="5399.5852253766197"/>
    <m/>
    <s v="10-1"/>
    <n v="0"/>
    <n v="0"/>
    <n v="2028"/>
    <n v="2030"/>
    <n v="2030"/>
    <n v="2034"/>
    <n v="2034"/>
    <n v="2036"/>
    <n v="2"/>
    <n v="4"/>
    <n v="2"/>
    <n v="8"/>
    <n v="2"/>
    <m/>
    <m/>
    <n v="0.9"/>
    <n v="6.5"/>
    <n v="35.700000000000003"/>
    <n v="43.1"/>
    <n v="33.799999999999997"/>
    <m/>
    <s v=""/>
    <m/>
    <s v=""/>
    <m/>
    <s v=""/>
    <n v="0"/>
    <x v="0"/>
    <n v="0"/>
    <n v="0"/>
    <n v="0"/>
    <n v="14"/>
    <n v="7.9820945870881754"/>
  </r>
  <r>
    <x v="36"/>
    <x v="4"/>
    <n v="98"/>
    <s v="15L"/>
    <s v="Waterschap Drents-Overijsselse Delta"/>
    <s v="Mastenbroek Zwarte Water"/>
    <n v="5399.5852253766197"/>
    <m/>
    <m/>
    <n v="0"/>
    <n v="0"/>
    <n v="2026"/>
    <n v="2028"/>
    <n v="2028"/>
    <n v="2030"/>
    <n v="2030"/>
    <n v="2032"/>
    <n v="2"/>
    <n v="2"/>
    <n v="2"/>
    <n v="6"/>
    <m/>
    <m/>
    <m/>
    <n v="0.9"/>
    <n v="2.2000000000000002"/>
    <n v="6.2"/>
    <n v="9.3000000000000007"/>
    <m/>
    <m/>
    <s v=""/>
    <m/>
    <s v=""/>
    <m/>
    <s v=""/>
    <n v="0"/>
    <x v="0"/>
    <n v="0"/>
    <n v="0"/>
    <n v="0"/>
    <n v="10"/>
    <n v="1.7223545164714624"/>
  </r>
  <r>
    <x v="36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x v="0"/>
    <n v="0"/>
    <n v="0"/>
    <n v="0"/>
    <m/>
    <m/>
  </r>
  <r>
    <x v="37"/>
    <x v="0"/>
    <n v="13"/>
    <s v="24AO"/>
    <s v="Waterschap Scheldestromen"/>
    <s v="Zuid-Beveland West, Westerschelde S3"/>
    <n v="1000"/>
    <m/>
    <s v="30-3"/>
    <n v="0"/>
    <n v="0"/>
    <n v="2021"/>
    <n v="2022"/>
    <n v="2022"/>
    <n v="2023"/>
    <n v="2023"/>
    <n v="2024"/>
    <n v="1"/>
    <n v="1"/>
    <n v="1"/>
    <n v="3"/>
    <n v="0"/>
    <m/>
    <n v="0"/>
    <n v="0.08"/>
    <n v="0.08"/>
    <n v="0.84"/>
    <n v="1"/>
    <n v="0"/>
    <m/>
    <n v="0"/>
    <m/>
    <n v="0"/>
    <m/>
    <n v="0"/>
    <n v="0"/>
    <x v="0"/>
    <n v="0"/>
    <n v="0"/>
    <n v="0"/>
    <n v="3"/>
    <n v="1"/>
  </r>
  <r>
    <x v="37"/>
    <x v="1"/>
    <n v="13"/>
    <s v="24AO"/>
    <s v="Waterschap Scheldestromen"/>
    <s v="Zuid-Beveland West, Westerschelde S3"/>
    <n v="1000"/>
    <m/>
    <s v="30-3"/>
    <n v="0"/>
    <n v="0"/>
    <n v="2021"/>
    <n v="2022"/>
    <n v="2022"/>
    <n v="2023"/>
    <n v="2023"/>
    <n v="2024"/>
    <n v="1"/>
    <n v="1"/>
    <n v="1"/>
    <n v="3"/>
    <n v="-1"/>
    <n v="0"/>
    <m/>
    <n v="0.08"/>
    <n v="0.08"/>
    <n v="0.84"/>
    <n v="1"/>
    <n v="-0.10000000000000009"/>
    <n v="0"/>
    <s v=""/>
    <n v="0"/>
    <s v=""/>
    <n v="0"/>
    <s v=""/>
    <n v="0"/>
    <x v="0"/>
    <n v="0"/>
    <n v="0"/>
    <n v="0"/>
    <n v="3"/>
    <n v="1"/>
  </r>
  <r>
    <x v="37"/>
    <x v="2"/>
    <n v="35"/>
    <s v="24AO"/>
    <s v="Waterschap Scheldestromen"/>
    <s v="Zuid-Beveland West, Westerschelde S3"/>
    <n v="1000"/>
    <m/>
    <s v="30-3"/>
    <n v="0"/>
    <n v="0"/>
    <n v="2020"/>
    <n v="2021"/>
    <n v="2021"/>
    <n v="2023"/>
    <n v="2023"/>
    <n v="2024"/>
    <n v="1"/>
    <n v="2"/>
    <n v="1"/>
    <n v="4"/>
    <n v="2"/>
    <m/>
    <m/>
    <n v="0.1"/>
    <n v="0.1"/>
    <n v="0.9"/>
    <n v="1.1000000000000001"/>
    <n v="-0.79999999999999982"/>
    <m/>
    <s v=""/>
    <m/>
    <s v=""/>
    <m/>
    <s v=""/>
    <n v="0"/>
    <x v="0"/>
    <n v="1"/>
    <n v="0"/>
    <n v="0"/>
    <n v="3"/>
    <n v="1.1000000000000001"/>
  </r>
  <r>
    <x v="37"/>
    <x v="3"/>
    <n v="31"/>
    <s v="24AO"/>
    <s v="Waterschap Scheldestromen"/>
    <s v="Zuid-Beveland West, Westerschelde S3"/>
    <n v="1000"/>
    <m/>
    <s v="30-3"/>
    <n v="0"/>
    <n v="0"/>
    <m/>
    <m/>
    <n v="2018"/>
    <n v="2019"/>
    <n v="2019"/>
    <n v="2020"/>
    <n v="0"/>
    <n v="1"/>
    <n v="1"/>
    <n v="2"/>
    <n v="-1"/>
    <m/>
    <m/>
    <m/>
    <n v="0.9"/>
    <n v="1"/>
    <n v="1.9"/>
    <n v="0.89999999999999991"/>
    <m/>
    <s v=""/>
    <m/>
    <s v=""/>
    <m/>
    <s v=""/>
    <n v="0"/>
    <x v="0"/>
    <n v="0"/>
    <n v="0"/>
    <n v="0"/>
    <n v="-1"/>
    <n v="1.9"/>
  </r>
  <r>
    <x v="37"/>
    <x v="4"/>
    <n v="40"/>
    <s v="24VLBO30-3 24AI"/>
    <s v="Waterschap Scheldestromen"/>
    <s v="Zuid-Beveland West, Westerschelde S3"/>
    <n v="1000"/>
    <m/>
    <s v="30-3"/>
    <n v="0"/>
    <n v="0"/>
    <m/>
    <m/>
    <n v="2018"/>
    <n v="2019"/>
    <n v="2019"/>
    <n v="2021"/>
    <n v="0"/>
    <n v="1"/>
    <n v="2"/>
    <n v="3"/>
    <m/>
    <m/>
    <m/>
    <m/>
    <n v="0.1"/>
    <n v="0.9"/>
    <n v="1"/>
    <m/>
    <m/>
    <s v=""/>
    <m/>
    <s v=""/>
    <m/>
    <s v=""/>
    <n v="0"/>
    <x v="0"/>
    <n v="0"/>
    <n v="0"/>
    <n v="1"/>
    <n v="-1"/>
    <n v="1"/>
  </r>
  <r>
    <x v="37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x v="0"/>
    <n v="0"/>
    <n v="0"/>
    <n v="0"/>
    <m/>
    <m/>
  </r>
  <r>
    <x v="38"/>
    <x v="0"/>
    <n v="41"/>
    <s v="34AK"/>
    <s v="Waterschap Drents-Overijsselse Delta"/>
    <s v="Vecht  - Stenendijk Hasselt"/>
    <n v="1284"/>
    <m/>
    <m/>
    <n v="0"/>
    <n v="0"/>
    <n v="2019"/>
    <n v="2020"/>
    <n v="2020"/>
    <n v="2022"/>
    <n v="2022"/>
    <n v="2025"/>
    <n v="1"/>
    <n v="2"/>
    <n v="3"/>
    <n v="6"/>
    <n v="2"/>
    <m/>
    <m/>
    <n v="2.2222222222222223"/>
    <n v="3.0555555555555554"/>
    <n v="6.7777777777777768"/>
    <n v="12.055555555555554"/>
    <n v="5.6555555555555532"/>
    <m/>
    <s v=""/>
    <m/>
    <s v=""/>
    <n v="5.6126269138381941"/>
    <s v=""/>
    <n v="0"/>
    <x v="0"/>
    <n v="0"/>
    <n v="1"/>
    <n v="0"/>
    <n v="2"/>
    <n v="9.3890619591554145"/>
  </r>
  <r>
    <x v="38"/>
    <x v="1"/>
    <n v="41"/>
    <s v="34AK"/>
    <s v="Waterschap Drents-Overijsselse Delta"/>
    <s v="Vecht  - Stenendijk Hasselt"/>
    <n v="1284"/>
    <m/>
    <s v="9-1"/>
    <n v="0"/>
    <n v="0"/>
    <n v="2019"/>
    <n v="2020"/>
    <n v="2020"/>
    <n v="2022"/>
    <n v="2022"/>
    <n v="2023"/>
    <n v="1"/>
    <n v="2"/>
    <n v="1"/>
    <n v="4"/>
    <n v="0"/>
    <m/>
    <m/>
    <n v="2.2999999999999998"/>
    <n v="0.5"/>
    <n v="3.6"/>
    <n v="6.4"/>
    <n v="1.3000000000000007"/>
    <m/>
    <s v=""/>
    <n v="1284"/>
    <s v=""/>
    <m/>
    <s v=""/>
    <n v="0"/>
    <x v="0"/>
    <n v="0"/>
    <n v="1"/>
    <n v="0"/>
    <n v="2"/>
    <n v="4.9844236760124616"/>
  </r>
  <r>
    <x v="38"/>
    <x v="2"/>
    <n v="84"/>
    <s v="34AK"/>
    <s v="Waterschap Drents-Overijsselse Delta"/>
    <s v="Vecht- Stenendijk Hasselt"/>
    <n v="1217"/>
    <m/>
    <s v="9-1"/>
    <n v="0"/>
    <n v="0"/>
    <n v="2019"/>
    <n v="2020"/>
    <n v="2020"/>
    <n v="2021"/>
    <n v="2021"/>
    <n v="2023"/>
    <n v="1"/>
    <n v="1"/>
    <n v="2"/>
    <n v="4"/>
    <n v="1"/>
    <m/>
    <m/>
    <n v="2.2999999999999998"/>
    <n v="0.5"/>
    <n v="2.2999999999999998"/>
    <n v="5.0999999999999996"/>
    <n v="9.9999999999999645E-2"/>
    <m/>
    <s v=""/>
    <m/>
    <s v=""/>
    <m/>
    <s v=""/>
    <n v="0"/>
    <x v="0"/>
    <n v="0"/>
    <n v="1"/>
    <n v="0"/>
    <n v="1"/>
    <n v="4.190632703368939"/>
  </r>
  <r>
    <x v="38"/>
    <x v="3"/>
    <n v="57"/>
    <s v="34AK"/>
    <s v="Waterschap Drents-Overijsselse Delta"/>
    <s v="Vecht Stenendijk Hasselt"/>
    <n v="1324"/>
    <m/>
    <s v="53-3 + 9-1"/>
    <n v="0"/>
    <n v="0"/>
    <n v="2019"/>
    <n v="2020"/>
    <n v="2020"/>
    <n v="2021"/>
    <n v="2021"/>
    <n v="2022"/>
    <n v="1"/>
    <n v="1"/>
    <n v="1"/>
    <n v="3"/>
    <n v="3"/>
    <m/>
    <m/>
    <n v="0.3"/>
    <n v="0.5"/>
    <n v="4.2"/>
    <n v="5"/>
    <m/>
    <m/>
    <s v=""/>
    <m/>
    <s v=""/>
    <m/>
    <s v=""/>
    <n v="0"/>
    <x v="0"/>
    <n v="0"/>
    <n v="1"/>
    <n v="0"/>
    <n v="1"/>
    <n v="3.77643504531722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n v="1"/>
    <s v="22AR+AK"/>
    <s v="Waterschap Rivierenland"/>
    <x v="0"/>
    <n v="11755"/>
    <m/>
    <m/>
    <n v="0"/>
    <n v="0"/>
    <n v="2017"/>
    <n v="2022"/>
    <n v="2022"/>
    <n v="2024"/>
    <n v="2024"/>
    <n v="2029"/>
    <n v="5"/>
    <n v="2"/>
    <n v="5"/>
    <n v="12"/>
    <n v="5"/>
    <m/>
    <n v="7"/>
    <n v="3.7777777777777777"/>
    <n v="8"/>
    <n v="20.111111111111111"/>
    <x v="0"/>
    <n v="1.8888888888888893"/>
    <m/>
    <n v="-8.1111111111111107"/>
    <m/>
    <n v="-26606"/>
    <m/>
    <n v="1.930749346578714"/>
    <m/>
    <x v="0"/>
    <n v="1"/>
    <n v="0"/>
    <n v="0"/>
    <n v="4"/>
    <n v="2.7127936102840398"/>
    <x v="0"/>
  </r>
  <r>
    <x v="0"/>
    <x v="1"/>
    <n v="1"/>
    <s v="22AR+AK"/>
    <s v="Waterschap Rivierenland"/>
    <x v="0"/>
    <n v="39600"/>
    <m/>
    <s v="16-3, 16-4"/>
    <n v="1"/>
    <n v="0"/>
    <n v="2017"/>
    <n v="2021"/>
    <n v="2021"/>
    <n v="2022"/>
    <n v="2022"/>
    <n v="2024"/>
    <n v="4"/>
    <n v="1"/>
    <n v="2"/>
    <n v="7"/>
    <n v="0"/>
    <n v="2"/>
    <m/>
    <n v="6.8344444444444452"/>
    <n v="3"/>
    <n v="20.165555555555553"/>
    <x v="1"/>
    <n v="0"/>
    <n v="0"/>
    <s v=""/>
    <n v="1239"/>
    <s v=""/>
    <n v="-2.446850612956819E-2"/>
    <s v=""/>
    <n v="0"/>
    <x v="0"/>
    <n v="1"/>
    <n v="0"/>
    <n v="0"/>
    <n v="2"/>
    <n v="0.75757575757575757"/>
    <x v="1"/>
  </r>
  <r>
    <x v="0"/>
    <x v="2"/>
    <n v="1"/>
    <s v="22AR"/>
    <s v="Waterschap Rivierenland"/>
    <x v="1"/>
    <n v="38361"/>
    <n v="2"/>
    <s v="16-4"/>
    <n v="0"/>
    <n v="0"/>
    <n v="2017"/>
    <n v="2018"/>
    <n v="2018"/>
    <n v="2021"/>
    <n v="2021"/>
    <n v="2024"/>
    <n v="1"/>
    <n v="3"/>
    <n v="3"/>
    <n v="7"/>
    <n v="1"/>
    <m/>
    <m/>
    <n v="3.4611111111111112"/>
    <n v="6.3733333333333348"/>
    <n v="20.165555555555557"/>
    <x v="2"/>
    <n v="0.80000000000000426"/>
    <m/>
    <s v=""/>
    <m/>
    <s v=""/>
    <m/>
    <s v=""/>
    <n v="0"/>
    <x v="0"/>
    <n v="0"/>
    <n v="1"/>
    <n v="0"/>
    <n v="1"/>
    <n v="0.78204426370532587"/>
    <x v="2"/>
  </r>
  <r>
    <x v="0"/>
    <x v="3"/>
    <n v="1"/>
    <s v="22AR"/>
    <s v="Waterschap Rivierenland"/>
    <x v="1"/>
    <n v="38361"/>
    <m/>
    <s v="16-4"/>
    <n v="0"/>
    <n v="0"/>
    <n v="2017"/>
    <n v="2019"/>
    <n v="2019"/>
    <n v="2020"/>
    <n v="2020"/>
    <n v="2023"/>
    <n v="2"/>
    <n v="1"/>
    <n v="3"/>
    <n v="6"/>
    <n v="1"/>
    <m/>
    <m/>
    <n v="3"/>
    <n v="6"/>
    <n v="20.2"/>
    <x v="3"/>
    <n v="-0.80000000000000071"/>
    <m/>
    <s v=""/>
    <m/>
    <s v=""/>
    <m/>
    <s v=""/>
    <n v="0"/>
    <x v="0"/>
    <n v="0"/>
    <n v="0"/>
    <n v="1"/>
    <n v="0"/>
    <n v="0.76118975000651712"/>
    <x v="3"/>
  </r>
  <r>
    <x v="0"/>
    <x v="4"/>
    <n v="1"/>
    <s v="22VLBO16-4 22W"/>
    <s v="Waterschap Rivierenland"/>
    <x v="1"/>
    <n v="38361"/>
    <m/>
    <s v="16-4"/>
    <n v="0"/>
    <n v="0"/>
    <n v="2017"/>
    <n v="2019"/>
    <n v="2019"/>
    <n v="2020"/>
    <n v="2020"/>
    <n v="2022"/>
    <n v="2"/>
    <n v="1"/>
    <n v="2"/>
    <n v="5"/>
    <n v="0"/>
    <m/>
    <m/>
    <n v="3"/>
    <n v="3"/>
    <n v="24"/>
    <x v="1"/>
    <n v="10"/>
    <m/>
    <s v=""/>
    <m/>
    <s v=""/>
    <m/>
    <s v=""/>
    <n v="0"/>
    <x v="0"/>
    <n v="0"/>
    <n v="0"/>
    <n v="1"/>
    <n v="0"/>
    <n v="0.78204426370532576"/>
    <x v="3"/>
  </r>
  <r>
    <x v="0"/>
    <x v="5"/>
    <m/>
    <m/>
    <m/>
    <x v="2"/>
    <m/>
    <m/>
    <s v="16-4"/>
    <n v="0"/>
    <n v="0"/>
    <n v="2017"/>
    <n v="2019"/>
    <n v="2019"/>
    <n v="2020"/>
    <n v="2020"/>
    <n v="2022"/>
    <n v="2"/>
    <n v="1"/>
    <n v="2"/>
    <n v="5"/>
    <m/>
    <m/>
    <m/>
    <n v="2"/>
    <n v="2"/>
    <n v="16"/>
    <x v="4"/>
    <m/>
    <m/>
    <s v=""/>
    <m/>
    <s v=""/>
    <m/>
    <s v=""/>
    <n v="0"/>
    <x v="0"/>
    <n v="0"/>
    <n v="0"/>
    <n v="1"/>
    <n v="0"/>
    <m/>
    <x v="3"/>
  </r>
  <r>
    <x v="1"/>
    <x v="0"/>
    <n v="2"/>
    <s v="25P"/>
    <s v="Waterschap Vallei en Veluwe"/>
    <x v="3"/>
    <n v="5400"/>
    <m/>
    <m/>
    <n v="0"/>
    <n v="0"/>
    <n v="2017"/>
    <n v="2021"/>
    <n v="2021"/>
    <n v="2023"/>
    <n v="2023"/>
    <n v="2026"/>
    <n v="4"/>
    <n v="2"/>
    <n v="3"/>
    <n v="9"/>
    <n v="0"/>
    <m/>
    <n v="0"/>
    <n v="6.7777777777777768"/>
    <n v="5.5"/>
    <n v="46.222222222222221"/>
    <x v="5"/>
    <n v="-27.087777777777774"/>
    <m/>
    <n v="-27.030227777777775"/>
    <m/>
    <n v="46.096176043620289"/>
    <m/>
    <n v="3.8477763958606515"/>
    <m/>
    <x v="0"/>
    <n v="1"/>
    <n v="0"/>
    <n v="0"/>
    <n v="3"/>
    <n v="10.833333333333332"/>
    <x v="1"/>
  </r>
  <r>
    <x v="1"/>
    <x v="1"/>
    <n v="2"/>
    <s v="25P"/>
    <s v="Waterschap Vallei en Veluwe"/>
    <x v="3"/>
    <n v="5400"/>
    <m/>
    <s v="45-1"/>
    <n v="0"/>
    <n v="0"/>
    <n v="2017"/>
    <n v="2021"/>
    <n v="2021"/>
    <n v="2024"/>
    <n v="2024"/>
    <n v="2026"/>
    <n v="4"/>
    <n v="3"/>
    <n v="2"/>
    <n v="9"/>
    <n v="0"/>
    <n v="0"/>
    <m/>
    <n v="6.8288888888888888"/>
    <n v="5.4944444444444445"/>
    <n v="73.264444444444436"/>
    <x v="6"/>
    <n v="0.65888888888888175"/>
    <n v="48.187777777777775"/>
    <s v=""/>
    <n v="46.096176043620289"/>
    <s v=""/>
    <n v="8.8640315398935741"/>
    <s v=""/>
    <n v="1"/>
    <x v="0"/>
    <n v="1"/>
    <n v="0"/>
    <n v="0"/>
    <n v="4"/>
    <n v="15.849588477366254"/>
    <x v="1"/>
  </r>
  <r>
    <x v="1"/>
    <x v="2"/>
    <n v="4"/>
    <s v="25Q"/>
    <s v="Waterschap Vallei en Veluwe"/>
    <x v="3"/>
    <n v="5353.9038239563797"/>
    <n v="6"/>
    <s v="45-1"/>
    <n v="0"/>
    <n v="0"/>
    <n v="2017"/>
    <n v="2021"/>
    <n v="2021"/>
    <n v="2024"/>
    <n v="2024"/>
    <n v="2026"/>
    <n v="4"/>
    <n v="3"/>
    <n v="2"/>
    <n v="9"/>
    <n v="0"/>
    <m/>
    <m/>
    <n v="6.8288888888888888"/>
    <n v="4.9000000000000004"/>
    <n v="73.2"/>
    <x v="7"/>
    <n v="5.5348888888889007"/>
    <m/>
    <s v=""/>
    <m/>
    <s v=""/>
    <m/>
    <s v=""/>
    <n v="1"/>
    <x v="0"/>
    <n v="1"/>
    <n v="0"/>
    <n v="0"/>
    <n v="4"/>
    <n v="15.86298366228942"/>
    <x v="1"/>
  </r>
  <r>
    <x v="1"/>
    <x v="3"/>
    <n v="3"/>
    <s v="25Q"/>
    <s v="Waterschap Vallei en Veluwe"/>
    <x v="3"/>
    <n v="5353.9038239563797"/>
    <m/>
    <s v="45-1"/>
    <n v="0"/>
    <n v="0"/>
    <n v="2017"/>
    <n v="2021"/>
    <n v="2021"/>
    <n v="2024"/>
    <n v="2024"/>
    <n v="2026"/>
    <n v="4"/>
    <n v="3"/>
    <n v="2"/>
    <n v="9"/>
    <n v="0"/>
    <m/>
    <m/>
    <n v="0.6"/>
    <n v="5.4939999999999998"/>
    <n v="73.3"/>
    <x v="8"/>
    <n v="41.993999999999993"/>
    <m/>
    <s v=""/>
    <m/>
    <s v=""/>
    <m/>
    <s v=""/>
    <n v="1"/>
    <x v="0"/>
    <n v="1"/>
    <n v="0"/>
    <n v="0"/>
    <n v="4"/>
    <n v="14.829179344751497"/>
    <x v="1"/>
  </r>
  <r>
    <x v="1"/>
    <x v="4"/>
    <n v="3"/>
    <s v="25VLBO45-1 25P"/>
    <s v="Waterschap Vallei en Veluwe"/>
    <x v="3"/>
    <n v="5353.9038239563797"/>
    <m/>
    <s v="45-1"/>
    <n v="0"/>
    <n v="0"/>
    <n v="2017"/>
    <n v="2021"/>
    <n v="2021"/>
    <n v="2023"/>
    <n v="2023"/>
    <n v="2026"/>
    <n v="4"/>
    <n v="2"/>
    <n v="3"/>
    <n v="9"/>
    <n v="0"/>
    <m/>
    <m/>
    <n v="1.9"/>
    <n v="3.7"/>
    <n v="31.8"/>
    <x v="9"/>
    <n v="-5.7549999999999102E-2"/>
    <m/>
    <s v=""/>
    <m/>
    <s v=""/>
    <m/>
    <s v=""/>
    <n v="1"/>
    <x v="0"/>
    <n v="1"/>
    <n v="0"/>
    <n v="0"/>
    <n v="3"/>
    <n v="6.9855569374726807"/>
    <x v="1"/>
  </r>
  <r>
    <x v="1"/>
    <x v="5"/>
    <n v="3"/>
    <m/>
    <s v="Waterschap Vallei en Veluwe"/>
    <x v="3"/>
    <n v="5353.9038239563797"/>
    <m/>
    <s v="45-2"/>
    <n v="0"/>
    <n v="0"/>
    <n v="2017"/>
    <n v="2021"/>
    <n v="2021"/>
    <n v="2023"/>
    <n v="2023"/>
    <n v="2026"/>
    <n v="4"/>
    <n v="2"/>
    <n v="3"/>
    <n v="9"/>
    <m/>
    <m/>
    <m/>
    <n v="1.9"/>
    <n v="3.7429000000000006"/>
    <n v="31.81465"/>
    <x v="10"/>
    <m/>
    <m/>
    <s v=""/>
    <m/>
    <s v=""/>
    <m/>
    <s v=""/>
    <n v="1"/>
    <x v="0"/>
    <n v="1"/>
    <n v="0"/>
    <n v="0"/>
    <n v="3"/>
    <n v="6.9963061032949145"/>
    <x v="1"/>
  </r>
  <r>
    <x v="2"/>
    <x v="0"/>
    <n v="3"/>
    <s v="22D"/>
    <s v="Waterschap Rivierenland"/>
    <x v="4"/>
    <n v="20200"/>
    <m/>
    <m/>
    <n v="0"/>
    <n v="0"/>
    <n v="2016"/>
    <n v="2020"/>
    <n v="2020"/>
    <n v="2023"/>
    <n v="2023"/>
    <n v="2028"/>
    <n v="4"/>
    <n v="3"/>
    <n v="5"/>
    <n v="12"/>
    <n v="1"/>
    <m/>
    <n v="4"/>
    <n v="9"/>
    <n v="13.444444444444443"/>
    <n v="190.11111111111111"/>
    <x v="11"/>
    <n v="83.936666666666667"/>
    <m/>
    <n v="35.59419166666666"/>
    <m/>
    <n v="91.829682285890158"/>
    <m/>
    <n v="4.9720202694414262"/>
    <m/>
    <x v="1"/>
    <n v="0"/>
    <n v="1"/>
    <n v="0"/>
    <n v="3"/>
    <n v="10.522552255225522"/>
    <x v="4"/>
  </r>
  <r>
    <x v="2"/>
    <x v="1"/>
    <n v="3"/>
    <s v="22D"/>
    <s v="Waterschap Rivierenland"/>
    <x v="4"/>
    <n v="20200"/>
    <m/>
    <s v="43-5"/>
    <n v="0"/>
    <n v="0"/>
    <n v="2016"/>
    <n v="2020"/>
    <n v="2020"/>
    <n v="2023"/>
    <n v="2023"/>
    <n v="2027"/>
    <n v="4"/>
    <n v="3"/>
    <n v="4"/>
    <n v="11"/>
    <n v="2"/>
    <n v="3"/>
    <m/>
    <n v="9.0399999999999991"/>
    <n v="7.7166666666666668"/>
    <n v="111.86222222222221"/>
    <x v="12"/>
    <n v="-3.8888888888891415E-2"/>
    <n v="3.6764138888888738"/>
    <s v=""/>
    <n v="91.829682285890158"/>
    <s v=""/>
    <n v="0.15375388711677296"/>
    <s v=""/>
    <n v="1"/>
    <x v="1"/>
    <n v="0"/>
    <n v="1"/>
    <n v="0"/>
    <n v="3"/>
    <n v="6.3672717271727164"/>
    <x v="4"/>
  </r>
  <r>
    <x v="2"/>
    <x v="2"/>
    <n v="5"/>
    <s v="22D"/>
    <s v="Waterschap Rivierenland"/>
    <x v="4"/>
    <n v="22510"/>
    <n v="220"/>
    <s v="43-5"/>
    <n v="0"/>
    <n v="0"/>
    <n v="2016"/>
    <n v="2019"/>
    <n v="2019"/>
    <n v="2022"/>
    <n v="2022"/>
    <n v="2025"/>
    <n v="3"/>
    <n v="3"/>
    <n v="3"/>
    <n v="9"/>
    <n v="1"/>
    <m/>
    <m/>
    <n v="9.0399999999999991"/>
    <n v="7.7177777777777772"/>
    <n v="111.9"/>
    <x v="13"/>
    <n v="3.7515067777777631"/>
    <m/>
    <s v=""/>
    <m/>
    <s v=""/>
    <m/>
    <s v=""/>
    <n v="1"/>
    <x v="1"/>
    <n v="0"/>
    <n v="1"/>
    <n v="0"/>
    <n v="2"/>
    <n v="5.7155831975911928"/>
    <x v="3"/>
  </r>
  <r>
    <x v="2"/>
    <x v="3"/>
    <n v="4"/>
    <s v="22D"/>
    <s v="Waterschap Rivierenland"/>
    <x v="4"/>
    <n v="22510"/>
    <m/>
    <s v="43-5"/>
    <n v="0"/>
    <n v="0"/>
    <n v="2016"/>
    <n v="2019"/>
    <n v="2019"/>
    <n v="2021"/>
    <n v="2021"/>
    <n v="2024"/>
    <n v="3"/>
    <n v="2"/>
    <n v="3"/>
    <n v="8"/>
    <n v="0"/>
    <m/>
    <m/>
    <n v="5.3252709999999999"/>
    <n v="7.718"/>
    <n v="111.863"/>
    <x v="14"/>
    <n v="-3.6203999999997905E-2"/>
    <m/>
    <s v=""/>
    <m/>
    <s v=""/>
    <m/>
    <s v=""/>
    <n v="1"/>
    <x v="1"/>
    <n v="0"/>
    <n v="1"/>
    <n v="0"/>
    <n v="1"/>
    <n v="5.5489236339404711"/>
    <x v="3"/>
  </r>
  <r>
    <x v="2"/>
    <x v="4"/>
    <n v="5"/>
    <s v="22D + 22VLBO43-5 22AB"/>
    <s v="Waterschap Rivierenland"/>
    <x v="4"/>
    <n v="20108.17031771411"/>
    <m/>
    <s v="43-5"/>
    <n v="0"/>
    <n v="0"/>
    <n v="2016"/>
    <n v="2019"/>
    <n v="2019"/>
    <n v="2021"/>
    <n v="2021"/>
    <n v="2024"/>
    <n v="3"/>
    <n v="2"/>
    <n v="3"/>
    <n v="8"/>
    <n v="0"/>
    <m/>
    <m/>
    <n v="5.3252709999999999"/>
    <n v="7.7172040000000006"/>
    <n v="111.9"/>
    <x v="15"/>
    <n v="48.342475000000007"/>
    <m/>
    <s v=""/>
    <m/>
    <s v=""/>
    <m/>
    <s v=""/>
    <n v="1"/>
    <x v="1"/>
    <n v="0"/>
    <n v="1"/>
    <n v="0"/>
    <n v="1"/>
    <n v="6.2135178400559434"/>
    <x v="3"/>
  </r>
  <r>
    <x v="2"/>
    <x v="5"/>
    <n v="6"/>
    <s v="22D"/>
    <s v="Waterschap Rivierenland"/>
    <x v="4"/>
    <m/>
    <m/>
    <m/>
    <n v="0"/>
    <n v="0"/>
    <n v="2016"/>
    <n v="2019"/>
    <n v="2019"/>
    <n v="2021"/>
    <n v="2021"/>
    <n v="2024"/>
    <n v="3"/>
    <n v="2"/>
    <n v="3"/>
    <n v="8"/>
    <m/>
    <m/>
    <m/>
    <n v="3.8"/>
    <n v="7.7"/>
    <n v="65.099999999999994"/>
    <x v="16"/>
    <m/>
    <m/>
    <s v=""/>
    <m/>
    <s v=""/>
    <m/>
    <s v=""/>
    <n v="1"/>
    <x v="1"/>
    <n v="0"/>
    <n v="1"/>
    <n v="0"/>
    <n v="1"/>
    <m/>
    <x v="3"/>
  </r>
  <r>
    <x v="3"/>
    <x v="0"/>
    <n v="5"/>
    <s v="05c"/>
    <s v="HHRS van Rijnland"/>
    <x v="5"/>
    <n v="2246"/>
    <m/>
    <m/>
    <n v="1"/>
    <n v="0"/>
    <n v="2021"/>
    <n v="2023"/>
    <n v="2023"/>
    <n v="2025"/>
    <n v="2025"/>
    <n v="2028"/>
    <n v="2"/>
    <n v="2"/>
    <n v="3"/>
    <n v="7"/>
    <n v="-2"/>
    <m/>
    <n v="0"/>
    <n v="0.66666666666666663"/>
    <n v="0.44444444444444448"/>
    <n v="21.333333333333332"/>
    <x v="17"/>
    <n v="-7.0000000000003837E-2"/>
    <m/>
    <n v="-7.0000000000003837E-2"/>
    <m/>
    <n v="102.30998476669174"/>
    <m/>
    <n v="-1.0626288311432042"/>
    <m/>
    <x v="0"/>
    <n v="0"/>
    <n v="0"/>
    <n v="0"/>
    <n v="5"/>
    <n v="9.9930741070545164"/>
    <x v="5"/>
  </r>
  <r>
    <x v="3"/>
    <x v="1"/>
    <n v="5"/>
    <s v="05c"/>
    <s v="HHRS van Rijnland"/>
    <x v="6"/>
    <n v="2144"/>
    <n v="3"/>
    <s v="14-1"/>
    <n v="0"/>
    <n v="0"/>
    <n v="2020"/>
    <n v="2022"/>
    <n v="2022"/>
    <n v="2024"/>
    <n v="2024"/>
    <n v="2029"/>
    <n v="2"/>
    <n v="2"/>
    <n v="5"/>
    <n v="9"/>
    <n v="-1"/>
    <n v="2"/>
    <m/>
    <n v="2"/>
    <n v="2.37"/>
    <n v="18.144444444444446"/>
    <x v="18"/>
    <n v="-1.2555555555555564"/>
    <n v="-1.1855555555555561"/>
    <s v=""/>
    <n v="0.30998476669174124"/>
    <s v=""/>
    <m/>
    <s v=""/>
    <n v="0"/>
    <x v="0"/>
    <n v="1"/>
    <n v="0"/>
    <n v="0"/>
    <n v="4"/>
    <n v="10.501140132669985"/>
    <x v="0"/>
  </r>
  <r>
    <x v="3"/>
    <x v="2"/>
    <n v="9"/>
    <s v="05c"/>
    <s v="HHRS van Rijnland"/>
    <x v="7"/>
    <n v="2143.6900152333083"/>
    <n v="4"/>
    <s v="14-1"/>
    <n v="0"/>
    <n v="0"/>
    <n v="2016"/>
    <n v="2020"/>
    <n v="2020"/>
    <n v="2022"/>
    <n v="2022"/>
    <n v="2026"/>
    <n v="4"/>
    <n v="2"/>
    <n v="4"/>
    <n v="10"/>
    <n v="3"/>
    <m/>
    <m/>
    <n v="3.5700000000000003"/>
    <n v="1.8"/>
    <n v="18.400000000000002"/>
    <x v="19"/>
    <n v="5.5000000000003268E-2"/>
    <m/>
    <s v=""/>
    <m/>
    <s v=""/>
    <m/>
    <s v=""/>
    <n v="0"/>
    <x v="0"/>
    <n v="0"/>
    <n v="1"/>
    <n v="0"/>
    <n v="2"/>
    <n v="11.088356913120668"/>
    <x v="4"/>
  </r>
  <r>
    <x v="3"/>
    <x v="3"/>
    <n v="7"/>
    <s v="05c"/>
    <s v="HHRS van Rijnland"/>
    <x v="7"/>
    <n v="2143.6900152333083"/>
    <n v="3"/>
    <s v="14-1"/>
    <n v="0"/>
    <n v="0"/>
    <n v="2016"/>
    <n v="2018"/>
    <n v="2018"/>
    <n v="2021"/>
    <n v="2021"/>
    <n v="2023"/>
    <n v="2"/>
    <n v="3"/>
    <n v="2"/>
    <n v="7"/>
    <n v="0"/>
    <m/>
    <m/>
    <n v="1.2"/>
    <n v="2.37"/>
    <n v="20.145"/>
    <x v="20"/>
    <n v="1.4999999999997016E-2"/>
    <m/>
    <s v=""/>
    <m/>
    <s v=""/>
    <m/>
    <s v=""/>
    <n v="0"/>
    <x v="0"/>
    <n v="0"/>
    <n v="1"/>
    <n v="0"/>
    <n v="1"/>
    <n v="11.062700218538351"/>
    <x v="2"/>
  </r>
  <r>
    <x v="3"/>
    <x v="4"/>
    <n v="10"/>
    <s v="05c"/>
    <s v="HHRS van Rijnland"/>
    <x v="7"/>
    <n v="2143.6900152333083"/>
    <n v="3"/>
    <s v="14-1"/>
    <n v="0"/>
    <n v="0"/>
    <n v="2016"/>
    <n v="2019"/>
    <n v="2019"/>
    <n v="2021"/>
    <n v="2021"/>
    <n v="2023"/>
    <n v="3"/>
    <n v="2"/>
    <n v="2"/>
    <n v="7"/>
    <n v="0"/>
    <m/>
    <m/>
    <n v="1.2"/>
    <n v="2.4"/>
    <n v="20.100000000000001"/>
    <x v="21"/>
    <n v="0"/>
    <m/>
    <s v=""/>
    <m/>
    <s v=""/>
    <m/>
    <s v=""/>
    <n v="0"/>
    <x v="0"/>
    <n v="0"/>
    <n v="1"/>
    <n v="0"/>
    <n v="1"/>
    <n v="11.055702938197721"/>
    <x v="3"/>
  </r>
  <r>
    <x v="3"/>
    <x v="5"/>
    <n v="9"/>
    <s v="05c"/>
    <s v="HHRS van Rijnland"/>
    <x v="7"/>
    <m/>
    <m/>
    <m/>
    <n v="0"/>
    <n v="0"/>
    <n v="2016"/>
    <n v="2019"/>
    <n v="2019"/>
    <n v="2021"/>
    <n v="2021"/>
    <n v="2023"/>
    <n v="3"/>
    <n v="2"/>
    <n v="2"/>
    <n v="7"/>
    <m/>
    <m/>
    <m/>
    <n v="1.2"/>
    <n v="2.4"/>
    <n v="20.100000000000001"/>
    <x v="21"/>
    <m/>
    <m/>
    <s v=""/>
    <m/>
    <s v=""/>
    <m/>
    <s v=""/>
    <n v="0"/>
    <x v="0"/>
    <n v="0"/>
    <n v="1"/>
    <n v="0"/>
    <n v="1"/>
    <m/>
    <x v="3"/>
  </r>
  <r>
    <x v="4"/>
    <x v="0"/>
    <n v="6"/>
    <s v="22AW+BW"/>
    <s v="Waterschap Rivierenland"/>
    <x v="8"/>
    <n v="38459"/>
    <m/>
    <m/>
    <n v="0"/>
    <n v="0"/>
    <n v="2019"/>
    <n v="2021"/>
    <n v="2021"/>
    <n v="2025"/>
    <n v="2025"/>
    <n v="2036"/>
    <n v="2"/>
    <n v="4"/>
    <n v="11"/>
    <n v="17"/>
    <n v="5"/>
    <m/>
    <n v="8"/>
    <n v="13.555555555555554"/>
    <n v="27"/>
    <n v="176.66666666666666"/>
    <x v="22"/>
    <n v="3.9077777777777669"/>
    <m/>
    <n v="-6.582222222222228"/>
    <m/>
    <n v="25059.240667356971"/>
    <m/>
    <n v="-0.55407166650776851"/>
    <m/>
    <x v="1"/>
    <n v="1"/>
    <n v="0"/>
    <n v="0"/>
    <n v="5"/>
    <n v="5.6481505557144542"/>
    <x v="1"/>
  </r>
  <r>
    <x v="4"/>
    <x v="1"/>
    <n v="6"/>
    <s v="22AW+BW"/>
    <s v="Waterschap Rivierenland"/>
    <x v="8"/>
    <n v="38459"/>
    <m/>
    <s v="43-3 43-4"/>
    <n v="1"/>
    <n v="0"/>
    <n v="2018"/>
    <n v="2023"/>
    <n v="2023"/>
    <n v="2025"/>
    <n v="2025"/>
    <n v="2030"/>
    <n v="5"/>
    <n v="2"/>
    <n v="5"/>
    <n v="12"/>
    <n v="-2"/>
    <n v="3"/>
    <m/>
    <n v="9.3699999999999992"/>
    <n v="21.555555555555554"/>
    <n v="182.38888888888891"/>
    <x v="23"/>
    <n v="109.52555555555558"/>
    <n v="129.58444444444444"/>
    <s v=""/>
    <n v="25059.240667356971"/>
    <s v=""/>
    <n v="-0.70207806215863755"/>
    <s v=""/>
    <n v="1"/>
    <x v="1"/>
    <n v="1"/>
    <n v="0"/>
    <n v="0"/>
    <n v="5"/>
    <n v="5.5465416273029575"/>
    <x v="5"/>
  </r>
  <r>
    <x v="4"/>
    <x v="2"/>
    <n v="14"/>
    <s v="22AW"/>
    <s v="Waterschap Rivierenland"/>
    <x v="9"/>
    <n v="13500"/>
    <n v="9"/>
    <s v="43-4"/>
    <n v="0"/>
    <n v="0"/>
    <n v="2018"/>
    <n v="2023"/>
    <n v="2023"/>
    <n v="2026"/>
    <n v="2026"/>
    <n v="2032"/>
    <n v="5"/>
    <n v="3"/>
    <n v="6"/>
    <n v="14"/>
    <n v="5"/>
    <m/>
    <m/>
    <n v="8.3888888888888893"/>
    <n v="16.2"/>
    <n v="79.199999999999989"/>
    <x v="24"/>
    <n v="18.038888888888877"/>
    <m/>
    <s v=""/>
    <m/>
    <s v=""/>
    <m/>
    <s v=""/>
    <n v="1"/>
    <x v="1"/>
    <n v="1"/>
    <n v="0"/>
    <n v="0"/>
    <n v="6"/>
    <n v="7.6880658436213984"/>
    <x v="5"/>
  </r>
  <r>
    <x v="4"/>
    <x v="3"/>
    <n v="13"/>
    <s v="22AW"/>
    <s v="Waterschap Rivierenland"/>
    <x v="10"/>
    <n v="13500"/>
    <m/>
    <s v="43-4"/>
    <n v="0"/>
    <n v="0"/>
    <n v="2018"/>
    <n v="2022"/>
    <n v="2022"/>
    <n v="2024"/>
    <n v="2024"/>
    <n v="2027"/>
    <n v="4"/>
    <n v="2"/>
    <n v="3"/>
    <n v="9"/>
    <n v="0"/>
    <m/>
    <m/>
    <n v="6.94"/>
    <n v="8.6"/>
    <n v="70.209999999999994"/>
    <x v="25"/>
    <n v="2.019999999999996"/>
    <m/>
    <s v=""/>
    <m/>
    <s v=""/>
    <m/>
    <s v=""/>
    <n v="1"/>
    <x v="1"/>
    <n v="1"/>
    <n v="0"/>
    <n v="0"/>
    <n v="4"/>
    <n v="6.3518518518518521"/>
    <x v="0"/>
  </r>
  <r>
    <x v="4"/>
    <x v="4"/>
    <n v="17"/>
    <s v="22AG + 22VLB043-4 22AG"/>
    <s v="Waterschap Rivierenland"/>
    <x v="10"/>
    <n v="13399.759332643031"/>
    <m/>
    <s v="43-4"/>
    <n v="0"/>
    <n v="0"/>
    <n v="2018"/>
    <n v="2022"/>
    <n v="2022"/>
    <n v="2024"/>
    <n v="2024"/>
    <n v="2027"/>
    <n v="4"/>
    <n v="2"/>
    <n v="3"/>
    <n v="9"/>
    <n v="0"/>
    <m/>
    <m/>
    <n v="4.1400000000000006"/>
    <n v="8.48"/>
    <n v="71.11"/>
    <x v="26"/>
    <n v="10.489999999999995"/>
    <m/>
    <s v=""/>
    <m/>
    <s v=""/>
    <m/>
    <s v=""/>
    <n v="1"/>
    <x v="1"/>
    <n v="1"/>
    <n v="0"/>
    <n v="0"/>
    <n v="4"/>
    <n v="6.2486196894615951"/>
    <x v="0"/>
  </r>
  <r>
    <x v="4"/>
    <x v="5"/>
    <n v="15"/>
    <s v="Algemeen filter (4)"/>
    <s v="Waterschap Rivierenland"/>
    <x v="11"/>
    <m/>
    <m/>
    <s v="43-4"/>
    <n v="0"/>
    <n v="0"/>
    <n v="2018"/>
    <n v="2022"/>
    <n v="2022"/>
    <n v="2024"/>
    <n v="2024"/>
    <n v="2027"/>
    <n v="4"/>
    <n v="2"/>
    <n v="3"/>
    <n v="9"/>
    <m/>
    <m/>
    <m/>
    <n v="3.6399999999999997"/>
    <n v="7.4"/>
    <n v="62.2"/>
    <x v="27"/>
    <m/>
    <m/>
    <s v=""/>
    <m/>
    <s v=""/>
    <m/>
    <s v=""/>
    <n v="1"/>
    <x v="1"/>
    <n v="1"/>
    <n v="0"/>
    <n v="0"/>
    <n v="4"/>
    <m/>
    <x v="0"/>
  </r>
  <r>
    <x v="5"/>
    <x v="0"/>
    <n v="7"/>
    <s v="22K"/>
    <s v="Waterschap Rivierenland"/>
    <x v="12"/>
    <n v="2585"/>
    <m/>
    <s v="43-6"/>
    <n v="0"/>
    <n v="0"/>
    <n v="2018"/>
    <n v="2020"/>
    <n v="2020"/>
    <n v="2022"/>
    <n v="2022"/>
    <n v="2025"/>
    <n v="2"/>
    <n v="2"/>
    <n v="3"/>
    <n v="7"/>
    <n v="0"/>
    <m/>
    <n v="0"/>
    <n v="4.09"/>
    <n v="6.333333333333333"/>
    <n v="30.2"/>
    <x v="28"/>
    <n v="15.867777777777782"/>
    <m/>
    <n v="17.367777777777778"/>
    <m/>
    <n v="-110.94996646869367"/>
    <m/>
    <n v="1.9928003438641735"/>
    <m/>
    <x v="0"/>
    <n v="0"/>
    <n v="1"/>
    <n v="0"/>
    <n v="2"/>
    <n v="15.715022566086397"/>
    <x v="4"/>
  </r>
  <r>
    <x v="5"/>
    <x v="1"/>
    <n v="7"/>
    <s v="22K"/>
    <s v="Waterschap Rivierenland"/>
    <x v="12"/>
    <n v="2585"/>
    <m/>
    <s v="43-6"/>
    <n v="0"/>
    <n v="0"/>
    <n v="2018"/>
    <n v="2020"/>
    <n v="2020"/>
    <n v="2022"/>
    <n v="2022"/>
    <n v="2025"/>
    <n v="2"/>
    <n v="2"/>
    <n v="3"/>
    <n v="7"/>
    <n v="1"/>
    <n v="0"/>
    <m/>
    <n v="4.09"/>
    <n v="5.583333333333333"/>
    <n v="15.082222222222223"/>
    <x v="29"/>
    <n v="-41.912222222222219"/>
    <n v="5.5555555555550029E-2"/>
    <s v=""/>
    <n v="-110.94996646869367"/>
    <s v=""/>
    <n v="0.41472613761414046"/>
    <s v=""/>
    <n v="0"/>
    <x v="0"/>
    <n v="0"/>
    <n v="1"/>
    <n v="0"/>
    <n v="2"/>
    <n v="9.5766172361917032"/>
    <x v="4"/>
  </r>
  <r>
    <x v="5"/>
    <x v="2"/>
    <n v="17"/>
    <s v="22K"/>
    <s v="Waterschap Rivierenland"/>
    <x v="13"/>
    <n v="2585"/>
    <n v="20"/>
    <s v="43-6"/>
    <n v="0"/>
    <n v="0"/>
    <n v="2018"/>
    <n v="2020"/>
    <n v="2020"/>
    <n v="2022"/>
    <n v="2022"/>
    <n v="2024"/>
    <n v="2"/>
    <n v="2"/>
    <n v="2"/>
    <n v="6"/>
    <n v="0"/>
    <m/>
    <m/>
    <n v="4.6377777777777771"/>
    <n v="5.03"/>
    <n v="57"/>
    <x v="30"/>
    <n v="40.867777777777775"/>
    <m/>
    <s v=""/>
    <m/>
    <s v=""/>
    <m/>
    <s v=""/>
    <n v="0"/>
    <x v="0"/>
    <n v="0"/>
    <n v="1"/>
    <n v="0"/>
    <n v="2"/>
    <n v="25.790242854072641"/>
    <x v="4"/>
  </r>
  <r>
    <x v="5"/>
    <x v="3"/>
    <n v="14"/>
    <s v="22K"/>
    <s v="Waterschap Rivierenland"/>
    <x v="13"/>
    <n v="1800"/>
    <m/>
    <s v="43-6"/>
    <n v="0"/>
    <n v="0"/>
    <n v="2018"/>
    <n v="2020"/>
    <n v="2020"/>
    <n v="2022"/>
    <n v="2022"/>
    <n v="2024"/>
    <n v="2"/>
    <n v="2"/>
    <n v="2"/>
    <n v="6"/>
    <n v="-1"/>
    <m/>
    <m/>
    <n v="2.2999999999999998"/>
    <n v="2.4"/>
    <n v="21.1"/>
    <x v="31"/>
    <n v="1.0999999999999979"/>
    <m/>
    <s v=""/>
    <m/>
    <s v=""/>
    <m/>
    <s v=""/>
    <n v="0"/>
    <x v="0"/>
    <n v="0"/>
    <n v="1"/>
    <n v="0"/>
    <n v="2"/>
    <n v="14.333333333333334"/>
    <x v="4"/>
  </r>
  <r>
    <x v="5"/>
    <x v="4"/>
    <n v="23"/>
    <s v="22K"/>
    <s v="Waterschap Rivierenland"/>
    <x v="13"/>
    <n v="2695.9499664686937"/>
    <m/>
    <s v="43-6"/>
    <n v="0"/>
    <n v="0"/>
    <n v="2018"/>
    <n v="2020"/>
    <n v="2020"/>
    <n v="2022"/>
    <n v="2022"/>
    <n v="2025"/>
    <n v="2"/>
    <n v="2"/>
    <n v="3"/>
    <n v="7"/>
    <n v="-1"/>
    <m/>
    <m/>
    <n v="1.2"/>
    <n v="2.4"/>
    <n v="21.1"/>
    <x v="32"/>
    <n v="-1.4999999999999964"/>
    <m/>
    <s v=""/>
    <m/>
    <s v=""/>
    <m/>
    <s v=""/>
    <n v="0"/>
    <x v="0"/>
    <n v="0"/>
    <n v="1"/>
    <n v="0"/>
    <n v="2"/>
    <n v="9.1618910985775628"/>
    <x v="4"/>
  </r>
  <r>
    <x v="5"/>
    <x v="5"/>
    <n v="16"/>
    <s v="22K"/>
    <s v="Waterschap Rivierenland"/>
    <x v="13"/>
    <m/>
    <m/>
    <m/>
    <n v="0"/>
    <n v="0"/>
    <n v="2016"/>
    <n v="2020"/>
    <n v="2020"/>
    <n v="2022"/>
    <n v="2022"/>
    <n v="2024"/>
    <n v="4"/>
    <n v="2"/>
    <n v="2"/>
    <n v="8"/>
    <m/>
    <m/>
    <m/>
    <n v="2.5999999999999996"/>
    <n v="2.4"/>
    <n v="21.2"/>
    <x v="33"/>
    <m/>
    <m/>
    <s v=""/>
    <m/>
    <s v=""/>
    <m/>
    <s v=""/>
    <n v="0"/>
    <x v="0"/>
    <n v="0"/>
    <n v="1"/>
    <n v="0"/>
    <n v="2"/>
    <m/>
    <x v="4"/>
  </r>
  <r>
    <x v="6"/>
    <x v="0"/>
    <n v="8"/>
    <s v="16E"/>
    <s v="Waterschap Hollandse Delta"/>
    <x v="14"/>
    <n v="6050"/>
    <m/>
    <m/>
    <n v="0"/>
    <n v="0"/>
    <m/>
    <m/>
    <n v="2020"/>
    <n v="2022"/>
    <n v="2022"/>
    <n v="2025"/>
    <n v="0"/>
    <n v="2"/>
    <n v="3"/>
    <n v="5"/>
    <n v="3"/>
    <m/>
    <n v="-2"/>
    <n v="4"/>
    <m/>
    <n v="36.55555555555555"/>
    <x v="34"/>
    <n v="0.55555555555555003"/>
    <m/>
    <n v="0.55555555555555003"/>
    <m/>
    <n v="-323.86885018160046"/>
    <m/>
    <n v="-0.96855189720475998"/>
    <m/>
    <x v="0"/>
    <n v="0"/>
    <n v="1"/>
    <n v="0"/>
    <n v="2"/>
    <n v="6.7033976124885211"/>
    <x v="4"/>
  </r>
  <r>
    <x v="6"/>
    <x v="1"/>
    <n v="8"/>
    <s v="16E"/>
    <s v="Waterschap Hollandse Delta"/>
    <x v="14"/>
    <n v="6374"/>
    <m/>
    <s v="25-4, 20-3, 25-2"/>
    <n v="0"/>
    <n v="0"/>
    <m/>
    <m/>
    <m/>
    <m/>
    <n v="2022"/>
    <n v="2024"/>
    <m/>
    <m/>
    <n v="2"/>
    <n v="2"/>
    <n v="-6"/>
    <n v="-5"/>
    <m/>
    <m/>
    <m/>
    <n v="40"/>
    <x v="35"/>
    <n v="-13.033333333333339"/>
    <n v="-8.9000000000000057"/>
    <s v=""/>
    <n v="0.13114981839953543"/>
    <s v=""/>
    <n v="-1.3964553145254115"/>
    <s v=""/>
    <n v="0"/>
    <x v="0"/>
    <n v="0"/>
    <n v="0"/>
    <n v="0"/>
    <n v="2"/>
    <n v="6.2754941951678695"/>
    <x v="6"/>
  </r>
  <r>
    <x v="6"/>
    <x v="2"/>
    <n v="23"/>
    <s v="16E"/>
    <s v="Waterschap Hollandse Delta"/>
    <x v="14"/>
    <n v="6373.8688501816005"/>
    <n v="30"/>
    <s v="25-4, 20-3, 25-2"/>
    <n v="0"/>
    <n v="0"/>
    <n v="2017"/>
    <n v="2020"/>
    <n v="2020"/>
    <n v="2023"/>
    <n v="2023"/>
    <n v="2025"/>
    <n v="3"/>
    <n v="3"/>
    <n v="2"/>
    <n v="8"/>
    <n v="1"/>
    <m/>
    <m/>
    <n v="8.6055555555555561"/>
    <n v="4.8888888888888893"/>
    <n v="39.538888888888891"/>
    <x v="36"/>
    <n v="4.4333333333334224E-2"/>
    <m/>
    <s v=""/>
    <m/>
    <s v=""/>
    <m/>
    <s v=""/>
    <n v="0"/>
    <x v="0"/>
    <n v="0"/>
    <n v="1"/>
    <n v="0"/>
    <n v="3"/>
    <n v="8.3204305861772383"/>
    <x v="4"/>
  </r>
  <r>
    <x v="6"/>
    <x v="3"/>
    <n v="21"/>
    <s v="16E"/>
    <s v="Waterschap Hollandse Delta"/>
    <x v="14"/>
    <n v="6373.8688501816005"/>
    <m/>
    <s v="25-4, 20-3, 25-2"/>
    <n v="0"/>
    <n v="0"/>
    <n v="2017"/>
    <n v="2020"/>
    <n v="2020"/>
    <n v="2022"/>
    <n v="2022"/>
    <n v="2024"/>
    <n v="3"/>
    <n v="2"/>
    <n v="2"/>
    <n v="7"/>
    <n v="0"/>
    <m/>
    <m/>
    <n v="6.5"/>
    <n v="4.8890000000000002"/>
    <n v="41.6"/>
    <x v="37"/>
    <n v="4.0889999999999986"/>
    <m/>
    <s v=""/>
    <m/>
    <s v=""/>
    <m/>
    <s v=""/>
    <n v="0"/>
    <x v="0"/>
    <n v="0"/>
    <n v="1"/>
    <n v="0"/>
    <n v="2"/>
    <n v="8.3134751036633379"/>
    <x v="4"/>
  </r>
  <r>
    <x v="6"/>
    <x v="4"/>
    <n v="29"/>
    <s v="16E"/>
    <s v="Waterschap Hollandse Delta"/>
    <x v="14"/>
    <n v="6373.8688501816005"/>
    <m/>
    <s v="20-3"/>
    <n v="0"/>
    <n v="0"/>
    <n v="2017"/>
    <n v="2020"/>
    <n v="2020"/>
    <n v="2022"/>
    <n v="2022"/>
    <n v="2024"/>
    <n v="3"/>
    <n v="2"/>
    <n v="2"/>
    <n v="7"/>
    <n v="7"/>
    <m/>
    <m/>
    <n v="2.4"/>
    <n v="4.9000000000000004"/>
    <n v="41.6"/>
    <x v="38"/>
    <m/>
    <m/>
    <s v=""/>
    <m/>
    <s v=""/>
    <m/>
    <s v=""/>
    <n v="0"/>
    <x v="0"/>
    <n v="0"/>
    <n v="1"/>
    <n v="0"/>
    <n v="2"/>
    <n v="7.671949509693281"/>
    <x v="4"/>
  </r>
  <r>
    <x v="6"/>
    <x v="5"/>
    <n v="12"/>
    <s v="13D"/>
    <s v="Waterschap Aa en Maas"/>
    <x v="15"/>
    <n v="26552"/>
    <m/>
    <s v="36-3"/>
    <m/>
    <m/>
    <m/>
    <m/>
    <m/>
    <m/>
    <m/>
    <m/>
    <n v="0"/>
    <n v="0"/>
    <n v="0"/>
    <n v="0"/>
    <m/>
    <m/>
    <m/>
    <m/>
    <m/>
    <m/>
    <x v="39"/>
    <m/>
    <m/>
    <s v=""/>
    <m/>
    <s v=""/>
    <m/>
    <s v=""/>
    <n v="0"/>
    <x v="0"/>
    <n v="0"/>
    <n v="0"/>
    <n v="0"/>
    <m/>
    <n v="0"/>
    <x v="6"/>
  </r>
  <r>
    <x v="7"/>
    <x v="0"/>
    <n v="12"/>
    <s v="13D"/>
    <s v="Waterschap Aa en Maas"/>
    <x v="15"/>
    <n v="26552"/>
    <m/>
    <s v="36-3"/>
    <n v="0"/>
    <n v="0"/>
    <n v="2017"/>
    <n v="2020"/>
    <n v="2020"/>
    <n v="2023"/>
    <n v="2023"/>
    <n v="2026"/>
    <n v="3"/>
    <n v="3"/>
    <n v="3"/>
    <n v="9"/>
    <n v="1"/>
    <m/>
    <n v="0"/>
    <n v="6.5555555555555554"/>
    <n v="13.777777777777779"/>
    <n v="118.88888888888889"/>
    <x v="40"/>
    <n v="2.7777777777777715"/>
    <m/>
    <n v="2.8142277777777736"/>
    <m/>
    <n v="2375.3769354652104"/>
    <m/>
    <n v="-0.47288578502653067"/>
    <m/>
    <x v="1"/>
    <n v="0"/>
    <n v="1"/>
    <n v="0"/>
    <n v="3"/>
    <n v="5.243379866760403"/>
    <x v="4"/>
  </r>
  <r>
    <x v="7"/>
    <x v="1"/>
    <n v="12"/>
    <s v="13D"/>
    <s v="Waterschap Aa en Maas"/>
    <x v="15"/>
    <n v="26552"/>
    <m/>
    <s v="36-3"/>
    <n v="0"/>
    <n v="0"/>
    <n v="2017"/>
    <n v="2020"/>
    <n v="2020"/>
    <n v="2022"/>
    <n v="2022"/>
    <n v="2025"/>
    <n v="3"/>
    <n v="2"/>
    <n v="3"/>
    <n v="8"/>
    <n v="-1"/>
    <n v="-1"/>
    <m/>
    <n v="6.5555555555555554"/>
    <n v="13.777777777777779"/>
    <n v="116.11111111111111"/>
    <x v="41"/>
    <n v="-6.5788888888888835"/>
    <n v="-1.7555555555555316"/>
    <s v=""/>
    <n v="2375.3769354652104"/>
    <s v=""/>
    <n v="-0.57750230271927538"/>
    <s v=""/>
    <n v="0"/>
    <x v="1"/>
    <n v="0"/>
    <n v="1"/>
    <n v="0"/>
    <n v="2"/>
    <n v="5.1387633490676583"/>
    <x v="4"/>
  </r>
  <r>
    <x v="7"/>
    <x v="2"/>
    <n v="29"/>
    <s v="13N"/>
    <s v="Waterschap Aa en Maas"/>
    <x v="15"/>
    <n v="26552"/>
    <n v="1"/>
    <s v="36-3"/>
    <n v="0"/>
    <n v="0"/>
    <n v="2017"/>
    <n v="2020"/>
    <n v="2020"/>
    <n v="2022"/>
    <n v="2022"/>
    <n v="2026"/>
    <n v="3"/>
    <n v="2"/>
    <n v="4"/>
    <n v="9"/>
    <n v="0"/>
    <m/>
    <m/>
    <n v="12.823333333333334"/>
    <n v="13.8"/>
    <n v="116.4"/>
    <x v="42"/>
    <n v="4.7233333333333292"/>
    <m/>
    <s v=""/>
    <m/>
    <s v=""/>
    <m/>
    <s v=""/>
    <n v="0"/>
    <x v="1"/>
    <n v="0"/>
    <n v="1"/>
    <n v="0"/>
    <n v="2"/>
    <n v="5.3865371095711563"/>
    <x v="4"/>
  </r>
  <r>
    <x v="7"/>
    <x v="3"/>
    <n v="27"/>
    <s v="13N"/>
    <s v="Waterschap Aa en Maas"/>
    <x v="15"/>
    <n v="24176.62306453479"/>
    <m/>
    <s v="36-3"/>
    <n v="0"/>
    <n v="0"/>
    <n v="2017"/>
    <n v="2020"/>
    <n v="2020"/>
    <n v="2022"/>
    <n v="2022"/>
    <n v="2026"/>
    <n v="3"/>
    <n v="2"/>
    <n v="4"/>
    <n v="9"/>
    <n v="0"/>
    <m/>
    <m/>
    <n v="8.3000000000000007"/>
    <n v="13.8"/>
    <n v="116.2"/>
    <x v="43"/>
    <n v="0.10000000000002274"/>
    <m/>
    <s v=""/>
    <m/>
    <s v=""/>
    <m/>
    <s v=""/>
    <n v="0"/>
    <x v="1"/>
    <n v="0"/>
    <n v="1"/>
    <n v="0"/>
    <n v="2"/>
    <n v="5.7204018787419182"/>
    <x v="4"/>
  </r>
  <r>
    <x v="7"/>
    <x v="4"/>
    <n v="34"/>
    <s v="13VLBO36-3 13D"/>
    <s v="Waterschap Aa en Maas"/>
    <x v="15"/>
    <n v="24176.62306453479"/>
    <m/>
    <s v="36-3"/>
    <n v="0"/>
    <n v="0"/>
    <n v="2017"/>
    <n v="2020"/>
    <n v="2020"/>
    <n v="2023"/>
    <n v="2023"/>
    <n v="2026"/>
    <n v="3"/>
    <n v="3"/>
    <n v="3"/>
    <n v="9"/>
    <n v="0"/>
    <m/>
    <m/>
    <n v="6.9"/>
    <n v="13.8"/>
    <n v="117.5"/>
    <x v="44"/>
    <n v="-3.6450000000002092E-2"/>
    <m/>
    <s v=""/>
    <m/>
    <s v=""/>
    <m/>
    <s v=""/>
    <n v="0"/>
    <x v="1"/>
    <n v="0"/>
    <n v="1"/>
    <n v="0"/>
    <n v="3"/>
    <n v="5.7162656517869337"/>
    <x v="4"/>
  </r>
  <r>
    <x v="7"/>
    <x v="5"/>
    <n v="24"/>
    <s v="Algemeen filter (10)"/>
    <s v="Waterschap Aa en Maas"/>
    <x v="16"/>
    <m/>
    <m/>
    <s v="36_3"/>
    <n v="0"/>
    <n v="0"/>
    <n v="2017"/>
    <n v="2020"/>
    <n v="2020"/>
    <n v="2023"/>
    <n v="2023"/>
    <n v="2026"/>
    <n v="3"/>
    <n v="3"/>
    <n v="3"/>
    <n v="9"/>
    <m/>
    <m/>
    <m/>
    <n v="6.9121499999999996"/>
    <n v="13.824300000000001"/>
    <n v="117.5"/>
    <x v="45"/>
    <m/>
    <m/>
    <s v=""/>
    <m/>
    <s v=""/>
    <m/>
    <s v=""/>
    <n v="0"/>
    <x v="1"/>
    <n v="0"/>
    <n v="1"/>
    <n v="0"/>
    <n v="3"/>
    <m/>
    <x v="4"/>
  </r>
  <r>
    <x v="8"/>
    <x v="0"/>
    <n v="14"/>
    <s v="06K"/>
    <s v="HHRS van Schieland en de Krimpenerwaard"/>
    <x v="17"/>
    <n v="10472"/>
    <m/>
    <s v="15-3"/>
    <n v="0"/>
    <n v="0"/>
    <n v="2016"/>
    <n v="2020"/>
    <n v="2020"/>
    <n v="2022"/>
    <n v="2022"/>
    <n v="2029"/>
    <n v="4"/>
    <n v="2"/>
    <n v="7"/>
    <n v="13"/>
    <n v="2"/>
    <m/>
    <n v="3"/>
    <n v="16.222222222222221"/>
    <n v="24"/>
    <n v="181.77777777777777"/>
    <x v="46"/>
    <n v="-9.5555555555563387E-2"/>
    <m/>
    <n v="20.304444444444442"/>
    <m/>
    <n v="362.70746169521408"/>
    <m/>
    <n v="1.704762488760263"/>
    <m/>
    <x v="1"/>
    <n v="0"/>
    <n v="1"/>
    <n v="0"/>
    <n v="2"/>
    <n v="21.199388846447672"/>
    <x v="4"/>
  </r>
  <r>
    <x v="8"/>
    <x v="1"/>
    <n v="14"/>
    <s v="06K"/>
    <s v="HHRS van Schieland en de Krimpenerwaard"/>
    <x v="17"/>
    <n v="10510"/>
    <m/>
    <s v="15-3"/>
    <n v="0"/>
    <n v="0"/>
    <n v="2016"/>
    <n v="2019"/>
    <n v="2019"/>
    <n v="2022"/>
    <n v="2022"/>
    <n v="2027"/>
    <n v="3"/>
    <n v="3"/>
    <n v="5"/>
    <n v="11"/>
    <n v="1"/>
    <n v="1"/>
    <m/>
    <n v="16.267777777777777"/>
    <n v="24"/>
    <n v="181.82777777777778"/>
    <x v="47"/>
    <n v="0.92777777777780557"/>
    <n v="18.195555555555558"/>
    <s v=""/>
    <n v="400.70746169521408"/>
    <s v=""/>
    <n v="0.9622703774669823"/>
    <s v=""/>
    <n v="1"/>
    <x v="1"/>
    <n v="0"/>
    <n v="1"/>
    <n v="0"/>
    <n v="2"/>
    <n v="21.131832117559998"/>
    <x v="3"/>
  </r>
  <r>
    <x v="8"/>
    <x v="2"/>
    <n v="36"/>
    <s v="06K "/>
    <s v="HHRS van Schieland en de Krimpenerwaard"/>
    <x v="17"/>
    <n v="10472"/>
    <n v="39"/>
    <s v="15-3"/>
    <n v="0"/>
    <n v="0"/>
    <n v="2017"/>
    <n v="2019"/>
    <n v="2019"/>
    <n v="2022"/>
    <n v="2022"/>
    <n v="2027"/>
    <n v="2"/>
    <n v="3"/>
    <n v="5"/>
    <n v="10"/>
    <n v="1"/>
    <m/>
    <m/>
    <n v="16.267777777777777"/>
    <n v="22.9"/>
    <n v="182"/>
    <x v="48"/>
    <n v="17.167777777777758"/>
    <m/>
    <s v=""/>
    <m/>
    <s v=""/>
    <m/>
    <s v=""/>
    <n v="1"/>
    <x v="1"/>
    <n v="0"/>
    <n v="1"/>
    <n v="0"/>
    <n v="2"/>
    <n v="21.119917664035309"/>
    <x v="3"/>
  </r>
  <r>
    <x v="8"/>
    <x v="3"/>
    <n v="32"/>
    <s v="06K (incl. tussenstukken)"/>
    <s v="HHRS van Schieland en de Krimpenerwaard"/>
    <x v="17"/>
    <n v="10459.2925383048"/>
    <m/>
    <s v="15-3"/>
    <n v="0"/>
    <n v="0"/>
    <n v="2017"/>
    <n v="2019"/>
    <n v="2019"/>
    <n v="2021"/>
    <n v="2021"/>
    <n v="2026"/>
    <n v="2"/>
    <n v="2"/>
    <n v="5"/>
    <n v="9"/>
    <n v="-1"/>
    <m/>
    <m/>
    <n v="0"/>
    <n v="20.5"/>
    <n v="183.5"/>
    <x v="49"/>
    <n v="9.9999999999994316E-2"/>
    <m/>
    <s v=""/>
    <m/>
    <s v=""/>
    <m/>
    <s v=""/>
    <n v="1"/>
    <x v="1"/>
    <n v="0"/>
    <n v="1"/>
    <n v="0"/>
    <n v="1"/>
    <n v="19.5041872337824"/>
    <x v="3"/>
  </r>
  <r>
    <x v="8"/>
    <x v="4"/>
    <n v="42"/>
    <s v="06K"/>
    <s v="HHRS van Schieland en de Krimpenerwaard"/>
    <x v="17"/>
    <n v="10109.292538304786"/>
    <m/>
    <s v="15-3"/>
    <n v="0"/>
    <n v="0"/>
    <n v="2017"/>
    <n v="2019"/>
    <n v="2019"/>
    <n v="2022"/>
    <n v="2022"/>
    <n v="2027"/>
    <n v="2"/>
    <n v="3"/>
    <n v="5"/>
    <n v="10"/>
    <n v="0"/>
    <m/>
    <m/>
    <n v="0"/>
    <n v="20.399999999999999"/>
    <n v="183.5"/>
    <x v="50"/>
    <n v="-20.400000000000006"/>
    <m/>
    <s v=""/>
    <m/>
    <s v=""/>
    <m/>
    <s v=""/>
    <n v="1"/>
    <x v="1"/>
    <n v="0"/>
    <n v="1"/>
    <n v="0"/>
    <n v="2"/>
    <n v="20.169561740093016"/>
    <x v="3"/>
  </r>
  <r>
    <x v="8"/>
    <x v="5"/>
    <n v="32"/>
    <s v="06K"/>
    <s v="HHRS van Schieland en de Krimpenerwaard"/>
    <x v="17"/>
    <m/>
    <m/>
    <m/>
    <n v="0"/>
    <n v="0"/>
    <n v="2017"/>
    <n v="2019"/>
    <n v="2019"/>
    <n v="2022"/>
    <n v="2022"/>
    <n v="2027"/>
    <n v="2"/>
    <n v="3"/>
    <n v="5"/>
    <n v="10"/>
    <m/>
    <m/>
    <m/>
    <n v="20.399999999999999"/>
    <n v="20.399999999999999"/>
    <n v="183.5"/>
    <x v="51"/>
    <m/>
    <m/>
    <s v=""/>
    <m/>
    <s v=""/>
    <m/>
    <s v=""/>
    <n v="1"/>
    <x v="1"/>
    <n v="0"/>
    <n v="1"/>
    <n v="0"/>
    <n v="2"/>
    <m/>
    <x v="3"/>
  </r>
  <r>
    <x v="9"/>
    <x v="0"/>
    <n v="23"/>
    <s v="34U"/>
    <s v="Waterschap Drents-Overijsselse Delta"/>
    <x v="18"/>
    <n v="28880"/>
    <n v="5"/>
    <s v="53-2"/>
    <n v="0"/>
    <n v="0"/>
    <n v="2016"/>
    <n v="2021"/>
    <n v="2021"/>
    <n v="2023"/>
    <n v="2023"/>
    <n v="2027"/>
    <n v="5"/>
    <n v="2"/>
    <n v="4"/>
    <n v="11"/>
    <m/>
    <m/>
    <n v="0"/>
    <n v="12.222222222222221"/>
    <n v="27.555555555555557"/>
    <n v="222.22222222222223"/>
    <x v="52"/>
    <n v="68.472222222222257"/>
    <m/>
    <n v="15.872222222222263"/>
    <m/>
    <n v="4017.7749777699282"/>
    <m/>
    <n v="2.3550046833199643"/>
    <m/>
    <x v="1"/>
    <n v="1"/>
    <n v="0"/>
    <n v="0"/>
    <n v="3"/>
    <n v="9.0720221606648206"/>
    <x v="1"/>
  </r>
  <r>
    <x v="9"/>
    <x v="1"/>
    <n v="23"/>
    <s v="34U"/>
    <s v="Waterschap Drents-Overijsselse Delta"/>
    <x v="18"/>
    <n v="28880"/>
    <n v="5"/>
    <s v="53-2"/>
    <n v="0"/>
    <n v="0"/>
    <n v="2016"/>
    <n v="2020"/>
    <n v="2020"/>
    <n v="2023"/>
    <n v="2023"/>
    <n v="2027"/>
    <n v="4"/>
    <n v="3"/>
    <n v="4"/>
    <n v="11"/>
    <n v="0"/>
    <n v="2"/>
    <m/>
    <n v="12.272222222222222"/>
    <n v="19.100000000000001"/>
    <n v="162.15555555555551"/>
    <x v="53"/>
    <n v="-8.4444444444471856E-2"/>
    <n v="26.527777777777743"/>
    <s v=""/>
    <n v="4017.7749777699282"/>
    <s v=""/>
    <n v="-1.591713877914458E-2"/>
    <s v=""/>
    <n v="1"/>
    <x v="1"/>
    <n v="0"/>
    <n v="1"/>
    <n v="0"/>
    <n v="3"/>
    <n v="6.7011003385657117"/>
    <x v="4"/>
  </r>
  <r>
    <x v="9"/>
    <x v="2"/>
    <n v="53"/>
    <s v="34U"/>
    <s v="Waterschap Drents-Overijsselse Delta"/>
    <x v="18"/>
    <n v="28880"/>
    <n v="11"/>
    <s v="53-2"/>
    <n v="0"/>
    <n v="0"/>
    <n v="2016"/>
    <n v="2020"/>
    <n v="2020"/>
    <n v="2023"/>
    <n v="2023"/>
    <n v="2027"/>
    <n v="4"/>
    <n v="3"/>
    <n v="4"/>
    <n v="11"/>
    <n v="-1"/>
    <m/>
    <m/>
    <n v="12.273333333333333"/>
    <n v="19.100000000000001"/>
    <n v="162.23888888888888"/>
    <x v="54"/>
    <n v="3.0442222222222028"/>
    <m/>
    <s v=""/>
    <m/>
    <s v=""/>
    <m/>
    <s v=""/>
    <n v="1"/>
    <x v="1"/>
    <n v="0"/>
    <n v="1"/>
    <n v="0"/>
    <n v="3"/>
    <n v="6.7040243151738999"/>
    <x v="4"/>
  </r>
  <r>
    <x v="9"/>
    <x v="3"/>
    <n v="51"/>
    <s v="34U"/>
    <s v="Waterschap Drents-Overijsselse Delta"/>
    <x v="18"/>
    <n v="24862.225022230072"/>
    <n v="2"/>
    <s v="53-2"/>
    <n v="0"/>
    <n v="0"/>
    <n v="2016"/>
    <n v="2020"/>
    <n v="2020"/>
    <n v="2023"/>
    <n v="2023"/>
    <n v="2028"/>
    <n v="4"/>
    <n v="3"/>
    <n v="5"/>
    <n v="12"/>
    <n v="1"/>
    <m/>
    <m/>
    <n v="9.3000000000000007"/>
    <n v="19.100000000000001"/>
    <n v="162.16800000000001"/>
    <x v="55"/>
    <n v="23.568000000000012"/>
    <m/>
    <s v=""/>
    <m/>
    <s v=""/>
    <m/>
    <s v=""/>
    <n v="1"/>
    <x v="1"/>
    <n v="0"/>
    <n v="1"/>
    <n v="0"/>
    <n v="3"/>
    <n v="7.6649615965428426"/>
    <x v="4"/>
  </r>
  <r>
    <x v="9"/>
    <x v="4"/>
    <n v="52"/>
    <s v="15Q"/>
    <s v="Waterschap Drents-Overijsselse Delta"/>
    <x v="18"/>
    <n v="24862.225022230072"/>
    <n v="2"/>
    <s v="53-3"/>
    <n v="0"/>
    <n v="0"/>
    <n v="2016"/>
    <n v="2020"/>
    <n v="2020"/>
    <n v="2023"/>
    <n v="2023"/>
    <n v="2027"/>
    <n v="4"/>
    <n v="3"/>
    <n v="4"/>
    <n v="11"/>
    <n v="2"/>
    <m/>
    <m/>
    <n v="9.3000000000000007"/>
    <n v="16.600000000000001"/>
    <n v="141.1"/>
    <x v="56"/>
    <n v="52.599999999999994"/>
    <m/>
    <s v=""/>
    <m/>
    <s v=""/>
    <m/>
    <s v=""/>
    <n v="1"/>
    <x v="1"/>
    <n v="0"/>
    <n v="1"/>
    <n v="0"/>
    <n v="3"/>
    <n v="6.7170174773448563"/>
    <x v="4"/>
  </r>
  <r>
    <x v="9"/>
    <x v="5"/>
    <n v="40"/>
    <s v="15Q"/>
    <s v="Waterschap Drents-Overijsselse Delta"/>
    <x v="18"/>
    <m/>
    <m/>
    <m/>
    <n v="0"/>
    <n v="0"/>
    <n v="2016"/>
    <n v="2020"/>
    <n v="2020"/>
    <n v="2023"/>
    <n v="2023"/>
    <n v="2025"/>
    <n v="4"/>
    <n v="3"/>
    <n v="2"/>
    <n v="9"/>
    <m/>
    <m/>
    <m/>
    <n v="18.3"/>
    <n v="40"/>
    <n v="56.1"/>
    <x v="57"/>
    <m/>
    <m/>
    <s v=""/>
    <m/>
    <s v=""/>
    <m/>
    <s v=""/>
    <n v="1"/>
    <x v="1"/>
    <n v="0"/>
    <n v="1"/>
    <n v="0"/>
    <n v="3"/>
    <m/>
    <x v="4"/>
  </r>
  <r>
    <x v="10"/>
    <x v="0"/>
    <n v="25"/>
    <s v="34M"/>
    <s v="Waterschap Drents-Overijsselse Delta"/>
    <x v="19"/>
    <n v="7651"/>
    <n v="5"/>
    <s v="53-3"/>
    <n v="0"/>
    <n v="0"/>
    <n v="2014"/>
    <n v="2020"/>
    <n v="2020"/>
    <n v="2022"/>
    <n v="2022"/>
    <n v="2025"/>
    <n v="6"/>
    <n v="2"/>
    <n v="3"/>
    <n v="11"/>
    <n v="0"/>
    <m/>
    <n v="3"/>
    <n v="6.6666666666666661"/>
    <n v="30"/>
    <n v="80"/>
    <x v="58"/>
    <n v="18.556666666666658"/>
    <m/>
    <n v="61.956666666666635"/>
    <m/>
    <n v="-355.34961436817048"/>
    <m/>
    <n v="1.884158730073203"/>
    <m/>
    <x v="1"/>
    <n v="0"/>
    <n v="1"/>
    <n v="0"/>
    <n v="2"/>
    <n v="15.248551387618175"/>
    <x v="4"/>
  </r>
  <r>
    <x v="10"/>
    <x v="1"/>
    <n v="25"/>
    <s v="34M"/>
    <s v="Waterschap Drents-Overijsselse Delta"/>
    <x v="19"/>
    <n v="7651"/>
    <n v="5"/>
    <s v="53-3"/>
    <n v="0"/>
    <n v="0"/>
    <n v="2014"/>
    <n v="2020"/>
    <n v="2020"/>
    <n v="2022"/>
    <n v="2022"/>
    <n v="2025"/>
    <n v="6"/>
    <n v="2"/>
    <n v="3"/>
    <n v="11"/>
    <n v="2"/>
    <n v="3"/>
    <m/>
    <n v="6.61"/>
    <n v="30"/>
    <n v="61.5"/>
    <x v="59"/>
    <n v="25.101111111111109"/>
    <n v="-8.89"/>
    <s v=""/>
    <n v="-355.34961436817048"/>
    <s v=""/>
    <n v="-0.54123228635166321"/>
    <s v=""/>
    <n v="1"/>
    <x v="1"/>
    <n v="0"/>
    <n v="1"/>
    <n v="0"/>
    <n v="2"/>
    <n v="12.823160371193309"/>
    <x v="4"/>
  </r>
  <r>
    <x v="10"/>
    <x v="2"/>
    <n v="55"/>
    <s v="34M"/>
    <s v="Waterschap Drents-Overijsselse Delta"/>
    <x v="20"/>
    <n v="7641"/>
    <n v="11"/>
    <s v="53-3"/>
    <n v="0"/>
    <n v="0"/>
    <n v="2016"/>
    <n v="2018"/>
    <n v="2018"/>
    <n v="2021"/>
    <n v="2021"/>
    <n v="2025"/>
    <n v="2"/>
    <n v="3"/>
    <n v="4"/>
    <n v="9"/>
    <n v="0"/>
    <m/>
    <m/>
    <n v="6.6088888888888899"/>
    <n v="9.6000000000000014"/>
    <n v="56.8"/>
    <x v="60"/>
    <n v="-4.6911111111110984"/>
    <m/>
    <s v=""/>
    <m/>
    <s v=""/>
    <m/>
    <s v=""/>
    <n v="1"/>
    <x v="1"/>
    <n v="0"/>
    <n v="1"/>
    <n v="0"/>
    <n v="1"/>
    <n v="9.5548866495077718"/>
    <x v="2"/>
  </r>
  <r>
    <x v="10"/>
    <x v="3"/>
    <n v="54"/>
    <s v="34M"/>
    <s v="Waterschap Drents-Overijsselse Delta"/>
    <x v="20"/>
    <n v="8006.3496143681705"/>
    <n v="5"/>
    <s v="53-3"/>
    <n v="0"/>
    <n v="0"/>
    <n v="2016"/>
    <n v="2018"/>
    <n v="2018"/>
    <n v="2021"/>
    <n v="2021"/>
    <n v="2025"/>
    <n v="2"/>
    <n v="3"/>
    <n v="4"/>
    <n v="9"/>
    <n v="1"/>
    <m/>
    <m/>
    <n v="6.6"/>
    <n v="9.5"/>
    <n v="61.599999999999994"/>
    <x v="61"/>
    <n v="-29.300000000000011"/>
    <m/>
    <s v=""/>
    <m/>
    <s v=""/>
    <m/>
    <s v=""/>
    <n v="1"/>
    <x v="1"/>
    <n v="0"/>
    <n v="1"/>
    <n v="0"/>
    <n v="1"/>
    <n v="9.7047972849648989"/>
    <x v="2"/>
  </r>
  <r>
    <x v="10"/>
    <x v="4"/>
    <n v="56"/>
    <s v="15E"/>
    <s v="Waterschap Drents-Overijsselse Delta"/>
    <x v="20"/>
    <n v="8006.3496143681705"/>
    <n v="5"/>
    <s v="53-3"/>
    <n v="0"/>
    <n v="0"/>
    <n v="2016"/>
    <n v="2018"/>
    <n v="2018"/>
    <n v="2021"/>
    <n v="2021"/>
    <n v="2024"/>
    <n v="2"/>
    <n v="3"/>
    <n v="3"/>
    <n v="8"/>
    <n v="-1"/>
    <m/>
    <m/>
    <n v="6.6"/>
    <n v="4.5"/>
    <n v="95.9"/>
    <x v="62"/>
    <n v="-43.399999999999977"/>
    <m/>
    <s v=""/>
    <m/>
    <s v=""/>
    <m/>
    <s v=""/>
    <n v="1"/>
    <x v="1"/>
    <n v="0"/>
    <n v="1"/>
    <n v="0"/>
    <n v="1"/>
    <n v="13.364392657544972"/>
    <x v="2"/>
  </r>
  <r>
    <x v="10"/>
    <x v="5"/>
    <n v="43"/>
    <s v="15E"/>
    <s v="Waterschap Drents-Overijsselse Delta"/>
    <x v="20"/>
    <m/>
    <m/>
    <m/>
    <n v="0"/>
    <n v="0"/>
    <n v="2016"/>
    <n v="2018"/>
    <n v="2018"/>
    <n v="2021"/>
    <n v="2021"/>
    <n v="2025"/>
    <n v="2"/>
    <n v="3"/>
    <n v="4"/>
    <n v="9"/>
    <m/>
    <m/>
    <m/>
    <n v="0"/>
    <n v="11.7"/>
    <n v="138.69999999999999"/>
    <x v="63"/>
    <m/>
    <m/>
    <s v=""/>
    <m/>
    <s v=""/>
    <m/>
    <s v=""/>
    <n v="1"/>
    <x v="1"/>
    <n v="0"/>
    <n v="1"/>
    <n v="0"/>
    <n v="1"/>
    <m/>
    <x v="2"/>
  </r>
  <r>
    <x v="11"/>
    <x v="0"/>
    <n v="77"/>
    <s v="18D"/>
    <s v="Waterschap Noorderzijlvest"/>
    <x v="21"/>
    <n v="9018"/>
    <m/>
    <m/>
    <n v="0"/>
    <n v="0"/>
    <n v="2016"/>
    <n v="2020"/>
    <n v="2020"/>
    <n v="2022"/>
    <n v="2022"/>
    <n v="2027"/>
    <n v="4"/>
    <n v="2"/>
    <n v="5"/>
    <n v="11"/>
    <n v="0"/>
    <m/>
    <n v="5"/>
    <n v="8.4444444444444446"/>
    <n v="6.1111111111111107"/>
    <n v="51.333333333333336"/>
    <x v="64"/>
    <n v="-0.16888888888888687"/>
    <m/>
    <n v="2.6311111111111174"/>
    <m/>
    <n v="1155.9687590998346"/>
    <m/>
    <n v="0.55755294451608695"/>
    <m/>
    <x v="1"/>
    <n v="0"/>
    <n v="1"/>
    <n v="0"/>
    <n v="2"/>
    <n v="7.306374904511963"/>
    <x v="4"/>
  </r>
  <r>
    <x v="11"/>
    <x v="1"/>
    <n v="77"/>
    <s v="18D"/>
    <s v="Waterschap Noorderzijlvest"/>
    <x v="21"/>
    <n v="8100"/>
    <m/>
    <s v="6-5"/>
    <n v="0"/>
    <n v="0"/>
    <n v="2016"/>
    <n v="2021"/>
    <n v="2021"/>
    <n v="2023"/>
    <n v="2023"/>
    <n v="2027"/>
    <n v="5"/>
    <n v="2"/>
    <n v="4"/>
    <n v="11"/>
    <n v="2"/>
    <n v="5"/>
    <m/>
    <n v="8.4577777777777765"/>
    <n v="6.2"/>
    <n v="51.4"/>
    <x v="65"/>
    <n v="3.6943122222222229"/>
    <n v="11.857777777777777"/>
    <s v=""/>
    <n v="237.96875909983464"/>
    <s v=""/>
    <n v="1.2613884789995646"/>
    <s v=""/>
    <n v="1"/>
    <x v="1"/>
    <n v="1"/>
    <n v="0"/>
    <n v="0"/>
    <n v="3"/>
    <n v="8.1552812071330578"/>
    <x v="1"/>
  </r>
  <r>
    <x v="11"/>
    <x v="2"/>
    <n v="124"/>
    <s v="18D"/>
    <s v="Waterschap Noorderzijlvest"/>
    <x v="21"/>
    <n v="8768"/>
    <n v="1"/>
    <s v="6-5"/>
    <n v="0"/>
    <n v="0"/>
    <n v="2017"/>
    <n v="2020"/>
    <n v="2020"/>
    <n v="2022"/>
    <n v="2022"/>
    <n v="2026"/>
    <n v="3"/>
    <n v="2"/>
    <n v="4"/>
    <n v="9"/>
    <n v="0"/>
    <m/>
    <m/>
    <n v="4.8134655555555552"/>
    <n v="6.2"/>
    <n v="51.349999999999994"/>
    <x v="66"/>
    <n v="2.8634655555555497"/>
    <m/>
    <s v=""/>
    <m/>
    <s v=""/>
    <m/>
    <s v=""/>
    <n v="1"/>
    <x v="1"/>
    <n v="0"/>
    <n v="1"/>
    <n v="0"/>
    <n v="2"/>
    <n v="7.1126215277777769"/>
    <x v="4"/>
  </r>
  <r>
    <x v="11"/>
    <x v="3"/>
    <n v="122"/>
    <s v="18D"/>
    <s v="Waterschap Noorderzijlvest"/>
    <x v="21"/>
    <n v="8031.0312409001699"/>
    <s v="6-5"/>
    <m/>
    <n v="0"/>
    <n v="0"/>
    <n v="2017"/>
    <n v="2020"/>
    <n v="2020"/>
    <n v="2022"/>
    <n v="2022"/>
    <n v="2026"/>
    <n v="3"/>
    <n v="2"/>
    <n v="4"/>
    <n v="9"/>
    <n v="3"/>
    <m/>
    <m/>
    <n v="1.9"/>
    <n v="6.2"/>
    <n v="51.4"/>
    <x v="67"/>
    <n v="5.3000000000000043"/>
    <m/>
    <s v=""/>
    <m/>
    <s v=""/>
    <m/>
    <s v=""/>
    <n v="1"/>
    <x v="1"/>
    <n v="0"/>
    <n v="1"/>
    <n v="0"/>
    <n v="2"/>
    <n v="7.4087621147556213"/>
    <x v="4"/>
  </r>
  <r>
    <x v="11"/>
    <x v="4"/>
    <n v="106"/>
    <s v="18D"/>
    <s v="Waterschap Noorderzijlvest"/>
    <x v="21"/>
    <n v="7862.0312409001654"/>
    <m/>
    <m/>
    <n v="0"/>
    <n v="0"/>
    <n v="2017"/>
    <n v="2019"/>
    <n v="2019"/>
    <n v="2021"/>
    <n v="2021"/>
    <n v="2023"/>
    <n v="2"/>
    <n v="2"/>
    <n v="2"/>
    <n v="6"/>
    <n v="-1"/>
    <m/>
    <m/>
    <n v="1.9"/>
    <n v="5.5"/>
    <n v="46.8"/>
    <x v="68"/>
    <n v="-2.8000000000000043"/>
    <m/>
    <s v=""/>
    <m/>
    <s v=""/>
    <m/>
    <s v=""/>
    <n v="1"/>
    <x v="1"/>
    <n v="0"/>
    <n v="1"/>
    <n v="0"/>
    <n v="1"/>
    <n v="6.8938927281334932"/>
    <x v="3"/>
  </r>
  <r>
    <x v="11"/>
    <x v="5"/>
    <n v="99"/>
    <s v="18D"/>
    <s v="Waterschap Noorderzijlvest"/>
    <x v="21"/>
    <m/>
    <m/>
    <m/>
    <n v="0"/>
    <n v="0"/>
    <n v="2017"/>
    <n v="2020"/>
    <n v="2020"/>
    <n v="2022"/>
    <n v="2024"/>
    <n v="2026"/>
    <n v="3"/>
    <n v="2"/>
    <n v="2"/>
    <n v="7"/>
    <m/>
    <m/>
    <m/>
    <n v="4.6999999999999993"/>
    <n v="5.5"/>
    <n v="46.8"/>
    <x v="69"/>
    <m/>
    <m/>
    <s v=""/>
    <m/>
    <s v=""/>
    <m/>
    <s v=""/>
    <n v="1"/>
    <x v="1"/>
    <n v="0"/>
    <n v="1"/>
    <n v="0"/>
    <n v="4"/>
    <m/>
    <x v="4"/>
  </r>
  <r>
    <x v="12"/>
    <x v="0"/>
    <n v="58"/>
    <s v="03E"/>
    <s v="HHRS Hollands Noorderkwartier"/>
    <x v="22"/>
    <n v="6000"/>
    <n v="3"/>
    <s v="C-kering"/>
    <m/>
    <m/>
    <n v="2016"/>
    <n v="2021"/>
    <n v="2021"/>
    <n v="2023"/>
    <n v="2023"/>
    <n v="2026"/>
    <n v="5"/>
    <n v="2"/>
    <n v="3"/>
    <n v="10"/>
    <n v="-1"/>
    <m/>
    <n v="1"/>
    <n v="4.2222222222222223"/>
    <n v="5.333333333333333"/>
    <n v="54.555555555555557"/>
    <x v="70"/>
    <n v="-0.18999999999999773"/>
    <m/>
    <n v="2.0099999999999909"/>
    <m/>
    <n v="-27282.272231718722"/>
    <m/>
    <n v="7.644527405108672"/>
    <m/>
    <x v="0"/>
    <n v="1"/>
    <n v="0"/>
    <n v="0"/>
    <n v="3"/>
    <n v="10.685185185185185"/>
    <x v="1"/>
  </r>
  <r>
    <x v="12"/>
    <x v="1"/>
    <n v="58"/>
    <s v="03E"/>
    <s v="HHRS Hollands Noorderkwartier"/>
    <x v="22"/>
    <n v="6000"/>
    <n v="3"/>
    <s v="C-kering"/>
    <n v="0"/>
    <n v="0"/>
    <n v="2016"/>
    <n v="2020"/>
    <n v="2020"/>
    <n v="2023"/>
    <n v="2023"/>
    <n v="2027"/>
    <n v="4"/>
    <n v="3"/>
    <n v="4"/>
    <n v="11"/>
    <n v="1"/>
    <n v="2"/>
    <m/>
    <n v="4.2866666666666662"/>
    <n v="5.3577777777777778"/>
    <n v="54.656666666666673"/>
    <x v="71"/>
    <n v="2.2222222222154642E-3"/>
    <n v="-36.898888888888891"/>
    <s v=""/>
    <n v="-27282.272231718722"/>
    <s v=""/>
    <n v="7.6761940717753383"/>
    <s v=""/>
    <n v="0"/>
    <x v="0"/>
    <n v="0"/>
    <n v="1"/>
    <n v="0"/>
    <n v="3"/>
    <n v="10.716851851851851"/>
    <x v="4"/>
  </r>
  <r>
    <x v="12"/>
    <x v="2"/>
    <s v="C-kering"/>
    <s v="03E"/>
    <s v="HHRS Hollands Noorderkwartier"/>
    <x v="23"/>
    <n v="5985"/>
    <n v="5"/>
    <m/>
    <n v="0"/>
    <n v="0"/>
    <n v="2017"/>
    <n v="2021"/>
    <n v="2021"/>
    <n v="2023"/>
    <n v="2023"/>
    <n v="2027"/>
    <n v="4"/>
    <n v="2"/>
    <n v="4"/>
    <n v="10"/>
    <n v="1"/>
    <m/>
    <m/>
    <n v="4.3055555555555562"/>
    <n v="5.34"/>
    <n v="54.653333333333336"/>
    <x v="72"/>
    <n v="-36.901111111111106"/>
    <m/>
    <s v=""/>
    <m/>
    <s v=""/>
    <m/>
    <s v=""/>
    <n v="0"/>
    <x v="0"/>
    <n v="1"/>
    <n v="0"/>
    <n v="0"/>
    <n v="3"/>
    <n v="10.74333983105913"/>
    <x v="1"/>
  </r>
  <r>
    <x v="12"/>
    <x v="3"/>
    <s v="C-kering"/>
    <s v="03E"/>
    <s v="HHRS Hollands Noorderkwartier"/>
    <x v="23"/>
    <n v="33282.272231718722"/>
    <s v="nvt"/>
    <n v="12"/>
    <n v="0"/>
    <n v="0"/>
    <n v="2018"/>
    <n v="2020"/>
    <n v="2020"/>
    <n v="2023"/>
    <n v="2023"/>
    <n v="2027"/>
    <n v="2"/>
    <n v="3"/>
    <n v="4"/>
    <n v="9"/>
    <n v="0"/>
    <m/>
    <m/>
    <n v="2.59"/>
    <n v="10.38"/>
    <n v="88.23"/>
    <x v="73"/>
    <n v="0"/>
    <m/>
    <s v=""/>
    <m/>
    <s v=""/>
    <m/>
    <s v=""/>
    <n v="0"/>
    <x v="0"/>
    <n v="0"/>
    <n v="1"/>
    <n v="0"/>
    <n v="3"/>
    <n v="3.0406577800765127"/>
    <x v="4"/>
  </r>
  <r>
    <x v="12"/>
    <x v="4"/>
    <m/>
    <s v="03E"/>
    <s v="HHRS Hollands Noorderkwartier"/>
    <x v="23"/>
    <n v="33282.272231718722"/>
    <n v="12"/>
    <m/>
    <n v="0"/>
    <n v="0"/>
    <n v="2018"/>
    <n v="2020"/>
    <n v="2020"/>
    <n v="2023"/>
    <n v="2023"/>
    <n v="2027"/>
    <n v="2"/>
    <n v="3"/>
    <n v="4"/>
    <n v="9"/>
    <n v="-2"/>
    <m/>
    <m/>
    <n v="2.6"/>
    <n v="10.4"/>
    <n v="88.2"/>
    <x v="73"/>
    <n v="-2.1999999999999886"/>
    <m/>
    <s v=""/>
    <m/>
    <s v=""/>
    <m/>
    <s v=""/>
    <n v="0"/>
    <x v="0"/>
    <n v="0"/>
    <n v="1"/>
    <n v="0"/>
    <n v="3"/>
    <n v="3.0406577800765127"/>
    <x v="4"/>
  </r>
  <r>
    <x v="12"/>
    <x v="5"/>
    <s v="C-kering"/>
    <s v="03E"/>
    <s v="HHRS Hollands Noorderkwartier"/>
    <x v="24"/>
    <m/>
    <m/>
    <m/>
    <n v="0"/>
    <n v="0"/>
    <n v="2016"/>
    <n v="2020"/>
    <n v="2020"/>
    <n v="2023"/>
    <n v="2023"/>
    <n v="2027"/>
    <n v="4"/>
    <n v="3"/>
    <n v="4"/>
    <n v="11"/>
    <m/>
    <m/>
    <m/>
    <n v="4.8"/>
    <n v="10.4"/>
    <n v="88.199999999999989"/>
    <x v="74"/>
    <m/>
    <m/>
    <s v=""/>
    <m/>
    <s v=""/>
    <m/>
    <s v=""/>
    <n v="0"/>
    <x v="0"/>
    <n v="0"/>
    <n v="1"/>
    <n v="0"/>
    <n v="3"/>
    <m/>
    <x v="4"/>
  </r>
  <r>
    <x v="13"/>
    <x v="0"/>
    <n v="148"/>
    <s v="25L"/>
    <s v="Waterschap Vallei en Veluwe"/>
    <x v="25"/>
    <n v="977"/>
    <n v="10"/>
    <s v="11-3"/>
    <n v="0"/>
    <n v="0"/>
    <n v="2014"/>
    <n v="2017"/>
    <n v="2017"/>
    <n v="2021"/>
    <n v="2021"/>
    <n v="2024"/>
    <n v="3"/>
    <n v="4"/>
    <n v="3"/>
    <n v="10"/>
    <n v="0"/>
    <m/>
    <n v="4"/>
    <n v="2.8411111111111111"/>
    <n v="2.2222222222222223"/>
    <n v="3.5555555555555558"/>
    <x v="75"/>
    <n v="-1.629999999999999"/>
    <m/>
    <n v="-1.629999999999999"/>
    <m/>
    <n v="-11632.249444803267"/>
    <m/>
    <n v="6.4425842137001013"/>
    <m/>
    <x v="0"/>
    <n v="0"/>
    <n v="1"/>
    <n v="0"/>
    <n v="1"/>
    <n v="8.8217900602752195"/>
    <x v="7"/>
  </r>
  <r>
    <x v="13"/>
    <x v="1"/>
    <n v="148"/>
    <s v="25L"/>
    <s v="Waterschap Vallei en Veluwe"/>
    <x v="25"/>
    <n v="1040"/>
    <n v="10"/>
    <s v="11-3"/>
    <n v="0"/>
    <n v="1"/>
    <n v="2014"/>
    <n v="2019"/>
    <n v="2019"/>
    <n v="2021"/>
    <n v="2021"/>
    <n v="2024"/>
    <n v="5"/>
    <n v="2"/>
    <n v="3"/>
    <n v="10"/>
    <n v="3"/>
    <n v="4"/>
    <m/>
    <n v="3.4477777777777776"/>
    <n v="1.7288888888888889"/>
    <n v="5.0722222222222229"/>
    <x v="76"/>
    <n v="-0.25888888888889028"/>
    <n v="-19.751111111111111"/>
    <s v=""/>
    <n v="-11569.249444803267"/>
    <s v=""/>
    <n v="7.4754950081257352"/>
    <s v=""/>
    <n v="0"/>
    <x v="0"/>
    <n v="0"/>
    <n v="1"/>
    <n v="0"/>
    <n v="1"/>
    <n v="9.8547008547008534"/>
    <x v="3"/>
  </r>
  <r>
    <x v="13"/>
    <x v="2"/>
    <n v="175"/>
    <s v="25L"/>
    <s v="Waterschap Vallei en Veluwe"/>
    <x v="26"/>
    <n v="12941"/>
    <n v="1"/>
    <s v="11-3"/>
    <n v="0"/>
    <n v="0"/>
    <n v="2017"/>
    <n v="2018"/>
    <n v="2018"/>
    <n v="2021"/>
    <n v="2021"/>
    <n v="2024"/>
    <n v="1"/>
    <n v="3"/>
    <n v="3"/>
    <n v="7"/>
    <n v="0"/>
    <m/>
    <m/>
    <n v="2.8411111111111111"/>
    <n v="1.6666666666666667"/>
    <n v="6"/>
    <x v="77"/>
    <n v="-27.351222222222223"/>
    <m/>
    <s v=""/>
    <m/>
    <s v=""/>
    <m/>
    <s v=""/>
    <n v="0"/>
    <x v="0"/>
    <n v="0"/>
    <n v="1"/>
    <n v="0"/>
    <n v="1"/>
    <n v="0.81197571886081277"/>
    <x v="2"/>
  </r>
  <r>
    <x v="13"/>
    <x v="3"/>
    <n v="172"/>
    <s v="25L"/>
    <s v="Waterschap Vallei en Veluwe"/>
    <x v="26"/>
    <n v="12609.249444803267"/>
    <s v="11-3"/>
    <n v="5"/>
    <n v="0"/>
    <n v="0"/>
    <n v="2017"/>
    <n v="2018"/>
    <n v="2018"/>
    <n v="2021"/>
    <n v="2021"/>
    <n v="2024"/>
    <n v="1"/>
    <n v="3"/>
    <n v="3"/>
    <n v="7"/>
    <n v="1"/>
    <m/>
    <m/>
    <n v="1.5"/>
    <n v="2.3620000000000001"/>
    <n v="33.997"/>
    <x v="78"/>
    <n v="7.8590000000000018"/>
    <m/>
    <s v=""/>
    <m/>
    <s v=""/>
    <m/>
    <s v=""/>
    <n v="0"/>
    <x v="0"/>
    <n v="0"/>
    <n v="1"/>
    <n v="0"/>
    <n v="1"/>
    <n v="3.0024784715162474"/>
    <x v="2"/>
  </r>
  <r>
    <x v="13"/>
    <x v="4"/>
    <m/>
    <s v="25L"/>
    <s v="Waterschap Vallei en Veluwe"/>
    <x v="26"/>
    <n v="12609.249444803267"/>
    <n v="6"/>
    <s v="11-5"/>
    <n v="0"/>
    <n v="0"/>
    <n v="2017"/>
    <n v="2018"/>
    <n v="2018"/>
    <n v="2021"/>
    <n v="2021"/>
    <n v="2023"/>
    <n v="1"/>
    <n v="3"/>
    <n v="2"/>
    <n v="6"/>
    <n v="0"/>
    <m/>
    <m/>
    <n v="1.5"/>
    <n v="3"/>
    <n v="25.5"/>
    <x v="1"/>
    <n v="0"/>
    <m/>
    <s v=""/>
    <m/>
    <s v=""/>
    <m/>
    <s v=""/>
    <n v="0"/>
    <x v="0"/>
    <n v="0"/>
    <n v="1"/>
    <n v="0"/>
    <n v="1"/>
    <n v="2.3792058465751187"/>
    <x v="2"/>
  </r>
  <r>
    <x v="13"/>
    <x v="5"/>
    <s v="C-kering"/>
    <s v="25L"/>
    <s v="Waterschap Vallei en Veluwe"/>
    <x v="26"/>
    <m/>
    <m/>
    <m/>
    <n v="0"/>
    <n v="0"/>
    <n v="2017"/>
    <n v="2018"/>
    <n v="2018"/>
    <n v="2021"/>
    <n v="2021"/>
    <n v="2023"/>
    <n v="1"/>
    <n v="3"/>
    <n v="2"/>
    <n v="6"/>
    <m/>
    <m/>
    <m/>
    <n v="1.5"/>
    <n v="3"/>
    <n v="25.5"/>
    <x v="1"/>
    <m/>
    <m/>
    <s v=""/>
    <m/>
    <s v=""/>
    <m/>
    <s v=""/>
    <n v="0"/>
    <x v="0"/>
    <n v="0"/>
    <n v="1"/>
    <n v="0"/>
    <n v="1"/>
    <m/>
    <x v="2"/>
  </r>
  <r>
    <x v="14"/>
    <x v="0"/>
    <s v="C-kering"/>
    <s v="03I"/>
    <s v="HHRS Hollands Noorderkwartier"/>
    <x v="27"/>
    <n v="3680"/>
    <n v="23"/>
    <s v="C-kering"/>
    <n v="0"/>
    <n v="0"/>
    <n v="2015"/>
    <n v="2020"/>
    <n v="2020"/>
    <n v="2022"/>
    <n v="2022"/>
    <n v="2027"/>
    <n v="5"/>
    <n v="2"/>
    <n v="5"/>
    <n v="12"/>
    <n v="3"/>
    <m/>
    <n v="4"/>
    <n v="6.4222222222222225"/>
    <n v="2.1111111111111112"/>
    <n v="14.444444444444445"/>
    <x v="79"/>
    <n v="-19.457844444444444"/>
    <m/>
    <n v="-19.457844444444444"/>
    <m/>
    <n v="-24320"/>
    <m/>
    <n v="4.6131395324034798"/>
    <m/>
    <x v="0"/>
    <n v="0"/>
    <n v="1"/>
    <n v="0"/>
    <n v="2"/>
    <n v="6.2439613526570046"/>
    <x v="4"/>
  </r>
  <r>
    <x v="14"/>
    <x v="1"/>
    <s v="C-kering"/>
    <s v="03I"/>
    <s v="HHRS Hollands Noorderkwartier"/>
    <x v="27"/>
    <n v="28070"/>
    <n v="23"/>
    <s v="C-kering"/>
    <n v="0"/>
    <n v="0"/>
    <n v="2015"/>
    <n v="2021"/>
    <n v="2021"/>
    <n v="2023"/>
    <n v="2023"/>
    <n v="2024"/>
    <n v="6"/>
    <n v="2"/>
    <n v="1"/>
    <n v="9"/>
    <n v="1"/>
    <n v="1"/>
    <m/>
    <n v="6.4222888888888887"/>
    <n v="4.2711111111111117"/>
    <n v="31.742222222222221"/>
    <x v="80"/>
    <n v="1.3400000000004297E-2"/>
    <n v="-3.3643777777777757"/>
    <s v=""/>
    <n v="70"/>
    <s v=""/>
    <n v="-0.1239357954320548"/>
    <s v=""/>
    <n v="0"/>
    <x v="0"/>
    <n v="1"/>
    <n v="0"/>
    <n v="0"/>
    <n v="3"/>
    <n v="1.5117784902822309"/>
    <x v="1"/>
  </r>
  <r>
    <x v="14"/>
    <x v="2"/>
    <s v="C-kering"/>
    <s v="03I"/>
    <s v="HHRS Hollands Noorderkwartier"/>
    <x v="27"/>
    <n v="28070"/>
    <n v="30"/>
    <m/>
    <n v="0"/>
    <n v="0"/>
    <n v="2016"/>
    <n v="2018"/>
    <n v="2018"/>
    <n v="2021"/>
    <n v="2021"/>
    <n v="2024"/>
    <n v="2"/>
    <n v="3"/>
    <n v="3"/>
    <n v="8"/>
    <n v="1"/>
    <m/>
    <m/>
    <n v="6.4222222222222225"/>
    <n v="4.3"/>
    <n v="31.7"/>
    <x v="81"/>
    <n v="12.822222222222219"/>
    <m/>
    <s v=""/>
    <m/>
    <s v=""/>
    <m/>
    <s v=""/>
    <n v="0"/>
    <x v="0"/>
    <n v="0"/>
    <n v="1"/>
    <n v="0"/>
    <n v="1"/>
    <n v="1.5113011122986184"/>
    <x v="2"/>
  </r>
  <r>
    <x v="14"/>
    <x v="3"/>
    <s v="C-kering"/>
    <s v="03I"/>
    <s v="HHRS Hollands Noorderkwartier"/>
    <x v="27"/>
    <n v="28084"/>
    <n v="21"/>
    <m/>
    <n v="0"/>
    <n v="0"/>
    <n v="2016"/>
    <n v="2018"/>
    <n v="2018"/>
    <n v="2021"/>
    <n v="2021"/>
    <n v="2023"/>
    <n v="2"/>
    <n v="3"/>
    <n v="2"/>
    <n v="7"/>
    <n v="-1"/>
    <m/>
    <m/>
    <n v="2.2999999999999998"/>
    <n v="2.9"/>
    <n v="24.4"/>
    <x v="82"/>
    <n v="-16.2"/>
    <m/>
    <s v=""/>
    <m/>
    <s v=""/>
    <m/>
    <s v=""/>
    <n v="0"/>
    <x v="0"/>
    <n v="0"/>
    <n v="1"/>
    <n v="0"/>
    <n v="1"/>
    <n v="1.0539809143996581"/>
    <x v="2"/>
  </r>
  <r>
    <x v="14"/>
    <x v="4"/>
    <m/>
    <s v="03I"/>
    <s v="HHRS Hollands Noorderkwartier"/>
    <x v="27"/>
    <n v="28000"/>
    <m/>
    <m/>
    <n v="0"/>
    <n v="0"/>
    <n v="2016"/>
    <n v="2018"/>
    <n v="2018"/>
    <n v="2021"/>
    <n v="2021"/>
    <n v="2024"/>
    <n v="2"/>
    <n v="3"/>
    <n v="3"/>
    <n v="8"/>
    <n v="-3"/>
    <m/>
    <m/>
    <n v="2.2999999999999998"/>
    <n v="4.5999999999999996"/>
    <n v="38.9"/>
    <x v="83"/>
    <m/>
    <m/>
    <s v=""/>
    <m/>
    <s v=""/>
    <m/>
    <s v=""/>
    <n v="0"/>
    <x v="0"/>
    <n v="0"/>
    <n v="1"/>
    <n v="0"/>
    <n v="1"/>
    <n v="1.6357142857142857"/>
    <x v="2"/>
  </r>
  <r>
    <x v="14"/>
    <x v="5"/>
    <s v="C-kering"/>
    <s v="03I"/>
    <s v="HHRS Hollands Noorderkwartier"/>
    <x v="27"/>
    <m/>
    <m/>
    <m/>
    <n v="0"/>
    <n v="0"/>
    <n v="2016"/>
    <n v="2019"/>
    <n v="2019"/>
    <n v="2022"/>
    <n v="2022"/>
    <n v="2027"/>
    <n v="3"/>
    <n v="3"/>
    <n v="5"/>
    <n v="11"/>
    <m/>
    <m/>
    <m/>
    <n v="7.1630000000000003"/>
    <n v="23.49"/>
    <n v="199.8"/>
    <x v="84"/>
    <m/>
    <m/>
    <s v=""/>
    <m/>
    <s v=""/>
    <m/>
    <s v=""/>
    <n v="0"/>
    <x v="0"/>
    <n v="0"/>
    <n v="1"/>
    <n v="0"/>
    <n v="2"/>
    <m/>
    <x v="3"/>
  </r>
  <r>
    <x v="15"/>
    <x v="0"/>
    <n v="10"/>
    <s v="2D"/>
    <s v="HHRS De Stichtse Rijnlanden"/>
    <x v="28"/>
    <n v="9800"/>
    <n v="2"/>
    <s v="44-1"/>
    <n v="0"/>
    <n v="0"/>
    <n v="2017"/>
    <n v="2021"/>
    <n v="2021"/>
    <n v="2023"/>
    <n v="2023"/>
    <n v="2027"/>
    <n v="4"/>
    <n v="2"/>
    <n v="4"/>
    <n v="10"/>
    <n v="0"/>
    <m/>
    <n v="10"/>
    <n v="7.2111111111111112"/>
    <n v="14.666666666666666"/>
    <n v="39.333333333333329"/>
    <x v="85"/>
    <n v="-19.5"/>
    <m/>
    <n v="-19.5"/>
    <m/>
    <n v="9800"/>
    <m/>
    <n v="6.2460317460317452"/>
    <m/>
    <x v="0"/>
    <n v="1"/>
    <n v="0"/>
    <n v="0"/>
    <n v="3"/>
    <n v="6.2460317460317452"/>
    <x v="1"/>
  </r>
  <r>
    <x v="15"/>
    <x v="1"/>
    <n v="10"/>
    <s v="2D"/>
    <s v="HHRS De Stichtse Rijnlanden"/>
    <x v="28"/>
    <n v="9800"/>
    <n v="2"/>
    <s v="44-1"/>
    <n v="0"/>
    <n v="0"/>
    <n v="2017"/>
    <n v="2021"/>
    <n v="2021"/>
    <n v="2023"/>
    <n v="2023"/>
    <n v="2027"/>
    <n v="4"/>
    <n v="2"/>
    <n v="4"/>
    <n v="10"/>
    <n v="0"/>
    <n v="10"/>
    <m/>
    <n v="7.2111111111111112"/>
    <n v="14.7"/>
    <n v="58.8"/>
    <x v="86"/>
    <n v="30.68888888888889"/>
    <n v="80.711111111111109"/>
    <s v=""/>
    <n v="9800"/>
    <s v=""/>
    <m/>
    <s v=""/>
    <n v="1"/>
    <x v="0"/>
    <n v="1"/>
    <n v="0"/>
    <n v="0"/>
    <n v="3"/>
    <n v="8.2358276643990926"/>
    <x v="1"/>
  </r>
  <r>
    <x v="15"/>
    <x v="2"/>
    <n v="25"/>
    <s v="02D"/>
    <s v="HHRS De Stichtse Rijnlanden"/>
    <x v="29"/>
    <n v="11007"/>
    <n v="1"/>
    <s v="44-1"/>
    <n v="0"/>
    <n v="0"/>
    <n v="2017"/>
    <n v="2018"/>
    <n v="2018"/>
    <n v="2020"/>
    <n v="2020"/>
    <n v="2027"/>
    <n v="1"/>
    <n v="2"/>
    <n v="7"/>
    <n v="10"/>
    <n v="1"/>
    <m/>
    <m/>
    <n v="7.2111111111111112"/>
    <n v="0"/>
    <n v="42.81111111111111"/>
    <x v="87"/>
    <n v="7.4222222222222172"/>
    <m/>
    <s v=""/>
    <m/>
    <s v=""/>
    <m/>
    <s v=""/>
    <n v="1"/>
    <x v="0"/>
    <n v="0"/>
    <n v="0"/>
    <n v="1"/>
    <n v="0"/>
    <n v="4.5445827402763896"/>
    <x v="2"/>
  </r>
  <r>
    <x v="15"/>
    <x v="3"/>
    <n v="23"/>
    <s v="02D"/>
    <s v="HHRS De Stichtse Rijnlanden"/>
    <x v="29"/>
    <n v="11007"/>
    <m/>
    <s v="44-1"/>
    <n v="0"/>
    <n v="0"/>
    <n v="2017"/>
    <n v="2018"/>
    <n v="2018"/>
    <n v="2020"/>
    <n v="2020"/>
    <n v="2026"/>
    <n v="1"/>
    <n v="2"/>
    <n v="6"/>
    <n v="9"/>
    <m/>
    <m/>
    <m/>
    <n v="0"/>
    <n v="0"/>
    <n v="42.6"/>
    <x v="88"/>
    <m/>
    <m/>
    <s v=""/>
    <m/>
    <s v=""/>
    <m/>
    <s v=""/>
    <n v="1"/>
    <x v="0"/>
    <n v="0"/>
    <n v="0"/>
    <n v="1"/>
    <n v="0"/>
    <n v="3.8702643772145002"/>
    <x v="2"/>
  </r>
  <r>
    <x v="15"/>
    <x v="4"/>
    <m/>
    <m/>
    <s v="HHRS De Stichtse Rijnlanden"/>
    <x v="30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0"/>
    <n v="0"/>
    <n v="0"/>
    <n v="0"/>
    <m/>
    <m/>
    <x v="6"/>
  </r>
  <r>
    <x v="15"/>
    <x v="5"/>
    <m/>
    <m/>
    <s v="HHRS De Stichtse Rijnlanden"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0"/>
    <n v="0"/>
    <n v="0"/>
    <n v="0"/>
    <m/>
    <m/>
    <x v="6"/>
  </r>
  <r>
    <x v="16"/>
    <x v="0"/>
    <n v="25"/>
    <s v="15P"/>
    <s v="Waterschap Drents-Overijsselse Delta"/>
    <x v="31"/>
    <n v="32000"/>
    <m/>
    <m/>
    <n v="0"/>
    <n v="0"/>
    <n v="2019"/>
    <n v="2023"/>
    <n v="2023"/>
    <n v="2026"/>
    <n v="2026"/>
    <n v="2029"/>
    <n v="4"/>
    <n v="3"/>
    <n v="3"/>
    <n v="10"/>
    <n v="-2"/>
    <m/>
    <n v="0"/>
    <n v="11.666666666666666"/>
    <n v="12.222222222222221"/>
    <n v="81.555555555555557"/>
    <x v="89"/>
    <n v="-0.12444444444444969"/>
    <m/>
    <n v="14.37555555555555"/>
    <m/>
    <n v="16306.394517841267"/>
    <m/>
    <n v="0.92954749103942635"/>
    <m/>
    <x v="1"/>
    <n v="1"/>
    <n v="0"/>
    <n v="0"/>
    <n v="6"/>
    <n v="3.2951388888888888"/>
    <x v="5"/>
  </r>
  <r>
    <x v="16"/>
    <x v="1"/>
    <m/>
    <s v="15P"/>
    <s v="Waterschap Drents-Overijsselse Delta"/>
    <x v="31"/>
    <n v="33335"/>
    <n v="3"/>
    <s v="53-3"/>
    <n v="1"/>
    <n v="0"/>
    <n v="2019"/>
    <n v="2024"/>
    <n v="2024"/>
    <n v="2027"/>
    <n v="2027"/>
    <n v="2031"/>
    <n v="5"/>
    <n v="3"/>
    <n v="4"/>
    <n v="12"/>
    <n v="3"/>
    <n v="2"/>
    <m/>
    <n v="11.672222222222222"/>
    <n v="12.247777777777777"/>
    <n v="81.648888888888891"/>
    <x v="90"/>
    <n v="58.36888888888889"/>
    <n v="67.068888888888893"/>
    <s v=""/>
    <n v="17641.394517841269"/>
    <s v=""/>
    <n v="0.71367983632604659"/>
    <s v=""/>
    <n v="1"/>
    <x v="1"/>
    <n v="1"/>
    <n v="0"/>
    <n v="0"/>
    <n v="7"/>
    <n v="3.1669083212506042"/>
    <x v="8"/>
  </r>
  <r>
    <x v="16"/>
    <x v="2"/>
    <n v="82"/>
    <s v="34AP"/>
    <s v="Waterschap Drents-Overijsselse Delta"/>
    <x v="32"/>
    <n v="16275"/>
    <n v="12"/>
    <s v="53-3 + 9-1"/>
    <n v="0"/>
    <n v="0"/>
    <n v="2017"/>
    <n v="2022"/>
    <n v="2022"/>
    <n v="2024"/>
    <n v="2024"/>
    <n v="2026"/>
    <n v="5"/>
    <n v="2"/>
    <n v="2"/>
    <n v="9"/>
    <n v="-1"/>
    <m/>
    <m/>
    <n v="4.5"/>
    <n v="4.5"/>
    <n v="38.200000000000003"/>
    <x v="91"/>
    <n v="19.3"/>
    <m/>
    <s v=""/>
    <m/>
    <s v=""/>
    <m/>
    <s v=""/>
    <n v="1"/>
    <x v="1"/>
    <n v="1"/>
    <n v="0"/>
    <n v="0"/>
    <n v="4"/>
    <n v="2.9001536098310297"/>
    <x v="0"/>
  </r>
  <r>
    <x v="16"/>
    <x v="3"/>
    <n v="56"/>
    <s v="34AP"/>
    <s v="Waterschap Drents-Overijsselse Delta"/>
    <x v="33"/>
    <n v="16275"/>
    <m/>
    <s v="53-3 + 9-1"/>
    <n v="0"/>
    <n v="0"/>
    <n v="2018"/>
    <n v="2022"/>
    <n v="2022"/>
    <n v="2025"/>
    <n v="2025"/>
    <n v="2028"/>
    <n v="4"/>
    <n v="3"/>
    <n v="3"/>
    <n v="10"/>
    <n v="0"/>
    <m/>
    <m/>
    <n v="1.4259999999999999"/>
    <n v="2.79"/>
    <n v="23.684000000000001"/>
    <x v="92"/>
    <n v="-10.599999999999998"/>
    <m/>
    <s v=""/>
    <m/>
    <s v=""/>
    <m/>
    <s v=""/>
    <n v="1"/>
    <x v="1"/>
    <n v="1"/>
    <n v="0"/>
    <n v="0"/>
    <n v="5"/>
    <n v="1.7142857142857146"/>
    <x v="0"/>
  </r>
  <r>
    <x v="16"/>
    <x v="4"/>
    <n v="58"/>
    <s v="15P"/>
    <s v="Waterschap Drents-Overijsselse Delta"/>
    <x v="34"/>
    <n v="15693.605482158733"/>
    <n v="2"/>
    <s v="53-3"/>
    <n v="0"/>
    <n v="0"/>
    <n v="2018"/>
    <n v="2022"/>
    <n v="2022"/>
    <n v="2025"/>
    <n v="2025"/>
    <n v="2028"/>
    <n v="4"/>
    <n v="3"/>
    <n v="3"/>
    <n v="10"/>
    <n v="-2"/>
    <m/>
    <m/>
    <n v="1.6"/>
    <n v="3.9"/>
    <n v="33"/>
    <x v="93"/>
    <n v="-14.5"/>
    <m/>
    <s v=""/>
    <m/>
    <s v=""/>
    <m/>
    <s v=""/>
    <n v="1"/>
    <x v="1"/>
    <n v="1"/>
    <n v="0"/>
    <n v="0"/>
    <n v="5"/>
    <n v="2.4532284849245576"/>
    <x v="0"/>
  </r>
  <r>
    <x v="16"/>
    <x v="5"/>
    <n v="45"/>
    <s v="15P"/>
    <s v="Waterschap Drents-Overijsselse Delta"/>
    <x v="34"/>
    <m/>
    <m/>
    <m/>
    <n v="0"/>
    <n v="0"/>
    <n v="2017"/>
    <n v="2024"/>
    <n v="2024"/>
    <n v="2027"/>
    <n v="2027"/>
    <n v="2029"/>
    <n v="7"/>
    <n v="3"/>
    <n v="2"/>
    <n v="12"/>
    <m/>
    <m/>
    <m/>
    <n v="4.0999999999999996"/>
    <n v="5.0999999999999996"/>
    <n v="43.8"/>
    <x v="94"/>
    <m/>
    <m/>
    <s v=""/>
    <m/>
    <s v=""/>
    <m/>
    <s v=""/>
    <n v="1"/>
    <x v="1"/>
    <n v="1"/>
    <n v="0"/>
    <n v="0"/>
    <n v="7"/>
    <m/>
    <x v="8"/>
  </r>
  <r>
    <x v="17"/>
    <x v="0"/>
    <s v="C-kering"/>
    <s v="02C"/>
    <s v="HHRS De Stichtse Rijnlanden"/>
    <x v="35"/>
    <n v="10800"/>
    <m/>
    <m/>
    <n v="0"/>
    <n v="0"/>
    <n v="2019"/>
    <n v="2022"/>
    <n v="2022"/>
    <n v="2024"/>
    <n v="2024"/>
    <n v="2028"/>
    <n v="3"/>
    <n v="2"/>
    <n v="4"/>
    <n v="9"/>
    <n v="1"/>
    <m/>
    <m/>
    <n v="5.6666666666666661"/>
    <n v="7.5555555555555554"/>
    <n v="62.222222222222221"/>
    <x v="95"/>
    <n v="-8.5555555555555571"/>
    <m/>
    <s v=""/>
    <m/>
    <s v=""/>
    <m/>
    <s v=""/>
    <m/>
    <x v="1"/>
    <n v="1"/>
    <n v="0"/>
    <n v="0"/>
    <n v="4"/>
    <n v="6.9855967078189298"/>
    <x v="0"/>
  </r>
  <r>
    <x v="17"/>
    <x v="1"/>
    <s v="C-kering"/>
    <s v="02C"/>
    <s v="HHRS De Stichtse Rijnlanden"/>
    <x v="35"/>
    <n v="12376"/>
    <n v="49"/>
    <s v="C-kering"/>
    <n v="0"/>
    <n v="1"/>
    <n v="2020"/>
    <n v="2022"/>
    <n v="2022"/>
    <n v="2024"/>
    <n v="2024"/>
    <n v="2028"/>
    <n v="2"/>
    <n v="2"/>
    <n v="4"/>
    <n v="8"/>
    <n v="-3"/>
    <m/>
    <m/>
    <n v="4.2"/>
    <n v="8.4"/>
    <n v="71.400000000000006"/>
    <x v="96"/>
    <n v="-4.1499999999999915"/>
    <n v="84"/>
    <s v=""/>
    <n v="12376"/>
    <s v=""/>
    <m/>
    <s v=""/>
    <n v="1"/>
    <x v="1"/>
    <n v="1"/>
    <n v="0"/>
    <n v="0"/>
    <n v="4"/>
    <n v="6.7873303167420813"/>
    <x v="0"/>
  </r>
  <r>
    <x v="17"/>
    <x v="2"/>
    <s v="C-kering"/>
    <s v="02C"/>
    <s v="HHRS De Stichtse Rijnlanden"/>
    <x v="36"/>
    <n v="12376"/>
    <n v="54"/>
    <s v="nvt"/>
    <n v="0"/>
    <n v="1"/>
    <n v="2017"/>
    <n v="2022"/>
    <n v="2022"/>
    <n v="2024"/>
    <n v="2024"/>
    <n v="2028"/>
    <n v="5"/>
    <n v="2"/>
    <n v="4"/>
    <n v="11"/>
    <n v="0"/>
    <m/>
    <m/>
    <n v="8.3999999999999986"/>
    <n v="8.4"/>
    <n v="71.349999999999994"/>
    <x v="97"/>
    <n v="-4.3500000000000085"/>
    <m/>
    <s v=""/>
    <m/>
    <s v=""/>
    <m/>
    <s v=""/>
    <n v="1"/>
    <x v="1"/>
    <n v="1"/>
    <n v="0"/>
    <n v="0"/>
    <n v="4"/>
    <n v="7.1226567550096958"/>
    <x v="0"/>
  </r>
  <r>
    <x v="17"/>
    <x v="3"/>
    <s v="C-kering"/>
    <s v="02C"/>
    <s v="HHRS De Stichtse Rijnlanden"/>
    <x v="36"/>
    <n v="12376"/>
    <m/>
    <m/>
    <n v="0"/>
    <n v="1"/>
    <n v="2017"/>
    <n v="2022"/>
    <n v="2022"/>
    <n v="2024"/>
    <n v="2024"/>
    <n v="2028"/>
    <n v="5"/>
    <n v="2"/>
    <n v="4"/>
    <n v="11"/>
    <n v="11"/>
    <m/>
    <m/>
    <n v="12.7"/>
    <n v="8.4"/>
    <n v="71.400000000000006"/>
    <x v="98"/>
    <m/>
    <m/>
    <s v=""/>
    <m/>
    <s v=""/>
    <m/>
    <s v=""/>
    <n v="1"/>
    <x v="1"/>
    <n v="1"/>
    <n v="0"/>
    <n v="0"/>
    <n v="4"/>
    <n v="7.4741435035552684"/>
    <x v="0"/>
  </r>
  <r>
    <x v="17"/>
    <x v="4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17"/>
    <x v="5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18"/>
    <x v="0"/>
    <n v="1"/>
    <s v="22W"/>
    <s v="Waterschap Rivierenland"/>
    <x v="37"/>
    <n v="1195"/>
    <m/>
    <m/>
    <n v="0"/>
    <n v="0"/>
    <n v="2016"/>
    <n v="2018"/>
    <n v="2018"/>
    <n v="2020"/>
    <n v="2020"/>
    <n v="2022"/>
    <n v="2"/>
    <n v="2"/>
    <n v="2"/>
    <n v="6"/>
    <n v="0"/>
    <m/>
    <n v="2"/>
    <n v="1"/>
    <n v="1.3333333333333333"/>
    <n v="9.5555555555555554"/>
    <x v="99"/>
    <n v="-2.1322222222222216"/>
    <m/>
    <n v="-5.7470902851316863"/>
    <m/>
    <n v="75.086287778749011"/>
    <m/>
    <n v="2.0778366769268661"/>
    <m/>
    <x v="0"/>
    <n v="0"/>
    <n v="0"/>
    <n v="1"/>
    <n v="0"/>
    <n v="9.9488609948860987"/>
    <x v="2"/>
  </r>
  <r>
    <x v="18"/>
    <x v="1"/>
    <n v="1"/>
    <s v="22W"/>
    <s v="Waterschap Rivierenland"/>
    <x v="37"/>
    <n v="1195"/>
    <m/>
    <s v="16-4"/>
    <n v="0"/>
    <n v="0"/>
    <n v="2016"/>
    <n v="2018"/>
    <n v="2018"/>
    <n v="2020"/>
    <n v="2020"/>
    <n v="2022"/>
    <n v="2"/>
    <n v="2"/>
    <n v="2"/>
    <n v="6"/>
    <n v="0"/>
    <n v="2"/>
    <m/>
    <n v="0.99222222222222212"/>
    <n v="1.4622222222222221"/>
    <n v="11.566666666666666"/>
    <x v="100"/>
    <n v="2.5"/>
    <n v="5.206243048201646"/>
    <s v=""/>
    <n v="75.086287778749011"/>
    <s v=""/>
    <n v="3.8621230553555037"/>
    <s v=""/>
    <n v="0"/>
    <x v="0"/>
    <n v="0"/>
    <n v="0"/>
    <n v="1"/>
    <n v="0"/>
    <n v="11.733147373314736"/>
    <x v="2"/>
  </r>
  <r>
    <x v="18"/>
    <x v="2"/>
    <n v="3"/>
    <s v="22W"/>
    <s v="Waterschap Rivierenland"/>
    <x v="37"/>
    <n v="1119.913712221251"/>
    <n v="3"/>
    <s v="16-4"/>
    <n v="0"/>
    <n v="0"/>
    <n v="2016"/>
    <n v="2018"/>
    <n v="2018"/>
    <n v="2020"/>
    <n v="2020"/>
    <n v="2022"/>
    <n v="2"/>
    <n v="2"/>
    <n v="2"/>
    <n v="6"/>
    <n v="1"/>
    <m/>
    <m/>
    <n v="0.99222222222222234"/>
    <n v="1.4622222222222221"/>
    <n v="9.0666666666666664"/>
    <x v="101"/>
    <n v="1.8811622222222226"/>
    <m/>
    <s v=""/>
    <m/>
    <s v=""/>
    <m/>
    <s v=""/>
    <n v="0"/>
    <x v="0"/>
    <n v="0"/>
    <n v="0"/>
    <n v="1"/>
    <n v="0"/>
    <n v="10.287498925484172"/>
    <x v="2"/>
  </r>
  <r>
    <x v="18"/>
    <x v="3"/>
    <n v="2"/>
    <s v="22W"/>
    <s v="Waterschap Rivierenland"/>
    <x v="37"/>
    <n v="1119.913712221251"/>
    <m/>
    <s v="16-4"/>
    <n v="0"/>
    <n v="0"/>
    <n v="2016"/>
    <n v="2018"/>
    <n v="2018"/>
    <n v="2019"/>
    <n v="2019"/>
    <n v="2021"/>
    <n v="2"/>
    <n v="1"/>
    <n v="2"/>
    <n v="5"/>
    <n v="1"/>
    <m/>
    <m/>
    <n v="3.9"/>
    <n v="1.3399488888888889"/>
    <n v="4.4000000000000004"/>
    <x v="102"/>
    <n v="0.82508082597942334"/>
    <m/>
    <s v=""/>
    <m/>
    <s v=""/>
    <m/>
    <s v=""/>
    <n v="0"/>
    <x v="0"/>
    <n v="0"/>
    <n v="0"/>
    <n v="1"/>
    <n v="-1"/>
    <n v="8.6077603869756114"/>
    <x v="2"/>
  </r>
  <r>
    <x v="18"/>
    <x v="4"/>
    <n v="2"/>
    <s v="22W"/>
    <s v="Waterschap Rivierenland"/>
    <x v="37"/>
    <n v="1119.913712221251"/>
    <n v="3"/>
    <s v="16-4"/>
    <n v="0"/>
    <n v="0"/>
    <n v="2016"/>
    <n v="2018"/>
    <n v="2018"/>
    <n v="2019"/>
    <n v="2019"/>
    <n v="2020"/>
    <n v="2"/>
    <n v="1"/>
    <n v="1"/>
    <n v="4"/>
    <n v="0"/>
    <m/>
    <m/>
    <n v="3.9"/>
    <n v="0.51735453293783862"/>
    <n v="4.3975135299716275"/>
    <x v="103"/>
    <n v="3.6148680629094647"/>
    <m/>
    <s v=""/>
    <m/>
    <s v=""/>
    <m/>
    <s v=""/>
    <n v="0"/>
    <x v="0"/>
    <n v="0"/>
    <n v="0"/>
    <n v="0"/>
    <n v="-1"/>
    <n v="7.8710243179592325"/>
    <x v="2"/>
  </r>
  <r>
    <x v="18"/>
    <x v="5"/>
    <n v="1"/>
    <s v="22W"/>
    <s v="Waterschap Rivierenland"/>
    <x v="37"/>
    <m/>
    <m/>
    <m/>
    <n v="0"/>
    <n v="0"/>
    <n v="2016"/>
    <n v="2018"/>
    <n v="2018"/>
    <n v="2019"/>
    <n v="2019"/>
    <n v="2020"/>
    <n v="2"/>
    <n v="1"/>
    <n v="1"/>
    <n v="4"/>
    <m/>
    <m/>
    <m/>
    <n v="0.3"/>
    <n v="0.5"/>
    <n v="4.4000000000000004"/>
    <x v="104"/>
    <m/>
    <m/>
    <s v=""/>
    <m/>
    <s v=""/>
    <m/>
    <s v=""/>
    <n v="0"/>
    <x v="0"/>
    <n v="0"/>
    <n v="0"/>
    <n v="0"/>
    <n v="-1"/>
    <m/>
    <x v="2"/>
  </r>
  <r>
    <x v="19"/>
    <x v="0"/>
    <n v="6"/>
    <s v="22L"/>
    <s v="Waterschap Rivierenland"/>
    <x v="38"/>
    <n v="13175"/>
    <m/>
    <s v="43-4"/>
    <n v="0"/>
    <n v="0"/>
    <n v="2016"/>
    <n v="2020"/>
    <n v="2020"/>
    <n v="2022"/>
    <n v="2022"/>
    <n v="2026"/>
    <n v="4"/>
    <n v="2"/>
    <n v="4"/>
    <n v="10"/>
    <n v="0"/>
    <m/>
    <n v="3"/>
    <n v="7.4444444444444446"/>
    <n v="14.888888888888889"/>
    <n v="113.88888888888889"/>
    <x v="105"/>
    <n v="-8.6666666666644687E-2"/>
    <m/>
    <n v="-34.286666666666648"/>
    <m/>
    <n v="-2340"/>
    <m/>
    <n v="5.5941645881318642"/>
    <m/>
    <x v="1"/>
    <n v="0"/>
    <n v="1"/>
    <n v="0"/>
    <n v="2"/>
    <n v="10.339447606999789"/>
    <x v="4"/>
  </r>
  <r>
    <x v="19"/>
    <x v="1"/>
    <n v="6"/>
    <s v="22L"/>
    <s v="Waterschap Rivierenland"/>
    <x v="39"/>
    <n v="13300"/>
    <m/>
    <s v="43-4"/>
    <n v="0"/>
    <n v="0"/>
    <n v="2016"/>
    <n v="2020"/>
    <n v="2020"/>
    <n v="2022"/>
    <n v="2022"/>
    <n v="2026"/>
    <n v="4"/>
    <n v="2"/>
    <n v="4"/>
    <n v="10"/>
    <n v="2"/>
    <n v="3"/>
    <m/>
    <n v="7.477777777777777"/>
    <n v="14.92"/>
    <n v="113.91111111111111"/>
    <x v="106"/>
    <n v="27.504444444444431"/>
    <n v="86.008888888888862"/>
    <s v=""/>
    <n v="-2215"/>
    <s v=""/>
    <n v="7.0067647903731807"/>
    <s v=""/>
    <n v="1"/>
    <x v="1"/>
    <n v="0"/>
    <n v="1"/>
    <n v="0"/>
    <n v="2"/>
    <n v="10.248788638262321"/>
    <x v="4"/>
  </r>
  <r>
    <x v="19"/>
    <x v="2"/>
    <n v="15"/>
    <s v="22AI"/>
    <s v="Waterschap Rivierenland"/>
    <x v="40"/>
    <n v="10600"/>
    <n v="97"/>
    <s v="43-4"/>
    <n v="0"/>
    <n v="0"/>
    <n v="2016"/>
    <n v="2018"/>
    <n v="2018"/>
    <n v="2020"/>
    <n v="2020"/>
    <n v="2024"/>
    <n v="2"/>
    <n v="2"/>
    <n v="4"/>
    <n v="8"/>
    <n v="3"/>
    <m/>
    <m/>
    <n v="7.4777777777777779"/>
    <n v="11.326666666666666"/>
    <n v="90"/>
    <x v="107"/>
    <n v="58.004444444444438"/>
    <m/>
    <s v=""/>
    <m/>
    <s v=""/>
    <m/>
    <s v=""/>
    <n v="1"/>
    <x v="1"/>
    <n v="0"/>
    <n v="0"/>
    <n v="1"/>
    <n v="0"/>
    <n v="10.264570230607967"/>
    <x v="2"/>
  </r>
  <r>
    <x v="19"/>
    <x v="3"/>
    <n v="12"/>
    <s v="22AI"/>
    <s v="Waterschap Rivierenland"/>
    <x v="39"/>
    <n v="10600"/>
    <m/>
    <s v="43-4"/>
    <n v="0"/>
    <n v="0"/>
    <n v="2018"/>
    <n v="2019"/>
    <n v="2019"/>
    <n v="2021"/>
    <n v="2021"/>
    <n v="2023"/>
    <n v="1"/>
    <n v="2"/>
    <n v="2"/>
    <n v="5"/>
    <n v="-2"/>
    <m/>
    <m/>
    <n v="0"/>
    <n v="46.1"/>
    <n v="4.7"/>
    <x v="108"/>
    <n v="0.5"/>
    <m/>
    <s v=""/>
    <m/>
    <s v=""/>
    <m/>
    <s v=""/>
    <n v="1"/>
    <x v="1"/>
    <n v="0"/>
    <n v="1"/>
    <n v="0"/>
    <n v="1"/>
    <n v="4.7924528301886795"/>
    <x v="3"/>
  </r>
  <r>
    <x v="19"/>
    <x v="4"/>
    <n v="4"/>
    <s v="22AI + 22AJ + 22VLBO43-4 22AI + 22VLBO43-5 22AJ+22VLBO43-4 22AC"/>
    <s v="Waterschap Rivierenland"/>
    <x v="39"/>
    <n v="15515"/>
    <m/>
    <s v="43-5"/>
    <n v="0"/>
    <n v="0"/>
    <n v="2016"/>
    <n v="2018"/>
    <n v="2018"/>
    <n v="2020"/>
    <n v="2020"/>
    <n v="2023"/>
    <n v="2"/>
    <n v="2"/>
    <n v="3"/>
    <n v="7"/>
    <n v="1"/>
    <m/>
    <m/>
    <n v="0"/>
    <n v="5.6"/>
    <n v="44.7"/>
    <x v="109"/>
    <n v="34.200000000000003"/>
    <m/>
    <s v=""/>
    <m/>
    <s v=""/>
    <m/>
    <s v=""/>
    <n v="1"/>
    <x v="1"/>
    <n v="0"/>
    <n v="0"/>
    <n v="1"/>
    <n v="0"/>
    <n v="3.2420238478891399"/>
    <x v="2"/>
  </r>
  <r>
    <x v="19"/>
    <x v="5"/>
    <n v="4"/>
    <s v="22L"/>
    <s v="Waterschap Rivierenland"/>
    <x v="41"/>
    <m/>
    <m/>
    <m/>
    <n v="0"/>
    <n v="0"/>
    <n v="2017"/>
    <n v="2018"/>
    <n v="2018"/>
    <n v="2020"/>
    <n v="2020"/>
    <n v="2023"/>
    <n v="1"/>
    <n v="2"/>
    <n v="3"/>
    <n v="6"/>
    <m/>
    <m/>
    <m/>
    <n v="0"/>
    <n v="1.7"/>
    <n v="14.4"/>
    <x v="110"/>
    <m/>
    <m/>
    <s v=""/>
    <m/>
    <s v=""/>
    <m/>
    <s v=""/>
    <n v="1"/>
    <x v="1"/>
    <n v="0"/>
    <n v="0"/>
    <n v="1"/>
    <n v="0"/>
    <m/>
    <x v="2"/>
  </r>
  <r>
    <x v="20"/>
    <x v="0"/>
    <n v="5"/>
    <s v="05E"/>
    <s v="HHRS van Rijnland"/>
    <x v="42"/>
    <n v="102"/>
    <m/>
    <m/>
    <n v="0"/>
    <n v="0"/>
    <n v="2018"/>
    <n v="2021"/>
    <n v="2021"/>
    <n v="2022"/>
    <n v="2022"/>
    <n v="2026"/>
    <n v="3"/>
    <n v="1"/>
    <n v="4"/>
    <n v="8"/>
    <n v="2"/>
    <m/>
    <n v="3"/>
    <n v="2.4444444444444446"/>
    <n v="1"/>
    <n v="11.555555555555555"/>
    <x v="111"/>
    <n v="2.3344444444444434"/>
    <m/>
    <n v="3.9344444444444431"/>
    <m/>
    <n v="-21"/>
    <m/>
    <n v="46.08951819823244"/>
    <m/>
    <x v="0"/>
    <n v="1"/>
    <n v="0"/>
    <n v="0"/>
    <n v="2"/>
    <n v="147.05882352941177"/>
    <x v="1"/>
  </r>
  <r>
    <x v="20"/>
    <x v="1"/>
    <n v="5"/>
    <s v="05E"/>
    <s v="HHRS van Rijnland"/>
    <x v="42"/>
    <n v="102"/>
    <n v="3"/>
    <s v="14-1"/>
    <n v="0"/>
    <n v="0"/>
    <n v="2019"/>
    <n v="2020"/>
    <n v="2020"/>
    <n v="2021"/>
    <n v="2021"/>
    <n v="2025"/>
    <n v="1"/>
    <n v="1"/>
    <n v="4"/>
    <n v="6"/>
    <n v="1"/>
    <n v="1"/>
    <m/>
    <n v="0"/>
    <n v="1.1055555555555556"/>
    <n v="11.56"/>
    <x v="112"/>
    <n v="-0.43444444444444308"/>
    <n v="0.16555555555555657"/>
    <s v=""/>
    <n v="-21"/>
    <s v=""/>
    <n v="22.54609702959776"/>
    <s v=""/>
    <n v="0"/>
    <x v="0"/>
    <n v="0"/>
    <n v="1"/>
    <n v="0"/>
    <n v="1"/>
    <n v="124.17211328976036"/>
    <x v="4"/>
  </r>
  <r>
    <x v="20"/>
    <x v="2"/>
    <n v="9"/>
    <s v="05E"/>
    <s v="HHRS van Rijnland"/>
    <x v="43"/>
    <n v="123"/>
    <n v="4"/>
    <s v="14-1"/>
    <n v="0"/>
    <n v="0"/>
    <n v="2018"/>
    <n v="2019"/>
    <n v="2019"/>
    <n v="2021"/>
    <n v="2021"/>
    <n v="2023"/>
    <n v="1"/>
    <n v="2"/>
    <n v="2"/>
    <n v="5"/>
    <n v="-1"/>
    <m/>
    <m/>
    <n v="1.1000000000000001"/>
    <n v="1"/>
    <n v="11"/>
    <x v="113"/>
    <n v="-2.2999999999999989"/>
    <m/>
    <s v=""/>
    <m/>
    <s v=""/>
    <m/>
    <s v=""/>
    <n v="0"/>
    <x v="0"/>
    <n v="0"/>
    <n v="1"/>
    <n v="0"/>
    <n v="1"/>
    <n v="106.5040650406504"/>
    <x v="3"/>
  </r>
  <r>
    <x v="20"/>
    <x v="3"/>
    <n v="7"/>
    <s v="05E"/>
    <s v="HHRS van Rijnland"/>
    <x v="43"/>
    <n v="123.8"/>
    <n v="3"/>
    <s v="14-1"/>
    <n v="0"/>
    <n v="0"/>
    <n v="2017"/>
    <n v="2018"/>
    <n v="2018"/>
    <n v="2021"/>
    <n v="2021"/>
    <n v="2023"/>
    <n v="1"/>
    <n v="3"/>
    <n v="2"/>
    <n v="6"/>
    <n v="1"/>
    <m/>
    <m/>
    <n v="1.2"/>
    <n v="2.6"/>
    <n v="11.6"/>
    <x v="114"/>
    <n v="2.8999999999999986"/>
    <m/>
    <s v=""/>
    <m/>
    <s v=""/>
    <m/>
    <s v=""/>
    <n v="0"/>
    <x v="0"/>
    <n v="0"/>
    <n v="1"/>
    <n v="0"/>
    <n v="1"/>
    <n v="124.39418416801291"/>
    <x v="2"/>
  </r>
  <r>
    <x v="20"/>
    <x v="4"/>
    <n v="10"/>
    <s v="6e"/>
    <s v="HHRS van Rijnland"/>
    <x v="43"/>
    <n v="123"/>
    <n v="3"/>
    <s v="14-1"/>
    <n v="0"/>
    <n v="0"/>
    <m/>
    <m/>
    <n v="2017"/>
    <n v="2019"/>
    <n v="2019"/>
    <n v="2022"/>
    <n v="0"/>
    <n v="2"/>
    <n v="3"/>
    <n v="5"/>
    <n v="0"/>
    <m/>
    <m/>
    <n v="0"/>
    <n v="1.5"/>
    <n v="11"/>
    <x v="115"/>
    <n v="-1.5999999999999996"/>
    <m/>
    <s v=""/>
    <m/>
    <s v=""/>
    <m/>
    <s v=""/>
    <n v="0"/>
    <x v="0"/>
    <n v="0"/>
    <n v="0"/>
    <n v="1"/>
    <n v="-1"/>
    <n v="101.6260162601626"/>
    <x v="7"/>
  </r>
  <r>
    <x v="20"/>
    <x v="5"/>
    <n v="13"/>
    <s v="05E"/>
    <s v="HHRS van Rijnland"/>
    <x v="43"/>
    <m/>
    <m/>
    <m/>
    <n v="0"/>
    <n v="0"/>
    <n v="2016"/>
    <n v="2017"/>
    <n v="2017"/>
    <n v="2019"/>
    <n v="2019"/>
    <n v="2021"/>
    <n v="1"/>
    <n v="2"/>
    <n v="2"/>
    <n v="5"/>
    <m/>
    <m/>
    <m/>
    <n v="1.1000000000000001"/>
    <n v="2"/>
    <n v="11"/>
    <x v="116"/>
    <m/>
    <m/>
    <s v=""/>
    <m/>
    <s v=""/>
    <m/>
    <s v=""/>
    <n v="0"/>
    <x v="0"/>
    <n v="0"/>
    <n v="0"/>
    <n v="1"/>
    <n v="-1"/>
    <m/>
    <x v="7"/>
  </r>
  <r>
    <x v="21"/>
    <x v="0"/>
    <n v="7"/>
    <s v="22X"/>
    <s v="Waterschap Rivierenland"/>
    <x v="44"/>
    <n v="23450"/>
    <m/>
    <s v="43-6"/>
    <n v="0"/>
    <n v="0"/>
    <n v="2015"/>
    <n v="2018"/>
    <n v="2018"/>
    <n v="2020"/>
    <n v="2020"/>
    <n v="2027"/>
    <n v="3"/>
    <n v="2"/>
    <n v="7"/>
    <n v="12"/>
    <n v="2"/>
    <m/>
    <n v="4"/>
    <n v="19.444444444444443"/>
    <n v="27.555555555555557"/>
    <n v="280"/>
    <x v="117"/>
    <n v="57.589999999999975"/>
    <m/>
    <n v="91.689999999999984"/>
    <m/>
    <n v="9299.6133758498181"/>
    <m/>
    <n v="9.3518123667377395"/>
    <m/>
    <x v="1"/>
    <n v="0"/>
    <n v="0"/>
    <n v="1"/>
    <n v="0"/>
    <n v="13.944562899786781"/>
    <x v="2"/>
  </r>
  <r>
    <x v="21"/>
    <x v="1"/>
    <n v="7"/>
    <s v="22X"/>
    <s v="Waterschap Rivierenland"/>
    <x v="44"/>
    <n v="23450"/>
    <m/>
    <s v="43-6"/>
    <n v="0"/>
    <n v="0"/>
    <n v="2015"/>
    <n v="2018"/>
    <n v="2018"/>
    <n v="2020"/>
    <n v="2020"/>
    <n v="2025"/>
    <n v="3"/>
    <n v="2"/>
    <n v="5"/>
    <n v="10"/>
    <n v="1"/>
    <n v="2"/>
    <m/>
    <n v="19.542222222222222"/>
    <n v="27.645555555555553"/>
    <n v="222.22222222222223"/>
    <x v="118"/>
    <n v="2.2222222222012533E-3"/>
    <n v="161.71000000000004"/>
    <s v=""/>
    <n v="9299.6133758498181"/>
    <s v=""/>
    <n v="3.8775998999072891"/>
    <s v=""/>
    <n v="1"/>
    <x v="1"/>
    <n v="0"/>
    <n v="0"/>
    <n v="1"/>
    <n v="0"/>
    <n v="11.488699360341153"/>
    <x v="2"/>
  </r>
  <r>
    <x v="21"/>
    <x v="2"/>
    <n v="19"/>
    <s v="22X   "/>
    <s v="Waterschap Rivierenland"/>
    <x v="44"/>
    <n v="23450"/>
    <n v="150"/>
    <s v="43-6"/>
    <n v="0"/>
    <n v="0"/>
    <n v="2016"/>
    <n v="2018"/>
    <n v="2018"/>
    <n v="2020"/>
    <n v="2020"/>
    <n v="2025"/>
    <n v="2"/>
    <n v="2"/>
    <n v="5"/>
    <n v="9"/>
    <n v="2"/>
    <m/>
    <m/>
    <n v="19.542222222222222"/>
    <n v="27.645555555555557"/>
    <n v="222.22000000000003"/>
    <x v="119"/>
    <n v="149.40777777777782"/>
    <m/>
    <s v=""/>
    <m/>
    <s v=""/>
    <m/>
    <s v=""/>
    <n v="1"/>
    <x v="1"/>
    <n v="0"/>
    <n v="0"/>
    <n v="1"/>
    <n v="0"/>
    <n v="11.488604596067285"/>
    <x v="2"/>
  </r>
  <r>
    <x v="21"/>
    <x v="3"/>
    <n v="16"/>
    <s v="22X (incl. tussenstukken  22BA)"/>
    <s v="Waterschap Rivierenland"/>
    <x v="44"/>
    <n v="23450"/>
    <m/>
    <s v="43-6"/>
    <n v="0"/>
    <n v="0"/>
    <n v="2016"/>
    <n v="2018"/>
    <n v="2018"/>
    <n v="2020"/>
    <n v="2020"/>
    <n v="2023"/>
    <n v="2"/>
    <n v="2"/>
    <n v="3"/>
    <n v="7"/>
    <n v="-1"/>
    <m/>
    <m/>
    <n v="0"/>
    <n v="0"/>
    <n v="120"/>
    <x v="120"/>
    <n v="12.299999999999997"/>
    <m/>
    <s v=""/>
    <m/>
    <s v=""/>
    <m/>
    <s v=""/>
    <n v="1"/>
    <x v="1"/>
    <n v="0"/>
    <n v="0"/>
    <n v="1"/>
    <n v="0"/>
    <n v="5.1172707889125801"/>
    <x v="2"/>
  </r>
  <r>
    <x v="21"/>
    <x v="4"/>
    <n v="25"/>
    <s v="22X"/>
    <s v="Waterschap Rivierenland"/>
    <x v="44"/>
    <n v="14150.386624150182"/>
    <m/>
    <s v="43-6"/>
    <n v="0"/>
    <n v="0"/>
    <n v="2016"/>
    <n v="2018"/>
    <n v="2018"/>
    <n v="2020"/>
    <n v="2020"/>
    <n v="2024"/>
    <n v="2"/>
    <n v="2"/>
    <n v="4"/>
    <n v="8"/>
    <n v="0"/>
    <m/>
    <m/>
    <n v="0"/>
    <n v="6.5"/>
    <n v="101.2"/>
    <x v="121"/>
    <n v="-34.100000000000009"/>
    <m/>
    <s v=""/>
    <m/>
    <s v=""/>
    <m/>
    <s v=""/>
    <n v="1"/>
    <x v="1"/>
    <n v="0"/>
    <n v="0"/>
    <n v="1"/>
    <n v="0"/>
    <n v="7.6110994604338638"/>
    <x v="2"/>
  </r>
  <r>
    <x v="21"/>
    <x v="5"/>
    <n v="17"/>
    <s v="22X"/>
    <s v="Waterschap Rivierenland"/>
    <x v="44"/>
    <m/>
    <m/>
    <m/>
    <n v="0"/>
    <n v="0"/>
    <n v="2016"/>
    <n v="2018"/>
    <n v="2018"/>
    <n v="2020"/>
    <n v="2020"/>
    <n v="2024"/>
    <n v="2"/>
    <n v="2"/>
    <n v="4"/>
    <n v="8"/>
    <m/>
    <m/>
    <m/>
    <n v="0"/>
    <n v="14.9"/>
    <n v="126.9"/>
    <x v="122"/>
    <m/>
    <m/>
    <s v=""/>
    <m/>
    <s v=""/>
    <m/>
    <s v=""/>
    <n v="1"/>
    <x v="1"/>
    <n v="0"/>
    <n v="0"/>
    <n v="1"/>
    <n v="0"/>
    <m/>
    <x v="2"/>
  </r>
  <r>
    <x v="22"/>
    <x v="0"/>
    <n v="7"/>
    <s v="22Y"/>
    <s v="Waterschap Rivierenland"/>
    <x v="45"/>
    <n v="19500"/>
    <m/>
    <s v="43-6"/>
    <n v="0"/>
    <n v="0"/>
    <n v="2015"/>
    <n v="2018"/>
    <n v="2018"/>
    <n v="2020"/>
    <n v="2020"/>
    <n v="2028"/>
    <n v="3"/>
    <n v="2"/>
    <n v="8"/>
    <n v="13"/>
    <n v="0"/>
    <m/>
    <n v="7"/>
    <n v="12.222222222222221"/>
    <n v="23.666666666666668"/>
    <n v="296.66666666666669"/>
    <x v="123"/>
    <n v="-1.0001933333334136"/>
    <m/>
    <n v="27.299806666666598"/>
    <m/>
    <n v="6999.9991711241255"/>
    <m/>
    <n v="12.43874643874644"/>
    <m/>
    <x v="1"/>
    <n v="0"/>
    <n v="0"/>
    <n v="1"/>
    <n v="0"/>
    <n v="17.054131054131055"/>
    <x v="2"/>
  </r>
  <r>
    <x v="22"/>
    <x v="1"/>
    <n v="7"/>
    <s v="22Y"/>
    <s v="Waterschap Rivierenland"/>
    <x v="45"/>
    <n v="19500"/>
    <m/>
    <s v="43-6"/>
    <n v="0"/>
    <n v="0"/>
    <n v="2015"/>
    <n v="2018"/>
    <n v="2018"/>
    <n v="2020"/>
    <n v="2020"/>
    <n v="2028"/>
    <n v="3"/>
    <n v="2"/>
    <n v="8"/>
    <n v="13"/>
    <n v="5"/>
    <n v="7"/>
    <m/>
    <n v="12.255748888888892"/>
    <n v="23.748888888888892"/>
    <n v="297.55111111111114"/>
    <x v="124"/>
    <n v="119.77419333333339"/>
    <n v="243.55574888888896"/>
    <s v=""/>
    <n v="6999.9991711241255"/>
    <s v=""/>
    <n v="9.905423497375498"/>
    <s v=""/>
    <n v="1"/>
    <x v="1"/>
    <n v="0"/>
    <n v="0"/>
    <n v="1"/>
    <n v="0"/>
    <n v="17.105423019943025"/>
    <x v="2"/>
  </r>
  <r>
    <x v="22"/>
    <x v="2"/>
    <n v="21"/>
    <s v="22Y "/>
    <s v="Waterschap Rivierenland"/>
    <x v="45"/>
    <n v="19500"/>
    <n v="115"/>
    <s v="43-6"/>
    <n v="0"/>
    <n v="0"/>
    <n v="2016"/>
    <n v="2018"/>
    <n v="2018"/>
    <n v="2020"/>
    <n v="2021"/>
    <n v="2025"/>
    <n v="2"/>
    <n v="2"/>
    <n v="4"/>
    <n v="8"/>
    <n v="3"/>
    <m/>
    <m/>
    <n v="12.256666666666668"/>
    <n v="23.748888888888889"/>
    <n v="177.77600000000001"/>
    <x v="125"/>
    <n v="137.28255555555558"/>
    <m/>
    <s v=""/>
    <m/>
    <s v=""/>
    <m/>
    <s v=""/>
    <n v="1"/>
    <x v="1"/>
    <n v="0"/>
    <n v="0"/>
    <n v="0"/>
    <n v="1"/>
    <n v="10.963156695156696"/>
    <x v="2"/>
  </r>
  <r>
    <x v="22"/>
    <x v="3"/>
    <n v="18"/>
    <s v="22Y (incl. tussenstukken 22BC)"/>
    <s v="Waterschap Rivierenland"/>
    <x v="45"/>
    <n v="19500"/>
    <m/>
    <s v="43-6"/>
    <n v="0"/>
    <n v="0"/>
    <m/>
    <m/>
    <n v="2018"/>
    <n v="2020"/>
    <n v="2020"/>
    <n v="2023"/>
    <n v="0"/>
    <n v="2"/>
    <n v="3"/>
    <n v="5"/>
    <n v="-1"/>
    <m/>
    <m/>
    <n v="0"/>
    <n v="6.5"/>
    <n v="69.998999999999995"/>
    <x v="126"/>
    <n v="-13.501000000000005"/>
    <m/>
    <s v=""/>
    <m/>
    <s v=""/>
    <m/>
    <s v=""/>
    <n v="1"/>
    <x v="1"/>
    <n v="0"/>
    <n v="0"/>
    <n v="1"/>
    <n v="0"/>
    <n v="3.923025641025641"/>
    <x v="2"/>
  </r>
  <r>
    <x v="22"/>
    <x v="4"/>
    <n v="27"/>
    <s v="22Y"/>
    <s v="Waterschap Rivierenland"/>
    <x v="45"/>
    <n v="12500.000828875875"/>
    <m/>
    <s v="43-6"/>
    <n v="0"/>
    <n v="0"/>
    <m/>
    <m/>
    <n v="2018"/>
    <n v="2021"/>
    <n v="2021"/>
    <n v="2024"/>
    <n v="0"/>
    <n v="3"/>
    <n v="3"/>
    <n v="6"/>
    <n v="1"/>
    <m/>
    <m/>
    <n v="0"/>
    <n v="3.7"/>
    <n v="86.3"/>
    <x v="127"/>
    <n v="-28.300000000000011"/>
    <m/>
    <s v=""/>
    <m/>
    <s v=""/>
    <m/>
    <s v=""/>
    <n v="1"/>
    <x v="1"/>
    <n v="0"/>
    <n v="1"/>
    <n v="0"/>
    <n v="1"/>
    <n v="7.199999522567528"/>
    <x v="2"/>
  </r>
  <r>
    <x v="22"/>
    <x v="5"/>
    <n v="18"/>
    <s v="22Y"/>
    <s v="Waterschap Rivierenland"/>
    <x v="45"/>
    <m/>
    <m/>
    <m/>
    <n v="0"/>
    <n v="0"/>
    <m/>
    <m/>
    <n v="2018"/>
    <n v="2020"/>
    <n v="2020"/>
    <n v="2023"/>
    <n v="0"/>
    <n v="2"/>
    <n v="3"/>
    <n v="5"/>
    <m/>
    <m/>
    <m/>
    <n v="0"/>
    <n v="12.4"/>
    <n v="105.9"/>
    <x v="128"/>
    <m/>
    <m/>
    <s v=""/>
    <m/>
    <s v=""/>
    <m/>
    <s v=""/>
    <n v="1"/>
    <x v="1"/>
    <n v="0"/>
    <n v="0"/>
    <n v="1"/>
    <n v="0"/>
    <m/>
    <x v="2"/>
  </r>
  <r>
    <x v="23"/>
    <x v="0"/>
    <n v="25"/>
    <s v="34R"/>
    <s v="Waterschap Drents-Overijsselse Delta"/>
    <x v="46"/>
    <n v="283"/>
    <m/>
    <m/>
    <n v="0"/>
    <n v="0"/>
    <n v="2023"/>
    <n v="2025"/>
    <n v="2025"/>
    <n v="2027"/>
    <n v="2027"/>
    <n v="2029"/>
    <n v="2"/>
    <n v="2"/>
    <n v="2"/>
    <n v="6"/>
    <n v="0"/>
    <m/>
    <n v="0"/>
    <n v="0.26"/>
    <n v="0.7"/>
    <n v="5.74"/>
    <x v="129"/>
    <n v="0"/>
    <m/>
    <n v="0"/>
    <m/>
    <n v="0.14224693342839601"/>
    <m/>
    <n v="-1.1905926376144293E-2"/>
    <m/>
    <x v="0"/>
    <n v="0"/>
    <n v="0"/>
    <n v="0"/>
    <n v="7"/>
    <n v="23.674911660777386"/>
    <x v="9"/>
  </r>
  <r>
    <x v="23"/>
    <x v="1"/>
    <n v="25"/>
    <s v="34R"/>
    <s v="Waterschap Drents-Overijsselse Delta"/>
    <x v="46"/>
    <n v="283"/>
    <n v="1"/>
    <s v="53-3"/>
    <n v="0"/>
    <n v="0"/>
    <n v="2023"/>
    <n v="2025"/>
    <n v="2025"/>
    <n v="2027"/>
    <n v="2027"/>
    <n v="2029"/>
    <n v="2"/>
    <n v="2"/>
    <n v="2"/>
    <n v="6"/>
    <n v="-3"/>
    <n v="0"/>
    <m/>
    <n v="0.26"/>
    <n v="0.7"/>
    <n v="5.74"/>
    <x v="129"/>
    <n v="5.7"/>
    <n v="0"/>
    <s v=""/>
    <n v="0.14224693342839601"/>
    <s v=""/>
    <n v="-1.1905926376144293E-2"/>
    <s v=""/>
    <n v="0"/>
    <x v="0"/>
    <n v="0"/>
    <n v="0"/>
    <n v="0"/>
    <n v="7"/>
    <n v="23.674911660777386"/>
    <x v="9"/>
  </r>
  <r>
    <x v="23"/>
    <x v="2"/>
    <n v="56"/>
    <s v="34R"/>
    <s v="Waterschap Drents-Overijsselse Delta"/>
    <x v="46"/>
    <n v="282.8577530665716"/>
    <m/>
    <s v="53-3"/>
    <n v="0"/>
    <n v="0"/>
    <n v="2017"/>
    <n v="2022"/>
    <n v="2022"/>
    <n v="2024"/>
    <n v="2024"/>
    <n v="2026"/>
    <n v="5"/>
    <n v="2"/>
    <n v="2"/>
    <n v="9"/>
    <n v="0"/>
    <m/>
    <m/>
    <n v="0"/>
    <n v="0.3"/>
    <n v="0.7"/>
    <x v="130"/>
    <n v="-5.8669999999999991"/>
    <m/>
    <s v=""/>
    <m/>
    <s v=""/>
    <m/>
    <s v=""/>
    <n v="0"/>
    <x v="0"/>
    <n v="1"/>
    <n v="0"/>
    <n v="0"/>
    <n v="4"/>
    <n v="3.535345908530378"/>
    <x v="0"/>
  </r>
  <r>
    <x v="23"/>
    <x v="3"/>
    <n v="55"/>
    <s v="34R"/>
    <s v="Waterschap Drents-Overijsselse Delta"/>
    <x v="46"/>
    <n v="282.8577530665716"/>
    <s v="53-3"/>
    <m/>
    <n v="0"/>
    <n v="0"/>
    <n v="2017"/>
    <n v="2022"/>
    <n v="2022"/>
    <n v="2024"/>
    <n v="2024"/>
    <n v="2026"/>
    <n v="5"/>
    <n v="2"/>
    <n v="2"/>
    <n v="9"/>
    <n v="3"/>
    <m/>
    <m/>
    <n v="0.42200000000000004"/>
    <n v="0.66700000000000004"/>
    <n v="5.7779999999999996"/>
    <x v="131"/>
    <n v="0.16699999999999982"/>
    <m/>
    <s v=""/>
    <m/>
    <s v=""/>
    <m/>
    <s v=""/>
    <n v="0"/>
    <x v="0"/>
    <n v="1"/>
    <n v="0"/>
    <n v="0"/>
    <n v="4"/>
    <n v="24.277220353878104"/>
    <x v="0"/>
  </r>
  <r>
    <x v="23"/>
    <x v="4"/>
    <n v="57"/>
    <s v="15N"/>
    <s v="Waterschap Drents-Overijsselse Delta"/>
    <x v="46"/>
    <n v="282.8577530665716"/>
    <m/>
    <m/>
    <n v="0"/>
    <n v="0"/>
    <n v="2017"/>
    <n v="2019"/>
    <n v="2019"/>
    <n v="2021"/>
    <n v="2021"/>
    <n v="2023"/>
    <n v="2"/>
    <n v="2"/>
    <n v="2"/>
    <n v="6"/>
    <n v="-1"/>
    <m/>
    <m/>
    <n v="0.2"/>
    <n v="0.7"/>
    <n v="5.8"/>
    <x v="132"/>
    <n v="0"/>
    <m/>
    <s v=""/>
    <m/>
    <s v=""/>
    <m/>
    <s v=""/>
    <n v="0"/>
    <x v="0"/>
    <n v="0"/>
    <n v="1"/>
    <n v="0"/>
    <n v="1"/>
    <n v="23.686817587153531"/>
    <x v="3"/>
  </r>
  <r>
    <x v="23"/>
    <x v="5"/>
    <n v="44"/>
    <s v="15N"/>
    <s v="Waterschap Drents-Overijsselse Delta"/>
    <x v="46"/>
    <m/>
    <m/>
    <m/>
    <n v="0"/>
    <n v="0"/>
    <n v="2017"/>
    <n v="2019"/>
    <n v="2019"/>
    <n v="2022"/>
    <n v="2022"/>
    <n v="2024"/>
    <n v="2"/>
    <n v="3"/>
    <n v="2"/>
    <n v="7"/>
    <m/>
    <m/>
    <m/>
    <n v="0.2"/>
    <n v="0.7"/>
    <n v="5.8"/>
    <x v="132"/>
    <m/>
    <m/>
    <s v=""/>
    <m/>
    <s v=""/>
    <m/>
    <s v=""/>
    <n v="0"/>
    <x v="0"/>
    <n v="0"/>
    <n v="1"/>
    <n v="0"/>
    <n v="2"/>
    <m/>
    <x v="3"/>
  </r>
  <r>
    <x v="24"/>
    <x v="0"/>
    <n v="49"/>
    <s v="18A"/>
    <s v="Waterschap Noorderzijlvest"/>
    <x v="47"/>
    <n v="11700"/>
    <m/>
    <s v="6-7"/>
    <n v="0"/>
    <n v="0"/>
    <m/>
    <m/>
    <m/>
    <m/>
    <n v="2016"/>
    <n v="2021"/>
    <m/>
    <m/>
    <n v="5"/>
    <n v="5"/>
    <n v="0"/>
    <m/>
    <n v="0"/>
    <n v="0"/>
    <n v="36.444444444444443"/>
    <n v="60.333333333333329"/>
    <x v="133"/>
    <m/>
    <m/>
    <n v="7.0999999999999943"/>
    <m/>
    <n v="-141.0723808203802"/>
    <m/>
    <n v="1.7350348109435307"/>
    <m/>
    <x v="1"/>
    <n v="0"/>
    <n v="0"/>
    <n v="1"/>
    <n v="-4"/>
    <n v="8.2716049382716044"/>
    <x v="6"/>
  </r>
  <r>
    <x v="24"/>
    <x v="1"/>
    <n v="49"/>
    <s v="18A"/>
    <s v="Waterschap Noorderzijlvest"/>
    <x v="47"/>
    <n v="11700"/>
    <m/>
    <s v="6-7"/>
    <n v="0"/>
    <n v="0"/>
    <m/>
    <m/>
    <m/>
    <m/>
    <n v="2016"/>
    <n v="2021"/>
    <m/>
    <m/>
    <n v="5"/>
    <n v="5"/>
    <n v="0"/>
    <n v="0"/>
    <m/>
    <n v="0"/>
    <n v="43.333333333333336"/>
    <n v="60"/>
    <x v="134"/>
    <n v="0"/>
    <n v="25.933333333333337"/>
    <s v=""/>
    <n v="-141.0723808203802"/>
    <s v=""/>
    <n v="2.2953387045807601"/>
    <s v=""/>
    <n v="0"/>
    <x v="1"/>
    <n v="0"/>
    <n v="0"/>
    <n v="1"/>
    <n v="-4"/>
    <n v="8.8319088319088337"/>
    <x v="6"/>
  </r>
  <r>
    <x v="24"/>
    <x v="2"/>
    <n v="118"/>
    <s v="18A"/>
    <s v="Waterschap Noorderzijlvest"/>
    <x v="47"/>
    <n v="11740"/>
    <n v="13"/>
    <s v="6-7"/>
    <n v="0"/>
    <n v="0"/>
    <m/>
    <m/>
    <n v="2017"/>
    <n v="2018"/>
    <n v="2018"/>
    <n v="2022"/>
    <m/>
    <n v="1"/>
    <n v="4"/>
    <n v="5"/>
    <n v="0"/>
    <m/>
    <m/>
    <n v="0"/>
    <n v="43.333333333333336"/>
    <n v="60"/>
    <x v="134"/>
    <n v="26.603333333333339"/>
    <m/>
    <s v=""/>
    <m/>
    <s v=""/>
    <m/>
    <s v=""/>
    <n v="0"/>
    <x v="1"/>
    <n v="0"/>
    <n v="0"/>
    <n v="1"/>
    <n v="-2"/>
    <n v="8.801817149346963"/>
    <x v="7"/>
  </r>
  <r>
    <x v="24"/>
    <x v="3"/>
    <n v="115"/>
    <s v="18A"/>
    <s v="Waterschap Noorderzijlvest"/>
    <x v="47"/>
    <n v="11841.07238082038"/>
    <m/>
    <s v="6-7"/>
    <n v="0"/>
    <n v="0"/>
    <m/>
    <m/>
    <n v="2017"/>
    <n v="2018"/>
    <n v="2018"/>
    <n v="2022"/>
    <m/>
    <n v="1"/>
    <n v="4"/>
    <n v="5"/>
    <n v="0"/>
    <m/>
    <m/>
    <n v="0"/>
    <n v="25.3"/>
    <n v="51.43"/>
    <x v="135"/>
    <n v="-0.67000000000000171"/>
    <m/>
    <s v=""/>
    <m/>
    <s v=""/>
    <m/>
    <s v=""/>
    <n v="0"/>
    <x v="1"/>
    <n v="0"/>
    <n v="0"/>
    <n v="1"/>
    <n v="-2"/>
    <n v="6.4799874143395746"/>
    <x v="7"/>
  </r>
  <r>
    <x v="24"/>
    <x v="4"/>
    <n v="84"/>
    <s v="18A"/>
    <s v="Waterschap Noorderzijlvest"/>
    <x v="47"/>
    <n v="11841.07238082038"/>
    <m/>
    <m/>
    <n v="0"/>
    <n v="0"/>
    <m/>
    <m/>
    <m/>
    <m/>
    <n v="2017"/>
    <n v="2022"/>
    <m/>
    <m/>
    <n v="5"/>
    <n v="5"/>
    <n v="-1"/>
    <m/>
    <m/>
    <n v="0"/>
    <n v="0"/>
    <n v="77.400000000000006"/>
    <x v="136"/>
    <n v="-7.0999999999999943"/>
    <m/>
    <s v=""/>
    <m/>
    <s v=""/>
    <m/>
    <s v=""/>
    <n v="0"/>
    <x v="1"/>
    <n v="0"/>
    <n v="0"/>
    <n v="1"/>
    <n v="-3"/>
    <n v="6.5365701273280736"/>
    <x v="6"/>
  </r>
  <r>
    <x v="24"/>
    <x v="5"/>
    <n v="70"/>
    <s v="18A"/>
    <s v="Waterschap Noorderzijlvest"/>
    <x v="48"/>
    <m/>
    <m/>
    <m/>
    <n v="0"/>
    <n v="0"/>
    <m/>
    <m/>
    <n v="2016"/>
    <n v="2017"/>
    <n v="2017"/>
    <n v="2022"/>
    <m/>
    <n v="1"/>
    <n v="5"/>
    <n v="6"/>
    <m/>
    <m/>
    <m/>
    <n v="0"/>
    <n v="6.2"/>
    <n v="78.3"/>
    <x v="137"/>
    <m/>
    <m/>
    <s v=""/>
    <m/>
    <s v=""/>
    <m/>
    <s v=""/>
    <n v="0"/>
    <x v="1"/>
    <n v="0"/>
    <n v="0"/>
    <n v="1"/>
    <n v="-3"/>
    <m/>
    <x v="10"/>
  </r>
  <r>
    <x v="25"/>
    <x v="0"/>
    <n v="65"/>
    <s v="34P"/>
    <s v="Waterschap Drents-Overijsselse Delta"/>
    <x v="49"/>
    <n v="5770"/>
    <m/>
    <s v="10-1"/>
    <n v="0"/>
    <n v="0"/>
    <n v="2024"/>
    <n v="2026"/>
    <n v="2026"/>
    <n v="2029"/>
    <n v="2029"/>
    <n v="2032"/>
    <n v="2"/>
    <n v="3"/>
    <n v="3"/>
    <n v="8"/>
    <n v="-4"/>
    <m/>
    <n v="3"/>
    <n v="4.333333333333333"/>
    <n v="3.6666666666666665"/>
    <n v="29.888888888888886"/>
    <x v="138"/>
    <n v="21.385555555555552"/>
    <m/>
    <n v="10.585555555555551"/>
    <m/>
    <n v="-1308.8308712956323"/>
    <m/>
    <n v="5.0408562043990566"/>
    <m/>
    <x v="0"/>
    <n v="0"/>
    <n v="0"/>
    <n v="0"/>
    <n v="9"/>
    <n v="6.5665318698247637"/>
    <x v="11"/>
  </r>
  <r>
    <x v="25"/>
    <x v="1"/>
    <n v="65"/>
    <s v="34P"/>
    <s v="Waterschap Drents-Overijsselse Delta"/>
    <x v="49"/>
    <n v="7100"/>
    <m/>
    <s v="10-1"/>
    <n v="1"/>
    <n v="0"/>
    <n v="2024"/>
    <n v="2026"/>
    <n v="2026"/>
    <n v="2029"/>
    <n v="2029"/>
    <n v="2036"/>
    <n v="2"/>
    <n v="3"/>
    <n v="7"/>
    <n v="12"/>
    <n v="4"/>
    <n v="7"/>
    <m/>
    <n v="5.2033333333333331"/>
    <n v="11.3"/>
    <n v="0"/>
    <x v="139"/>
    <n v="-72.800000000000011"/>
    <n v="5.7033333333333331"/>
    <s v=""/>
    <n v="21.169128704367722"/>
    <s v=""/>
    <n v="0.79873748011419909"/>
    <s v=""/>
    <n v="0"/>
    <x v="0"/>
    <n v="0"/>
    <n v="0"/>
    <n v="0"/>
    <n v="9"/>
    <n v="2.3244131455399062"/>
    <x v="11"/>
  </r>
  <r>
    <x v="25"/>
    <x v="2"/>
    <n v="109"/>
    <s v="34P"/>
    <s v="Waterschap Drents-Overijsselse Delta"/>
    <x v="49"/>
    <n v="7078.8308712956323"/>
    <n v="12"/>
    <s v="10-2"/>
    <n v="1"/>
    <n v="0"/>
    <n v="2024"/>
    <n v="2026"/>
    <n v="2026"/>
    <n v="2029"/>
    <n v="2029"/>
    <n v="2032"/>
    <n v="2"/>
    <n v="3"/>
    <n v="3"/>
    <n v="8"/>
    <n v="1"/>
    <m/>
    <m/>
    <n v="3.7033333333333336"/>
    <n v="9"/>
    <n v="76.600000000000009"/>
    <x v="140"/>
    <n v="33.792333333333339"/>
    <m/>
    <s v=""/>
    <m/>
    <s v=""/>
    <m/>
    <s v=""/>
    <n v="0"/>
    <x v="0"/>
    <n v="0"/>
    <n v="0"/>
    <n v="0"/>
    <n v="9"/>
    <n v="12.615548380376579"/>
    <x v="11"/>
  </r>
  <r>
    <x v="25"/>
    <x v="3"/>
    <n v="108"/>
    <s v="34P"/>
    <s v="Waterschap Drents-Overijsselse Delta"/>
    <x v="49"/>
    <n v="7078.8308712956323"/>
    <m/>
    <s v="10-2"/>
    <n v="1"/>
    <n v="0"/>
    <n v="2024"/>
    <n v="2026"/>
    <n v="2026"/>
    <n v="2029"/>
    <n v="2029"/>
    <n v="2031"/>
    <n v="2"/>
    <n v="3"/>
    <n v="2"/>
    <n v="7"/>
    <n v="2"/>
    <m/>
    <m/>
    <n v="3.8780000000000001"/>
    <n v="6.1890000000000001"/>
    <n v="45.444000000000003"/>
    <x v="141"/>
    <n v="44.710999999999999"/>
    <m/>
    <s v=""/>
    <m/>
    <s v=""/>
    <m/>
    <s v=""/>
    <n v="0"/>
    <x v="0"/>
    <n v="0"/>
    <n v="0"/>
    <n v="0"/>
    <n v="9"/>
    <n v="7.8418316540228163"/>
    <x v="11"/>
  </r>
  <r>
    <x v="25"/>
    <x v="4"/>
    <n v="96"/>
    <s v="15K"/>
    <s v="Waterschap Drents-Overijsselse Delta"/>
    <x v="49"/>
    <n v="7078.8308712956323"/>
    <m/>
    <m/>
    <n v="0"/>
    <n v="0"/>
    <n v="2024"/>
    <n v="2026"/>
    <n v="2026"/>
    <n v="2029"/>
    <m/>
    <m/>
    <n v="2"/>
    <n v="3"/>
    <n v="0"/>
    <n v="5"/>
    <m/>
    <m/>
    <m/>
    <n v="4.0999999999999996"/>
    <n v="6.7"/>
    <n v="0"/>
    <x v="142"/>
    <n v="10.8"/>
    <m/>
    <s v=""/>
    <m/>
    <s v=""/>
    <m/>
    <s v=""/>
    <n v="0"/>
    <x v="0"/>
    <n v="0"/>
    <n v="0"/>
    <n v="0"/>
    <m/>
    <n v="1.5256756654257071"/>
    <x v="11"/>
  </r>
  <r>
    <x v="25"/>
    <x v="5"/>
    <n v="88"/>
    <s v="15K"/>
    <s v="Waterschap Drents-Overijsselse Delta"/>
    <x v="49"/>
    <m/>
    <m/>
    <m/>
    <n v="0"/>
    <n v="0"/>
    <m/>
    <m/>
    <m/>
    <m/>
    <m/>
    <m/>
    <m/>
    <m/>
    <m/>
    <m/>
    <m/>
    <m/>
    <m/>
    <m/>
    <m/>
    <m/>
    <x v="39"/>
    <m/>
    <m/>
    <s v=""/>
    <m/>
    <s v=""/>
    <m/>
    <s v=""/>
    <n v="0"/>
    <x v="0"/>
    <n v="0"/>
    <n v="0"/>
    <n v="0"/>
    <m/>
    <m/>
    <x v="6"/>
  </r>
  <r>
    <x v="26"/>
    <x v="0"/>
    <n v="75"/>
    <s v="28F/28G"/>
    <s v="Wetterskip Fryslân"/>
    <x v="50"/>
    <n v="47300"/>
    <m/>
    <s v="6-3, 6-4"/>
    <n v="0"/>
    <n v="0"/>
    <n v="2016"/>
    <n v="2021"/>
    <n v="2021"/>
    <n v="2024"/>
    <n v="2024"/>
    <n v="2030"/>
    <n v="5"/>
    <n v="3"/>
    <n v="6"/>
    <n v="14"/>
    <n v="1"/>
    <m/>
    <n v="7"/>
    <n v="14.555555555555555"/>
    <n v="23.888888888888889"/>
    <n v="272.22222222222223"/>
    <x v="143"/>
    <n v="-0.47222222222222854"/>
    <m/>
    <n v="5.2277777777777743"/>
    <m/>
    <n v="32901.331912956397"/>
    <m/>
    <n v="4.7431033249628571"/>
    <m/>
    <x v="1"/>
    <n v="1"/>
    <n v="0"/>
    <n v="0"/>
    <n v="4"/>
    <n v="6.56800563777308"/>
    <x v="1"/>
  </r>
  <r>
    <x v="26"/>
    <x v="1"/>
    <n v="75"/>
    <s v="28F/28G"/>
    <s v="Wetterskip Fryslân"/>
    <x v="50"/>
    <n v="47300"/>
    <m/>
    <s v="6-3, 6-4"/>
    <n v="1"/>
    <n v="0"/>
    <n v="2016"/>
    <n v="2021"/>
    <n v="2021"/>
    <n v="2023"/>
    <n v="2023"/>
    <n v="2029"/>
    <n v="5"/>
    <n v="2"/>
    <n v="6"/>
    <n v="13"/>
    <n v="0"/>
    <n v="6"/>
    <m/>
    <n v="14.565555555555555"/>
    <n v="23.94"/>
    <n v="272.63333333333333"/>
    <x v="144"/>
    <n v="0.20398111111114758"/>
    <n v="224.73888888888894"/>
    <s v=""/>
    <n v="32901.331912956397"/>
    <s v=""/>
    <n v="0.57743417920089435"/>
    <s v=""/>
    <n v="1"/>
    <x v="1"/>
    <n v="1"/>
    <n v="0"/>
    <n v="0"/>
    <n v="3"/>
    <n v="6.5779891942682651"/>
    <x v="1"/>
  </r>
  <r>
    <x v="26"/>
    <x v="2"/>
    <n v="123"/>
    <s v="28F "/>
    <s v="Wetterskip Fryslân"/>
    <x v="50"/>
    <n v="47345"/>
    <n v="2"/>
    <s v="6-3, 6-4"/>
    <n v="1"/>
    <n v="0"/>
    <n v="2017"/>
    <n v="2021"/>
    <n v="2021"/>
    <n v="2023"/>
    <n v="2023"/>
    <n v="2030"/>
    <n v="4"/>
    <n v="2"/>
    <n v="7"/>
    <n v="13"/>
    <n v="0"/>
    <m/>
    <m/>
    <n v="14.460463333333333"/>
    <n v="23.94"/>
    <n v="272.53444444444443"/>
    <x v="145"/>
    <n v="6.2035267777777676"/>
    <m/>
    <s v=""/>
    <m/>
    <s v=""/>
    <m/>
    <s v=""/>
    <n v="1"/>
    <x v="1"/>
    <n v="1"/>
    <n v="0"/>
    <n v="0"/>
    <n v="3"/>
    <n v="6.5674286150127319"/>
    <x v="1"/>
  </r>
  <r>
    <x v="26"/>
    <x v="3"/>
    <n v="120"/>
    <s v="28F + 28G"/>
    <s v="Wetterskip Fryslân"/>
    <x v="50"/>
    <n v="47345"/>
    <m/>
    <s v="6-3, 6-4"/>
    <n v="1"/>
    <n v="0"/>
    <n v="2017"/>
    <n v="2021"/>
    <n v="2021"/>
    <n v="2023"/>
    <n v="2023"/>
    <n v="2030"/>
    <n v="4"/>
    <n v="2"/>
    <n v="7"/>
    <n v="13"/>
    <n v="6"/>
    <m/>
    <m/>
    <n v="9.5913810000000002"/>
    <n v="23.94"/>
    <n v="271.2"/>
    <x v="146"/>
    <n v="218.33138100000002"/>
    <m/>
    <s v=""/>
    <m/>
    <s v=""/>
    <m/>
    <s v=""/>
    <n v="1"/>
    <x v="1"/>
    <n v="1"/>
    <n v="0"/>
    <n v="0"/>
    <n v="3"/>
    <n v="6.4364004857957546"/>
    <x v="1"/>
  </r>
  <r>
    <x v="26"/>
    <x v="4"/>
    <n v="104"/>
    <s v="28F &amp; 28G"/>
    <s v="Wetterskip Fryslân"/>
    <x v="50"/>
    <n v="14398.668087043601"/>
    <m/>
    <s v="6-5"/>
    <n v="1"/>
    <n v="0"/>
    <n v="2017"/>
    <n v="2019"/>
    <n v="2019"/>
    <n v="2021"/>
    <n v="2021"/>
    <n v="2024"/>
    <n v="2"/>
    <n v="2"/>
    <n v="3"/>
    <n v="7"/>
    <n v="-2"/>
    <m/>
    <m/>
    <n v="1.7"/>
    <n v="8.8999999999999986"/>
    <n v="75.8"/>
    <x v="147"/>
    <n v="-5.7000000000000028"/>
    <m/>
    <s v=""/>
    <m/>
    <s v=""/>
    <m/>
    <s v=""/>
    <n v="1"/>
    <x v="1"/>
    <n v="0"/>
    <n v="1"/>
    <n v="0"/>
    <n v="1"/>
    <n v="6.0005550150673708"/>
    <x v="3"/>
  </r>
  <r>
    <x v="26"/>
    <x v="5"/>
    <n v="98"/>
    <s v="28G"/>
    <s v="Wetterskip Fryslân"/>
    <x v="51"/>
    <m/>
    <m/>
    <m/>
    <n v="0"/>
    <n v="0"/>
    <n v="2016"/>
    <n v="2019"/>
    <n v="2019"/>
    <n v="2023"/>
    <n v="2023"/>
    <n v="2025"/>
    <n v="3"/>
    <n v="4"/>
    <n v="2"/>
    <n v="9"/>
    <m/>
    <m/>
    <m/>
    <n v="7.4"/>
    <n v="8.8999999999999986"/>
    <n v="75.8"/>
    <x v="148"/>
    <m/>
    <m/>
    <s v=""/>
    <m/>
    <s v=""/>
    <m/>
    <s v=""/>
    <n v="1"/>
    <x v="1"/>
    <n v="0"/>
    <n v="1"/>
    <n v="0"/>
    <n v="3"/>
    <m/>
    <x v="3"/>
  </r>
  <r>
    <x v="27"/>
    <x v="0"/>
    <n v="50"/>
    <s v="34O"/>
    <s v="Waterschap Drents-Overijsselse Delta"/>
    <x v="52"/>
    <n v="14623"/>
    <m/>
    <s v="10-3"/>
    <n v="0"/>
    <n v="0"/>
    <n v="2022"/>
    <n v="2024"/>
    <n v="2024"/>
    <n v="2027"/>
    <n v="2027"/>
    <n v="2030"/>
    <n v="2"/>
    <n v="3"/>
    <n v="3"/>
    <n v="8"/>
    <n v="0"/>
    <m/>
    <n v="1"/>
    <n v="4.5555555555555554"/>
    <n v="7.7777777777777777"/>
    <n v="66.3"/>
    <x v="149"/>
    <n v="0.63333333333332575"/>
    <m/>
    <n v="-16.566666666666677"/>
    <m/>
    <n v="7617.5092065269946"/>
    <m/>
    <n v="-4.5291415091547336"/>
    <m/>
    <x v="1"/>
    <n v="0"/>
    <n v="0"/>
    <n v="0"/>
    <n v="7"/>
    <n v="5.3773735439604273"/>
    <x v="8"/>
  </r>
  <r>
    <x v="27"/>
    <x v="1"/>
    <n v="50"/>
    <s v="34O"/>
    <s v="Waterschap Drents-Overijsselse Delta"/>
    <x v="52"/>
    <n v="14836"/>
    <m/>
    <s v="10-3"/>
    <n v="0"/>
    <n v="0"/>
    <n v="2022"/>
    <n v="2024"/>
    <n v="2024"/>
    <n v="2027"/>
    <n v="2027"/>
    <n v="2030"/>
    <n v="2"/>
    <n v="3"/>
    <n v="3"/>
    <n v="8"/>
    <n v="0"/>
    <n v="1"/>
    <m/>
    <n v="3.9"/>
    <n v="7.8"/>
    <n v="66.3"/>
    <x v="150"/>
    <n v="9.647777777777776"/>
    <n v="8.5999999999999943"/>
    <s v=""/>
    <n v="7830.5092065269946"/>
    <s v=""/>
    <n v="-4.6490332520906259"/>
    <s v=""/>
    <n v="1"/>
    <x v="1"/>
    <n v="0"/>
    <n v="0"/>
    <n v="0"/>
    <n v="7"/>
    <n v="5.257481801024535"/>
    <x v="8"/>
  </r>
  <r>
    <x v="27"/>
    <x v="2"/>
    <n v="96"/>
    <s v="34O"/>
    <s v="Waterschap Drents-Overijsselse Delta"/>
    <x v="52"/>
    <n v="7005.4907934730054"/>
    <n v="8"/>
    <s v="10-3"/>
    <n v="0"/>
    <n v="0"/>
    <n v="2022"/>
    <n v="2024"/>
    <n v="2024"/>
    <n v="2027"/>
    <n v="2027"/>
    <n v="2030"/>
    <n v="2"/>
    <n v="3"/>
    <n v="3"/>
    <n v="8"/>
    <n v="0"/>
    <m/>
    <m/>
    <n v="3.4122222222222223"/>
    <n v="6.7577777777777781"/>
    <n v="58.182222222222229"/>
    <x v="151"/>
    <n v="2.2222222222012533E-4"/>
    <m/>
    <s v=""/>
    <m/>
    <s v=""/>
    <m/>
    <s v=""/>
    <n v="1"/>
    <x v="1"/>
    <n v="0"/>
    <n v="0"/>
    <n v="0"/>
    <n v="7"/>
    <n v="9.756949832252408"/>
    <x v="8"/>
  </r>
  <r>
    <x v="27"/>
    <x v="3"/>
    <n v="96"/>
    <s v="34O"/>
    <s v="Waterschap Drents-Overijsselse Delta"/>
    <x v="52"/>
    <n v="7005.4907934730054"/>
    <m/>
    <s v="10-3"/>
    <n v="0"/>
    <n v="0"/>
    <n v="2022"/>
    <n v="2024"/>
    <n v="2024"/>
    <n v="2027"/>
    <n v="2027"/>
    <n v="2030"/>
    <n v="2"/>
    <n v="3"/>
    <n v="3"/>
    <n v="8"/>
    <n v="1"/>
    <m/>
    <m/>
    <n v="3.4119999999999999"/>
    <n v="6.758"/>
    <n v="58.182000000000002"/>
    <x v="152"/>
    <n v="-1.0480000000000018"/>
    <m/>
    <s v=""/>
    <m/>
    <s v=""/>
    <m/>
    <s v=""/>
    <n v="1"/>
    <x v="1"/>
    <n v="0"/>
    <n v="0"/>
    <n v="0"/>
    <n v="7"/>
    <n v="9.756918111102701"/>
    <x v="8"/>
  </r>
  <r>
    <x v="27"/>
    <x v="4"/>
    <n v="85"/>
    <s v="15J"/>
    <s v="Waterschap Drents-Overijsselse Delta"/>
    <x v="52"/>
    <n v="7005.4907934730054"/>
    <m/>
    <s v="10-3"/>
    <n v="0"/>
    <n v="0"/>
    <n v="2022"/>
    <n v="2024"/>
    <n v="2024"/>
    <n v="2027"/>
    <n v="2027"/>
    <n v="2029"/>
    <n v="2"/>
    <n v="3"/>
    <n v="2"/>
    <n v="7"/>
    <n v="1"/>
    <m/>
    <m/>
    <n v="3.5"/>
    <n v="6.9"/>
    <n v="59"/>
    <x v="153"/>
    <n v="17.200000000000003"/>
    <m/>
    <s v=""/>
    <m/>
    <s v=""/>
    <m/>
    <s v=""/>
    <n v="1"/>
    <x v="1"/>
    <n v="0"/>
    <n v="0"/>
    <n v="0"/>
    <n v="7"/>
    <n v="9.9065150531151609"/>
    <x v="8"/>
  </r>
  <r>
    <x v="27"/>
    <x v="5"/>
    <n v="75"/>
    <s v="15J"/>
    <s v="Waterschap Drents-Overijsselse Delta"/>
    <x v="52"/>
    <m/>
    <m/>
    <m/>
    <n v="0"/>
    <n v="0"/>
    <n v="2023"/>
    <n v="2025"/>
    <n v="2025"/>
    <n v="2027"/>
    <n v="2027"/>
    <n v="2029"/>
    <n v="2"/>
    <n v="2"/>
    <n v="2"/>
    <n v="6"/>
    <m/>
    <m/>
    <m/>
    <n v="2.6"/>
    <n v="5.2"/>
    <n v="44.4"/>
    <x v="154"/>
    <m/>
    <m/>
    <s v=""/>
    <m/>
    <s v=""/>
    <m/>
    <s v=""/>
    <n v="1"/>
    <x v="1"/>
    <n v="0"/>
    <n v="0"/>
    <n v="0"/>
    <n v="7"/>
    <m/>
    <x v="9"/>
  </r>
  <r>
    <x v="28"/>
    <x v="0"/>
    <n v="94"/>
    <s v="25K"/>
    <s v="Waterschap Vallei en Veluwe"/>
    <x v="53"/>
    <n v="2700"/>
    <m/>
    <s v="52-4"/>
    <n v="0"/>
    <n v="0"/>
    <n v="2016"/>
    <n v="2018"/>
    <n v="2018"/>
    <n v="2021"/>
    <n v="2021"/>
    <n v="2024"/>
    <n v="2"/>
    <n v="3"/>
    <n v="3"/>
    <n v="8"/>
    <n v="2"/>
    <m/>
    <n v="1"/>
    <n v="2.6666666666666665"/>
    <n v="4.333333333333333"/>
    <n v="14.444444444444445"/>
    <x v="155"/>
    <n v="-0.19333333333333513"/>
    <m/>
    <n v="11.746666666666663"/>
    <m/>
    <n v="-545.72257161103425"/>
    <m/>
    <n v="4.0911642685920739"/>
    <m/>
    <x v="0"/>
    <n v="0"/>
    <n v="1"/>
    <n v="0"/>
    <n v="1"/>
    <n v="7.9423868312757193"/>
    <x v="2"/>
  </r>
  <r>
    <x v="28"/>
    <x v="1"/>
    <n v="94"/>
    <s v="25K"/>
    <s v="Waterschap Vallei en Veluwe"/>
    <x v="53"/>
    <n v="2700"/>
    <m/>
    <s v="52-4"/>
    <n v="0"/>
    <n v="0"/>
    <n v="2016"/>
    <n v="2017"/>
    <n v="2018"/>
    <n v="2021"/>
    <n v="2021"/>
    <n v="2023"/>
    <n v="1"/>
    <n v="3"/>
    <n v="2"/>
    <n v="6"/>
    <n v="-1"/>
    <n v="-1"/>
    <m/>
    <n v="2.6933333333333334"/>
    <n v="4.3977777777777787"/>
    <n v="14.546666666666667"/>
    <x v="156"/>
    <n v="-0.3044444444444423"/>
    <n v="9.137777777777778"/>
    <s v=""/>
    <n v="-545.72257161103425"/>
    <s v=""/>
    <n v="4.162769206863679"/>
    <s v=""/>
    <n v="0"/>
    <x v="0"/>
    <n v="0"/>
    <n v="1"/>
    <n v="0"/>
    <n v="1"/>
    <n v="8.0139917695473244"/>
    <x v="2"/>
  </r>
  <r>
    <x v="28"/>
    <x v="2"/>
    <n v="141"/>
    <s v="25K"/>
    <s v="Waterschap Vallei en Veluwe"/>
    <x v="53"/>
    <n v="3245.7225716110343"/>
    <n v="4"/>
    <s v=" 52-4"/>
    <n v="0"/>
    <n v="0"/>
    <n v="2016"/>
    <n v="2018"/>
    <n v="2018"/>
    <n v="2020"/>
    <n v="2020"/>
    <n v="2023"/>
    <n v="2"/>
    <n v="2"/>
    <n v="3"/>
    <n v="7"/>
    <n v="1"/>
    <m/>
    <m/>
    <n v="2.6933333333333334"/>
    <n v="4.7777777777777777"/>
    <n v="14.47111111111111"/>
    <x v="157"/>
    <n v="8.4422222222222203"/>
    <m/>
    <s v=""/>
    <m/>
    <s v=""/>
    <m/>
    <s v=""/>
    <n v="0"/>
    <x v="0"/>
    <n v="0"/>
    <n v="0"/>
    <n v="1"/>
    <n v="0"/>
    <n v="6.7603505038112557"/>
    <x v="2"/>
  </r>
  <r>
    <x v="28"/>
    <x v="3"/>
    <n v="138"/>
    <s v="25K"/>
    <s v="Waterschap Vallei en Veluwe"/>
    <x v="53"/>
    <n v="3245.7225716110343"/>
    <m/>
    <s v=" 52-4, 11-1"/>
    <n v="0"/>
    <n v="0"/>
    <n v="2016"/>
    <n v="2018"/>
    <n v="2018"/>
    <n v="2020"/>
    <n v="2020"/>
    <n v="2022"/>
    <n v="2"/>
    <n v="2"/>
    <n v="2"/>
    <n v="6"/>
    <n v="-1"/>
    <m/>
    <m/>
    <n v="2.42"/>
    <n v="0.28000000000000003"/>
    <n v="10.8"/>
    <x v="158"/>
    <n v="1"/>
    <m/>
    <s v=""/>
    <m/>
    <s v=""/>
    <m/>
    <s v=""/>
    <n v="0"/>
    <x v="0"/>
    <n v="0"/>
    <n v="0"/>
    <n v="1"/>
    <n v="0"/>
    <n v="4.1593203676983377"/>
    <x v="2"/>
  </r>
  <r>
    <x v="28"/>
    <x v="4"/>
    <n v="121"/>
    <s v="25K"/>
    <s v="Waterschap Vallei en Veluwe"/>
    <x v="53"/>
    <n v="3245.7225716110343"/>
    <m/>
    <s v="52-4"/>
    <n v="0"/>
    <n v="0"/>
    <n v="2016"/>
    <n v="2018"/>
    <n v="2018"/>
    <n v="2020"/>
    <n v="2020"/>
    <n v="2023"/>
    <n v="2"/>
    <n v="2"/>
    <n v="3"/>
    <n v="7"/>
    <n v="0"/>
    <m/>
    <m/>
    <n v="2.42"/>
    <n v="0.28000000000000003"/>
    <n v="9.8000000000000007"/>
    <x v="115"/>
    <n v="-11.939999999999998"/>
    <m/>
    <s v=""/>
    <m/>
    <s v=""/>
    <m/>
    <s v=""/>
    <n v="0"/>
    <x v="0"/>
    <n v="0"/>
    <n v="0"/>
    <n v="1"/>
    <n v="0"/>
    <n v="3.8512225626836458"/>
    <x v="2"/>
  </r>
  <r>
    <x v="28"/>
    <x v="5"/>
    <n v="118"/>
    <s v="25K"/>
    <s v="Waterschap Vallei en Veluwe"/>
    <x v="54"/>
    <m/>
    <m/>
    <m/>
    <n v="0"/>
    <n v="0"/>
    <n v="2016"/>
    <n v="2018"/>
    <n v="2018"/>
    <n v="2020"/>
    <n v="2020"/>
    <n v="2023"/>
    <n v="2"/>
    <n v="2"/>
    <n v="3"/>
    <n v="7"/>
    <m/>
    <m/>
    <m/>
    <n v="7"/>
    <n v="1.8399999999999999"/>
    <n v="15.6"/>
    <x v="159"/>
    <m/>
    <m/>
    <s v=""/>
    <m/>
    <s v=""/>
    <m/>
    <s v=""/>
    <n v="0"/>
    <x v="0"/>
    <n v="0"/>
    <n v="0"/>
    <n v="1"/>
    <n v="0"/>
    <m/>
    <x v="2"/>
  </r>
  <r>
    <x v="29"/>
    <x v="0"/>
    <n v="12"/>
    <s v="24AH + 24AN"/>
    <s v="Waterschap Scheldestromen"/>
    <x v="55"/>
    <n v="24300"/>
    <m/>
    <m/>
    <n v="0"/>
    <n v="0"/>
    <n v="2021"/>
    <n v="2022"/>
    <n v="2022"/>
    <n v="2025"/>
    <n v="2025"/>
    <n v="2028"/>
    <n v="1"/>
    <n v="3"/>
    <n v="3"/>
    <n v="7"/>
    <n v="-1"/>
    <m/>
    <n v="1"/>
    <n v="0.64"/>
    <n v="0.64"/>
    <n v="6.72"/>
    <x v="160"/>
    <n v="0"/>
    <m/>
    <n v="-16.900000000000002"/>
    <m/>
    <n v="-549.9939715291257"/>
    <m/>
    <n v="-0.35086240792986551"/>
    <m/>
    <x v="0"/>
    <n v="0"/>
    <n v="0"/>
    <n v="0"/>
    <n v="5"/>
    <n v="0.32921810699588477"/>
    <x v="0"/>
  </r>
  <r>
    <x v="29"/>
    <x v="1"/>
    <n v="13"/>
    <s v="24AH + 24AN"/>
    <s v="Waterschap Scheldestromen"/>
    <x v="55"/>
    <n v="24850"/>
    <m/>
    <s v="30-3"/>
    <n v="0"/>
    <n v="0"/>
    <n v="2020"/>
    <n v="2022"/>
    <n v="2022"/>
    <n v="2024"/>
    <n v="2024"/>
    <n v="2028"/>
    <n v="2"/>
    <n v="2"/>
    <n v="4"/>
    <n v="8"/>
    <n v="-1"/>
    <n v="2"/>
    <m/>
    <n v="0.64"/>
    <n v="0.64"/>
    <n v="6.72"/>
    <x v="160"/>
    <n v="0"/>
    <n v="-8.9000000000000021"/>
    <s v=""/>
    <n v="6.0284708742983639E-3"/>
    <s v=""/>
    <n v="-0.35814905834391864"/>
    <s v=""/>
    <n v="0"/>
    <x v="0"/>
    <n v="1"/>
    <n v="0"/>
    <n v="0"/>
    <n v="4"/>
    <n v="0.32193158953722334"/>
    <x v="0"/>
  </r>
  <r>
    <x v="29"/>
    <x v="2"/>
    <n v="33"/>
    <s v="24AH "/>
    <s v="Waterschap Scheldestromen"/>
    <x v="55"/>
    <n v="24849.998829690201"/>
    <n v="38"/>
    <s v="30-3"/>
    <n v="0"/>
    <n v="0"/>
    <n v="2019"/>
    <n v="2023"/>
    <n v="2023"/>
    <n v="2025"/>
    <n v="2025"/>
    <n v="2028"/>
    <n v="4"/>
    <n v="2"/>
    <n v="3"/>
    <n v="9"/>
    <n v="0"/>
    <m/>
    <m/>
    <n v="0.4"/>
    <n v="0.8"/>
    <n v="6.8000000000000007"/>
    <x v="160"/>
    <n v="0"/>
    <m/>
    <s v=""/>
    <m/>
    <s v=""/>
    <m/>
    <s v=""/>
    <n v="0"/>
    <x v="0"/>
    <n v="1"/>
    <n v="0"/>
    <n v="0"/>
    <n v="5"/>
    <n v="0.32193160469857995"/>
    <x v="5"/>
  </r>
  <r>
    <x v="29"/>
    <x v="3"/>
    <n v="29"/>
    <s v="24AH + 24AN"/>
    <s v="Waterschap Scheldestromen"/>
    <x v="55"/>
    <n v="24849.998829690201"/>
    <s v="30-3"/>
    <s v="30-3"/>
    <n v="0"/>
    <n v="0"/>
    <n v="2017"/>
    <n v="2021"/>
    <n v="2021"/>
    <n v="2023"/>
    <n v="2023"/>
    <n v="2026"/>
    <n v="4"/>
    <n v="2"/>
    <n v="3"/>
    <n v="9"/>
    <n v="3"/>
    <m/>
    <m/>
    <n v="0.4"/>
    <n v="0.8"/>
    <n v="6.8"/>
    <x v="160"/>
    <n v="-8.9000000000000021"/>
    <m/>
    <s v=""/>
    <m/>
    <s v=""/>
    <m/>
    <s v=""/>
    <n v="0"/>
    <x v="0"/>
    <n v="1"/>
    <n v="0"/>
    <n v="0"/>
    <n v="3"/>
    <n v="0.32193160469857995"/>
    <x v="1"/>
  </r>
  <r>
    <x v="29"/>
    <x v="4"/>
    <n v="8"/>
    <s v="24AG"/>
    <s v="Waterschap Scheldestromen"/>
    <x v="56"/>
    <n v="24849.993971529126"/>
    <m/>
    <s v="30-3"/>
    <n v="0"/>
    <n v="0"/>
    <n v="2017"/>
    <n v="2018"/>
    <n v="2018"/>
    <n v="2019"/>
    <n v="2019"/>
    <n v="2023"/>
    <n v="1"/>
    <n v="1"/>
    <n v="4"/>
    <n v="6"/>
    <m/>
    <m/>
    <m/>
    <n v="0.4"/>
    <n v="1.7000000000000002"/>
    <n v="14.8"/>
    <x v="161"/>
    <n v="16.900000000000002"/>
    <m/>
    <s v=""/>
    <m/>
    <s v=""/>
    <m/>
    <s v=""/>
    <n v="0"/>
    <x v="0"/>
    <n v="0"/>
    <n v="0"/>
    <n v="1"/>
    <n v="-1"/>
    <n v="0.68008064788114198"/>
    <x v="2"/>
  </r>
  <r>
    <x v="29"/>
    <x v="5"/>
    <m/>
    <m/>
    <s v="Waterschap Scheldestromen"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0"/>
    <x v="0"/>
    <n v="0"/>
    <n v="0"/>
    <n v="0"/>
    <m/>
    <m/>
    <x v="6"/>
  </r>
  <r>
    <x v="30"/>
    <x v="0"/>
    <n v="55"/>
    <s v="24AE"/>
    <s v="Waterschap Scheldestromen"/>
    <x v="57"/>
    <n v="1850"/>
    <m/>
    <s v="31-1"/>
    <n v="0"/>
    <n v="0"/>
    <n v="2023"/>
    <n v="2025"/>
    <n v="2025"/>
    <n v="2027"/>
    <n v="2027"/>
    <n v="2029"/>
    <n v="2"/>
    <n v="2"/>
    <n v="2"/>
    <n v="6"/>
    <n v="-1"/>
    <m/>
    <n v="1"/>
    <n v="0.44"/>
    <n v="0.44"/>
    <n v="4.5555555555555554"/>
    <x v="162"/>
    <n v="-1.0133333333333328"/>
    <m/>
    <n v="-2.9383333333333335"/>
    <m/>
    <n v="49.99631860416207"/>
    <m/>
    <n v="-0.24241091249517499"/>
    <m/>
    <x v="0"/>
    <n v="0"/>
    <n v="0"/>
    <n v="0"/>
    <n v="7"/>
    <n v="2.9381381381381377"/>
    <x v="9"/>
  </r>
  <r>
    <x v="30"/>
    <x v="1"/>
    <n v="56"/>
    <s v="24AE"/>
    <s v="Waterschap Scheldestromen"/>
    <x v="57"/>
    <n v="1500"/>
    <m/>
    <s v="31-2"/>
    <n v="0"/>
    <n v="0"/>
    <n v="2023"/>
    <n v="2025"/>
    <n v="2025"/>
    <n v="2027"/>
    <n v="2027"/>
    <n v="2030"/>
    <n v="2"/>
    <n v="2"/>
    <n v="3"/>
    <n v="7"/>
    <n v="-1"/>
    <n v="2"/>
    <m/>
    <n v="0.51555555555555554"/>
    <n v="0.51555555555555554"/>
    <n v="5.4177777777777774"/>
    <x v="163"/>
    <n v="-0.27611111111111253"/>
    <n v="0.72388888888888747"/>
    <s v=""/>
    <n v="-300.00368139583793"/>
    <s v=""/>
    <n v="1.1187102086259459"/>
    <s v=""/>
    <n v="0"/>
    <x v="0"/>
    <n v="0"/>
    <n v="0"/>
    <n v="0"/>
    <n v="7"/>
    <n v="4.2992592592592587"/>
    <x v="9"/>
  </r>
  <r>
    <x v="30"/>
    <x v="2"/>
    <n v="101"/>
    <s v="24AP"/>
    <s v="Waterschap Scheldestromen"/>
    <x v="58"/>
    <n v="1500"/>
    <n v="7"/>
    <s v="31-2"/>
    <n v="0"/>
    <n v="0"/>
    <n v="2021"/>
    <n v="2025"/>
    <n v="2025"/>
    <n v="2027"/>
    <n v="2027"/>
    <n v="2029"/>
    <n v="4"/>
    <n v="2"/>
    <n v="2"/>
    <n v="8"/>
    <n v="2"/>
    <m/>
    <m/>
    <n v="0.875"/>
    <n v="1"/>
    <n v="4.8500000000000005"/>
    <x v="164"/>
    <n v="-0.54999999999999982"/>
    <m/>
    <s v=""/>
    <m/>
    <s v=""/>
    <m/>
    <s v=""/>
    <n v="0"/>
    <x v="0"/>
    <n v="0"/>
    <n v="0"/>
    <n v="0"/>
    <n v="7"/>
    <n v="4.4833333333333334"/>
    <x v="9"/>
  </r>
  <r>
    <x v="30"/>
    <x v="3"/>
    <n v="100"/>
    <s v="24AE"/>
    <s v="Waterschap Scheldestromen"/>
    <x v="57"/>
    <n v="1800.0036813958379"/>
    <m/>
    <s v="31-2"/>
    <n v="0"/>
    <n v="0"/>
    <n v="2020"/>
    <n v="2022"/>
    <n v="2022"/>
    <n v="2024"/>
    <n v="2024"/>
    <n v="2026"/>
    <n v="2"/>
    <n v="2"/>
    <n v="2"/>
    <n v="6"/>
    <n v="1"/>
    <m/>
    <m/>
    <n v="1.375"/>
    <n v="1"/>
    <n v="4.9000000000000004"/>
    <x v="165"/>
    <n v="1.5499999999999998"/>
    <m/>
    <s v=""/>
    <m/>
    <s v=""/>
    <m/>
    <s v=""/>
    <n v="0"/>
    <x v="0"/>
    <n v="1"/>
    <n v="0"/>
    <n v="0"/>
    <n v="4"/>
    <n v="4.0416584005864369"/>
    <x v="0"/>
  </r>
  <r>
    <x v="30"/>
    <x v="4"/>
    <n v="88"/>
    <s v="24AE"/>
    <s v="Waterschap Scheldestromen"/>
    <x v="57"/>
    <n v="1800.0036813958379"/>
    <m/>
    <s v="31-2"/>
    <n v="0"/>
    <n v="0"/>
    <n v="2016"/>
    <n v="2018"/>
    <n v="2018"/>
    <n v="2020"/>
    <n v="2020"/>
    <n v="2021"/>
    <n v="2"/>
    <n v="2"/>
    <n v="1"/>
    <n v="5"/>
    <n v="1"/>
    <m/>
    <m/>
    <n v="0.27500000000000002"/>
    <n v="0.55000000000000004"/>
    <n v="4.9000000000000004"/>
    <x v="166"/>
    <n v="1.9250000000000007"/>
    <m/>
    <s v=""/>
    <m/>
    <s v=""/>
    <m/>
    <s v=""/>
    <n v="0"/>
    <x v="0"/>
    <n v="0"/>
    <n v="0"/>
    <n v="1"/>
    <n v="0"/>
    <n v="3.1805490506333127"/>
    <x v="2"/>
  </r>
  <r>
    <x v="30"/>
    <x v="5"/>
    <n v="80"/>
    <s v="24O"/>
    <s v="Waterschap Scheldestromen"/>
    <x v="59"/>
    <m/>
    <m/>
    <m/>
    <n v="0"/>
    <n v="0"/>
    <n v="2016"/>
    <n v="2018"/>
    <n v="2018"/>
    <n v="2019"/>
    <n v="2019"/>
    <n v="2020"/>
    <n v="2"/>
    <n v="1"/>
    <n v="1"/>
    <n v="4"/>
    <m/>
    <m/>
    <m/>
    <n v="0.1"/>
    <n v="0.2"/>
    <n v="3.5"/>
    <x v="167"/>
    <m/>
    <m/>
    <s v=""/>
    <m/>
    <s v=""/>
    <m/>
    <s v=""/>
    <n v="0"/>
    <x v="0"/>
    <n v="0"/>
    <n v="0"/>
    <n v="0"/>
    <n v="-1"/>
    <m/>
    <x v="2"/>
  </r>
  <r>
    <x v="31"/>
    <x v="0"/>
    <n v="22"/>
    <s v="2G"/>
    <s v="HHRS De Stichtse Rijnlanden"/>
    <x v="60"/>
    <n v="8339"/>
    <m/>
    <m/>
    <n v="0"/>
    <n v="0"/>
    <n v="2020"/>
    <n v="2022"/>
    <n v="2022"/>
    <n v="2024"/>
    <n v="2024"/>
    <n v="2028"/>
    <n v="2"/>
    <n v="2"/>
    <n v="4"/>
    <n v="8"/>
    <n v="0"/>
    <m/>
    <m/>
    <n v="8"/>
    <n v="12.444444444444443"/>
    <n v="49.666666666666671"/>
    <x v="168"/>
    <n v="-0.13333333333332575"/>
    <m/>
    <s v=""/>
    <m/>
    <s v=""/>
    <m/>
    <s v=""/>
    <m/>
    <x v="1"/>
    <n v="1"/>
    <n v="0"/>
    <n v="0"/>
    <n v="4"/>
    <n v="8.4076161543483767"/>
    <x v="0"/>
  </r>
  <r>
    <x v="31"/>
    <x v="1"/>
    <n v="22"/>
    <s v="2G"/>
    <s v="HHRS De Stichtse Rijnlanden"/>
    <x v="60"/>
    <n v="8339"/>
    <m/>
    <m/>
    <n v="1"/>
    <n v="0"/>
    <n v="2020"/>
    <n v="2022"/>
    <n v="2022"/>
    <n v="2024"/>
    <n v="2024"/>
    <n v="2028"/>
    <n v="2"/>
    <n v="2"/>
    <n v="4"/>
    <n v="8"/>
    <n v="0"/>
    <m/>
    <m/>
    <n v="7.7"/>
    <n v="12.508888888888889"/>
    <n v="50.035555555555554"/>
    <x v="169"/>
    <n v="11.374444444444443"/>
    <m/>
    <s v=""/>
    <m/>
    <s v=""/>
    <m/>
    <s v=""/>
    <n v="1"/>
    <x v="1"/>
    <n v="1"/>
    <n v="0"/>
    <n v="0"/>
    <n v="4"/>
    <n v="8.4236052817417484"/>
    <x v="0"/>
  </r>
  <r>
    <x v="31"/>
    <x v="2"/>
    <n v="52"/>
    <s v="02G"/>
    <s v="HHRS De Stichtse Rijnlanden"/>
    <x v="61"/>
    <n v="8339"/>
    <m/>
    <s v="15-1"/>
    <n v="1"/>
    <n v="0"/>
    <n v="2020"/>
    <n v="2022"/>
    <n v="2022"/>
    <n v="2024"/>
    <n v="2024"/>
    <n v="2028"/>
    <n v="2"/>
    <n v="2"/>
    <n v="4"/>
    <n v="8"/>
    <m/>
    <m/>
    <m/>
    <n v="2.5566666666666671"/>
    <n v="5.1133333333333342"/>
    <n v="51.199999999999996"/>
    <x v="170"/>
    <m/>
    <m/>
    <s v=""/>
    <m/>
    <s v=""/>
    <m/>
    <s v=""/>
    <n v="1"/>
    <x v="1"/>
    <n v="1"/>
    <n v="0"/>
    <n v="0"/>
    <n v="4"/>
    <n v="7.0595994723587951"/>
    <x v="0"/>
  </r>
  <r>
    <x v="31"/>
    <x v="3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31"/>
    <x v="4"/>
    <m/>
    <m/>
    <m/>
    <x v="2"/>
    <m/>
    <m/>
    <m/>
    <n v="0"/>
    <n v="0"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31"/>
    <x v="5"/>
    <m/>
    <m/>
    <m/>
    <x v="2"/>
    <m/>
    <m/>
    <m/>
    <n v="0"/>
    <n v="0"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32"/>
    <x v="0"/>
    <n v="8"/>
    <s v="16M"/>
    <s v="Waterschap Hollandse Delta"/>
    <x v="62"/>
    <n v="21900"/>
    <m/>
    <m/>
    <n v="0"/>
    <n v="0"/>
    <n v="2017"/>
    <n v="2022"/>
    <n v="2022"/>
    <n v="2024"/>
    <n v="2024"/>
    <n v="2027"/>
    <n v="5"/>
    <n v="2"/>
    <n v="3"/>
    <n v="10"/>
    <n v="0"/>
    <m/>
    <n v="3"/>
    <n v="5.4444444444444446"/>
    <n v="5"/>
    <n v="10.555555555555555"/>
    <x v="171"/>
    <n v="4.984444444444442"/>
    <m/>
    <n v="4.984444444444442"/>
    <m/>
    <n v="19545.976711010968"/>
    <m/>
    <n v="-6.177884335610619"/>
    <m/>
    <x v="0"/>
    <n v="1"/>
    <n v="0"/>
    <n v="0"/>
    <n v="4"/>
    <n v="0.95890410958904115"/>
    <x v="0"/>
  </r>
  <r>
    <x v="32"/>
    <x v="1"/>
    <n v="8"/>
    <s v="16M"/>
    <s v="Waterschap Hollandse Delta"/>
    <x v="62"/>
    <n v="21900"/>
    <n v="8"/>
    <s v="20-3"/>
    <n v="0"/>
    <n v="0"/>
    <n v="2017"/>
    <n v="2022"/>
    <n v="2022"/>
    <n v="2024"/>
    <n v="2024"/>
    <n v="2027"/>
    <n v="5"/>
    <n v="2"/>
    <n v="3"/>
    <n v="10"/>
    <n v="0"/>
    <n v="3"/>
    <m/>
    <n v="3.7411111111111115"/>
    <n v="1.7"/>
    <n v="10.574444444444445"/>
    <x v="172"/>
    <n v="0"/>
    <n v="-0.78444444444444272"/>
    <s v=""/>
    <n v="19545.976711010968"/>
    <s v=""/>
    <n v="-6.4054139323750956"/>
    <s v=""/>
    <n v="0"/>
    <x v="0"/>
    <n v="1"/>
    <n v="0"/>
    <n v="0"/>
    <n v="4"/>
    <n v="0.73130390664637257"/>
    <x v="0"/>
  </r>
  <r>
    <x v="32"/>
    <x v="2"/>
    <n v="22"/>
    <s v="16M "/>
    <s v="Waterschap Hollandse Delta"/>
    <x v="62"/>
    <n v="21911"/>
    <n v="7"/>
    <s v="20-3"/>
    <n v="0"/>
    <n v="0"/>
    <n v="2017"/>
    <n v="2022"/>
    <n v="2022"/>
    <n v="2024"/>
    <n v="2024"/>
    <n v="2027"/>
    <n v="5"/>
    <n v="2"/>
    <n v="3"/>
    <n v="10"/>
    <n v="0"/>
    <m/>
    <m/>
    <n v="3.7411111111111106"/>
    <n v="1.7000000000000002"/>
    <n v="10.574444444444444"/>
    <x v="173"/>
    <n v="2.4971111111111099"/>
    <m/>
    <s v=""/>
    <m/>
    <s v=""/>
    <m/>
    <s v=""/>
    <n v="0"/>
    <x v="0"/>
    <n v="1"/>
    <n v="0"/>
    <n v="0"/>
    <n v="4"/>
    <n v="0.73093676945623443"/>
    <x v="0"/>
  </r>
  <r>
    <x v="32"/>
    <x v="3"/>
    <n v="20"/>
    <s v="16M (nog oud nummer)"/>
    <s v="Waterschap Hollandse Delta"/>
    <x v="62"/>
    <n v="2354"/>
    <m/>
    <s v="20-3"/>
    <n v="0"/>
    <n v="0"/>
    <n v="2017"/>
    <n v="2022"/>
    <n v="2022"/>
    <n v="2024"/>
    <n v="2024"/>
    <n v="2027"/>
    <n v="5"/>
    <n v="2"/>
    <n v="3"/>
    <n v="10"/>
    <n v="3"/>
    <m/>
    <m/>
    <n v="1.2444444444444445"/>
    <n v="1.7"/>
    <n v="10.574"/>
    <x v="174"/>
    <n v="-3.2815555555555562"/>
    <m/>
    <s v=""/>
    <m/>
    <s v=""/>
    <m/>
    <s v=""/>
    <n v="0"/>
    <x v="0"/>
    <n v="1"/>
    <n v="0"/>
    <n v="0"/>
    <n v="4"/>
    <n v="5.742754649296705"/>
    <x v="0"/>
  </r>
  <r>
    <x v="32"/>
    <x v="4"/>
    <n v="30"/>
    <s v="16VLBO20-3 16M"/>
    <s v="Waterschap Hollandse Delta"/>
    <x v="63"/>
    <n v="2354.0232889890303"/>
    <m/>
    <s v="20-3"/>
    <n v="0"/>
    <n v="0"/>
    <n v="2017"/>
    <n v="2020"/>
    <n v="2020"/>
    <n v="2022"/>
    <n v="2022"/>
    <n v="2024"/>
    <n v="3"/>
    <n v="2"/>
    <n v="2"/>
    <n v="7"/>
    <m/>
    <m/>
    <m/>
    <n v="0.8"/>
    <n v="1.7"/>
    <n v="14.3"/>
    <x v="175"/>
    <m/>
    <m/>
    <s v=""/>
    <m/>
    <s v=""/>
    <m/>
    <s v=""/>
    <n v="0"/>
    <x v="0"/>
    <n v="0"/>
    <n v="1"/>
    <n v="0"/>
    <n v="2"/>
    <n v="7.1367178390214683"/>
    <x v="4"/>
  </r>
  <r>
    <x v="32"/>
    <x v="5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0"/>
    <x v="0"/>
    <n v="0"/>
    <n v="0"/>
    <n v="0"/>
    <m/>
    <m/>
    <x v="6"/>
  </r>
  <r>
    <x v="33"/>
    <x v="0"/>
    <s v="C-kering"/>
    <s v="03E"/>
    <s v="HHRS Hollands Noorderkwartier"/>
    <x v="22"/>
    <n v="6000"/>
    <m/>
    <m/>
    <n v="0"/>
    <n v="0"/>
    <n v="2018"/>
    <n v="2021"/>
    <n v="2021"/>
    <n v="2023"/>
    <n v="2023"/>
    <n v="2026"/>
    <n v="3"/>
    <n v="2"/>
    <n v="3"/>
    <n v="8"/>
    <n v="0"/>
    <m/>
    <n v="0"/>
    <n v="4.2866666666666662"/>
    <n v="5.3577777777777778"/>
    <n v="54.656666666666673"/>
    <x v="71"/>
    <n v="0"/>
    <m/>
    <n v="2.1999999999999886"/>
    <m/>
    <n v="-27282.272231718722"/>
    <m/>
    <n v="7.6761940717753383"/>
    <m/>
    <x v="1"/>
    <n v="1"/>
    <n v="0"/>
    <n v="0"/>
    <n v="3"/>
    <n v="10.716851851851851"/>
    <x v="1"/>
  </r>
  <r>
    <x v="33"/>
    <x v="1"/>
    <s v="C-kering"/>
    <s v="03E"/>
    <s v="HHRS Hollands Noorderkwartier"/>
    <x v="22"/>
    <n v="6000"/>
    <n v="3"/>
    <s v="C-kering"/>
    <n v="0"/>
    <n v="0"/>
    <n v="2018"/>
    <n v="2020"/>
    <n v="2020"/>
    <n v="2023"/>
    <n v="2023"/>
    <n v="2026"/>
    <n v="2"/>
    <n v="3"/>
    <n v="3"/>
    <n v="8"/>
    <n v="-2"/>
    <n v="0"/>
    <m/>
    <n v="4.2866666666666662"/>
    <n v="5.3577777777777778"/>
    <n v="54.656666666666673"/>
    <x v="71"/>
    <n v="2.2222222222154642E-3"/>
    <n v="-36.898888888888891"/>
    <s v=""/>
    <n v="-27282.272231718722"/>
    <s v=""/>
    <n v="7.6761940717753383"/>
    <s v=""/>
    <n v="0"/>
    <x v="1"/>
    <n v="0"/>
    <n v="1"/>
    <n v="0"/>
    <n v="3"/>
    <n v="10.716851851851851"/>
    <x v="4"/>
  </r>
  <r>
    <x v="33"/>
    <x v="2"/>
    <s v="C-kering"/>
    <s v="03E"/>
    <s v="HHRS Hollands Noorderkwartier"/>
    <x v="23"/>
    <n v="5985"/>
    <n v="5"/>
    <s v="nvt"/>
    <n v="0"/>
    <n v="0"/>
    <n v="2016"/>
    <n v="2021"/>
    <n v="2021"/>
    <n v="2023"/>
    <n v="2023"/>
    <n v="2026"/>
    <n v="5"/>
    <n v="2"/>
    <n v="3"/>
    <n v="10"/>
    <n v="3"/>
    <m/>
    <m/>
    <n v="4.3055555555555562"/>
    <n v="5.34"/>
    <n v="54.653333333333336"/>
    <x v="72"/>
    <n v="-34.311111111111103"/>
    <m/>
    <s v=""/>
    <m/>
    <s v=""/>
    <m/>
    <s v=""/>
    <n v="0"/>
    <x v="1"/>
    <n v="1"/>
    <n v="0"/>
    <n v="0"/>
    <n v="3"/>
    <n v="10.74333983105913"/>
    <x v="1"/>
  </r>
  <r>
    <x v="33"/>
    <x v="3"/>
    <s v="C-kering"/>
    <s v="03E"/>
    <s v="HHRS Hollands Noorderkwartier"/>
    <x v="23"/>
    <n v="33282.272231718722"/>
    <s v="nvt"/>
    <m/>
    <n v="0"/>
    <n v="0"/>
    <n v="2018"/>
    <n v="2020"/>
    <n v="2020"/>
    <n v="2022"/>
    <n v="2022"/>
    <n v="2025"/>
    <n v="2"/>
    <n v="2"/>
    <n v="3"/>
    <n v="7"/>
    <n v="-1"/>
    <m/>
    <m/>
    <n v="10.38"/>
    <n v="0"/>
    <n v="88.23"/>
    <x v="176"/>
    <n v="-2.5900000000000034"/>
    <m/>
    <s v=""/>
    <m/>
    <s v=""/>
    <m/>
    <s v=""/>
    <n v="0"/>
    <x v="1"/>
    <n v="0"/>
    <n v="1"/>
    <n v="0"/>
    <n v="2"/>
    <n v="2.9628385740449099"/>
    <x v="4"/>
  </r>
  <r>
    <x v="33"/>
    <x v="4"/>
    <m/>
    <s v="03E"/>
    <s v="HHRS Hollands Noorderkwartier"/>
    <x v="23"/>
    <n v="33282.272231718722"/>
    <n v="12"/>
    <m/>
    <n v="0"/>
    <n v="0"/>
    <n v="2018"/>
    <n v="2020"/>
    <n v="2020"/>
    <n v="2023"/>
    <n v="2023"/>
    <n v="2026"/>
    <n v="2"/>
    <n v="3"/>
    <n v="3"/>
    <n v="8"/>
    <n v="-2"/>
    <m/>
    <m/>
    <n v="2.6"/>
    <n v="10.4"/>
    <n v="88.2"/>
    <x v="73"/>
    <n v="-2.1999999999999886"/>
    <m/>
    <s v=""/>
    <m/>
    <s v=""/>
    <m/>
    <s v=""/>
    <n v="0"/>
    <x v="1"/>
    <n v="0"/>
    <n v="1"/>
    <n v="0"/>
    <n v="3"/>
    <n v="3.0406577800765127"/>
    <x v="4"/>
  </r>
  <r>
    <x v="33"/>
    <x v="5"/>
    <s v="C-kering"/>
    <s v="03E"/>
    <s v="HHRS Hollands Noorderkwartier"/>
    <x v="22"/>
    <m/>
    <m/>
    <m/>
    <n v="0"/>
    <n v="0"/>
    <n v="2017"/>
    <n v="2021"/>
    <n v="2021"/>
    <n v="2024"/>
    <n v="2024"/>
    <n v="2027"/>
    <n v="4"/>
    <n v="3"/>
    <n v="3"/>
    <n v="10"/>
    <m/>
    <m/>
    <m/>
    <n v="4.8"/>
    <n v="10.4"/>
    <n v="88.199999999999989"/>
    <x v="74"/>
    <m/>
    <m/>
    <s v=""/>
    <m/>
    <s v=""/>
    <m/>
    <s v=""/>
    <n v="0"/>
    <x v="1"/>
    <n v="1"/>
    <n v="0"/>
    <n v="0"/>
    <n v="4"/>
    <m/>
    <x v="1"/>
  </r>
  <r>
    <x v="34"/>
    <x v="0"/>
    <n v="15"/>
    <s v="13K"/>
    <s v="Waterschap Aa en Maas"/>
    <x v="64"/>
    <n v="21020"/>
    <n v="10"/>
    <s v="36-2"/>
    <n v="0"/>
    <n v="0"/>
    <n v="2019"/>
    <n v="2023"/>
    <n v="2023"/>
    <n v="2025"/>
    <n v="2025"/>
    <n v="2029"/>
    <n v="4"/>
    <n v="2"/>
    <n v="4"/>
    <n v="10"/>
    <n v="0"/>
    <m/>
    <m/>
    <n v="2.8888888888888888"/>
    <n v="10.666666666666666"/>
    <n v="87.555555555555557"/>
    <x v="177"/>
    <n v="-42.708888888888879"/>
    <m/>
    <s v=""/>
    <m/>
    <s v=""/>
    <m/>
    <s v=""/>
    <m/>
    <x v="1"/>
    <n v="1"/>
    <n v="0"/>
    <n v="0"/>
    <n v="5"/>
    <n v="4.8102336399196535"/>
    <x v="5"/>
  </r>
  <r>
    <x v="34"/>
    <x v="1"/>
    <n v="15"/>
    <s v="13K"/>
    <s v="Waterschap Aa en Maas"/>
    <x v="64"/>
    <n v="21020"/>
    <n v="10"/>
    <s v="36-2"/>
    <n v="0"/>
    <n v="0"/>
    <n v="2019"/>
    <n v="2023"/>
    <n v="2023"/>
    <n v="2025"/>
    <n v="2025"/>
    <n v="2029"/>
    <n v="4"/>
    <n v="2"/>
    <n v="4"/>
    <n v="10"/>
    <n v="-1"/>
    <m/>
    <m/>
    <n v="7.195555555555555"/>
    <n v="14.7"/>
    <n v="121.92444444444443"/>
    <x v="178"/>
    <n v="-2.0488888888888823"/>
    <m/>
    <s v=""/>
    <n v="21020"/>
    <s v=""/>
    <m/>
    <s v=""/>
    <n v="1"/>
    <x v="1"/>
    <n v="1"/>
    <n v="0"/>
    <n v="0"/>
    <n v="5"/>
    <n v="6.8420551855375829"/>
    <x v="5"/>
  </r>
  <r>
    <x v="34"/>
    <x v="2"/>
    <n v="40"/>
    <s v="13K"/>
    <s v="Waterschap Aa en Maas"/>
    <x v="64"/>
    <n v="20854"/>
    <n v="1"/>
    <s v="36-2"/>
    <n v="0"/>
    <n v="0"/>
    <n v="2019"/>
    <n v="2023"/>
    <n v="2023"/>
    <n v="2025"/>
    <n v="2025"/>
    <n v="2030"/>
    <n v="4"/>
    <n v="2"/>
    <n v="5"/>
    <n v="11"/>
    <n v="0"/>
    <m/>
    <m/>
    <n v="7.2688888888888901"/>
    <n v="14.6"/>
    <n v="124"/>
    <x v="179"/>
    <n v="40.868888888888875"/>
    <m/>
    <s v=""/>
    <m/>
    <s v=""/>
    <m/>
    <s v=""/>
    <n v="1"/>
    <x v="1"/>
    <n v="1"/>
    <n v="0"/>
    <n v="0"/>
    <n v="5"/>
    <n v="6.9947678569525698"/>
    <x v="5"/>
  </r>
  <r>
    <x v="34"/>
    <x v="3"/>
    <n v="36"/>
    <s v="13K"/>
    <s v="Waterschap Aa en Maas"/>
    <x v="64"/>
    <n v="20854"/>
    <m/>
    <s v="36-2"/>
    <n v="0"/>
    <n v="0"/>
    <n v="2019"/>
    <n v="2023"/>
    <n v="2023"/>
    <n v="2025"/>
    <n v="2025"/>
    <n v="2030"/>
    <n v="4"/>
    <n v="2"/>
    <n v="5"/>
    <n v="11"/>
    <m/>
    <m/>
    <m/>
    <n v="5.5"/>
    <n v="10.5"/>
    <n v="89"/>
    <x v="180"/>
    <m/>
    <m/>
    <s v=""/>
    <m/>
    <s v=""/>
    <m/>
    <s v=""/>
    <n v="1"/>
    <x v="1"/>
    <n v="1"/>
    <n v="0"/>
    <n v="0"/>
    <n v="5"/>
    <n v="5.035005274767431"/>
    <x v="5"/>
  </r>
  <r>
    <x v="34"/>
    <x v="4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34"/>
    <x v="5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35"/>
    <x v="0"/>
    <n v="4"/>
    <s v="24AG ( 24AV-24AM)"/>
    <s v="Waterschap Scheldestromen"/>
    <x v="65"/>
    <n v="5150"/>
    <m/>
    <m/>
    <n v="0"/>
    <n v="0"/>
    <n v="2017"/>
    <n v="2019"/>
    <n v="2019"/>
    <n v="2021"/>
    <n v="2021"/>
    <n v="2026"/>
    <n v="2"/>
    <n v="2"/>
    <n v="5"/>
    <n v="9"/>
    <n v="0"/>
    <m/>
    <n v="3"/>
    <n v="3.6"/>
    <n v="7.2"/>
    <n v="84"/>
    <x v="181"/>
    <n v="0"/>
    <m/>
    <n v="-9.4"/>
    <m/>
    <n v="3199.9992320992751"/>
    <m/>
    <n v="16.582524271844658"/>
    <n v="1"/>
    <x v="1"/>
    <n v="0"/>
    <n v="1"/>
    <n v="0"/>
    <n v="1"/>
    <n v="18.407766990291261"/>
    <x v="3"/>
  </r>
  <r>
    <x v="35"/>
    <x v="1"/>
    <n v="4"/>
    <s v="24AG ( 24AV-24AM)"/>
    <s v="Waterschap Scheldestromen"/>
    <x v="65"/>
    <n v="5150"/>
    <m/>
    <s v="30-2"/>
    <n v="0"/>
    <n v="0"/>
    <n v="2017"/>
    <n v="2019"/>
    <n v="2019"/>
    <n v="2021"/>
    <n v="2021"/>
    <n v="2026"/>
    <n v="2"/>
    <n v="2"/>
    <n v="5"/>
    <n v="9"/>
    <n v="1"/>
    <n v="3"/>
    <m/>
    <n v="3.6"/>
    <n v="7.2"/>
    <n v="84"/>
    <x v="181"/>
    <n v="28"/>
    <n v="85.399999999999991"/>
    <s v=""/>
    <n v="3199.9992320992751"/>
    <s v=""/>
    <n v="13.587256068072712"/>
    <s v=""/>
    <n v="1"/>
    <x v="1"/>
    <n v="0"/>
    <n v="1"/>
    <n v="0"/>
    <n v="1"/>
    <n v="18.407766990291261"/>
    <x v="3"/>
  </r>
  <r>
    <x v="35"/>
    <x v="2"/>
    <n v="6"/>
    <s v="24AV "/>
    <s v="Waterschap Scheldestromen"/>
    <x v="66"/>
    <n v="4507"/>
    <m/>
    <s v="30-2"/>
    <m/>
    <n v="0"/>
    <n v="2017"/>
    <n v="2018"/>
    <n v="2019"/>
    <n v="2023"/>
    <n v="2023"/>
    <n v="2026"/>
    <n v="1"/>
    <n v="4"/>
    <n v="3"/>
    <n v="8"/>
    <n v="3"/>
    <m/>
    <m/>
    <n v="3.6"/>
    <n v="6.2"/>
    <n v="57"/>
    <x v="182"/>
    <n v="52.599999999999994"/>
    <m/>
    <s v=""/>
    <m/>
    <s v=""/>
    <m/>
    <s v=""/>
    <n v="1"/>
    <x v="1"/>
    <n v="0"/>
    <n v="1"/>
    <n v="0"/>
    <n v="3"/>
    <n v="14.821388950521412"/>
    <x v="3"/>
  </r>
  <r>
    <x v="35"/>
    <x v="3"/>
    <n v="5"/>
    <s v="24AG, 24AL, 24AM"/>
    <s v="Waterschap Scheldestromen"/>
    <x v="66"/>
    <n v="5150"/>
    <m/>
    <s v="30-2, 30-3"/>
    <n v="0"/>
    <n v="0"/>
    <m/>
    <m/>
    <n v="2018"/>
    <n v="2021"/>
    <n v="2021"/>
    <n v="2023"/>
    <n v="0"/>
    <n v="3"/>
    <n v="2"/>
    <n v="5"/>
    <n v="-1"/>
    <m/>
    <m/>
    <n v="1.5"/>
    <n v="1.1000000000000001"/>
    <n v="11.6"/>
    <x v="183"/>
    <n v="4.7999999999999989"/>
    <m/>
    <s v=""/>
    <m/>
    <s v=""/>
    <m/>
    <s v=""/>
    <n v="1"/>
    <x v="1"/>
    <n v="0"/>
    <n v="1"/>
    <n v="0"/>
    <n v="1"/>
    <n v="2.7572815533980579"/>
    <x v="2"/>
  </r>
  <r>
    <x v="35"/>
    <x v="4"/>
    <n v="8"/>
    <s v="24AG"/>
    <s v="Waterschap Scheldestromen"/>
    <x v="56"/>
    <n v="1950.0007679007249"/>
    <m/>
    <s v="30-3"/>
    <n v="0"/>
    <n v="0"/>
    <n v="2017"/>
    <n v="2019"/>
    <n v="2019"/>
    <n v="2021"/>
    <n v="2021"/>
    <n v="2023"/>
    <n v="2"/>
    <n v="2"/>
    <n v="2"/>
    <n v="6"/>
    <m/>
    <m/>
    <m/>
    <n v="0.5"/>
    <n v="0.9"/>
    <n v="8"/>
    <x v="184"/>
    <n v="9.4"/>
    <m/>
    <s v=""/>
    <m/>
    <s v=""/>
    <m/>
    <s v=""/>
    <n v="1"/>
    <x v="1"/>
    <n v="0"/>
    <n v="1"/>
    <n v="0"/>
    <n v="1"/>
    <n v="4.8205109222185483"/>
    <x v="3"/>
  </r>
  <r>
    <x v="35"/>
    <x v="5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1"/>
    <x v="1"/>
    <n v="0"/>
    <n v="0"/>
    <n v="0"/>
    <m/>
    <m/>
    <x v="6"/>
  </r>
  <r>
    <x v="36"/>
    <x v="0"/>
    <n v="65"/>
    <s v="34Q"/>
    <s v="Waterschap Drents-Overijsselse Delta"/>
    <x v="67"/>
    <n v="11700"/>
    <m/>
    <s v="10-1"/>
    <n v="0"/>
    <n v="0"/>
    <n v="2028"/>
    <n v="2030"/>
    <n v="2030"/>
    <n v="2032"/>
    <n v="2032"/>
    <n v="2035"/>
    <n v="2"/>
    <n v="2"/>
    <n v="3"/>
    <n v="7"/>
    <n v="0"/>
    <m/>
    <n v="1"/>
    <n v="2.2000000000000002"/>
    <n v="6.2"/>
    <n v="52.2"/>
    <x v="185"/>
    <n v="0"/>
    <m/>
    <n v="0"/>
    <m/>
    <n v="6300.4147746233803"/>
    <m/>
    <n v="3.4571326630157175"/>
    <n v="0"/>
    <x v="0"/>
    <n v="0"/>
    <n v="0"/>
    <n v="0"/>
    <n v="12"/>
    <n v="5.1794871794871797"/>
    <x v="12"/>
  </r>
  <r>
    <x v="36"/>
    <x v="1"/>
    <n v="65"/>
    <s v="34Q"/>
    <s v="Waterschap Drents-Overijsselse Delta"/>
    <x v="67"/>
    <n v="11700"/>
    <m/>
    <s v="10-1"/>
    <n v="0"/>
    <n v="0"/>
    <n v="2028"/>
    <n v="2030"/>
    <n v="2030"/>
    <n v="2032"/>
    <n v="2032"/>
    <n v="2035"/>
    <n v="2"/>
    <n v="2"/>
    <n v="3"/>
    <n v="7"/>
    <n v="1"/>
    <n v="1"/>
    <m/>
    <n v="2.2000000000000002"/>
    <n v="6.2"/>
    <n v="52.2"/>
    <x v="185"/>
    <n v="57.5"/>
    <n v="51.3"/>
    <s v=""/>
    <n v="6300.4147746233803"/>
    <s v=""/>
    <n v="3.4571326630157175"/>
    <s v=""/>
    <n v="0"/>
    <x v="0"/>
    <n v="0"/>
    <n v="0"/>
    <n v="0"/>
    <n v="12"/>
    <n v="5.1794871794871797"/>
    <x v="12"/>
  </r>
  <r>
    <x v="36"/>
    <x v="2"/>
    <n v="113"/>
    <s v="34Q"/>
    <s v="Waterschap Drents-Overijsselse Delta"/>
    <x v="67"/>
    <n v="5399.5852253766197"/>
    <n v="11"/>
    <s v="10-1"/>
    <n v="0"/>
    <n v="0"/>
    <n v="2028"/>
    <n v="2030"/>
    <n v="2030"/>
    <n v="2032"/>
    <n v="2032"/>
    <n v="2034"/>
    <n v="2"/>
    <n v="2"/>
    <n v="2"/>
    <n v="6"/>
    <n v="-2"/>
    <m/>
    <m/>
    <n v="0.9"/>
    <n v="2.2000000000000002"/>
    <n v="0"/>
    <x v="186"/>
    <n v="-40"/>
    <m/>
    <s v=""/>
    <m/>
    <s v=""/>
    <m/>
    <s v=""/>
    <n v="0"/>
    <x v="0"/>
    <n v="0"/>
    <n v="0"/>
    <n v="0"/>
    <n v="12"/>
    <n v="0.57411817215715411"/>
    <x v="12"/>
  </r>
  <r>
    <x v="36"/>
    <x v="3"/>
    <n v="112"/>
    <s v="34Q"/>
    <s v="Waterschap Drents-Overijsselse Delta"/>
    <x v="67"/>
    <n v="5399.5852253766197"/>
    <m/>
    <s v="10-1"/>
    <n v="0"/>
    <n v="0"/>
    <n v="2028"/>
    <n v="2030"/>
    <n v="2030"/>
    <n v="2034"/>
    <n v="2034"/>
    <n v="2036"/>
    <n v="2"/>
    <n v="4"/>
    <n v="2"/>
    <n v="8"/>
    <n v="2"/>
    <m/>
    <m/>
    <n v="0.9"/>
    <n v="6.5"/>
    <n v="35.700000000000003"/>
    <x v="187"/>
    <n v="33.799999999999997"/>
    <m/>
    <s v=""/>
    <m/>
    <s v=""/>
    <m/>
    <s v=""/>
    <n v="0"/>
    <x v="0"/>
    <n v="0"/>
    <n v="0"/>
    <n v="0"/>
    <n v="14"/>
    <n v="7.9820945870881754"/>
    <x v="12"/>
  </r>
  <r>
    <x v="36"/>
    <x v="4"/>
    <n v="98"/>
    <s v="15L"/>
    <s v="Waterschap Drents-Overijsselse Delta"/>
    <x v="67"/>
    <n v="5399.5852253766197"/>
    <m/>
    <m/>
    <n v="0"/>
    <n v="0"/>
    <n v="2026"/>
    <n v="2028"/>
    <n v="2028"/>
    <n v="2030"/>
    <n v="2030"/>
    <n v="2032"/>
    <n v="2"/>
    <n v="2"/>
    <n v="2"/>
    <n v="6"/>
    <m/>
    <m/>
    <m/>
    <n v="0.9"/>
    <n v="2.2000000000000002"/>
    <n v="6.2"/>
    <x v="188"/>
    <m/>
    <m/>
    <s v=""/>
    <m/>
    <s v=""/>
    <m/>
    <s v=""/>
    <n v="0"/>
    <x v="0"/>
    <n v="0"/>
    <n v="0"/>
    <n v="0"/>
    <n v="10"/>
    <n v="1.7223545164714624"/>
    <x v="13"/>
  </r>
  <r>
    <x v="36"/>
    <x v="5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0"/>
    <x v="0"/>
    <n v="0"/>
    <n v="0"/>
    <n v="0"/>
    <m/>
    <m/>
    <x v="6"/>
  </r>
  <r>
    <x v="37"/>
    <x v="0"/>
    <n v="13"/>
    <s v="24AO"/>
    <s v="Waterschap Scheldestromen"/>
    <x v="68"/>
    <n v="1000"/>
    <m/>
    <s v="30-3"/>
    <n v="0"/>
    <n v="0"/>
    <n v="2021"/>
    <n v="2022"/>
    <n v="2022"/>
    <n v="2023"/>
    <n v="2023"/>
    <n v="2024"/>
    <n v="1"/>
    <n v="1"/>
    <n v="1"/>
    <n v="3"/>
    <n v="0"/>
    <m/>
    <n v="0"/>
    <n v="0.08"/>
    <n v="0.08"/>
    <n v="0.84"/>
    <x v="130"/>
    <n v="0"/>
    <m/>
    <n v="0"/>
    <m/>
    <n v="0"/>
    <m/>
    <n v="0"/>
    <n v="0"/>
    <x v="0"/>
    <n v="0"/>
    <n v="0"/>
    <n v="0"/>
    <n v="3"/>
    <n v="1"/>
    <x v="0"/>
  </r>
  <r>
    <x v="37"/>
    <x v="1"/>
    <n v="13"/>
    <s v="24AO"/>
    <s v="Waterschap Scheldestromen"/>
    <x v="68"/>
    <n v="1000"/>
    <m/>
    <s v="30-3"/>
    <n v="0"/>
    <n v="0"/>
    <n v="2021"/>
    <n v="2022"/>
    <n v="2022"/>
    <n v="2023"/>
    <n v="2023"/>
    <n v="2024"/>
    <n v="1"/>
    <n v="1"/>
    <n v="1"/>
    <n v="3"/>
    <n v="-1"/>
    <n v="0"/>
    <m/>
    <n v="0.08"/>
    <n v="0.08"/>
    <n v="0.84"/>
    <x v="130"/>
    <n v="-0.10000000000000009"/>
    <n v="0"/>
    <s v=""/>
    <n v="0"/>
    <s v=""/>
    <n v="0"/>
    <s v=""/>
    <n v="0"/>
    <x v="0"/>
    <n v="0"/>
    <n v="0"/>
    <n v="0"/>
    <n v="3"/>
    <n v="1"/>
    <x v="0"/>
  </r>
  <r>
    <x v="37"/>
    <x v="2"/>
    <n v="35"/>
    <s v="24AO"/>
    <s v="Waterschap Scheldestromen"/>
    <x v="68"/>
    <n v="1000"/>
    <m/>
    <s v="30-3"/>
    <n v="0"/>
    <n v="0"/>
    <n v="2020"/>
    <n v="2021"/>
    <n v="2021"/>
    <n v="2023"/>
    <n v="2023"/>
    <n v="2024"/>
    <n v="1"/>
    <n v="2"/>
    <n v="1"/>
    <n v="4"/>
    <n v="2"/>
    <m/>
    <m/>
    <n v="0.1"/>
    <n v="0.1"/>
    <n v="0.9"/>
    <x v="189"/>
    <n v="-0.79999999999999982"/>
    <m/>
    <s v=""/>
    <m/>
    <s v=""/>
    <m/>
    <s v=""/>
    <n v="0"/>
    <x v="0"/>
    <n v="1"/>
    <n v="0"/>
    <n v="0"/>
    <n v="3"/>
    <n v="1.1000000000000001"/>
    <x v="1"/>
  </r>
  <r>
    <x v="37"/>
    <x v="3"/>
    <n v="31"/>
    <s v="24AO"/>
    <s v="Waterschap Scheldestromen"/>
    <x v="68"/>
    <n v="1000"/>
    <m/>
    <s v="30-3"/>
    <n v="0"/>
    <n v="0"/>
    <m/>
    <m/>
    <n v="2018"/>
    <n v="2019"/>
    <n v="2019"/>
    <n v="2020"/>
    <n v="0"/>
    <n v="1"/>
    <n v="1"/>
    <n v="2"/>
    <n v="-1"/>
    <m/>
    <m/>
    <m/>
    <n v="0.9"/>
    <n v="1"/>
    <x v="190"/>
    <n v="0.89999999999999991"/>
    <m/>
    <s v=""/>
    <m/>
    <s v=""/>
    <m/>
    <s v=""/>
    <n v="0"/>
    <x v="0"/>
    <n v="0"/>
    <n v="0"/>
    <n v="0"/>
    <n v="-1"/>
    <n v="1.9"/>
    <x v="2"/>
  </r>
  <r>
    <x v="37"/>
    <x v="4"/>
    <n v="40"/>
    <s v="24VLBO30-3 24AI"/>
    <s v="Waterschap Scheldestromen"/>
    <x v="68"/>
    <n v="1000"/>
    <m/>
    <s v="30-3"/>
    <n v="0"/>
    <n v="0"/>
    <m/>
    <m/>
    <n v="2018"/>
    <n v="2019"/>
    <n v="2019"/>
    <n v="2021"/>
    <n v="0"/>
    <n v="1"/>
    <n v="2"/>
    <n v="3"/>
    <m/>
    <m/>
    <m/>
    <m/>
    <n v="0.1"/>
    <n v="0.9"/>
    <x v="130"/>
    <m/>
    <m/>
    <s v=""/>
    <m/>
    <s v=""/>
    <m/>
    <s v=""/>
    <n v="0"/>
    <x v="0"/>
    <n v="0"/>
    <n v="0"/>
    <n v="1"/>
    <n v="-1"/>
    <n v="1"/>
    <x v="2"/>
  </r>
  <r>
    <x v="37"/>
    <x v="5"/>
    <m/>
    <m/>
    <m/>
    <x v="2"/>
    <m/>
    <m/>
    <m/>
    <m/>
    <m/>
    <m/>
    <m/>
    <m/>
    <m/>
    <m/>
    <m/>
    <m/>
    <m/>
    <m/>
    <m/>
    <m/>
    <m/>
    <m/>
    <m/>
    <m/>
    <m/>
    <x v="39"/>
    <m/>
    <m/>
    <s v=""/>
    <m/>
    <s v=""/>
    <m/>
    <s v=""/>
    <n v="0"/>
    <x v="0"/>
    <n v="0"/>
    <n v="0"/>
    <n v="0"/>
    <m/>
    <m/>
    <x v="6"/>
  </r>
  <r>
    <x v="38"/>
    <x v="0"/>
    <n v="41"/>
    <s v="34AK"/>
    <s v="Waterschap Drents-Overijsselse Delta"/>
    <x v="69"/>
    <n v="1284"/>
    <m/>
    <m/>
    <n v="0"/>
    <n v="0"/>
    <n v="2019"/>
    <n v="2020"/>
    <n v="2020"/>
    <n v="2022"/>
    <n v="2022"/>
    <n v="2025"/>
    <n v="1"/>
    <n v="2"/>
    <n v="3"/>
    <n v="6"/>
    <n v="2"/>
    <m/>
    <m/>
    <n v="2.2222222222222223"/>
    <n v="3.0555555555555554"/>
    <n v="6.7777777777777768"/>
    <x v="191"/>
    <n v="5.6555555555555532"/>
    <m/>
    <s v=""/>
    <m/>
    <s v=""/>
    <n v="5.6126269138381941"/>
    <s v=""/>
    <n v="0"/>
    <x v="0"/>
    <n v="0"/>
    <n v="1"/>
    <n v="0"/>
    <n v="2"/>
    <n v="9.3890619591554145"/>
    <x v="4"/>
  </r>
  <r>
    <x v="38"/>
    <x v="1"/>
    <n v="41"/>
    <s v="34AK"/>
    <s v="Waterschap Drents-Overijsselse Delta"/>
    <x v="69"/>
    <n v="1284"/>
    <m/>
    <s v="9-1"/>
    <n v="0"/>
    <n v="0"/>
    <n v="2019"/>
    <n v="2020"/>
    <n v="2020"/>
    <n v="2022"/>
    <n v="2022"/>
    <n v="2023"/>
    <n v="1"/>
    <n v="2"/>
    <n v="1"/>
    <n v="4"/>
    <n v="0"/>
    <m/>
    <m/>
    <n v="2.2999999999999998"/>
    <n v="0.5"/>
    <n v="3.6"/>
    <x v="192"/>
    <n v="1.3000000000000007"/>
    <m/>
    <s v=""/>
    <n v="1284"/>
    <s v=""/>
    <m/>
    <s v=""/>
    <n v="0"/>
    <x v="0"/>
    <n v="0"/>
    <n v="1"/>
    <n v="0"/>
    <n v="2"/>
    <n v="4.9844236760124616"/>
    <x v="4"/>
  </r>
  <r>
    <x v="38"/>
    <x v="2"/>
    <n v="84"/>
    <s v="34AK"/>
    <s v="Waterschap Drents-Overijsselse Delta"/>
    <x v="70"/>
    <n v="1217"/>
    <m/>
    <s v="9-1"/>
    <n v="0"/>
    <n v="0"/>
    <n v="2019"/>
    <n v="2020"/>
    <n v="2020"/>
    <n v="2021"/>
    <n v="2021"/>
    <n v="2023"/>
    <n v="1"/>
    <n v="1"/>
    <n v="2"/>
    <n v="4"/>
    <n v="1"/>
    <m/>
    <m/>
    <n v="2.2999999999999998"/>
    <n v="0.5"/>
    <n v="2.2999999999999998"/>
    <x v="193"/>
    <n v="9.9999999999999645E-2"/>
    <m/>
    <s v=""/>
    <m/>
    <s v=""/>
    <m/>
    <s v=""/>
    <n v="0"/>
    <x v="0"/>
    <n v="0"/>
    <n v="1"/>
    <n v="0"/>
    <n v="1"/>
    <n v="4.190632703368939"/>
    <x v="4"/>
  </r>
  <r>
    <x v="38"/>
    <x v="3"/>
    <n v="57"/>
    <s v="34AK"/>
    <s v="Waterschap Drents-Overijsselse Delta"/>
    <x v="71"/>
    <n v="1324"/>
    <m/>
    <s v="53-3 + 9-1"/>
    <n v="0"/>
    <n v="0"/>
    <n v="2019"/>
    <n v="2020"/>
    <n v="2020"/>
    <n v="2021"/>
    <n v="2021"/>
    <n v="2022"/>
    <n v="1"/>
    <n v="1"/>
    <n v="1"/>
    <n v="3"/>
    <n v="3"/>
    <m/>
    <m/>
    <n v="0.3"/>
    <n v="0.5"/>
    <n v="4.2"/>
    <x v="194"/>
    <m/>
    <m/>
    <s v=""/>
    <m/>
    <s v=""/>
    <m/>
    <s v=""/>
    <n v="0"/>
    <x v="0"/>
    <n v="0"/>
    <n v="1"/>
    <n v="0"/>
    <n v="1"/>
    <n v="3.7764350453172204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n v="1"/>
    <x v="0"/>
    <n v="1"/>
    <s v="22AR+AK"/>
    <s v="Waterschap Rivierenland"/>
    <s v="Streefkerk Ameide Fort Everdingen (SAFE)"/>
    <n v="11755"/>
    <m/>
    <m/>
    <n v="0"/>
    <n v="0"/>
    <n v="2017"/>
    <n v="2022"/>
    <n v="2022"/>
    <n v="2024"/>
    <n v="2024"/>
    <n v="2029"/>
    <n v="5"/>
    <n v="2"/>
    <n v="5"/>
    <n v="12"/>
    <n v="5"/>
    <m/>
    <n v="7"/>
    <n v="3.7777777777777777"/>
    <n v="8"/>
    <n v="20.111111111111111"/>
    <n v="31.888888888888889"/>
    <n v="1.8888888888888893"/>
    <m/>
    <n v="-8.1111111111111107"/>
    <m/>
    <n v="-26606"/>
    <m/>
    <n v="1.930749346578714"/>
    <m/>
    <n v="0"/>
    <n v="1"/>
    <n v="0"/>
    <n v="0"/>
    <n v="4"/>
    <n v="2.7127936102840398"/>
    <n v="2"/>
    <n v="1"/>
    <x v="0"/>
    <x v="0"/>
  </r>
  <r>
    <n v="1"/>
    <x v="1"/>
    <n v="1"/>
    <s v="22AR+AK"/>
    <s v="Waterschap Rivierenland"/>
    <s v="Streefkerk Ameide Fort Everdingen (SAFE)"/>
    <n v="39600"/>
    <m/>
    <s v="16-3, 16-4"/>
    <n v="1"/>
    <n v="0"/>
    <n v="2017"/>
    <n v="2021"/>
    <n v="2021"/>
    <n v="2022"/>
    <n v="2022"/>
    <n v="2024"/>
    <n v="4"/>
    <n v="1"/>
    <n v="2"/>
    <n v="7"/>
    <n v="0"/>
    <n v="2"/>
    <m/>
    <n v="6.8344444444444452"/>
    <n v="3"/>
    <n v="20.165555555555553"/>
    <n v="30"/>
    <n v="0"/>
    <n v="0"/>
    <s v=""/>
    <n v="1239"/>
    <s v=""/>
    <n v="-2.446850612956819E-2"/>
    <s v=""/>
    <n v="0"/>
    <n v="0"/>
    <n v="1"/>
    <n v="0"/>
    <n v="0"/>
    <n v="2"/>
    <n v="0.75757575757575757"/>
    <n v="1"/>
    <n v="1"/>
    <x v="0"/>
    <x v="0"/>
  </r>
  <r>
    <n v="1"/>
    <x v="2"/>
    <n v="1"/>
    <s v="22AR"/>
    <s v="Waterschap Rivierenland"/>
    <s v="Fort Everdingen-Ameide Sluis + Ameide Streefkerk"/>
    <n v="38361"/>
    <n v="2"/>
    <s v="16-4"/>
    <n v="0"/>
    <n v="0"/>
    <n v="2017"/>
    <n v="2018"/>
    <n v="2018"/>
    <n v="2021"/>
    <n v="2021"/>
    <n v="2024"/>
    <n v="1"/>
    <n v="3"/>
    <n v="3"/>
    <n v="7"/>
    <n v="1"/>
    <m/>
    <m/>
    <n v="3.4611111111111112"/>
    <n v="6.3733333333333348"/>
    <n v="20.165555555555557"/>
    <n v="30.000000000000004"/>
    <n v="0.80000000000000426"/>
    <m/>
    <s v=""/>
    <m/>
    <s v=""/>
    <m/>
    <s v=""/>
    <n v="0"/>
    <n v="0"/>
    <n v="0"/>
    <n v="1"/>
    <n v="0"/>
    <n v="1"/>
    <n v="0.78204426370532587"/>
    <n v="-2"/>
    <n v="0"/>
    <x v="0"/>
    <x v="0"/>
  </r>
  <r>
    <n v="1"/>
    <x v="3"/>
    <n v="1"/>
    <s v="22AR"/>
    <s v="Waterschap Rivierenland"/>
    <s v="Fort Everdingen-Ameide Sluis + Ameide Streefkerk"/>
    <n v="38361"/>
    <m/>
    <s v="16-4"/>
    <n v="0"/>
    <n v="0"/>
    <n v="2017"/>
    <n v="2019"/>
    <n v="2019"/>
    <n v="2020"/>
    <n v="2020"/>
    <n v="2023"/>
    <n v="2"/>
    <n v="1"/>
    <n v="3"/>
    <n v="6"/>
    <n v="1"/>
    <m/>
    <m/>
    <n v="3"/>
    <n v="6"/>
    <n v="20.2"/>
    <n v="29.2"/>
    <n v="-0.80000000000000071"/>
    <m/>
    <s v=""/>
    <m/>
    <s v=""/>
    <m/>
    <s v=""/>
    <n v="0"/>
    <n v="0"/>
    <n v="0"/>
    <n v="0"/>
    <n v="1"/>
    <n v="0"/>
    <n v="0.76118975000651712"/>
    <n v="-1"/>
    <n v="0"/>
    <x v="0"/>
    <x v="0"/>
  </r>
  <r>
    <n v="1"/>
    <x v="4"/>
    <n v="1"/>
    <s v="22VLBO16-4 22W"/>
    <s v="Waterschap Rivierenland"/>
    <s v="Fort Everdingen-Ameide Sluis + Ameide Streefkerk"/>
    <n v="38361"/>
    <m/>
    <s v="16-4"/>
    <n v="0"/>
    <n v="0"/>
    <n v="2017"/>
    <n v="2019"/>
    <n v="2019"/>
    <n v="2020"/>
    <n v="2020"/>
    <n v="2022"/>
    <n v="2"/>
    <n v="1"/>
    <n v="2"/>
    <n v="5"/>
    <n v="0"/>
    <m/>
    <m/>
    <n v="3"/>
    <n v="3"/>
    <n v="24"/>
    <n v="30"/>
    <n v="10"/>
    <m/>
    <s v=""/>
    <m/>
    <s v=""/>
    <m/>
    <s v=""/>
    <n v="0"/>
    <n v="0"/>
    <n v="0"/>
    <n v="0"/>
    <n v="1"/>
    <n v="0"/>
    <n v="0.78204426370532576"/>
    <n v="-1"/>
    <n v="0"/>
    <x v="1"/>
    <x v="0"/>
  </r>
  <r>
    <n v="1"/>
    <x v="5"/>
    <m/>
    <m/>
    <m/>
    <m/>
    <m/>
    <m/>
    <s v="16-4"/>
    <n v="0"/>
    <n v="0"/>
    <n v="2017"/>
    <n v="2019"/>
    <n v="2019"/>
    <n v="2020"/>
    <n v="2020"/>
    <n v="2022"/>
    <n v="2"/>
    <n v="1"/>
    <n v="2"/>
    <n v="5"/>
    <m/>
    <m/>
    <m/>
    <n v="2"/>
    <n v="2"/>
    <n v="16"/>
    <n v="20"/>
    <m/>
    <m/>
    <s v=""/>
    <m/>
    <s v=""/>
    <m/>
    <s v=""/>
    <n v="0"/>
    <n v="0"/>
    <n v="0"/>
    <n v="0"/>
    <n v="1"/>
    <n v="0"/>
    <m/>
    <n v="-1"/>
    <n v="0"/>
    <x v="1"/>
    <x v="0"/>
  </r>
  <r>
    <n v="2"/>
    <x v="0"/>
    <n v="2"/>
    <s v="25P"/>
    <s v="Waterschap Vallei en Veluwe"/>
    <s v="Grebbedijk"/>
    <n v="5400"/>
    <m/>
    <m/>
    <n v="0"/>
    <n v="0"/>
    <n v="2017"/>
    <n v="2021"/>
    <n v="2021"/>
    <n v="2023"/>
    <n v="2023"/>
    <n v="2026"/>
    <n v="4"/>
    <n v="2"/>
    <n v="3"/>
    <n v="9"/>
    <n v="0"/>
    <m/>
    <n v="0"/>
    <n v="6.7777777777777768"/>
    <n v="5.5"/>
    <n v="46.222222222222221"/>
    <n v="58.5"/>
    <n v="-27.087777777777774"/>
    <m/>
    <n v="-27.030227777777775"/>
    <m/>
    <n v="46.096176043620289"/>
    <m/>
    <n v="3.8477763958606515"/>
    <m/>
    <n v="0"/>
    <n v="1"/>
    <n v="0"/>
    <n v="0"/>
    <n v="3"/>
    <n v="10.833333333333332"/>
    <n v="1"/>
    <n v="1"/>
    <x v="0"/>
    <x v="0"/>
  </r>
  <r>
    <n v="2"/>
    <x v="1"/>
    <n v="2"/>
    <s v="25P"/>
    <s v="Waterschap Vallei en Veluwe"/>
    <s v="Grebbedijk"/>
    <n v="5400"/>
    <m/>
    <s v="45-1"/>
    <n v="0"/>
    <n v="0"/>
    <n v="2017"/>
    <n v="2021"/>
    <n v="2021"/>
    <n v="2024"/>
    <n v="2024"/>
    <n v="2026"/>
    <n v="4"/>
    <n v="3"/>
    <n v="2"/>
    <n v="9"/>
    <n v="0"/>
    <n v="0"/>
    <m/>
    <n v="6.8288888888888888"/>
    <n v="5.4944444444444445"/>
    <n v="73.264444444444436"/>
    <n v="85.587777777777774"/>
    <n v="0.65888888888888175"/>
    <n v="48.187777777777775"/>
    <s v=""/>
    <n v="46.096176043620289"/>
    <s v=""/>
    <n v="8.8640315398935741"/>
    <s v=""/>
    <n v="1"/>
    <n v="0"/>
    <n v="1"/>
    <n v="0"/>
    <n v="0"/>
    <n v="4"/>
    <n v="15.849588477366254"/>
    <n v="1"/>
    <n v="1"/>
    <x v="0"/>
    <x v="0"/>
  </r>
  <r>
    <n v="2"/>
    <x v="2"/>
    <n v="4"/>
    <s v="25Q"/>
    <s v="Waterschap Vallei en Veluwe"/>
    <s v="Grebbedijk"/>
    <n v="5353.9038239563797"/>
    <n v="6"/>
    <s v="45-1"/>
    <n v="0"/>
    <n v="0"/>
    <n v="2017"/>
    <n v="2021"/>
    <n v="2021"/>
    <n v="2024"/>
    <n v="2024"/>
    <n v="2026"/>
    <n v="4"/>
    <n v="3"/>
    <n v="2"/>
    <n v="9"/>
    <n v="0"/>
    <m/>
    <m/>
    <n v="6.8288888888888888"/>
    <n v="4.9000000000000004"/>
    <n v="73.2"/>
    <n v="84.928888888888892"/>
    <n v="5.5348888888889007"/>
    <m/>
    <s v=""/>
    <m/>
    <s v=""/>
    <m/>
    <s v=""/>
    <n v="1"/>
    <n v="0"/>
    <n v="1"/>
    <n v="0"/>
    <n v="0"/>
    <n v="4"/>
    <n v="15.86298366228942"/>
    <n v="1"/>
    <n v="1"/>
    <x v="0"/>
    <x v="0"/>
  </r>
  <r>
    <n v="2"/>
    <x v="3"/>
    <n v="3"/>
    <s v="25Q"/>
    <s v="Waterschap Vallei en Veluwe"/>
    <s v="Grebbedijk"/>
    <n v="5353.9038239563797"/>
    <m/>
    <s v="45-1"/>
    <n v="0"/>
    <n v="0"/>
    <n v="2017"/>
    <n v="2021"/>
    <n v="2021"/>
    <n v="2024"/>
    <n v="2024"/>
    <n v="2026"/>
    <n v="4"/>
    <n v="3"/>
    <n v="2"/>
    <n v="9"/>
    <n v="0"/>
    <m/>
    <m/>
    <n v="0.6"/>
    <n v="5.4939999999999998"/>
    <n v="73.3"/>
    <n v="79.393999999999991"/>
    <n v="41.993999999999993"/>
    <m/>
    <s v=""/>
    <m/>
    <s v=""/>
    <m/>
    <s v=""/>
    <n v="1"/>
    <n v="0"/>
    <n v="1"/>
    <n v="0"/>
    <n v="0"/>
    <n v="4"/>
    <n v="14.829179344751497"/>
    <n v="1"/>
    <n v="1"/>
    <x v="0"/>
    <x v="0"/>
  </r>
  <r>
    <n v="2"/>
    <x v="4"/>
    <n v="3"/>
    <s v="25VLBO45-1 25P"/>
    <s v="Waterschap Vallei en Veluwe"/>
    <s v="Grebbedijk"/>
    <n v="5353.9038239563797"/>
    <m/>
    <s v="45-1"/>
    <n v="0"/>
    <n v="0"/>
    <n v="2017"/>
    <n v="2021"/>
    <n v="2021"/>
    <n v="2023"/>
    <n v="2023"/>
    <n v="2026"/>
    <n v="4"/>
    <n v="2"/>
    <n v="3"/>
    <n v="9"/>
    <n v="0"/>
    <m/>
    <m/>
    <n v="1.9"/>
    <n v="3.7"/>
    <n v="31.8"/>
    <n v="37.4"/>
    <n v="-5.7549999999999102E-2"/>
    <m/>
    <s v=""/>
    <m/>
    <s v=""/>
    <m/>
    <s v=""/>
    <n v="1"/>
    <n v="0"/>
    <n v="1"/>
    <n v="0"/>
    <n v="0"/>
    <n v="3"/>
    <n v="6.9855569374726807"/>
    <n v="1"/>
    <n v="1"/>
    <x v="1"/>
    <x v="0"/>
  </r>
  <r>
    <n v="2"/>
    <x v="5"/>
    <n v="3"/>
    <m/>
    <s v="Waterschap Vallei en Veluwe"/>
    <s v="Grebbedijk"/>
    <n v="5353.9038239563797"/>
    <m/>
    <s v="45-2"/>
    <n v="0"/>
    <n v="0"/>
    <n v="2017"/>
    <n v="2021"/>
    <n v="2021"/>
    <n v="2023"/>
    <n v="2023"/>
    <n v="2026"/>
    <n v="4"/>
    <n v="2"/>
    <n v="3"/>
    <n v="9"/>
    <m/>
    <m/>
    <m/>
    <n v="1.9"/>
    <n v="3.7429000000000006"/>
    <n v="31.81465"/>
    <n v="37.457549999999998"/>
    <m/>
    <m/>
    <s v=""/>
    <m/>
    <s v=""/>
    <m/>
    <s v=""/>
    <n v="1"/>
    <n v="0"/>
    <n v="1"/>
    <n v="0"/>
    <n v="0"/>
    <n v="3"/>
    <n v="6.9963061032949145"/>
    <n v="1"/>
    <n v="1"/>
    <x v="1"/>
    <x v="0"/>
  </r>
  <r>
    <n v="3"/>
    <x v="0"/>
    <n v="3"/>
    <s v="22D"/>
    <s v="Waterschap Rivierenland"/>
    <s v="Neder-Betuwe"/>
    <n v="20200"/>
    <m/>
    <m/>
    <n v="0"/>
    <n v="0"/>
    <n v="2016"/>
    <n v="2020"/>
    <n v="2020"/>
    <n v="2023"/>
    <n v="2023"/>
    <n v="2028"/>
    <n v="4"/>
    <n v="3"/>
    <n v="5"/>
    <n v="12"/>
    <n v="1"/>
    <m/>
    <n v="4"/>
    <n v="9"/>
    <n v="13.444444444444443"/>
    <n v="190.11111111111111"/>
    <n v="212.55555555555554"/>
    <n v="83.936666666666667"/>
    <m/>
    <n v="35.59419166666666"/>
    <m/>
    <n v="91.829682285890158"/>
    <m/>
    <n v="4.9720202694414262"/>
    <m/>
    <n v="1"/>
    <n v="0"/>
    <n v="1"/>
    <n v="0"/>
    <n v="3"/>
    <n v="10.522552255225522"/>
    <n v="0"/>
    <n v="0"/>
    <x v="0"/>
    <x v="1"/>
  </r>
  <r>
    <n v="3"/>
    <x v="1"/>
    <n v="3"/>
    <s v="22D"/>
    <s v="Waterschap Rivierenland"/>
    <s v="Neder-Betuwe"/>
    <n v="20200"/>
    <m/>
    <s v="43-5"/>
    <n v="0"/>
    <n v="0"/>
    <n v="2016"/>
    <n v="2020"/>
    <n v="2020"/>
    <n v="2023"/>
    <n v="2023"/>
    <n v="2027"/>
    <n v="4"/>
    <n v="3"/>
    <n v="4"/>
    <n v="11"/>
    <n v="2"/>
    <n v="3"/>
    <m/>
    <n v="9.0399999999999991"/>
    <n v="7.7166666666666668"/>
    <n v="111.86222222222221"/>
    <n v="128.61888888888888"/>
    <n v="-3.8888888888891415E-2"/>
    <n v="3.6764138888888738"/>
    <s v=""/>
    <n v="91.829682285890158"/>
    <s v=""/>
    <n v="0.15375388711677296"/>
    <s v=""/>
    <n v="1"/>
    <n v="1"/>
    <n v="0"/>
    <n v="1"/>
    <n v="0"/>
    <n v="3"/>
    <n v="6.3672717271727164"/>
    <n v="0"/>
    <n v="0"/>
    <x v="0"/>
    <x v="1"/>
  </r>
  <r>
    <n v="3"/>
    <x v="2"/>
    <n v="5"/>
    <s v="22D"/>
    <s v="Waterschap Rivierenland"/>
    <s v="Neder-Betuwe"/>
    <n v="22510"/>
    <n v="220"/>
    <s v="43-5"/>
    <n v="0"/>
    <n v="0"/>
    <n v="2016"/>
    <n v="2019"/>
    <n v="2019"/>
    <n v="2022"/>
    <n v="2022"/>
    <n v="2025"/>
    <n v="3"/>
    <n v="3"/>
    <n v="3"/>
    <n v="9"/>
    <n v="1"/>
    <m/>
    <m/>
    <n v="9.0399999999999991"/>
    <n v="7.7177777777777772"/>
    <n v="111.9"/>
    <n v="128.65777777777777"/>
    <n v="3.7515067777777631"/>
    <m/>
    <s v=""/>
    <m/>
    <s v=""/>
    <m/>
    <s v=""/>
    <n v="1"/>
    <n v="1"/>
    <n v="0"/>
    <n v="1"/>
    <n v="0"/>
    <n v="2"/>
    <n v="5.7155831975911928"/>
    <n v="-1"/>
    <n v="0"/>
    <x v="0"/>
    <x v="1"/>
  </r>
  <r>
    <n v="3"/>
    <x v="3"/>
    <n v="4"/>
    <s v="22D"/>
    <s v="Waterschap Rivierenland"/>
    <s v="Neder-Betuwe"/>
    <n v="22510"/>
    <m/>
    <s v="43-5"/>
    <n v="0"/>
    <n v="0"/>
    <n v="2016"/>
    <n v="2019"/>
    <n v="2019"/>
    <n v="2021"/>
    <n v="2021"/>
    <n v="2024"/>
    <n v="3"/>
    <n v="2"/>
    <n v="3"/>
    <n v="8"/>
    <n v="0"/>
    <m/>
    <m/>
    <n v="5.3252709999999999"/>
    <n v="7.718"/>
    <n v="111.863"/>
    <n v="124.906271"/>
    <n v="-3.6203999999997905E-2"/>
    <m/>
    <s v=""/>
    <m/>
    <s v=""/>
    <m/>
    <s v=""/>
    <n v="1"/>
    <n v="1"/>
    <n v="0"/>
    <n v="1"/>
    <n v="0"/>
    <n v="1"/>
    <n v="5.5489236339404711"/>
    <n v="-1"/>
    <n v="0"/>
    <x v="0"/>
    <x v="1"/>
  </r>
  <r>
    <n v="3"/>
    <x v="4"/>
    <n v="5"/>
    <s v="22D + 22VLBO43-5 22AB"/>
    <s v="Waterschap Rivierenland"/>
    <s v="Neder-Betuwe"/>
    <n v="20108.17031771411"/>
    <m/>
    <s v="43-5"/>
    <n v="0"/>
    <n v="0"/>
    <n v="2016"/>
    <n v="2019"/>
    <n v="2019"/>
    <n v="2021"/>
    <n v="2021"/>
    <n v="2024"/>
    <n v="3"/>
    <n v="2"/>
    <n v="3"/>
    <n v="8"/>
    <n v="0"/>
    <m/>
    <m/>
    <n v="5.3252709999999999"/>
    <n v="7.7172040000000006"/>
    <n v="111.9"/>
    <n v="124.942475"/>
    <n v="48.342475000000007"/>
    <m/>
    <s v=""/>
    <m/>
    <s v=""/>
    <m/>
    <s v=""/>
    <n v="1"/>
    <n v="1"/>
    <n v="0"/>
    <n v="1"/>
    <n v="0"/>
    <n v="1"/>
    <n v="6.2135178400559434"/>
    <n v="-1"/>
    <n v="0"/>
    <x v="1"/>
    <x v="1"/>
  </r>
  <r>
    <n v="3"/>
    <x v="5"/>
    <n v="6"/>
    <s v="22D"/>
    <s v="Waterschap Rivierenland"/>
    <s v="Neder-Betuwe"/>
    <m/>
    <m/>
    <m/>
    <n v="0"/>
    <n v="0"/>
    <n v="2016"/>
    <n v="2019"/>
    <n v="2019"/>
    <n v="2021"/>
    <n v="2021"/>
    <n v="2024"/>
    <n v="3"/>
    <n v="2"/>
    <n v="3"/>
    <n v="8"/>
    <m/>
    <m/>
    <m/>
    <n v="3.8"/>
    <n v="7.7"/>
    <n v="65.099999999999994"/>
    <n v="76.599999999999994"/>
    <m/>
    <m/>
    <s v=""/>
    <m/>
    <s v=""/>
    <m/>
    <s v=""/>
    <n v="1"/>
    <n v="1"/>
    <n v="0"/>
    <n v="1"/>
    <n v="0"/>
    <n v="1"/>
    <m/>
    <n v="-1"/>
    <n v="0"/>
    <x v="1"/>
    <x v="1"/>
  </r>
  <r>
    <n v="4"/>
    <x v="0"/>
    <n v="5"/>
    <s v="05c"/>
    <s v="HHRS van Rijnland"/>
    <s v="IJsseldijk Gouda Voorlanden spoor 5 (vh spoor 3 fase 2) + Verbetering IJsseldijk Gouda Stadsfront Voorlanden spoor 3 "/>
    <n v="2246"/>
    <m/>
    <m/>
    <n v="1"/>
    <n v="0"/>
    <n v="2021"/>
    <n v="2023"/>
    <n v="2023"/>
    <n v="2025"/>
    <n v="2025"/>
    <n v="2028"/>
    <n v="2"/>
    <n v="2"/>
    <n v="3"/>
    <n v="7"/>
    <n v="-2"/>
    <m/>
    <n v="0"/>
    <n v="0.66666666666666663"/>
    <n v="0.44444444444444448"/>
    <n v="21.333333333333332"/>
    <n v="22.444444444444443"/>
    <n v="-7.0000000000003837E-2"/>
    <m/>
    <n v="-7.0000000000003837E-2"/>
    <m/>
    <n v="102.30998476669174"/>
    <m/>
    <n v="-1.0626288311432042"/>
    <m/>
    <n v="0"/>
    <n v="0"/>
    <n v="0"/>
    <n v="0"/>
    <n v="5"/>
    <n v="9.9930741070545164"/>
    <n v="3"/>
    <n v="1"/>
    <x v="0"/>
    <x v="0"/>
  </r>
  <r>
    <n v="4"/>
    <x v="1"/>
    <n v="5"/>
    <s v="05c"/>
    <s v="HHRS van Rijnland"/>
    <s v="IJsseldijk Gouda spoor 3 (fase 2) "/>
    <n v="2144"/>
    <n v="3"/>
    <s v="14-1"/>
    <n v="0"/>
    <n v="0"/>
    <n v="2020"/>
    <n v="2022"/>
    <n v="2022"/>
    <n v="2024"/>
    <n v="2024"/>
    <n v="2029"/>
    <n v="2"/>
    <n v="2"/>
    <n v="5"/>
    <n v="9"/>
    <n v="-1"/>
    <n v="2"/>
    <m/>
    <n v="2"/>
    <n v="2.37"/>
    <n v="18.144444444444446"/>
    <n v="22.514444444444447"/>
    <n v="-1.2555555555555564"/>
    <n v="-1.1855555555555561"/>
    <s v=""/>
    <n v="0.30998476669174124"/>
    <s v=""/>
    <m/>
    <s v=""/>
    <n v="0"/>
    <n v="0"/>
    <n v="1"/>
    <n v="0"/>
    <n v="0"/>
    <n v="4"/>
    <n v="10.501140132669985"/>
    <n v="2"/>
    <n v="1"/>
    <x v="0"/>
    <x v="0"/>
  </r>
  <r>
    <n v="4"/>
    <x v="2"/>
    <n v="9"/>
    <s v="05c"/>
    <s v="HHRS van Rijnland"/>
    <s v="IJsseldijk Gouda (fase 2)"/>
    <n v="2143.6900152333083"/>
    <n v="4"/>
    <s v="14-1"/>
    <n v="0"/>
    <n v="0"/>
    <n v="2016"/>
    <n v="2020"/>
    <n v="2020"/>
    <n v="2022"/>
    <n v="2022"/>
    <n v="2026"/>
    <n v="4"/>
    <n v="2"/>
    <n v="4"/>
    <n v="10"/>
    <n v="3"/>
    <m/>
    <m/>
    <n v="3.5700000000000003"/>
    <n v="1.8"/>
    <n v="18.400000000000002"/>
    <n v="23.770000000000003"/>
    <n v="5.5000000000003268E-2"/>
    <m/>
    <s v=""/>
    <m/>
    <s v=""/>
    <m/>
    <s v=""/>
    <n v="0"/>
    <n v="0"/>
    <n v="0"/>
    <n v="1"/>
    <n v="0"/>
    <n v="2"/>
    <n v="11.088356913120668"/>
    <n v="0"/>
    <n v="0"/>
    <x v="0"/>
    <x v="0"/>
  </r>
  <r>
    <n v="4"/>
    <x v="3"/>
    <n v="7"/>
    <s v="05c"/>
    <s v="HHRS van Rijnland"/>
    <s v="IJsseldijk Gouda (fase 2)"/>
    <n v="2143.6900152333083"/>
    <n v="3"/>
    <s v="14-1"/>
    <n v="0"/>
    <n v="0"/>
    <n v="2016"/>
    <n v="2018"/>
    <n v="2018"/>
    <n v="2021"/>
    <n v="2021"/>
    <n v="2023"/>
    <n v="2"/>
    <n v="3"/>
    <n v="2"/>
    <n v="7"/>
    <n v="0"/>
    <m/>
    <m/>
    <n v="1.2"/>
    <n v="2.37"/>
    <n v="20.145"/>
    <n v="23.715"/>
    <n v="1.4999999999997016E-2"/>
    <m/>
    <s v=""/>
    <m/>
    <s v=""/>
    <m/>
    <s v=""/>
    <n v="0"/>
    <n v="0"/>
    <n v="0"/>
    <n v="1"/>
    <n v="0"/>
    <n v="1"/>
    <n v="11.062700218538351"/>
    <n v="-2"/>
    <n v="0"/>
    <x v="0"/>
    <x v="0"/>
  </r>
  <r>
    <n v="4"/>
    <x v="4"/>
    <n v="10"/>
    <s v="05c"/>
    <s v="HHRS van Rijnland"/>
    <s v="IJsseldijk Gouda (fase 2)"/>
    <n v="2143.6900152333083"/>
    <n v="3"/>
    <s v="14-1"/>
    <n v="0"/>
    <n v="0"/>
    <n v="2016"/>
    <n v="2019"/>
    <n v="2019"/>
    <n v="2021"/>
    <n v="2021"/>
    <n v="2023"/>
    <n v="3"/>
    <n v="2"/>
    <n v="2"/>
    <n v="7"/>
    <n v="0"/>
    <m/>
    <m/>
    <n v="1.2"/>
    <n v="2.4"/>
    <n v="20.100000000000001"/>
    <n v="23.700000000000003"/>
    <n v="0"/>
    <m/>
    <s v=""/>
    <m/>
    <s v=""/>
    <m/>
    <s v=""/>
    <n v="0"/>
    <n v="0"/>
    <n v="0"/>
    <n v="1"/>
    <n v="0"/>
    <n v="1"/>
    <n v="11.055702938197721"/>
    <n v="-1"/>
    <n v="0"/>
    <x v="1"/>
    <x v="0"/>
  </r>
  <r>
    <n v="4"/>
    <x v="5"/>
    <n v="9"/>
    <s v="05c"/>
    <s v="HHRS van Rijnland"/>
    <s v="IJsseldijk Gouda (fase 2)"/>
    <m/>
    <m/>
    <m/>
    <n v="0"/>
    <n v="0"/>
    <n v="2016"/>
    <n v="2019"/>
    <n v="2019"/>
    <n v="2021"/>
    <n v="2021"/>
    <n v="2023"/>
    <n v="3"/>
    <n v="2"/>
    <n v="2"/>
    <n v="7"/>
    <m/>
    <m/>
    <m/>
    <n v="1.2"/>
    <n v="2.4"/>
    <n v="20.100000000000001"/>
    <n v="23.700000000000003"/>
    <m/>
    <m/>
    <s v=""/>
    <m/>
    <s v=""/>
    <m/>
    <s v=""/>
    <n v="0"/>
    <n v="0"/>
    <n v="0"/>
    <n v="1"/>
    <n v="0"/>
    <n v="1"/>
    <m/>
    <n v="-1"/>
    <n v="0"/>
    <x v="1"/>
    <x v="0"/>
  </r>
  <r>
    <n v="5"/>
    <x v="0"/>
    <n v="6"/>
    <s v="22AW+BW"/>
    <s v="Waterschap Rivierenland"/>
    <s v="Sprok-Sterreschans-Heteren"/>
    <n v="38459"/>
    <m/>
    <m/>
    <n v="0"/>
    <n v="0"/>
    <n v="2019"/>
    <n v="2021"/>
    <n v="2021"/>
    <n v="2025"/>
    <n v="2025"/>
    <n v="2036"/>
    <n v="2"/>
    <n v="4"/>
    <n v="11"/>
    <n v="17"/>
    <n v="5"/>
    <m/>
    <n v="8"/>
    <n v="13.555555555555554"/>
    <n v="27"/>
    <n v="176.66666666666666"/>
    <n v="217.22222222222223"/>
    <n v="3.9077777777777669"/>
    <m/>
    <n v="-6.582222222222228"/>
    <m/>
    <n v="25059.240667356971"/>
    <m/>
    <n v="-0.55407166650776851"/>
    <m/>
    <n v="1"/>
    <n v="1"/>
    <n v="0"/>
    <n v="0"/>
    <n v="5"/>
    <n v="5.6481505557144542"/>
    <n v="1"/>
    <n v="1"/>
    <x v="0"/>
    <x v="1"/>
  </r>
  <r>
    <n v="5"/>
    <x v="1"/>
    <n v="6"/>
    <s v="22AW+BW"/>
    <s v="Waterschap Rivierenland"/>
    <s v="Sprok-Sterreschans-Heteren"/>
    <n v="38459"/>
    <m/>
    <s v="43-3 43-4"/>
    <n v="1"/>
    <n v="0"/>
    <n v="2018"/>
    <n v="2023"/>
    <n v="2023"/>
    <n v="2025"/>
    <n v="2025"/>
    <n v="2030"/>
    <n v="5"/>
    <n v="2"/>
    <n v="5"/>
    <n v="12"/>
    <n v="-2"/>
    <n v="3"/>
    <m/>
    <n v="9.3699999999999992"/>
    <n v="21.555555555555554"/>
    <n v="182.38888888888891"/>
    <n v="213.31444444444446"/>
    <n v="109.52555555555558"/>
    <n v="129.58444444444444"/>
    <s v=""/>
    <n v="25059.240667356971"/>
    <s v=""/>
    <n v="-0.70207806215863755"/>
    <s v=""/>
    <n v="1"/>
    <n v="1"/>
    <n v="1"/>
    <n v="0"/>
    <n v="0"/>
    <n v="5"/>
    <n v="5.5465416273029575"/>
    <n v="3"/>
    <n v="1"/>
    <x v="0"/>
    <x v="1"/>
  </r>
  <r>
    <n v="5"/>
    <x v="2"/>
    <n v="14"/>
    <s v="22AW"/>
    <s v="Waterschap Rivierenland"/>
    <s v="Sprok-Sterreschans (Kop van Betuwe)"/>
    <n v="13500"/>
    <n v="9"/>
    <s v="43-4"/>
    <n v="0"/>
    <n v="0"/>
    <n v="2018"/>
    <n v="2023"/>
    <n v="2023"/>
    <n v="2026"/>
    <n v="2026"/>
    <n v="2032"/>
    <n v="5"/>
    <n v="3"/>
    <n v="6"/>
    <n v="14"/>
    <n v="5"/>
    <m/>
    <m/>
    <n v="8.3888888888888893"/>
    <n v="16.2"/>
    <n v="79.199999999999989"/>
    <n v="103.78888888888888"/>
    <n v="18.038888888888877"/>
    <m/>
    <s v=""/>
    <m/>
    <s v=""/>
    <m/>
    <s v=""/>
    <n v="1"/>
    <n v="1"/>
    <n v="1"/>
    <n v="0"/>
    <n v="0"/>
    <n v="6"/>
    <n v="7.6880658436213984"/>
    <n v="3"/>
    <n v="1"/>
    <x v="0"/>
    <x v="1"/>
  </r>
  <r>
    <n v="5"/>
    <x v="3"/>
    <n v="13"/>
    <s v="22AW"/>
    <s v="Waterschap Rivierenland"/>
    <s v="Sprok-Sterreschans"/>
    <n v="13500"/>
    <m/>
    <s v="43-4"/>
    <n v="0"/>
    <n v="0"/>
    <n v="2018"/>
    <n v="2022"/>
    <n v="2022"/>
    <n v="2024"/>
    <n v="2024"/>
    <n v="2027"/>
    <n v="4"/>
    <n v="2"/>
    <n v="3"/>
    <n v="9"/>
    <n v="0"/>
    <m/>
    <m/>
    <n v="6.94"/>
    <n v="8.6"/>
    <n v="70.209999999999994"/>
    <n v="85.75"/>
    <n v="2.019999999999996"/>
    <m/>
    <s v=""/>
    <m/>
    <s v=""/>
    <m/>
    <s v=""/>
    <n v="1"/>
    <n v="1"/>
    <n v="1"/>
    <n v="0"/>
    <n v="0"/>
    <n v="4"/>
    <n v="6.3518518518518521"/>
    <n v="2"/>
    <n v="1"/>
    <x v="0"/>
    <x v="1"/>
  </r>
  <r>
    <n v="5"/>
    <x v="4"/>
    <n v="17"/>
    <s v="22AG + 22VLB043-4 22AG"/>
    <s v="Waterschap Rivierenland"/>
    <s v="Sprok-Sterreschans"/>
    <n v="13399.759332643031"/>
    <m/>
    <s v="43-4"/>
    <n v="0"/>
    <n v="0"/>
    <n v="2018"/>
    <n v="2022"/>
    <n v="2022"/>
    <n v="2024"/>
    <n v="2024"/>
    <n v="2027"/>
    <n v="4"/>
    <n v="2"/>
    <n v="3"/>
    <n v="9"/>
    <n v="0"/>
    <m/>
    <m/>
    <n v="4.1400000000000006"/>
    <n v="8.48"/>
    <n v="71.11"/>
    <n v="83.73"/>
    <n v="10.489999999999995"/>
    <m/>
    <s v=""/>
    <m/>
    <s v=""/>
    <m/>
    <s v=""/>
    <n v="1"/>
    <n v="1"/>
    <n v="1"/>
    <n v="0"/>
    <n v="0"/>
    <n v="4"/>
    <n v="6.2486196894615951"/>
    <n v="2"/>
    <n v="1"/>
    <x v="1"/>
    <x v="1"/>
  </r>
  <r>
    <n v="5"/>
    <x v="5"/>
    <n v="15"/>
    <s v="Algemeen filter (4)"/>
    <s v="Waterschap Rivierenland"/>
    <s v="Tussenstuk: A50 - Doornenburg (sluit aan bij 22M)"/>
    <m/>
    <m/>
    <s v="43-4"/>
    <n v="0"/>
    <n v="0"/>
    <n v="2018"/>
    <n v="2022"/>
    <n v="2022"/>
    <n v="2024"/>
    <n v="2024"/>
    <n v="2027"/>
    <n v="4"/>
    <n v="2"/>
    <n v="3"/>
    <n v="9"/>
    <m/>
    <m/>
    <m/>
    <n v="3.6399999999999997"/>
    <n v="7.4"/>
    <n v="62.2"/>
    <n v="73.240000000000009"/>
    <m/>
    <m/>
    <s v=""/>
    <m/>
    <s v=""/>
    <m/>
    <s v=""/>
    <n v="1"/>
    <n v="1"/>
    <n v="1"/>
    <n v="0"/>
    <n v="0"/>
    <n v="4"/>
    <m/>
    <n v="2"/>
    <n v="1"/>
    <x v="1"/>
    <x v="1"/>
  </r>
  <r>
    <n v="6"/>
    <x v="0"/>
    <n v="7"/>
    <s v="22K"/>
    <s v="Waterschap Rivierenland"/>
    <s v="Stad Tiel excl Fluvia"/>
    <n v="2585"/>
    <m/>
    <s v="43-6"/>
    <n v="0"/>
    <n v="0"/>
    <n v="2018"/>
    <n v="2020"/>
    <n v="2020"/>
    <n v="2022"/>
    <n v="2022"/>
    <n v="2025"/>
    <n v="2"/>
    <n v="2"/>
    <n v="3"/>
    <n v="7"/>
    <n v="0"/>
    <m/>
    <n v="0"/>
    <n v="4.09"/>
    <n v="6.333333333333333"/>
    <n v="30.2"/>
    <n v="40.623333333333335"/>
    <n v="15.867777777777782"/>
    <m/>
    <n v="17.367777777777778"/>
    <m/>
    <n v="-110.94996646869367"/>
    <m/>
    <n v="1.9928003438641735"/>
    <m/>
    <n v="0"/>
    <n v="0"/>
    <n v="1"/>
    <n v="0"/>
    <n v="2"/>
    <n v="15.715022566086397"/>
    <n v="0"/>
    <n v="0"/>
    <x v="0"/>
    <x v="0"/>
  </r>
  <r>
    <n v="6"/>
    <x v="1"/>
    <n v="7"/>
    <s v="22K"/>
    <s v="Waterschap Rivierenland"/>
    <s v="Stad Tiel excl Fluvia"/>
    <n v="2585"/>
    <m/>
    <s v="43-6"/>
    <n v="0"/>
    <n v="0"/>
    <n v="2018"/>
    <n v="2020"/>
    <n v="2020"/>
    <n v="2022"/>
    <n v="2022"/>
    <n v="2025"/>
    <n v="2"/>
    <n v="2"/>
    <n v="3"/>
    <n v="7"/>
    <n v="1"/>
    <n v="0"/>
    <m/>
    <n v="4.09"/>
    <n v="5.583333333333333"/>
    <n v="15.082222222222223"/>
    <n v="24.755555555555553"/>
    <n v="-41.912222222222219"/>
    <n v="5.5555555555550029E-2"/>
    <s v=""/>
    <n v="-110.94996646869367"/>
    <s v=""/>
    <n v="0.41472613761414046"/>
    <s v=""/>
    <n v="0"/>
    <n v="0"/>
    <n v="0"/>
    <n v="1"/>
    <n v="0"/>
    <n v="2"/>
    <n v="9.5766172361917032"/>
    <n v="0"/>
    <n v="0"/>
    <x v="0"/>
    <x v="0"/>
  </r>
  <r>
    <n v="6"/>
    <x v="2"/>
    <n v="17"/>
    <s v="22K"/>
    <s v="Waterschap Rivierenland"/>
    <s v="Stad Tiel"/>
    <n v="2585"/>
    <n v="20"/>
    <s v="43-6"/>
    <n v="0"/>
    <n v="0"/>
    <n v="2018"/>
    <n v="2020"/>
    <n v="2020"/>
    <n v="2022"/>
    <n v="2022"/>
    <n v="2024"/>
    <n v="2"/>
    <n v="2"/>
    <n v="2"/>
    <n v="6"/>
    <n v="0"/>
    <m/>
    <m/>
    <n v="4.6377777777777771"/>
    <n v="5.03"/>
    <n v="57"/>
    <n v="66.667777777777772"/>
    <n v="40.867777777777775"/>
    <m/>
    <s v=""/>
    <m/>
    <s v=""/>
    <m/>
    <s v=""/>
    <n v="0"/>
    <n v="0"/>
    <n v="0"/>
    <n v="1"/>
    <n v="0"/>
    <n v="2"/>
    <n v="25.790242854072641"/>
    <n v="0"/>
    <n v="0"/>
    <x v="0"/>
    <x v="0"/>
  </r>
  <r>
    <n v="6"/>
    <x v="3"/>
    <n v="14"/>
    <s v="22K"/>
    <s v="Waterschap Rivierenland"/>
    <s v="Stad Tiel"/>
    <n v="1800"/>
    <m/>
    <s v="43-6"/>
    <n v="0"/>
    <n v="0"/>
    <n v="2018"/>
    <n v="2020"/>
    <n v="2020"/>
    <n v="2022"/>
    <n v="2022"/>
    <n v="2024"/>
    <n v="2"/>
    <n v="2"/>
    <n v="2"/>
    <n v="6"/>
    <n v="-1"/>
    <m/>
    <m/>
    <n v="2.2999999999999998"/>
    <n v="2.4"/>
    <n v="21.1"/>
    <n v="25.8"/>
    <n v="1.0999999999999979"/>
    <m/>
    <s v=""/>
    <m/>
    <s v=""/>
    <m/>
    <s v=""/>
    <n v="0"/>
    <n v="0"/>
    <n v="0"/>
    <n v="1"/>
    <n v="0"/>
    <n v="2"/>
    <n v="14.333333333333334"/>
    <n v="0"/>
    <n v="0"/>
    <x v="0"/>
    <x v="0"/>
  </r>
  <r>
    <n v="6"/>
    <x v="4"/>
    <n v="23"/>
    <s v="22K"/>
    <s v="Waterschap Rivierenland"/>
    <s v="Stad Tiel"/>
    <n v="2695.9499664686937"/>
    <m/>
    <s v="43-6"/>
    <n v="0"/>
    <n v="0"/>
    <n v="2018"/>
    <n v="2020"/>
    <n v="2020"/>
    <n v="2022"/>
    <n v="2022"/>
    <n v="2025"/>
    <n v="2"/>
    <n v="2"/>
    <n v="3"/>
    <n v="7"/>
    <n v="-1"/>
    <m/>
    <m/>
    <n v="1.2"/>
    <n v="2.4"/>
    <n v="21.1"/>
    <n v="24.700000000000003"/>
    <n v="-1.4999999999999964"/>
    <m/>
    <s v=""/>
    <m/>
    <s v=""/>
    <m/>
    <s v=""/>
    <n v="0"/>
    <n v="0"/>
    <n v="0"/>
    <n v="1"/>
    <n v="0"/>
    <n v="2"/>
    <n v="9.1618910985775628"/>
    <n v="0"/>
    <n v="0"/>
    <x v="1"/>
    <x v="0"/>
  </r>
  <r>
    <n v="6"/>
    <x v="5"/>
    <n v="16"/>
    <s v="22K"/>
    <s v="Waterschap Rivierenland"/>
    <s v="Stad Tiel"/>
    <m/>
    <m/>
    <m/>
    <n v="0"/>
    <n v="0"/>
    <n v="2016"/>
    <n v="2020"/>
    <n v="2020"/>
    <n v="2022"/>
    <n v="2022"/>
    <n v="2024"/>
    <n v="4"/>
    <n v="2"/>
    <n v="2"/>
    <n v="8"/>
    <m/>
    <m/>
    <m/>
    <n v="2.5999999999999996"/>
    <n v="2.4"/>
    <n v="21.2"/>
    <n v="26.2"/>
    <m/>
    <m/>
    <s v=""/>
    <m/>
    <s v=""/>
    <m/>
    <s v=""/>
    <n v="0"/>
    <n v="0"/>
    <n v="0"/>
    <n v="1"/>
    <n v="0"/>
    <n v="2"/>
    <m/>
    <n v="0"/>
    <n v="0"/>
    <x v="1"/>
    <x v="0"/>
  </r>
  <r>
    <n v="7"/>
    <x v="0"/>
    <n v="8"/>
    <s v="16E"/>
    <s v="Waterschap Hollandse Delta"/>
    <s v="Zettingsvloeiing V3T"/>
    <n v="6050"/>
    <m/>
    <m/>
    <n v="0"/>
    <n v="0"/>
    <m/>
    <m/>
    <n v="2020"/>
    <n v="2022"/>
    <n v="2022"/>
    <n v="2025"/>
    <n v="0"/>
    <n v="2"/>
    <n v="3"/>
    <n v="5"/>
    <n v="3"/>
    <m/>
    <n v="-2"/>
    <n v="4"/>
    <m/>
    <n v="36.55555555555555"/>
    <n v="40.55555555555555"/>
    <n v="0.55555555555555003"/>
    <m/>
    <n v="0.55555555555555003"/>
    <m/>
    <n v="-323.86885018160046"/>
    <m/>
    <n v="-0.96855189720475998"/>
    <m/>
    <n v="0"/>
    <n v="0"/>
    <n v="1"/>
    <n v="0"/>
    <n v="2"/>
    <n v="6.7033976124885211"/>
    <n v="0"/>
    <n v="0"/>
    <x v="0"/>
    <x v="0"/>
  </r>
  <r>
    <n v="7"/>
    <x v="1"/>
    <n v="8"/>
    <s v="16E"/>
    <s v="Waterschap Hollandse Delta"/>
    <s v="Zettingsvloeiing V3T"/>
    <n v="6374"/>
    <m/>
    <s v="25-4, 20-3, 25-2"/>
    <n v="0"/>
    <n v="0"/>
    <m/>
    <m/>
    <m/>
    <m/>
    <n v="2022"/>
    <n v="2024"/>
    <m/>
    <m/>
    <n v="2"/>
    <n v="2"/>
    <n v="-6"/>
    <n v="-5"/>
    <m/>
    <m/>
    <m/>
    <n v="40"/>
    <n v="40"/>
    <n v="-13.033333333333339"/>
    <n v="-8.9000000000000057"/>
    <s v=""/>
    <n v="0.13114981839953543"/>
    <s v=""/>
    <n v="-1.3964553145254115"/>
    <s v=""/>
    <n v="0"/>
    <n v="0"/>
    <n v="0"/>
    <n v="0"/>
    <n v="0"/>
    <n v="2"/>
    <n v="6.2754941951678695"/>
    <m/>
    <m/>
    <x v="1"/>
    <x v="2"/>
  </r>
  <r>
    <n v="7"/>
    <x v="2"/>
    <n v="23"/>
    <s v="16E"/>
    <s v="Waterschap Hollandse Delta"/>
    <s v="Zettingsvloeiing V3T"/>
    <n v="6373.8688501816005"/>
    <n v="30"/>
    <s v="25-4, 20-3, 25-2"/>
    <n v="0"/>
    <n v="0"/>
    <n v="2017"/>
    <n v="2020"/>
    <n v="2020"/>
    <n v="2023"/>
    <n v="2023"/>
    <n v="2025"/>
    <n v="3"/>
    <n v="3"/>
    <n v="2"/>
    <n v="8"/>
    <n v="1"/>
    <m/>
    <m/>
    <n v="8.6055555555555561"/>
    <n v="4.8888888888888893"/>
    <n v="39.538888888888891"/>
    <n v="53.033333333333339"/>
    <n v="4.4333333333334224E-2"/>
    <m/>
    <s v=""/>
    <m/>
    <s v=""/>
    <m/>
    <s v=""/>
    <n v="0"/>
    <n v="0"/>
    <n v="0"/>
    <n v="1"/>
    <n v="0"/>
    <n v="3"/>
    <n v="8.3204305861772383"/>
    <n v="0"/>
    <n v="0"/>
    <x v="0"/>
    <x v="0"/>
  </r>
  <r>
    <n v="7"/>
    <x v="3"/>
    <n v="21"/>
    <s v="16E"/>
    <s v="Waterschap Hollandse Delta"/>
    <s v="Zettingsvloeiing V3T"/>
    <n v="6373.8688501816005"/>
    <m/>
    <s v="25-4, 20-3, 25-2"/>
    <n v="0"/>
    <n v="0"/>
    <n v="2017"/>
    <n v="2020"/>
    <n v="2020"/>
    <n v="2022"/>
    <n v="2022"/>
    <n v="2024"/>
    <n v="3"/>
    <n v="2"/>
    <n v="2"/>
    <n v="7"/>
    <n v="0"/>
    <m/>
    <m/>
    <n v="6.5"/>
    <n v="4.8890000000000002"/>
    <n v="41.6"/>
    <n v="52.989000000000004"/>
    <n v="4.0889999999999986"/>
    <m/>
    <s v=""/>
    <m/>
    <s v=""/>
    <m/>
    <s v=""/>
    <n v="0"/>
    <n v="0"/>
    <n v="0"/>
    <n v="1"/>
    <n v="0"/>
    <n v="2"/>
    <n v="8.3134751036633379"/>
    <n v="0"/>
    <n v="0"/>
    <x v="0"/>
    <x v="0"/>
  </r>
  <r>
    <n v="7"/>
    <x v="4"/>
    <n v="29"/>
    <s v="16E"/>
    <s v="Waterschap Hollandse Delta"/>
    <s v="Zettingsvloeiing V3T"/>
    <n v="6373.8688501816005"/>
    <m/>
    <s v="20-3"/>
    <n v="0"/>
    <n v="0"/>
    <n v="2017"/>
    <n v="2020"/>
    <n v="2020"/>
    <n v="2022"/>
    <n v="2022"/>
    <n v="2024"/>
    <n v="3"/>
    <n v="2"/>
    <n v="2"/>
    <n v="7"/>
    <n v="7"/>
    <m/>
    <m/>
    <n v="2.4"/>
    <n v="4.9000000000000004"/>
    <n v="41.6"/>
    <n v="48.900000000000006"/>
    <m/>
    <m/>
    <s v=""/>
    <m/>
    <s v=""/>
    <m/>
    <s v=""/>
    <n v="0"/>
    <n v="0"/>
    <n v="0"/>
    <n v="1"/>
    <n v="0"/>
    <n v="2"/>
    <n v="7.671949509693281"/>
    <n v="0"/>
    <n v="0"/>
    <x v="1"/>
    <x v="0"/>
  </r>
  <r>
    <n v="7"/>
    <x v="5"/>
    <n v="12"/>
    <s v="13D"/>
    <s v="Waterschap Aa en Maas"/>
    <s v="Ravenstein - Lith"/>
    <n v="26552"/>
    <m/>
    <s v="36-3"/>
    <m/>
    <m/>
    <m/>
    <m/>
    <m/>
    <m/>
    <m/>
    <m/>
    <n v="0"/>
    <n v="0"/>
    <n v="0"/>
    <n v="0"/>
    <m/>
    <m/>
    <m/>
    <m/>
    <m/>
    <m/>
    <m/>
    <m/>
    <m/>
    <s v=""/>
    <m/>
    <s v=""/>
    <m/>
    <s v=""/>
    <n v="0"/>
    <n v="0"/>
    <n v="0"/>
    <n v="0"/>
    <n v="0"/>
    <m/>
    <n v="0"/>
    <m/>
    <m/>
    <x v="1"/>
    <x v="2"/>
  </r>
  <r>
    <n v="8"/>
    <x v="0"/>
    <n v="12"/>
    <s v="13D"/>
    <s v="Waterschap Aa en Maas"/>
    <s v="Ravenstein - Lith"/>
    <n v="26552"/>
    <m/>
    <s v="36-3"/>
    <n v="0"/>
    <n v="0"/>
    <n v="2017"/>
    <n v="2020"/>
    <n v="2020"/>
    <n v="2023"/>
    <n v="2023"/>
    <n v="2026"/>
    <n v="3"/>
    <n v="3"/>
    <n v="3"/>
    <n v="9"/>
    <n v="1"/>
    <m/>
    <n v="0"/>
    <n v="6.5555555555555554"/>
    <n v="13.777777777777779"/>
    <n v="118.88888888888889"/>
    <n v="139.22222222222223"/>
    <n v="2.7777777777777715"/>
    <m/>
    <n v="2.8142277777777736"/>
    <m/>
    <n v="2375.3769354652104"/>
    <m/>
    <n v="-0.47288578502653067"/>
    <m/>
    <n v="1"/>
    <n v="0"/>
    <n v="1"/>
    <n v="0"/>
    <n v="3"/>
    <n v="5.243379866760403"/>
    <n v="0"/>
    <n v="0"/>
    <x v="0"/>
    <x v="1"/>
  </r>
  <r>
    <n v="8"/>
    <x v="1"/>
    <n v="12"/>
    <s v="13D"/>
    <s v="Waterschap Aa en Maas"/>
    <s v="Ravenstein - Lith"/>
    <n v="26552"/>
    <m/>
    <s v="36-3"/>
    <n v="0"/>
    <n v="0"/>
    <n v="2017"/>
    <n v="2020"/>
    <n v="2020"/>
    <n v="2022"/>
    <n v="2022"/>
    <n v="2025"/>
    <n v="3"/>
    <n v="2"/>
    <n v="3"/>
    <n v="8"/>
    <n v="-1"/>
    <n v="-1"/>
    <m/>
    <n v="6.5555555555555554"/>
    <n v="13.777777777777779"/>
    <n v="116.11111111111111"/>
    <n v="136.44444444444446"/>
    <n v="-6.5788888888888835"/>
    <n v="-1.7555555555555316"/>
    <s v=""/>
    <n v="2375.3769354652104"/>
    <s v=""/>
    <n v="-0.57750230271927538"/>
    <s v=""/>
    <n v="0"/>
    <n v="1"/>
    <n v="0"/>
    <n v="1"/>
    <n v="0"/>
    <n v="2"/>
    <n v="5.1387633490676583"/>
    <n v="0"/>
    <n v="0"/>
    <x v="0"/>
    <x v="1"/>
  </r>
  <r>
    <n v="8"/>
    <x v="2"/>
    <n v="29"/>
    <s v="13N"/>
    <s v="Waterschap Aa en Maas"/>
    <s v="Ravenstein - Lith"/>
    <n v="26552"/>
    <n v="1"/>
    <s v="36-3"/>
    <n v="0"/>
    <n v="0"/>
    <n v="2017"/>
    <n v="2020"/>
    <n v="2020"/>
    <n v="2022"/>
    <n v="2022"/>
    <n v="2026"/>
    <n v="3"/>
    <n v="2"/>
    <n v="4"/>
    <n v="9"/>
    <n v="0"/>
    <m/>
    <m/>
    <n v="12.823333333333334"/>
    <n v="13.8"/>
    <n v="116.4"/>
    <n v="143.02333333333334"/>
    <n v="4.7233333333333292"/>
    <m/>
    <s v=""/>
    <m/>
    <s v=""/>
    <m/>
    <s v=""/>
    <n v="0"/>
    <n v="1"/>
    <n v="0"/>
    <n v="1"/>
    <n v="0"/>
    <n v="2"/>
    <n v="5.3865371095711563"/>
    <n v="0"/>
    <n v="0"/>
    <x v="0"/>
    <x v="1"/>
  </r>
  <r>
    <n v="8"/>
    <x v="3"/>
    <n v="27"/>
    <s v="13N"/>
    <s v="Waterschap Aa en Maas"/>
    <s v="Ravenstein - Lith"/>
    <n v="24176.62306453479"/>
    <m/>
    <s v="36-3"/>
    <n v="0"/>
    <n v="0"/>
    <n v="2017"/>
    <n v="2020"/>
    <n v="2020"/>
    <n v="2022"/>
    <n v="2022"/>
    <n v="2026"/>
    <n v="3"/>
    <n v="2"/>
    <n v="4"/>
    <n v="9"/>
    <n v="0"/>
    <m/>
    <m/>
    <n v="8.3000000000000007"/>
    <n v="13.8"/>
    <n v="116.2"/>
    <n v="138.30000000000001"/>
    <n v="0.10000000000002274"/>
    <m/>
    <s v=""/>
    <m/>
    <s v=""/>
    <m/>
    <s v=""/>
    <n v="0"/>
    <n v="1"/>
    <n v="0"/>
    <n v="1"/>
    <n v="0"/>
    <n v="2"/>
    <n v="5.7204018787419182"/>
    <n v="0"/>
    <n v="0"/>
    <x v="0"/>
    <x v="1"/>
  </r>
  <r>
    <n v="8"/>
    <x v="4"/>
    <n v="34"/>
    <s v="13VLBO36-3 13D"/>
    <s v="Waterschap Aa en Maas"/>
    <s v="Ravenstein - Lith"/>
    <n v="24176.62306453479"/>
    <m/>
    <s v="36-3"/>
    <n v="0"/>
    <n v="0"/>
    <n v="2017"/>
    <n v="2020"/>
    <n v="2020"/>
    <n v="2023"/>
    <n v="2023"/>
    <n v="2026"/>
    <n v="3"/>
    <n v="3"/>
    <n v="3"/>
    <n v="9"/>
    <n v="0"/>
    <m/>
    <m/>
    <n v="6.9"/>
    <n v="13.8"/>
    <n v="117.5"/>
    <n v="138.19999999999999"/>
    <n v="-3.6450000000002092E-2"/>
    <m/>
    <s v=""/>
    <m/>
    <s v=""/>
    <m/>
    <s v=""/>
    <n v="0"/>
    <n v="1"/>
    <n v="0"/>
    <n v="1"/>
    <n v="0"/>
    <n v="3"/>
    <n v="5.7162656517869337"/>
    <n v="0"/>
    <n v="0"/>
    <x v="1"/>
    <x v="1"/>
  </r>
  <r>
    <n v="8"/>
    <x v="5"/>
    <n v="24"/>
    <s v="Algemeen filter (10)"/>
    <s v="Waterschap Aa en Maas"/>
    <s v="Normtraject 36_3 Ravensteijn-Lith"/>
    <m/>
    <m/>
    <s v="36_3"/>
    <n v="0"/>
    <n v="0"/>
    <n v="2017"/>
    <n v="2020"/>
    <n v="2020"/>
    <n v="2023"/>
    <n v="2023"/>
    <n v="2026"/>
    <n v="3"/>
    <n v="3"/>
    <n v="3"/>
    <n v="9"/>
    <m/>
    <m/>
    <m/>
    <n v="6.9121499999999996"/>
    <n v="13.824300000000001"/>
    <n v="117.5"/>
    <n v="138.23644999999999"/>
    <m/>
    <m/>
    <s v=""/>
    <m/>
    <s v=""/>
    <m/>
    <s v=""/>
    <n v="0"/>
    <n v="1"/>
    <n v="0"/>
    <n v="1"/>
    <n v="0"/>
    <n v="3"/>
    <m/>
    <n v="0"/>
    <n v="0"/>
    <x v="1"/>
    <x v="1"/>
  </r>
  <r>
    <n v="9"/>
    <x v="0"/>
    <n v="14"/>
    <s v="06K"/>
    <s v="HHRS van Schieland en de Krimpenerwaard"/>
    <s v="Krachtige IJsseldijken Krimpenerwaard (KIJK)"/>
    <n v="10472"/>
    <m/>
    <s v="15-3"/>
    <n v="0"/>
    <n v="0"/>
    <n v="2016"/>
    <n v="2020"/>
    <n v="2020"/>
    <n v="2022"/>
    <n v="2022"/>
    <n v="2029"/>
    <n v="4"/>
    <n v="2"/>
    <n v="7"/>
    <n v="13"/>
    <n v="2"/>
    <m/>
    <n v="3"/>
    <n v="16.222222222222221"/>
    <n v="24"/>
    <n v="181.77777777777777"/>
    <n v="222"/>
    <n v="-9.5555555555563387E-2"/>
    <m/>
    <n v="20.304444444444442"/>
    <m/>
    <n v="362.70746169521408"/>
    <m/>
    <n v="1.704762488760263"/>
    <m/>
    <n v="1"/>
    <n v="0"/>
    <n v="1"/>
    <n v="0"/>
    <n v="2"/>
    <n v="21.199388846447672"/>
    <n v="0"/>
    <n v="0"/>
    <x v="0"/>
    <x v="1"/>
  </r>
  <r>
    <n v="9"/>
    <x v="1"/>
    <n v="14"/>
    <s v="06K"/>
    <s v="HHRS van Schieland en de Krimpenerwaard"/>
    <s v="Krachtige IJsseldijken Krimpenerwaard (KIJK)"/>
    <n v="10510"/>
    <m/>
    <s v="15-3"/>
    <n v="0"/>
    <n v="0"/>
    <n v="2016"/>
    <n v="2019"/>
    <n v="2019"/>
    <n v="2022"/>
    <n v="2022"/>
    <n v="2027"/>
    <n v="3"/>
    <n v="3"/>
    <n v="5"/>
    <n v="11"/>
    <n v="1"/>
    <n v="1"/>
    <m/>
    <n v="16.267777777777777"/>
    <n v="24"/>
    <n v="181.82777777777778"/>
    <n v="222.09555555555556"/>
    <n v="0.92777777777780557"/>
    <n v="18.195555555555558"/>
    <s v=""/>
    <n v="400.70746169521408"/>
    <s v=""/>
    <n v="0.9622703774669823"/>
    <s v=""/>
    <n v="1"/>
    <n v="1"/>
    <n v="0"/>
    <n v="1"/>
    <n v="0"/>
    <n v="2"/>
    <n v="21.131832117559998"/>
    <n v="-1"/>
    <n v="0"/>
    <x v="0"/>
    <x v="1"/>
  </r>
  <r>
    <n v="9"/>
    <x v="2"/>
    <n v="36"/>
    <s v="06K "/>
    <s v="HHRS van Schieland en de Krimpenerwaard"/>
    <s v="Krachtige IJsseldijken Krimpenerwaard (KIJK)"/>
    <n v="10472"/>
    <n v="39"/>
    <s v="15-3"/>
    <n v="0"/>
    <n v="0"/>
    <n v="2017"/>
    <n v="2019"/>
    <n v="2019"/>
    <n v="2022"/>
    <n v="2022"/>
    <n v="2027"/>
    <n v="2"/>
    <n v="3"/>
    <n v="5"/>
    <n v="10"/>
    <n v="1"/>
    <m/>
    <m/>
    <n v="16.267777777777777"/>
    <n v="22.9"/>
    <n v="182"/>
    <n v="221.16777777777776"/>
    <n v="17.167777777777758"/>
    <m/>
    <s v=""/>
    <m/>
    <s v=""/>
    <m/>
    <s v=""/>
    <n v="1"/>
    <n v="1"/>
    <n v="0"/>
    <n v="1"/>
    <n v="0"/>
    <n v="2"/>
    <n v="21.119917664035309"/>
    <n v="-1"/>
    <n v="0"/>
    <x v="0"/>
    <x v="1"/>
  </r>
  <r>
    <n v="9"/>
    <x v="3"/>
    <n v="32"/>
    <s v="06K (incl. tussenstukken)"/>
    <s v="HHRS van Schieland en de Krimpenerwaard"/>
    <s v="Krachtige IJsseldijken Krimpenerwaard (KIJK)"/>
    <n v="10459.2925383048"/>
    <m/>
    <s v="15-3"/>
    <n v="0"/>
    <n v="0"/>
    <n v="2017"/>
    <n v="2019"/>
    <n v="2019"/>
    <n v="2021"/>
    <n v="2021"/>
    <n v="2026"/>
    <n v="2"/>
    <n v="2"/>
    <n v="5"/>
    <n v="9"/>
    <n v="-1"/>
    <m/>
    <m/>
    <n v="0"/>
    <n v="20.5"/>
    <n v="183.5"/>
    <n v="204"/>
    <n v="9.9999999999994316E-2"/>
    <m/>
    <s v=""/>
    <m/>
    <s v=""/>
    <m/>
    <s v=""/>
    <n v="1"/>
    <n v="1"/>
    <n v="0"/>
    <n v="1"/>
    <n v="0"/>
    <n v="1"/>
    <n v="19.5041872337824"/>
    <n v="-1"/>
    <n v="0"/>
    <x v="0"/>
    <x v="1"/>
  </r>
  <r>
    <n v="9"/>
    <x v="4"/>
    <n v="42"/>
    <s v="06K"/>
    <s v="HHRS van Schieland en de Krimpenerwaard"/>
    <s v="Krachtige IJsseldijken Krimpenerwaard (KIJK)"/>
    <n v="10109.292538304786"/>
    <m/>
    <s v="15-3"/>
    <n v="0"/>
    <n v="0"/>
    <n v="2017"/>
    <n v="2019"/>
    <n v="2019"/>
    <n v="2022"/>
    <n v="2022"/>
    <n v="2027"/>
    <n v="2"/>
    <n v="3"/>
    <n v="5"/>
    <n v="10"/>
    <n v="0"/>
    <m/>
    <m/>
    <n v="0"/>
    <n v="20.399999999999999"/>
    <n v="183.5"/>
    <n v="203.9"/>
    <n v="-20.400000000000006"/>
    <m/>
    <s v=""/>
    <m/>
    <s v=""/>
    <m/>
    <s v=""/>
    <n v="1"/>
    <n v="1"/>
    <n v="0"/>
    <n v="1"/>
    <n v="0"/>
    <n v="2"/>
    <n v="20.169561740093016"/>
    <n v="-1"/>
    <n v="0"/>
    <x v="1"/>
    <x v="1"/>
  </r>
  <r>
    <n v="9"/>
    <x v="5"/>
    <n v="32"/>
    <s v="06K"/>
    <s v="HHRS van Schieland en de Krimpenerwaard"/>
    <s v="Krachtige IJsseldijken Krimpenerwaard (KIJK)"/>
    <m/>
    <m/>
    <m/>
    <n v="0"/>
    <n v="0"/>
    <n v="2017"/>
    <n v="2019"/>
    <n v="2019"/>
    <n v="2022"/>
    <n v="2022"/>
    <n v="2027"/>
    <n v="2"/>
    <n v="3"/>
    <n v="5"/>
    <n v="10"/>
    <m/>
    <m/>
    <m/>
    <n v="20.399999999999999"/>
    <n v="20.399999999999999"/>
    <n v="183.5"/>
    <n v="224.3"/>
    <m/>
    <m/>
    <s v=""/>
    <m/>
    <s v=""/>
    <m/>
    <s v=""/>
    <n v="1"/>
    <n v="1"/>
    <n v="0"/>
    <n v="1"/>
    <n v="0"/>
    <n v="2"/>
    <m/>
    <n v="-1"/>
    <n v="0"/>
    <x v="1"/>
    <x v="1"/>
  </r>
  <r>
    <n v="10"/>
    <x v="0"/>
    <n v="23"/>
    <s v="34U"/>
    <s v="Waterschap Drents-Overijsselse Delta"/>
    <s v="Zwolle-Olst"/>
    <n v="28880"/>
    <n v="5"/>
    <s v="53-2"/>
    <n v="0"/>
    <n v="0"/>
    <n v="2016"/>
    <n v="2021"/>
    <n v="2021"/>
    <n v="2023"/>
    <n v="2023"/>
    <n v="2027"/>
    <n v="5"/>
    <n v="2"/>
    <n v="4"/>
    <n v="11"/>
    <m/>
    <m/>
    <n v="0"/>
    <n v="12.222222222222221"/>
    <n v="27.555555555555557"/>
    <n v="222.22222222222223"/>
    <n v="262"/>
    <n v="68.472222222222257"/>
    <m/>
    <n v="15.872222222222263"/>
    <m/>
    <n v="4017.7749777699282"/>
    <m/>
    <n v="2.3550046833199643"/>
    <m/>
    <n v="1"/>
    <n v="1"/>
    <n v="0"/>
    <n v="0"/>
    <n v="3"/>
    <n v="9.0720221606648206"/>
    <n v="1"/>
    <n v="1"/>
    <x v="0"/>
    <x v="1"/>
  </r>
  <r>
    <n v="10"/>
    <x v="1"/>
    <n v="23"/>
    <s v="34U"/>
    <s v="Waterschap Drents-Overijsselse Delta"/>
    <s v="Zwolle-Olst"/>
    <n v="28880"/>
    <n v="5"/>
    <s v="53-2"/>
    <n v="0"/>
    <n v="0"/>
    <n v="2016"/>
    <n v="2020"/>
    <n v="2020"/>
    <n v="2023"/>
    <n v="2023"/>
    <n v="2027"/>
    <n v="4"/>
    <n v="3"/>
    <n v="4"/>
    <n v="11"/>
    <n v="0"/>
    <n v="2"/>
    <m/>
    <n v="12.272222222222222"/>
    <n v="19.100000000000001"/>
    <n v="162.15555555555551"/>
    <n v="193.52777777777774"/>
    <n v="-8.4444444444471856E-2"/>
    <n v="26.527777777777743"/>
    <s v=""/>
    <n v="4017.7749777699282"/>
    <s v=""/>
    <n v="-1.591713877914458E-2"/>
    <s v=""/>
    <n v="1"/>
    <n v="1"/>
    <n v="0"/>
    <n v="1"/>
    <n v="0"/>
    <n v="3"/>
    <n v="6.7011003385657117"/>
    <n v="0"/>
    <n v="0"/>
    <x v="0"/>
    <x v="1"/>
  </r>
  <r>
    <n v="10"/>
    <x v="2"/>
    <n v="53"/>
    <s v="34U"/>
    <s v="Waterschap Drents-Overijsselse Delta"/>
    <s v="Zwolle-Olst"/>
    <n v="28880"/>
    <n v="11"/>
    <s v="53-2"/>
    <n v="0"/>
    <n v="0"/>
    <n v="2016"/>
    <n v="2020"/>
    <n v="2020"/>
    <n v="2023"/>
    <n v="2023"/>
    <n v="2027"/>
    <n v="4"/>
    <n v="3"/>
    <n v="4"/>
    <n v="11"/>
    <n v="-1"/>
    <m/>
    <m/>
    <n v="12.273333333333333"/>
    <n v="19.100000000000001"/>
    <n v="162.23888888888888"/>
    <n v="193.61222222222221"/>
    <n v="3.0442222222222028"/>
    <m/>
    <s v=""/>
    <m/>
    <s v=""/>
    <m/>
    <s v=""/>
    <n v="1"/>
    <n v="1"/>
    <n v="0"/>
    <n v="1"/>
    <n v="0"/>
    <n v="3"/>
    <n v="6.7040243151738999"/>
    <n v="0"/>
    <n v="0"/>
    <x v="0"/>
    <x v="1"/>
  </r>
  <r>
    <n v="10"/>
    <x v="3"/>
    <n v="51"/>
    <s v="34U"/>
    <s v="Waterschap Drents-Overijsselse Delta"/>
    <s v="Zwolle-Olst"/>
    <n v="24862.225022230072"/>
    <n v="2"/>
    <s v="53-2"/>
    <n v="0"/>
    <n v="0"/>
    <n v="2016"/>
    <n v="2020"/>
    <n v="2020"/>
    <n v="2023"/>
    <n v="2023"/>
    <n v="2028"/>
    <n v="4"/>
    <n v="3"/>
    <n v="5"/>
    <n v="12"/>
    <n v="1"/>
    <m/>
    <m/>
    <n v="9.3000000000000007"/>
    <n v="19.100000000000001"/>
    <n v="162.16800000000001"/>
    <n v="190.56800000000001"/>
    <n v="23.568000000000012"/>
    <m/>
    <s v=""/>
    <m/>
    <s v=""/>
    <m/>
    <s v=""/>
    <n v="1"/>
    <n v="1"/>
    <n v="0"/>
    <n v="1"/>
    <n v="0"/>
    <n v="3"/>
    <n v="7.6649615965428426"/>
    <n v="0"/>
    <n v="0"/>
    <x v="0"/>
    <x v="1"/>
  </r>
  <r>
    <n v="10"/>
    <x v="4"/>
    <n v="52"/>
    <s v="15Q"/>
    <s v="Waterschap Drents-Overijsselse Delta"/>
    <s v="Zwolle-Olst"/>
    <n v="24862.225022230072"/>
    <n v="2"/>
    <s v="53-3"/>
    <n v="0"/>
    <n v="0"/>
    <n v="2016"/>
    <n v="2020"/>
    <n v="2020"/>
    <n v="2023"/>
    <n v="2023"/>
    <n v="2027"/>
    <n v="4"/>
    <n v="3"/>
    <n v="4"/>
    <n v="11"/>
    <n v="2"/>
    <m/>
    <m/>
    <n v="9.3000000000000007"/>
    <n v="16.600000000000001"/>
    <n v="141.1"/>
    <n v="167"/>
    <n v="52.599999999999994"/>
    <m/>
    <s v=""/>
    <m/>
    <s v=""/>
    <m/>
    <s v=""/>
    <n v="1"/>
    <n v="1"/>
    <n v="0"/>
    <n v="1"/>
    <n v="0"/>
    <n v="3"/>
    <n v="6.7170174773448563"/>
    <n v="0"/>
    <n v="0"/>
    <x v="1"/>
    <x v="1"/>
  </r>
  <r>
    <n v="10"/>
    <x v="5"/>
    <n v="40"/>
    <s v="15Q"/>
    <s v="Waterschap Drents-Overijsselse Delta"/>
    <s v="Zwolle-Olst"/>
    <m/>
    <m/>
    <m/>
    <n v="0"/>
    <n v="0"/>
    <n v="2016"/>
    <n v="2020"/>
    <n v="2020"/>
    <n v="2023"/>
    <n v="2023"/>
    <n v="2025"/>
    <n v="4"/>
    <n v="3"/>
    <n v="2"/>
    <n v="9"/>
    <m/>
    <m/>
    <m/>
    <n v="18.3"/>
    <n v="40"/>
    <n v="56.1"/>
    <n v="114.4"/>
    <m/>
    <m/>
    <s v=""/>
    <m/>
    <s v=""/>
    <m/>
    <s v=""/>
    <n v="1"/>
    <n v="1"/>
    <n v="0"/>
    <n v="1"/>
    <n v="0"/>
    <n v="3"/>
    <m/>
    <n v="0"/>
    <n v="0"/>
    <x v="1"/>
    <x v="1"/>
  </r>
  <r>
    <n v="11"/>
    <x v="0"/>
    <n v="25"/>
    <s v="34M"/>
    <s v="Waterschap Drents-Overijsselse Delta"/>
    <s v="Stadsdijken Zwolle"/>
    <n v="7651"/>
    <n v="5"/>
    <s v="53-3"/>
    <n v="0"/>
    <n v="0"/>
    <n v="2014"/>
    <n v="2020"/>
    <n v="2020"/>
    <n v="2022"/>
    <n v="2022"/>
    <n v="2025"/>
    <n v="6"/>
    <n v="2"/>
    <n v="3"/>
    <n v="11"/>
    <n v="0"/>
    <m/>
    <n v="3"/>
    <n v="6.6666666666666661"/>
    <n v="30"/>
    <n v="80"/>
    <n v="116.66666666666666"/>
    <n v="18.556666666666658"/>
    <m/>
    <n v="61.956666666666635"/>
    <m/>
    <n v="-355.34961436817048"/>
    <m/>
    <n v="1.884158730073203"/>
    <m/>
    <n v="1"/>
    <n v="0"/>
    <n v="1"/>
    <n v="0"/>
    <n v="2"/>
    <n v="15.248551387618175"/>
    <n v="0"/>
    <n v="0"/>
    <x v="0"/>
    <x v="1"/>
  </r>
  <r>
    <n v="11"/>
    <x v="1"/>
    <n v="25"/>
    <s v="34M"/>
    <s v="Waterschap Drents-Overijsselse Delta"/>
    <s v="Stadsdijken Zwolle"/>
    <n v="7651"/>
    <n v="5"/>
    <s v="53-3"/>
    <n v="0"/>
    <n v="0"/>
    <n v="2014"/>
    <n v="2020"/>
    <n v="2020"/>
    <n v="2022"/>
    <n v="2022"/>
    <n v="2025"/>
    <n v="6"/>
    <n v="2"/>
    <n v="3"/>
    <n v="11"/>
    <n v="2"/>
    <n v="3"/>
    <m/>
    <n v="6.61"/>
    <n v="30"/>
    <n v="61.5"/>
    <n v="98.11"/>
    <n v="25.101111111111109"/>
    <n v="-8.89"/>
    <s v=""/>
    <n v="-355.34961436817048"/>
    <s v=""/>
    <n v="-0.54123228635166321"/>
    <s v=""/>
    <n v="1"/>
    <n v="1"/>
    <n v="0"/>
    <n v="1"/>
    <n v="0"/>
    <n v="2"/>
    <n v="12.823160371193309"/>
    <n v="0"/>
    <n v="0"/>
    <x v="0"/>
    <x v="1"/>
  </r>
  <r>
    <n v="11"/>
    <x v="2"/>
    <n v="55"/>
    <s v="34M"/>
    <s v="Waterschap Drents-Overijsselse Delta"/>
    <s v="Zwolle"/>
    <n v="7641"/>
    <n v="11"/>
    <s v="53-3"/>
    <n v="0"/>
    <n v="0"/>
    <n v="2016"/>
    <n v="2018"/>
    <n v="2018"/>
    <n v="2021"/>
    <n v="2021"/>
    <n v="2025"/>
    <n v="2"/>
    <n v="3"/>
    <n v="4"/>
    <n v="9"/>
    <n v="0"/>
    <m/>
    <m/>
    <n v="6.6088888888888899"/>
    <n v="9.6000000000000014"/>
    <n v="56.8"/>
    <n v="73.00888888888889"/>
    <n v="-4.6911111111110984"/>
    <m/>
    <s v=""/>
    <m/>
    <s v=""/>
    <m/>
    <s v=""/>
    <n v="1"/>
    <n v="1"/>
    <n v="0"/>
    <n v="1"/>
    <n v="0"/>
    <n v="1"/>
    <n v="9.5548866495077718"/>
    <n v="-2"/>
    <n v="0"/>
    <x v="0"/>
    <x v="1"/>
  </r>
  <r>
    <n v="11"/>
    <x v="3"/>
    <n v="54"/>
    <s v="34M"/>
    <s v="Waterschap Drents-Overijsselse Delta"/>
    <s v="Zwolle"/>
    <n v="8006.3496143681705"/>
    <n v="5"/>
    <s v="53-3"/>
    <n v="0"/>
    <n v="0"/>
    <n v="2016"/>
    <n v="2018"/>
    <n v="2018"/>
    <n v="2021"/>
    <n v="2021"/>
    <n v="2025"/>
    <n v="2"/>
    <n v="3"/>
    <n v="4"/>
    <n v="9"/>
    <n v="1"/>
    <m/>
    <m/>
    <n v="6.6"/>
    <n v="9.5"/>
    <n v="61.599999999999994"/>
    <n v="77.699999999999989"/>
    <n v="-29.300000000000011"/>
    <m/>
    <s v=""/>
    <m/>
    <s v=""/>
    <m/>
    <s v=""/>
    <n v="1"/>
    <n v="1"/>
    <n v="0"/>
    <n v="1"/>
    <n v="0"/>
    <n v="1"/>
    <n v="9.7047972849648989"/>
    <n v="-2"/>
    <n v="0"/>
    <x v="0"/>
    <x v="1"/>
  </r>
  <r>
    <n v="11"/>
    <x v="4"/>
    <n v="56"/>
    <s v="15E"/>
    <s v="Waterschap Drents-Overijsselse Delta"/>
    <s v="Zwolle"/>
    <n v="8006.3496143681705"/>
    <n v="5"/>
    <s v="53-3"/>
    <n v="0"/>
    <n v="0"/>
    <n v="2016"/>
    <n v="2018"/>
    <n v="2018"/>
    <n v="2021"/>
    <n v="2021"/>
    <n v="2024"/>
    <n v="2"/>
    <n v="3"/>
    <n v="3"/>
    <n v="8"/>
    <n v="-1"/>
    <m/>
    <m/>
    <n v="6.6"/>
    <n v="4.5"/>
    <n v="95.9"/>
    <n v="107"/>
    <n v="-43.399999999999977"/>
    <m/>
    <s v=""/>
    <m/>
    <s v=""/>
    <m/>
    <s v=""/>
    <n v="1"/>
    <n v="1"/>
    <n v="0"/>
    <n v="1"/>
    <n v="0"/>
    <n v="1"/>
    <n v="13.364392657544972"/>
    <n v="-2"/>
    <n v="0"/>
    <x v="1"/>
    <x v="1"/>
  </r>
  <r>
    <n v="11"/>
    <x v="5"/>
    <n v="43"/>
    <s v="15E"/>
    <s v="Waterschap Drents-Overijsselse Delta"/>
    <s v="Zwolle"/>
    <m/>
    <m/>
    <m/>
    <n v="0"/>
    <n v="0"/>
    <n v="2016"/>
    <n v="2018"/>
    <n v="2018"/>
    <n v="2021"/>
    <n v="2021"/>
    <n v="2025"/>
    <n v="2"/>
    <n v="3"/>
    <n v="4"/>
    <n v="9"/>
    <m/>
    <m/>
    <m/>
    <n v="0"/>
    <n v="11.7"/>
    <n v="138.69999999999999"/>
    <n v="150.39999999999998"/>
    <m/>
    <m/>
    <s v=""/>
    <m/>
    <s v=""/>
    <m/>
    <s v=""/>
    <n v="1"/>
    <n v="1"/>
    <n v="0"/>
    <n v="1"/>
    <n v="0"/>
    <n v="1"/>
    <m/>
    <n v="-2"/>
    <n v="0"/>
    <x v="1"/>
    <x v="1"/>
  </r>
  <r>
    <n v="12"/>
    <x v="0"/>
    <n v="77"/>
    <s v="18D"/>
    <s v="Waterschap Noorderzijlvest"/>
    <s v="Lauwersmeer/Vierhuizergat"/>
    <n v="9018"/>
    <m/>
    <m/>
    <n v="0"/>
    <n v="0"/>
    <n v="2016"/>
    <n v="2020"/>
    <n v="2020"/>
    <n v="2022"/>
    <n v="2022"/>
    <n v="2027"/>
    <n v="4"/>
    <n v="2"/>
    <n v="5"/>
    <n v="11"/>
    <n v="0"/>
    <m/>
    <n v="5"/>
    <n v="8.4444444444444446"/>
    <n v="6.1111111111111107"/>
    <n v="51.333333333333336"/>
    <n v="65.888888888888886"/>
    <n v="-0.16888888888888687"/>
    <m/>
    <n v="2.6311111111111174"/>
    <m/>
    <n v="1155.9687590998346"/>
    <m/>
    <n v="0.55755294451608695"/>
    <m/>
    <n v="1"/>
    <n v="0"/>
    <n v="1"/>
    <n v="0"/>
    <n v="2"/>
    <n v="7.306374904511963"/>
    <n v="0"/>
    <n v="0"/>
    <x v="0"/>
    <x v="1"/>
  </r>
  <r>
    <n v="12"/>
    <x v="1"/>
    <n v="77"/>
    <s v="18D"/>
    <s v="Waterschap Noorderzijlvest"/>
    <s v="Lauwersmeer/Vierhuizergat"/>
    <n v="8100"/>
    <m/>
    <s v="6-5"/>
    <n v="0"/>
    <n v="0"/>
    <n v="2016"/>
    <n v="2021"/>
    <n v="2021"/>
    <n v="2023"/>
    <n v="2023"/>
    <n v="2027"/>
    <n v="5"/>
    <n v="2"/>
    <n v="4"/>
    <n v="11"/>
    <n v="2"/>
    <n v="5"/>
    <m/>
    <n v="8.4577777777777765"/>
    <n v="6.2"/>
    <n v="51.4"/>
    <n v="66.057777777777773"/>
    <n v="3.6943122222222229"/>
    <n v="11.857777777777777"/>
    <s v=""/>
    <n v="237.96875909983464"/>
    <s v=""/>
    <n v="1.2613884789995646"/>
    <s v=""/>
    <n v="1"/>
    <n v="1"/>
    <n v="1"/>
    <n v="0"/>
    <n v="0"/>
    <n v="3"/>
    <n v="8.1552812071330578"/>
    <n v="1"/>
    <n v="1"/>
    <x v="0"/>
    <x v="1"/>
  </r>
  <r>
    <n v="12"/>
    <x v="2"/>
    <n v="124"/>
    <s v="18D"/>
    <s v="Waterschap Noorderzijlvest"/>
    <s v="Lauwersmeer/Vierhuizergat"/>
    <n v="8768"/>
    <n v="1"/>
    <s v="6-5"/>
    <n v="0"/>
    <n v="0"/>
    <n v="2017"/>
    <n v="2020"/>
    <n v="2020"/>
    <n v="2022"/>
    <n v="2022"/>
    <n v="2026"/>
    <n v="3"/>
    <n v="2"/>
    <n v="4"/>
    <n v="9"/>
    <n v="0"/>
    <m/>
    <m/>
    <n v="4.8134655555555552"/>
    <n v="6.2"/>
    <n v="51.349999999999994"/>
    <n v="62.36346555555555"/>
    <n v="2.8634655555555497"/>
    <m/>
    <s v=""/>
    <m/>
    <s v=""/>
    <m/>
    <s v=""/>
    <n v="1"/>
    <n v="1"/>
    <n v="0"/>
    <n v="1"/>
    <n v="0"/>
    <n v="2"/>
    <n v="7.1126215277777769"/>
    <n v="0"/>
    <n v="0"/>
    <x v="0"/>
    <x v="1"/>
  </r>
  <r>
    <n v="12"/>
    <x v="3"/>
    <n v="122"/>
    <s v="18D"/>
    <s v="Waterschap Noorderzijlvest"/>
    <s v="Lauwersmeer/Vierhuizergat"/>
    <n v="8031.0312409001699"/>
    <s v="6-5"/>
    <m/>
    <n v="0"/>
    <n v="0"/>
    <n v="2017"/>
    <n v="2020"/>
    <n v="2020"/>
    <n v="2022"/>
    <n v="2022"/>
    <n v="2026"/>
    <n v="3"/>
    <n v="2"/>
    <n v="4"/>
    <n v="9"/>
    <n v="3"/>
    <m/>
    <m/>
    <n v="1.9"/>
    <n v="6.2"/>
    <n v="51.4"/>
    <n v="59.5"/>
    <n v="5.3000000000000043"/>
    <m/>
    <s v=""/>
    <m/>
    <s v=""/>
    <m/>
    <s v=""/>
    <n v="1"/>
    <n v="1"/>
    <n v="0"/>
    <n v="1"/>
    <n v="0"/>
    <n v="2"/>
    <n v="7.4087621147556213"/>
    <n v="0"/>
    <n v="0"/>
    <x v="0"/>
    <x v="1"/>
  </r>
  <r>
    <n v="12"/>
    <x v="4"/>
    <n v="106"/>
    <s v="18D"/>
    <s v="Waterschap Noorderzijlvest"/>
    <s v="Lauwersmeer/Vierhuizergat"/>
    <n v="7862.0312409001654"/>
    <m/>
    <m/>
    <n v="0"/>
    <n v="0"/>
    <n v="2017"/>
    <n v="2019"/>
    <n v="2019"/>
    <n v="2021"/>
    <n v="2021"/>
    <n v="2023"/>
    <n v="2"/>
    <n v="2"/>
    <n v="2"/>
    <n v="6"/>
    <n v="-1"/>
    <m/>
    <m/>
    <n v="1.9"/>
    <n v="5.5"/>
    <n v="46.8"/>
    <n v="54.199999999999996"/>
    <n v="-2.8000000000000043"/>
    <m/>
    <s v=""/>
    <m/>
    <s v=""/>
    <m/>
    <s v=""/>
    <n v="1"/>
    <n v="1"/>
    <n v="0"/>
    <n v="1"/>
    <n v="0"/>
    <n v="1"/>
    <n v="6.8938927281334932"/>
    <n v="-1"/>
    <n v="0"/>
    <x v="1"/>
    <x v="1"/>
  </r>
  <r>
    <n v="12"/>
    <x v="5"/>
    <n v="99"/>
    <s v="18D"/>
    <s v="Waterschap Noorderzijlvest"/>
    <s v="Lauwersmeer/Vierhuizergat"/>
    <m/>
    <m/>
    <m/>
    <n v="0"/>
    <n v="0"/>
    <n v="2017"/>
    <n v="2020"/>
    <n v="2020"/>
    <n v="2022"/>
    <n v="2024"/>
    <n v="2026"/>
    <n v="3"/>
    <n v="2"/>
    <n v="2"/>
    <n v="7"/>
    <m/>
    <m/>
    <m/>
    <n v="4.6999999999999993"/>
    <n v="5.5"/>
    <n v="46.8"/>
    <n v="57"/>
    <m/>
    <m/>
    <s v=""/>
    <m/>
    <s v=""/>
    <m/>
    <s v=""/>
    <n v="1"/>
    <n v="1"/>
    <n v="0"/>
    <n v="1"/>
    <n v="0"/>
    <n v="4"/>
    <m/>
    <n v="0"/>
    <n v="0"/>
    <x v="1"/>
    <x v="1"/>
  </r>
  <r>
    <n v="13"/>
    <x v="0"/>
    <n v="58"/>
    <s v="03E"/>
    <s v="HHRS Hollands Noorderkwartier"/>
    <s v="Wieringermeer C kering"/>
    <n v="6000"/>
    <n v="3"/>
    <s v="C-kering"/>
    <m/>
    <m/>
    <n v="2016"/>
    <n v="2021"/>
    <n v="2021"/>
    <n v="2023"/>
    <n v="2023"/>
    <n v="2026"/>
    <n v="5"/>
    <n v="2"/>
    <n v="3"/>
    <n v="10"/>
    <n v="-1"/>
    <m/>
    <n v="1"/>
    <n v="4.2222222222222223"/>
    <n v="5.333333333333333"/>
    <n v="54.555555555555557"/>
    <n v="64.111111111111114"/>
    <n v="-0.18999999999999773"/>
    <m/>
    <n v="2.0099999999999909"/>
    <m/>
    <n v="-27282.272231718722"/>
    <m/>
    <n v="7.644527405108672"/>
    <m/>
    <n v="0"/>
    <n v="1"/>
    <n v="0"/>
    <n v="0"/>
    <n v="3"/>
    <n v="10.685185185185185"/>
    <n v="1"/>
    <n v="1"/>
    <x v="0"/>
    <x v="0"/>
  </r>
  <r>
    <n v="13"/>
    <x v="1"/>
    <n v="58"/>
    <s v="03E"/>
    <s v="HHRS Hollands Noorderkwartier"/>
    <s v="Wieringermeer C kering"/>
    <n v="6000"/>
    <n v="3"/>
    <s v="C-kering"/>
    <n v="0"/>
    <n v="0"/>
    <n v="2016"/>
    <n v="2020"/>
    <n v="2020"/>
    <n v="2023"/>
    <n v="2023"/>
    <n v="2027"/>
    <n v="4"/>
    <n v="3"/>
    <n v="4"/>
    <n v="11"/>
    <n v="1"/>
    <n v="2"/>
    <m/>
    <n v="4.2866666666666662"/>
    <n v="5.3577777777777778"/>
    <n v="54.656666666666673"/>
    <n v="64.301111111111112"/>
    <n v="2.2222222222154642E-3"/>
    <n v="-36.898888888888891"/>
    <s v=""/>
    <n v="-27282.272231718722"/>
    <s v=""/>
    <n v="7.6761940717753383"/>
    <s v=""/>
    <n v="0"/>
    <n v="0"/>
    <n v="0"/>
    <n v="1"/>
    <n v="0"/>
    <n v="3"/>
    <n v="10.716851851851851"/>
    <n v="0"/>
    <n v="0"/>
    <x v="0"/>
    <x v="0"/>
  </r>
  <r>
    <n v="13"/>
    <x v="2"/>
    <s v="C-kering"/>
    <s v="03E"/>
    <s v="HHRS Hollands Noorderkwartier"/>
    <s v="Wieringermeerkering"/>
    <n v="5985"/>
    <n v="5"/>
    <m/>
    <n v="0"/>
    <n v="0"/>
    <n v="2017"/>
    <n v="2021"/>
    <n v="2021"/>
    <n v="2023"/>
    <n v="2023"/>
    <n v="2027"/>
    <n v="4"/>
    <n v="2"/>
    <n v="4"/>
    <n v="10"/>
    <n v="1"/>
    <m/>
    <m/>
    <n v="4.3055555555555562"/>
    <n v="5.34"/>
    <n v="54.653333333333336"/>
    <n v="64.298888888888897"/>
    <n v="-36.901111111111106"/>
    <m/>
    <s v=""/>
    <m/>
    <s v=""/>
    <m/>
    <s v=""/>
    <n v="0"/>
    <n v="0"/>
    <n v="1"/>
    <n v="0"/>
    <n v="0"/>
    <n v="3"/>
    <n v="10.74333983105913"/>
    <n v="1"/>
    <n v="1"/>
    <x v="0"/>
    <x v="0"/>
  </r>
  <r>
    <n v="13"/>
    <x v="3"/>
    <s v="C-kering"/>
    <s v="03E"/>
    <s v="HHRS Hollands Noorderkwartier"/>
    <s v="Wieringermeerkering"/>
    <n v="33282.272231718722"/>
    <s v="nvt"/>
    <n v="12"/>
    <n v="0"/>
    <n v="0"/>
    <n v="2018"/>
    <n v="2020"/>
    <n v="2020"/>
    <n v="2023"/>
    <n v="2023"/>
    <n v="2027"/>
    <n v="2"/>
    <n v="3"/>
    <n v="4"/>
    <n v="9"/>
    <n v="0"/>
    <m/>
    <m/>
    <n v="2.59"/>
    <n v="10.38"/>
    <n v="88.23"/>
    <n v="101.2"/>
    <n v="0"/>
    <m/>
    <s v=""/>
    <m/>
    <s v=""/>
    <m/>
    <s v=""/>
    <n v="0"/>
    <n v="0"/>
    <n v="0"/>
    <n v="1"/>
    <n v="0"/>
    <n v="3"/>
    <n v="3.0406577800765127"/>
    <n v="0"/>
    <n v="0"/>
    <x v="0"/>
    <x v="0"/>
  </r>
  <r>
    <n v="13"/>
    <x v="4"/>
    <m/>
    <s v="03E"/>
    <s v="HHRS Hollands Noorderkwartier"/>
    <s v="Wieringermeerkering"/>
    <n v="33282.272231718722"/>
    <n v="12"/>
    <m/>
    <n v="0"/>
    <n v="0"/>
    <n v="2018"/>
    <n v="2020"/>
    <n v="2020"/>
    <n v="2023"/>
    <n v="2023"/>
    <n v="2027"/>
    <n v="2"/>
    <n v="3"/>
    <n v="4"/>
    <n v="9"/>
    <n v="-2"/>
    <m/>
    <m/>
    <n v="2.6"/>
    <n v="10.4"/>
    <n v="88.2"/>
    <n v="101.2"/>
    <n v="-2.1999999999999886"/>
    <m/>
    <s v=""/>
    <m/>
    <s v=""/>
    <m/>
    <s v=""/>
    <n v="0"/>
    <n v="0"/>
    <n v="0"/>
    <n v="1"/>
    <n v="0"/>
    <n v="3"/>
    <n v="3.0406577800765127"/>
    <n v="0"/>
    <n v="0"/>
    <x v="1"/>
    <x v="0"/>
  </r>
  <r>
    <n v="13"/>
    <x v="5"/>
    <s v="C-kering"/>
    <s v="03E"/>
    <s v="HHRS Hollands Noorderkwartier"/>
    <s v="Wieringermeer (C-kering)"/>
    <m/>
    <m/>
    <m/>
    <n v="0"/>
    <n v="0"/>
    <n v="2016"/>
    <n v="2020"/>
    <n v="2020"/>
    <n v="2023"/>
    <n v="2023"/>
    <n v="2027"/>
    <n v="4"/>
    <n v="3"/>
    <n v="4"/>
    <n v="11"/>
    <m/>
    <m/>
    <m/>
    <n v="4.8"/>
    <n v="10.4"/>
    <n v="88.199999999999989"/>
    <n v="103.39999999999999"/>
    <m/>
    <m/>
    <s v=""/>
    <m/>
    <s v=""/>
    <m/>
    <s v=""/>
    <n v="0"/>
    <n v="0"/>
    <n v="0"/>
    <n v="1"/>
    <n v="0"/>
    <n v="3"/>
    <m/>
    <n v="0"/>
    <n v="0"/>
    <x v="1"/>
    <x v="0"/>
  </r>
  <r>
    <n v="14"/>
    <x v="0"/>
    <n v="148"/>
    <s v="25L"/>
    <s v="Waterschap Vallei en Veluwe"/>
    <s v="Noordelijke Randmeerdijk (incl WDOD)"/>
    <n v="977"/>
    <n v="10"/>
    <s v="11-3"/>
    <n v="0"/>
    <n v="0"/>
    <n v="2014"/>
    <n v="2017"/>
    <n v="2017"/>
    <n v="2021"/>
    <n v="2021"/>
    <n v="2024"/>
    <n v="3"/>
    <n v="4"/>
    <n v="3"/>
    <n v="10"/>
    <n v="0"/>
    <m/>
    <n v="4"/>
    <n v="2.8411111111111111"/>
    <n v="2.2222222222222223"/>
    <n v="3.5555555555555558"/>
    <n v="8.6188888888888897"/>
    <n v="-1.629999999999999"/>
    <m/>
    <n v="-1.629999999999999"/>
    <m/>
    <n v="-11632.249444803267"/>
    <m/>
    <n v="6.4425842137001013"/>
    <m/>
    <n v="0"/>
    <n v="0"/>
    <n v="1"/>
    <n v="0"/>
    <n v="1"/>
    <n v="8.8217900602752195"/>
    <n v="-3"/>
    <n v="0"/>
    <x v="1"/>
    <x v="0"/>
  </r>
  <r>
    <n v="14"/>
    <x v="1"/>
    <n v="148"/>
    <s v="25L"/>
    <s v="Waterschap Vallei en Veluwe"/>
    <s v="Noordelijke Randmeerdijk (incl WDOD)"/>
    <n v="1040"/>
    <n v="10"/>
    <s v="11-3"/>
    <n v="0"/>
    <n v="1"/>
    <n v="2014"/>
    <n v="2019"/>
    <n v="2019"/>
    <n v="2021"/>
    <n v="2021"/>
    <n v="2024"/>
    <n v="5"/>
    <n v="2"/>
    <n v="3"/>
    <n v="10"/>
    <n v="3"/>
    <n v="4"/>
    <m/>
    <n v="3.4477777777777776"/>
    <n v="1.7288888888888889"/>
    <n v="5.0722222222222229"/>
    <n v="10.248888888888889"/>
    <n v="-0.25888888888889028"/>
    <n v="-19.751111111111111"/>
    <s v=""/>
    <n v="-11569.249444803267"/>
    <s v=""/>
    <n v="7.4754950081257352"/>
    <s v=""/>
    <n v="0"/>
    <n v="0"/>
    <n v="0"/>
    <n v="1"/>
    <n v="0"/>
    <n v="1"/>
    <n v="9.8547008547008534"/>
    <n v="-1"/>
    <n v="0"/>
    <x v="0"/>
    <x v="0"/>
  </r>
  <r>
    <n v="14"/>
    <x v="2"/>
    <n v="175"/>
    <s v="25L"/>
    <s v="Waterschap Vallei en Veluwe"/>
    <s v="Noordelijke Randmeerdijk"/>
    <n v="12941"/>
    <n v="1"/>
    <s v="11-3"/>
    <n v="0"/>
    <n v="0"/>
    <n v="2017"/>
    <n v="2018"/>
    <n v="2018"/>
    <n v="2021"/>
    <n v="2021"/>
    <n v="2024"/>
    <n v="1"/>
    <n v="3"/>
    <n v="3"/>
    <n v="7"/>
    <n v="0"/>
    <m/>
    <m/>
    <n v="2.8411111111111111"/>
    <n v="1.6666666666666667"/>
    <n v="6"/>
    <n v="10.507777777777779"/>
    <n v="-27.351222222222223"/>
    <m/>
    <s v=""/>
    <m/>
    <s v=""/>
    <m/>
    <s v=""/>
    <n v="0"/>
    <n v="0"/>
    <n v="0"/>
    <n v="1"/>
    <n v="0"/>
    <n v="1"/>
    <n v="0.81197571886081277"/>
    <n v="-2"/>
    <n v="0"/>
    <x v="0"/>
    <x v="0"/>
  </r>
  <r>
    <n v="14"/>
    <x v="3"/>
    <n v="172"/>
    <s v="25L"/>
    <s v="Waterschap Vallei en Veluwe"/>
    <s v="Noordelijke Randmeerdijk"/>
    <n v="12609.249444803267"/>
    <s v="11-3"/>
    <n v="5"/>
    <n v="0"/>
    <n v="0"/>
    <n v="2017"/>
    <n v="2018"/>
    <n v="2018"/>
    <n v="2021"/>
    <n v="2021"/>
    <n v="2024"/>
    <n v="1"/>
    <n v="3"/>
    <n v="3"/>
    <n v="7"/>
    <n v="1"/>
    <m/>
    <m/>
    <n v="1.5"/>
    <n v="2.3620000000000001"/>
    <n v="33.997"/>
    <n v="37.859000000000002"/>
    <n v="7.8590000000000018"/>
    <m/>
    <s v=""/>
    <m/>
    <s v=""/>
    <m/>
    <s v=""/>
    <n v="0"/>
    <n v="0"/>
    <n v="0"/>
    <n v="1"/>
    <n v="0"/>
    <n v="1"/>
    <n v="3.0024784715162474"/>
    <n v="-2"/>
    <n v="0"/>
    <x v="0"/>
    <x v="0"/>
  </r>
  <r>
    <n v="14"/>
    <x v="4"/>
    <m/>
    <s v="25L"/>
    <s v="Waterschap Vallei en Veluwe"/>
    <s v="Noordelijke Randmeerdijk"/>
    <n v="12609.249444803267"/>
    <n v="6"/>
    <s v="11-5"/>
    <n v="0"/>
    <n v="0"/>
    <n v="2017"/>
    <n v="2018"/>
    <n v="2018"/>
    <n v="2021"/>
    <n v="2021"/>
    <n v="2023"/>
    <n v="1"/>
    <n v="3"/>
    <n v="2"/>
    <n v="6"/>
    <n v="0"/>
    <m/>
    <m/>
    <n v="1.5"/>
    <n v="3"/>
    <n v="25.5"/>
    <n v="30"/>
    <n v="0"/>
    <m/>
    <s v=""/>
    <m/>
    <s v=""/>
    <m/>
    <s v=""/>
    <n v="0"/>
    <n v="0"/>
    <n v="0"/>
    <n v="1"/>
    <n v="0"/>
    <n v="1"/>
    <n v="2.3792058465751187"/>
    <n v="-2"/>
    <n v="0"/>
    <x v="1"/>
    <x v="0"/>
  </r>
  <r>
    <n v="14"/>
    <x v="5"/>
    <s v="C-kering"/>
    <s v="25L"/>
    <s v="Waterschap Vallei en Veluwe"/>
    <s v="Noordelijke Randmeerdijk"/>
    <m/>
    <m/>
    <m/>
    <n v="0"/>
    <n v="0"/>
    <n v="2017"/>
    <n v="2018"/>
    <n v="2018"/>
    <n v="2021"/>
    <n v="2021"/>
    <n v="2023"/>
    <n v="1"/>
    <n v="3"/>
    <n v="2"/>
    <n v="6"/>
    <m/>
    <m/>
    <m/>
    <n v="1.5"/>
    <n v="3"/>
    <n v="25.5"/>
    <n v="30"/>
    <m/>
    <m/>
    <s v=""/>
    <m/>
    <s v=""/>
    <m/>
    <s v=""/>
    <n v="0"/>
    <n v="0"/>
    <n v="0"/>
    <n v="1"/>
    <n v="0"/>
    <n v="1"/>
    <m/>
    <n v="-2"/>
    <n v="0"/>
    <x v="1"/>
    <x v="0"/>
  </r>
  <r>
    <n v="15"/>
    <x v="0"/>
    <s v="C-kering"/>
    <s v="03I"/>
    <s v="HHRS Hollands Noorderkwartier"/>
    <s v="Noordzeekanaal (D31 t/m D37)"/>
    <n v="3680"/>
    <n v="23"/>
    <s v="C-kering"/>
    <n v="0"/>
    <n v="0"/>
    <n v="2015"/>
    <n v="2020"/>
    <n v="2020"/>
    <n v="2022"/>
    <n v="2022"/>
    <n v="2027"/>
    <n v="5"/>
    <n v="2"/>
    <n v="5"/>
    <n v="12"/>
    <n v="3"/>
    <m/>
    <n v="4"/>
    <n v="6.4222222222222225"/>
    <n v="2.1111111111111112"/>
    <n v="14.444444444444445"/>
    <n v="22.977777777777778"/>
    <n v="-19.457844444444444"/>
    <m/>
    <n v="-19.457844444444444"/>
    <m/>
    <n v="-24320"/>
    <m/>
    <n v="4.6131395324034798"/>
    <m/>
    <n v="0"/>
    <n v="0"/>
    <n v="1"/>
    <n v="0"/>
    <n v="2"/>
    <n v="6.2439613526570046"/>
    <n v="0"/>
    <n v="0"/>
    <x v="0"/>
    <x v="0"/>
  </r>
  <r>
    <n v="15"/>
    <x v="1"/>
    <s v="C-kering"/>
    <s v="03I"/>
    <s v="HHRS Hollands Noorderkwartier"/>
    <s v="Noordzeekanaal (D31 t/m D37)"/>
    <n v="28070"/>
    <n v="23"/>
    <s v="C-kering"/>
    <n v="0"/>
    <n v="0"/>
    <n v="2015"/>
    <n v="2021"/>
    <n v="2021"/>
    <n v="2023"/>
    <n v="2023"/>
    <n v="2024"/>
    <n v="6"/>
    <n v="2"/>
    <n v="1"/>
    <n v="9"/>
    <n v="1"/>
    <n v="1"/>
    <m/>
    <n v="6.4222888888888887"/>
    <n v="4.2711111111111117"/>
    <n v="31.742222222222221"/>
    <n v="42.435622222222221"/>
    <n v="1.3400000000004297E-2"/>
    <n v="-3.3643777777777757"/>
    <s v=""/>
    <n v="70"/>
    <s v=""/>
    <n v="-0.1239357954320548"/>
    <s v=""/>
    <n v="0"/>
    <n v="0"/>
    <n v="1"/>
    <n v="0"/>
    <n v="0"/>
    <n v="3"/>
    <n v="1.5117784902822309"/>
    <n v="1"/>
    <n v="1"/>
    <x v="0"/>
    <x v="0"/>
  </r>
  <r>
    <n v="15"/>
    <x v="2"/>
    <s v="C-kering"/>
    <s v="03I"/>
    <s v="HHRS Hollands Noorderkwartier"/>
    <s v="Noordzeekanaal (D31 t/m D37)"/>
    <n v="28070"/>
    <n v="30"/>
    <m/>
    <n v="0"/>
    <n v="0"/>
    <n v="2016"/>
    <n v="2018"/>
    <n v="2018"/>
    <n v="2021"/>
    <n v="2021"/>
    <n v="2024"/>
    <n v="2"/>
    <n v="3"/>
    <n v="3"/>
    <n v="8"/>
    <n v="1"/>
    <m/>
    <m/>
    <n v="6.4222222222222225"/>
    <n v="4.3"/>
    <n v="31.7"/>
    <n v="42.422222222222217"/>
    <n v="12.822222222222219"/>
    <m/>
    <s v=""/>
    <m/>
    <s v=""/>
    <m/>
    <s v=""/>
    <n v="0"/>
    <n v="0"/>
    <n v="0"/>
    <n v="1"/>
    <n v="0"/>
    <n v="1"/>
    <n v="1.5113011122986184"/>
    <n v="-2"/>
    <n v="0"/>
    <x v="0"/>
    <x v="0"/>
  </r>
  <r>
    <n v="15"/>
    <x v="3"/>
    <s v="C-kering"/>
    <s v="03I"/>
    <s v="HHRS Hollands Noorderkwartier"/>
    <s v="Noordzeekanaal (D31 t/m D37)"/>
    <n v="28084"/>
    <n v="21"/>
    <m/>
    <n v="0"/>
    <n v="0"/>
    <n v="2016"/>
    <n v="2018"/>
    <n v="2018"/>
    <n v="2021"/>
    <n v="2021"/>
    <n v="2023"/>
    <n v="2"/>
    <n v="3"/>
    <n v="2"/>
    <n v="7"/>
    <n v="-1"/>
    <m/>
    <m/>
    <n v="2.2999999999999998"/>
    <n v="2.9"/>
    <n v="24.4"/>
    <n v="29.599999999999998"/>
    <n v="-16.2"/>
    <m/>
    <s v=""/>
    <m/>
    <s v=""/>
    <m/>
    <s v=""/>
    <n v="0"/>
    <n v="0"/>
    <n v="0"/>
    <n v="1"/>
    <n v="0"/>
    <n v="1"/>
    <n v="1.0539809143996581"/>
    <n v="-2"/>
    <n v="0"/>
    <x v="0"/>
    <x v="0"/>
  </r>
  <r>
    <n v="15"/>
    <x v="4"/>
    <m/>
    <s v="03I"/>
    <s v="HHRS Hollands Noorderkwartier"/>
    <s v="Noordzeekanaal (D31 t/m D37)"/>
    <n v="28000"/>
    <m/>
    <m/>
    <n v="0"/>
    <n v="0"/>
    <n v="2016"/>
    <n v="2018"/>
    <n v="2018"/>
    <n v="2021"/>
    <n v="2021"/>
    <n v="2024"/>
    <n v="2"/>
    <n v="3"/>
    <n v="3"/>
    <n v="8"/>
    <n v="-3"/>
    <m/>
    <m/>
    <n v="2.2999999999999998"/>
    <n v="4.5999999999999996"/>
    <n v="38.9"/>
    <n v="45.8"/>
    <m/>
    <m/>
    <s v=""/>
    <m/>
    <s v=""/>
    <m/>
    <s v=""/>
    <n v="0"/>
    <n v="0"/>
    <n v="0"/>
    <n v="1"/>
    <n v="0"/>
    <n v="1"/>
    <n v="1.6357142857142857"/>
    <n v="-2"/>
    <n v="0"/>
    <x v="1"/>
    <x v="0"/>
  </r>
  <r>
    <n v="15"/>
    <x v="5"/>
    <s v="C-kering"/>
    <s v="03I"/>
    <s v="HHRS Hollands Noorderkwartier"/>
    <s v="Noordzeekanaal (D31 t/m D37)"/>
    <m/>
    <m/>
    <m/>
    <n v="0"/>
    <n v="0"/>
    <n v="2016"/>
    <n v="2019"/>
    <n v="2019"/>
    <n v="2022"/>
    <n v="2022"/>
    <n v="2027"/>
    <n v="3"/>
    <n v="3"/>
    <n v="5"/>
    <n v="11"/>
    <m/>
    <m/>
    <m/>
    <n v="7.1630000000000003"/>
    <n v="23.49"/>
    <n v="199.8"/>
    <n v="230.453"/>
    <m/>
    <m/>
    <s v=""/>
    <m/>
    <s v=""/>
    <m/>
    <s v=""/>
    <n v="0"/>
    <n v="0"/>
    <n v="0"/>
    <n v="1"/>
    <n v="0"/>
    <n v="2"/>
    <m/>
    <n v="-1"/>
    <n v="0"/>
    <x v="1"/>
    <x v="0"/>
  </r>
  <r>
    <n v="16"/>
    <x v="0"/>
    <n v="10"/>
    <s v="2D"/>
    <s v="HHRS De Stichtse Rijnlanden"/>
    <s v="Wijk bij Duurstede Amerongen (WAM)"/>
    <n v="9800"/>
    <n v="2"/>
    <s v="44-1"/>
    <n v="0"/>
    <n v="0"/>
    <n v="2017"/>
    <n v="2021"/>
    <n v="2021"/>
    <n v="2023"/>
    <n v="2023"/>
    <n v="2027"/>
    <n v="4"/>
    <n v="2"/>
    <n v="4"/>
    <n v="10"/>
    <n v="0"/>
    <m/>
    <n v="10"/>
    <n v="7.2111111111111112"/>
    <n v="14.666666666666666"/>
    <n v="39.333333333333329"/>
    <n v="61.211111111111109"/>
    <n v="-19.5"/>
    <m/>
    <n v="-19.5"/>
    <m/>
    <n v="9800"/>
    <m/>
    <n v="6.2460317460317452"/>
    <m/>
    <n v="0"/>
    <n v="1"/>
    <n v="0"/>
    <n v="0"/>
    <n v="3"/>
    <n v="6.2460317460317452"/>
    <n v="1"/>
    <n v="1"/>
    <x v="0"/>
    <x v="0"/>
  </r>
  <r>
    <n v="16"/>
    <x v="1"/>
    <n v="10"/>
    <s v="2D"/>
    <s v="HHRS De Stichtse Rijnlanden"/>
    <s v="Wijk bij Duurstede Amerongen (WAM)"/>
    <n v="9800"/>
    <n v="2"/>
    <s v="44-1"/>
    <n v="0"/>
    <n v="0"/>
    <n v="2017"/>
    <n v="2021"/>
    <n v="2021"/>
    <n v="2023"/>
    <n v="2023"/>
    <n v="2027"/>
    <n v="4"/>
    <n v="2"/>
    <n v="4"/>
    <n v="10"/>
    <n v="0"/>
    <n v="10"/>
    <m/>
    <n v="7.2111111111111112"/>
    <n v="14.7"/>
    <n v="58.8"/>
    <n v="80.711111111111109"/>
    <n v="30.68888888888889"/>
    <n v="80.711111111111109"/>
    <s v=""/>
    <n v="9800"/>
    <s v=""/>
    <m/>
    <s v=""/>
    <n v="1"/>
    <n v="0"/>
    <n v="1"/>
    <n v="0"/>
    <n v="0"/>
    <n v="3"/>
    <n v="8.2358276643990926"/>
    <n v="1"/>
    <n v="1"/>
    <x v="0"/>
    <x v="0"/>
  </r>
  <r>
    <n v="16"/>
    <x v="2"/>
    <n v="25"/>
    <s v="02D"/>
    <s v="HHRS De Stichtse Rijnlanden"/>
    <s v="Sterke Lekdijk: Wijk bij Duurstede-Amerongen"/>
    <n v="11007"/>
    <n v="1"/>
    <s v="44-1"/>
    <n v="0"/>
    <n v="0"/>
    <n v="2017"/>
    <n v="2018"/>
    <n v="2018"/>
    <n v="2020"/>
    <n v="2020"/>
    <n v="2027"/>
    <n v="1"/>
    <n v="2"/>
    <n v="7"/>
    <n v="10"/>
    <n v="1"/>
    <m/>
    <m/>
    <n v="7.2111111111111112"/>
    <n v="0"/>
    <n v="42.81111111111111"/>
    <n v="50.022222222222219"/>
    <n v="7.4222222222222172"/>
    <m/>
    <s v=""/>
    <m/>
    <s v=""/>
    <m/>
    <s v=""/>
    <n v="1"/>
    <n v="0"/>
    <n v="0"/>
    <n v="0"/>
    <n v="1"/>
    <n v="0"/>
    <n v="4.5445827402763896"/>
    <n v="-2"/>
    <n v="0"/>
    <x v="0"/>
    <x v="0"/>
  </r>
  <r>
    <n v="16"/>
    <x v="3"/>
    <n v="23"/>
    <s v="02D"/>
    <s v="HHRS De Stichtse Rijnlanden"/>
    <s v="Sterke Lekdijk: Wijk bij Duurstede-Amerongen"/>
    <n v="11007"/>
    <m/>
    <s v="44-1"/>
    <n v="0"/>
    <n v="0"/>
    <n v="2017"/>
    <n v="2018"/>
    <n v="2018"/>
    <n v="2020"/>
    <n v="2020"/>
    <n v="2026"/>
    <n v="1"/>
    <n v="2"/>
    <n v="6"/>
    <n v="9"/>
    <m/>
    <m/>
    <m/>
    <n v="0"/>
    <n v="0"/>
    <n v="42.6"/>
    <n v="42.6"/>
    <m/>
    <m/>
    <s v=""/>
    <m/>
    <s v=""/>
    <m/>
    <s v=""/>
    <n v="1"/>
    <n v="0"/>
    <n v="0"/>
    <n v="0"/>
    <n v="1"/>
    <n v="0"/>
    <n v="3.8702643772145002"/>
    <n v="-2"/>
    <n v="0"/>
    <x v="0"/>
    <x v="0"/>
  </r>
  <r>
    <n v="16"/>
    <x v="4"/>
    <m/>
    <m/>
    <s v="HHRS De Stichtse Rijnlanden"/>
    <s v="Sterke Lekdijk"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0"/>
    <n v="0"/>
    <n v="0"/>
    <n v="0"/>
    <m/>
    <m/>
    <m/>
    <m/>
    <x v="1"/>
    <x v="2"/>
  </r>
  <r>
    <n v="16"/>
    <x v="5"/>
    <m/>
    <m/>
    <s v="HHRS De Stichtse Rijnlanden"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0"/>
    <n v="0"/>
    <n v="0"/>
    <n v="0"/>
    <m/>
    <m/>
    <m/>
    <m/>
    <x v="1"/>
    <x v="2"/>
  </r>
  <r>
    <n v="17"/>
    <x v="0"/>
    <n v="25"/>
    <s v="15P"/>
    <s v="Waterschap Drents-Overijsselse Delta"/>
    <s v="Vecht Dalfsen Zwolle "/>
    <n v="32000"/>
    <m/>
    <m/>
    <n v="0"/>
    <n v="0"/>
    <n v="2019"/>
    <n v="2023"/>
    <n v="2023"/>
    <n v="2026"/>
    <n v="2026"/>
    <n v="2029"/>
    <n v="4"/>
    <n v="3"/>
    <n v="3"/>
    <n v="10"/>
    <n v="-2"/>
    <m/>
    <n v="0"/>
    <n v="11.666666666666666"/>
    <n v="12.222222222222221"/>
    <n v="81.555555555555557"/>
    <n v="105.44444444444444"/>
    <n v="-0.12444444444444969"/>
    <m/>
    <n v="14.37555555555555"/>
    <m/>
    <n v="16306.394517841267"/>
    <m/>
    <n v="0.92954749103942635"/>
    <m/>
    <n v="1"/>
    <n v="1"/>
    <n v="0"/>
    <n v="0"/>
    <n v="6"/>
    <n v="3.2951388888888888"/>
    <n v="3"/>
    <n v="1"/>
    <x v="0"/>
    <x v="1"/>
  </r>
  <r>
    <n v="17"/>
    <x v="1"/>
    <m/>
    <s v="15P"/>
    <s v="Waterschap Drents-Overijsselse Delta"/>
    <s v="Vecht Dalfsen Zwolle "/>
    <n v="33335"/>
    <n v="3"/>
    <s v="53-3"/>
    <n v="1"/>
    <n v="0"/>
    <n v="2019"/>
    <n v="2024"/>
    <n v="2024"/>
    <n v="2027"/>
    <n v="2027"/>
    <n v="2031"/>
    <n v="5"/>
    <n v="3"/>
    <n v="4"/>
    <n v="12"/>
    <n v="3"/>
    <n v="2"/>
    <m/>
    <n v="11.672222222222222"/>
    <n v="12.247777777777777"/>
    <n v="81.648888888888891"/>
    <n v="105.56888888888889"/>
    <n v="58.36888888888889"/>
    <n v="67.068888888888893"/>
    <s v=""/>
    <n v="17641.394517841269"/>
    <s v=""/>
    <n v="0.71367983632604659"/>
    <s v=""/>
    <n v="1"/>
    <n v="1"/>
    <n v="1"/>
    <n v="0"/>
    <n v="0"/>
    <n v="7"/>
    <n v="3.1669083212506042"/>
    <n v="4"/>
    <n v="1"/>
    <x v="0"/>
    <x v="1"/>
  </r>
  <r>
    <n v="17"/>
    <x v="2"/>
    <n v="82"/>
    <s v="34AP"/>
    <s v="Waterschap Drents-Overijsselse Delta"/>
    <s v="Vecht- Dalfsen west"/>
    <n v="16275"/>
    <n v="12"/>
    <s v="53-3 + 9-1"/>
    <n v="0"/>
    <n v="0"/>
    <n v="2017"/>
    <n v="2022"/>
    <n v="2022"/>
    <n v="2024"/>
    <n v="2024"/>
    <n v="2026"/>
    <n v="5"/>
    <n v="2"/>
    <n v="2"/>
    <n v="9"/>
    <n v="-1"/>
    <m/>
    <m/>
    <n v="4.5"/>
    <n v="4.5"/>
    <n v="38.200000000000003"/>
    <n v="47.2"/>
    <n v="19.3"/>
    <m/>
    <s v=""/>
    <m/>
    <s v=""/>
    <m/>
    <s v=""/>
    <n v="1"/>
    <n v="1"/>
    <n v="1"/>
    <n v="0"/>
    <n v="0"/>
    <n v="4"/>
    <n v="2.9001536098310297"/>
    <n v="2"/>
    <n v="1"/>
    <x v="0"/>
    <x v="1"/>
  </r>
  <r>
    <n v="17"/>
    <x v="3"/>
    <n v="56"/>
    <s v="34AP"/>
    <s v="Waterschap Drents-Overijsselse Delta"/>
    <s v="Vecht Dalfsen west"/>
    <n v="16275"/>
    <m/>
    <s v="53-3 + 9-1"/>
    <n v="0"/>
    <n v="0"/>
    <n v="2018"/>
    <n v="2022"/>
    <n v="2022"/>
    <n v="2025"/>
    <n v="2025"/>
    <n v="2028"/>
    <n v="4"/>
    <n v="3"/>
    <n v="3"/>
    <n v="10"/>
    <n v="0"/>
    <m/>
    <m/>
    <n v="1.4259999999999999"/>
    <n v="2.79"/>
    <n v="23.684000000000001"/>
    <n v="27.900000000000002"/>
    <n v="-10.599999999999998"/>
    <m/>
    <s v=""/>
    <m/>
    <s v=""/>
    <m/>
    <s v=""/>
    <n v="1"/>
    <n v="1"/>
    <n v="1"/>
    <n v="0"/>
    <n v="0"/>
    <n v="5"/>
    <n v="1.7142857142857146"/>
    <n v="2"/>
    <n v="1"/>
    <x v="0"/>
    <x v="1"/>
  </r>
  <r>
    <n v="17"/>
    <x v="4"/>
    <n v="58"/>
    <s v="15P"/>
    <s v="Waterschap Drents-Overijsselse Delta"/>
    <s v="Vecht-Zuid"/>
    <n v="15693.605482158733"/>
    <n v="2"/>
    <s v="53-3"/>
    <n v="0"/>
    <n v="0"/>
    <n v="2018"/>
    <n v="2022"/>
    <n v="2022"/>
    <n v="2025"/>
    <n v="2025"/>
    <n v="2028"/>
    <n v="4"/>
    <n v="3"/>
    <n v="3"/>
    <n v="10"/>
    <n v="-2"/>
    <m/>
    <m/>
    <n v="1.6"/>
    <n v="3.9"/>
    <n v="33"/>
    <n v="38.5"/>
    <n v="-14.5"/>
    <m/>
    <s v=""/>
    <m/>
    <s v=""/>
    <m/>
    <s v=""/>
    <n v="1"/>
    <n v="1"/>
    <n v="1"/>
    <n v="0"/>
    <n v="0"/>
    <n v="5"/>
    <n v="2.4532284849245576"/>
    <n v="2"/>
    <n v="1"/>
    <x v="1"/>
    <x v="1"/>
  </r>
  <r>
    <n v="17"/>
    <x v="5"/>
    <n v="45"/>
    <s v="15P"/>
    <s v="Waterschap Drents-Overijsselse Delta"/>
    <s v="Vecht-Zuid"/>
    <m/>
    <m/>
    <m/>
    <n v="0"/>
    <n v="0"/>
    <n v="2017"/>
    <n v="2024"/>
    <n v="2024"/>
    <n v="2027"/>
    <n v="2027"/>
    <n v="2029"/>
    <n v="7"/>
    <n v="3"/>
    <n v="2"/>
    <n v="12"/>
    <m/>
    <m/>
    <m/>
    <n v="4.0999999999999996"/>
    <n v="5.0999999999999996"/>
    <n v="43.8"/>
    <n v="53"/>
    <m/>
    <m/>
    <s v=""/>
    <m/>
    <s v=""/>
    <m/>
    <s v=""/>
    <n v="1"/>
    <n v="1"/>
    <n v="1"/>
    <n v="0"/>
    <n v="0"/>
    <n v="7"/>
    <m/>
    <n v="4"/>
    <n v="1"/>
    <x v="1"/>
    <x v="1"/>
  </r>
  <r>
    <n v="18"/>
    <x v="0"/>
    <s v="C-kering"/>
    <s v="02C"/>
    <s v="HHRS De Stichtse Rijnlanden"/>
    <s v="Versterking voormalige C-kering HDSR (GHIJ)"/>
    <n v="10800"/>
    <m/>
    <m/>
    <n v="0"/>
    <n v="0"/>
    <n v="2019"/>
    <n v="2022"/>
    <n v="2022"/>
    <n v="2024"/>
    <n v="2024"/>
    <n v="2028"/>
    <n v="3"/>
    <n v="2"/>
    <n v="4"/>
    <n v="9"/>
    <n v="1"/>
    <m/>
    <m/>
    <n v="5.6666666666666661"/>
    <n v="7.5555555555555554"/>
    <n v="62.222222222222221"/>
    <n v="75.444444444444443"/>
    <n v="-8.5555555555555571"/>
    <m/>
    <s v=""/>
    <m/>
    <s v=""/>
    <m/>
    <s v=""/>
    <m/>
    <n v="1"/>
    <n v="1"/>
    <n v="0"/>
    <n v="0"/>
    <n v="4"/>
    <n v="6.9855967078189298"/>
    <n v="2"/>
    <n v="1"/>
    <x v="0"/>
    <x v="1"/>
  </r>
  <r>
    <n v="18"/>
    <x v="1"/>
    <s v="C-kering"/>
    <s v="02C"/>
    <s v="HHRS De Stichtse Rijnlanden"/>
    <s v="Versterking voormalige C-kering HDSR (GHIJ)"/>
    <n v="12376"/>
    <n v="49"/>
    <s v="C-kering"/>
    <n v="0"/>
    <n v="1"/>
    <n v="2020"/>
    <n v="2022"/>
    <n v="2022"/>
    <n v="2024"/>
    <n v="2024"/>
    <n v="2028"/>
    <n v="2"/>
    <n v="2"/>
    <n v="4"/>
    <n v="8"/>
    <n v="-3"/>
    <m/>
    <m/>
    <n v="4.2"/>
    <n v="8.4"/>
    <n v="71.400000000000006"/>
    <n v="84"/>
    <n v="-4.1499999999999915"/>
    <n v="84"/>
    <s v=""/>
    <n v="12376"/>
    <s v=""/>
    <m/>
    <s v=""/>
    <n v="1"/>
    <n v="1"/>
    <n v="1"/>
    <n v="0"/>
    <n v="0"/>
    <n v="4"/>
    <n v="6.7873303167420813"/>
    <n v="2"/>
    <n v="1"/>
    <x v="0"/>
    <x v="1"/>
  </r>
  <r>
    <n v="18"/>
    <x v="2"/>
    <s v="C-kering"/>
    <s v="02C"/>
    <s v="HHRS De Stichtse Rijnlanden"/>
    <s v="Versterking voormalige C-kering HDSR"/>
    <n v="12376"/>
    <n v="54"/>
    <s v="nvt"/>
    <n v="0"/>
    <n v="1"/>
    <n v="2017"/>
    <n v="2022"/>
    <n v="2022"/>
    <n v="2024"/>
    <n v="2024"/>
    <n v="2028"/>
    <n v="5"/>
    <n v="2"/>
    <n v="4"/>
    <n v="11"/>
    <n v="0"/>
    <m/>
    <m/>
    <n v="8.3999999999999986"/>
    <n v="8.4"/>
    <n v="71.349999999999994"/>
    <n v="88.149999999999991"/>
    <n v="-4.3500000000000085"/>
    <m/>
    <s v=""/>
    <m/>
    <s v=""/>
    <m/>
    <s v=""/>
    <n v="1"/>
    <n v="1"/>
    <n v="1"/>
    <n v="0"/>
    <n v="0"/>
    <n v="4"/>
    <n v="7.1226567550096958"/>
    <n v="2"/>
    <n v="1"/>
    <x v="0"/>
    <x v="1"/>
  </r>
  <r>
    <n v="18"/>
    <x v="3"/>
    <s v="C-kering"/>
    <s v="02C"/>
    <s v="HHRS De Stichtse Rijnlanden"/>
    <s v="Versterking voormalige C-kering HDSR"/>
    <n v="12376"/>
    <m/>
    <m/>
    <n v="0"/>
    <n v="1"/>
    <n v="2017"/>
    <n v="2022"/>
    <n v="2022"/>
    <n v="2024"/>
    <n v="2024"/>
    <n v="2028"/>
    <n v="5"/>
    <n v="2"/>
    <n v="4"/>
    <n v="11"/>
    <n v="11"/>
    <m/>
    <m/>
    <n v="12.7"/>
    <n v="8.4"/>
    <n v="71.400000000000006"/>
    <n v="92.5"/>
    <m/>
    <m/>
    <s v=""/>
    <m/>
    <s v=""/>
    <m/>
    <s v=""/>
    <n v="1"/>
    <n v="1"/>
    <n v="1"/>
    <n v="0"/>
    <n v="0"/>
    <n v="4"/>
    <n v="7.4741435035552684"/>
    <n v="2"/>
    <n v="1"/>
    <x v="0"/>
    <x v="1"/>
  </r>
  <r>
    <n v="18"/>
    <x v="4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18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19"/>
    <x v="0"/>
    <n v="1"/>
    <s v="22W"/>
    <s v="Waterschap Rivierenland"/>
    <s v="Vianen"/>
    <n v="1195"/>
    <m/>
    <m/>
    <n v="0"/>
    <n v="0"/>
    <n v="2016"/>
    <n v="2018"/>
    <n v="2018"/>
    <n v="2020"/>
    <n v="2020"/>
    <n v="2022"/>
    <n v="2"/>
    <n v="2"/>
    <n v="2"/>
    <n v="6"/>
    <n v="0"/>
    <m/>
    <n v="2"/>
    <n v="1"/>
    <n v="1.3333333333333333"/>
    <n v="9.5555555555555554"/>
    <n v="11.888888888888889"/>
    <n v="-2.1322222222222216"/>
    <m/>
    <n v="-5.7470902851316863"/>
    <m/>
    <n v="75.086287778749011"/>
    <m/>
    <n v="2.0778366769268661"/>
    <m/>
    <n v="0"/>
    <n v="0"/>
    <n v="0"/>
    <n v="1"/>
    <n v="0"/>
    <n v="9.9488609948860987"/>
    <n v="-2"/>
    <n v="0"/>
    <x v="1"/>
    <x v="0"/>
  </r>
  <r>
    <n v="19"/>
    <x v="1"/>
    <n v="1"/>
    <s v="22W"/>
    <s v="Waterschap Rivierenland"/>
    <s v="Vianen"/>
    <n v="1195"/>
    <m/>
    <s v="16-4"/>
    <n v="0"/>
    <n v="0"/>
    <n v="2016"/>
    <n v="2018"/>
    <n v="2018"/>
    <n v="2020"/>
    <n v="2020"/>
    <n v="2022"/>
    <n v="2"/>
    <n v="2"/>
    <n v="2"/>
    <n v="6"/>
    <n v="0"/>
    <n v="2"/>
    <m/>
    <n v="0.99222222222222212"/>
    <n v="1.4622222222222221"/>
    <n v="11.566666666666666"/>
    <n v="14.021111111111111"/>
    <n v="2.5"/>
    <n v="5.206243048201646"/>
    <s v=""/>
    <n v="75.086287778749011"/>
    <s v=""/>
    <n v="3.8621230553555037"/>
    <s v=""/>
    <n v="0"/>
    <n v="0"/>
    <n v="0"/>
    <n v="0"/>
    <n v="1"/>
    <n v="0"/>
    <n v="11.733147373314736"/>
    <n v="-2"/>
    <n v="0"/>
    <x v="1"/>
    <x v="0"/>
  </r>
  <r>
    <n v="19"/>
    <x v="2"/>
    <n v="3"/>
    <s v="22W"/>
    <s v="Waterschap Rivierenland"/>
    <s v="Vianen"/>
    <n v="1119.913712221251"/>
    <n v="3"/>
    <s v="16-4"/>
    <n v="0"/>
    <n v="0"/>
    <n v="2016"/>
    <n v="2018"/>
    <n v="2018"/>
    <n v="2020"/>
    <n v="2020"/>
    <n v="2022"/>
    <n v="2"/>
    <n v="2"/>
    <n v="2"/>
    <n v="6"/>
    <n v="1"/>
    <m/>
    <m/>
    <n v="0.99222222222222234"/>
    <n v="1.4622222222222221"/>
    <n v="9.0666666666666664"/>
    <n v="11.521111111111111"/>
    <n v="1.8811622222222226"/>
    <m/>
    <s v=""/>
    <m/>
    <s v=""/>
    <m/>
    <s v=""/>
    <n v="0"/>
    <n v="0"/>
    <n v="0"/>
    <n v="0"/>
    <n v="1"/>
    <n v="0"/>
    <n v="10.287498925484172"/>
    <n v="-2"/>
    <n v="0"/>
    <x v="0"/>
    <x v="0"/>
  </r>
  <r>
    <n v="19"/>
    <x v="3"/>
    <n v="2"/>
    <s v="22W"/>
    <s v="Waterschap Rivierenland"/>
    <s v="Vianen"/>
    <n v="1119.913712221251"/>
    <m/>
    <s v="16-4"/>
    <n v="0"/>
    <n v="0"/>
    <n v="2016"/>
    <n v="2018"/>
    <n v="2018"/>
    <n v="2019"/>
    <n v="2019"/>
    <n v="2021"/>
    <n v="2"/>
    <n v="1"/>
    <n v="2"/>
    <n v="5"/>
    <n v="1"/>
    <m/>
    <m/>
    <n v="3.9"/>
    <n v="1.3399488888888889"/>
    <n v="4.4000000000000004"/>
    <n v="9.6399488888888882"/>
    <n v="0.82508082597942334"/>
    <m/>
    <s v=""/>
    <m/>
    <s v=""/>
    <m/>
    <s v=""/>
    <n v="0"/>
    <n v="0"/>
    <n v="0"/>
    <n v="0"/>
    <n v="1"/>
    <n v="-1"/>
    <n v="8.6077603869756114"/>
    <n v="-2"/>
    <n v="0"/>
    <x v="0"/>
    <x v="0"/>
  </r>
  <r>
    <n v="19"/>
    <x v="4"/>
    <n v="2"/>
    <s v="22W"/>
    <s v="Waterschap Rivierenland"/>
    <s v="Vianen"/>
    <n v="1119.913712221251"/>
    <n v="3"/>
    <s v="16-4"/>
    <n v="0"/>
    <n v="0"/>
    <n v="2016"/>
    <n v="2018"/>
    <n v="2018"/>
    <n v="2019"/>
    <n v="2019"/>
    <n v="2020"/>
    <n v="2"/>
    <n v="1"/>
    <n v="1"/>
    <n v="4"/>
    <n v="0"/>
    <m/>
    <m/>
    <n v="3.9"/>
    <n v="0.51735453293783862"/>
    <n v="4.3975135299716275"/>
    <n v="8.8148680629094649"/>
    <n v="3.6148680629094647"/>
    <m/>
    <s v=""/>
    <m/>
    <s v=""/>
    <m/>
    <s v=""/>
    <n v="0"/>
    <n v="0"/>
    <n v="0"/>
    <n v="0"/>
    <n v="0"/>
    <n v="-1"/>
    <n v="7.8710243179592325"/>
    <n v="-2"/>
    <n v="0"/>
    <x v="1"/>
    <x v="0"/>
  </r>
  <r>
    <n v="19"/>
    <x v="5"/>
    <n v="1"/>
    <s v="22W"/>
    <s v="Waterschap Rivierenland"/>
    <s v="Vianen"/>
    <m/>
    <m/>
    <m/>
    <n v="0"/>
    <n v="0"/>
    <n v="2016"/>
    <n v="2018"/>
    <n v="2018"/>
    <n v="2019"/>
    <n v="2019"/>
    <n v="2020"/>
    <n v="2"/>
    <n v="1"/>
    <n v="1"/>
    <n v="4"/>
    <m/>
    <m/>
    <m/>
    <n v="0.3"/>
    <n v="0.5"/>
    <n v="4.4000000000000004"/>
    <n v="5.2"/>
    <m/>
    <m/>
    <s v=""/>
    <m/>
    <s v=""/>
    <m/>
    <s v=""/>
    <n v="0"/>
    <n v="0"/>
    <n v="0"/>
    <n v="0"/>
    <n v="0"/>
    <n v="-1"/>
    <m/>
    <n v="-2"/>
    <n v="0"/>
    <x v="1"/>
    <x v="0"/>
  </r>
  <r>
    <n v="20"/>
    <x v="0"/>
    <n v="6"/>
    <s v="22L"/>
    <s v="Waterschap Rivierenland"/>
    <s v="Wolferen-Sprok incl. DTO"/>
    <n v="13175"/>
    <m/>
    <s v="43-4"/>
    <n v="0"/>
    <n v="0"/>
    <n v="2016"/>
    <n v="2020"/>
    <n v="2020"/>
    <n v="2022"/>
    <n v="2022"/>
    <n v="2026"/>
    <n v="4"/>
    <n v="2"/>
    <n v="4"/>
    <n v="10"/>
    <n v="0"/>
    <m/>
    <n v="3"/>
    <n v="7.4444444444444446"/>
    <n v="14.888888888888889"/>
    <n v="113.88888888888889"/>
    <n v="136.22222222222223"/>
    <n v="-8.6666666666644687E-2"/>
    <m/>
    <n v="-34.286666666666648"/>
    <m/>
    <n v="-2340"/>
    <m/>
    <n v="5.5941645881318642"/>
    <m/>
    <n v="1"/>
    <n v="0"/>
    <n v="1"/>
    <n v="0"/>
    <n v="2"/>
    <n v="10.339447606999789"/>
    <n v="0"/>
    <n v="0"/>
    <x v="0"/>
    <x v="1"/>
  </r>
  <r>
    <n v="20"/>
    <x v="1"/>
    <n v="6"/>
    <s v="22L"/>
    <s v="Waterschap Rivierenland"/>
    <s v="Wolferen-Sprok"/>
    <n v="13300"/>
    <m/>
    <s v="43-4"/>
    <n v="0"/>
    <n v="0"/>
    <n v="2016"/>
    <n v="2020"/>
    <n v="2020"/>
    <n v="2022"/>
    <n v="2022"/>
    <n v="2026"/>
    <n v="4"/>
    <n v="2"/>
    <n v="4"/>
    <n v="10"/>
    <n v="2"/>
    <n v="3"/>
    <m/>
    <n v="7.477777777777777"/>
    <n v="14.92"/>
    <n v="113.91111111111111"/>
    <n v="136.30888888888887"/>
    <n v="27.504444444444431"/>
    <n v="86.008888888888862"/>
    <s v=""/>
    <n v="-2215"/>
    <s v=""/>
    <n v="7.0067647903731807"/>
    <s v=""/>
    <n v="1"/>
    <n v="1"/>
    <n v="0"/>
    <n v="1"/>
    <n v="0"/>
    <n v="2"/>
    <n v="10.248788638262321"/>
    <n v="0"/>
    <n v="0"/>
    <x v="0"/>
    <x v="1"/>
  </r>
  <r>
    <n v="20"/>
    <x v="2"/>
    <n v="15"/>
    <s v="22AI"/>
    <s v="Waterschap Rivierenland"/>
    <s v="Wolferen-Sprok (incl. de Stelt)"/>
    <n v="10600"/>
    <n v="97"/>
    <s v="43-4"/>
    <n v="0"/>
    <n v="0"/>
    <n v="2016"/>
    <n v="2018"/>
    <n v="2018"/>
    <n v="2020"/>
    <n v="2020"/>
    <n v="2024"/>
    <n v="2"/>
    <n v="2"/>
    <n v="4"/>
    <n v="8"/>
    <n v="3"/>
    <m/>
    <m/>
    <n v="7.4777777777777779"/>
    <n v="11.326666666666666"/>
    <n v="90"/>
    <n v="108.80444444444444"/>
    <n v="58.004444444444438"/>
    <m/>
    <s v=""/>
    <m/>
    <s v=""/>
    <m/>
    <s v=""/>
    <n v="1"/>
    <n v="1"/>
    <n v="0"/>
    <n v="0"/>
    <n v="1"/>
    <n v="0"/>
    <n v="10.264570230607967"/>
    <n v="-2"/>
    <n v="0"/>
    <x v="0"/>
    <x v="1"/>
  </r>
  <r>
    <n v="20"/>
    <x v="3"/>
    <n v="12"/>
    <s v="22AI"/>
    <s v="Waterschap Rivierenland"/>
    <s v="Wolferen-Sprok"/>
    <n v="10600"/>
    <m/>
    <s v="43-4"/>
    <n v="0"/>
    <n v="0"/>
    <n v="2018"/>
    <n v="2019"/>
    <n v="2019"/>
    <n v="2021"/>
    <n v="2021"/>
    <n v="2023"/>
    <n v="1"/>
    <n v="2"/>
    <n v="2"/>
    <n v="5"/>
    <n v="-2"/>
    <m/>
    <m/>
    <n v="0"/>
    <n v="46.1"/>
    <n v="4.7"/>
    <n v="50.800000000000004"/>
    <n v="0.5"/>
    <m/>
    <s v=""/>
    <m/>
    <s v=""/>
    <m/>
    <s v=""/>
    <n v="1"/>
    <n v="1"/>
    <n v="0"/>
    <n v="1"/>
    <n v="0"/>
    <n v="1"/>
    <n v="4.7924528301886795"/>
    <n v="-1"/>
    <n v="0"/>
    <x v="0"/>
    <x v="1"/>
  </r>
  <r>
    <n v="20"/>
    <x v="4"/>
    <n v="4"/>
    <s v="22AI + 22AJ + 22VLBO43-4 22AI + 22VLBO43-5 22AJ+22VLBO43-4 22AC"/>
    <s v="Waterschap Rivierenland"/>
    <s v="Wolferen-Sprok"/>
    <n v="15515"/>
    <m/>
    <s v="43-5"/>
    <n v="0"/>
    <n v="0"/>
    <n v="2016"/>
    <n v="2018"/>
    <n v="2018"/>
    <n v="2020"/>
    <n v="2020"/>
    <n v="2023"/>
    <n v="2"/>
    <n v="2"/>
    <n v="3"/>
    <n v="7"/>
    <n v="1"/>
    <m/>
    <m/>
    <n v="0"/>
    <n v="5.6"/>
    <n v="44.7"/>
    <n v="50.300000000000004"/>
    <n v="34.200000000000003"/>
    <m/>
    <s v=""/>
    <m/>
    <s v=""/>
    <m/>
    <s v=""/>
    <n v="1"/>
    <n v="1"/>
    <n v="0"/>
    <n v="0"/>
    <n v="1"/>
    <n v="0"/>
    <n v="3.2420238478891399"/>
    <n v="-2"/>
    <n v="0"/>
    <x v="1"/>
    <x v="1"/>
  </r>
  <r>
    <n v="20"/>
    <x v="5"/>
    <n v="4"/>
    <s v="22L"/>
    <s v="Waterschap Rivierenland"/>
    <s v="Sprok - Wolferen"/>
    <m/>
    <m/>
    <m/>
    <n v="0"/>
    <n v="0"/>
    <n v="2017"/>
    <n v="2018"/>
    <n v="2018"/>
    <n v="2020"/>
    <n v="2020"/>
    <n v="2023"/>
    <n v="1"/>
    <n v="2"/>
    <n v="3"/>
    <n v="6"/>
    <m/>
    <m/>
    <m/>
    <n v="0"/>
    <n v="1.7"/>
    <n v="14.4"/>
    <n v="16.100000000000001"/>
    <m/>
    <m/>
    <s v=""/>
    <m/>
    <s v=""/>
    <m/>
    <s v=""/>
    <n v="1"/>
    <n v="1"/>
    <n v="0"/>
    <n v="0"/>
    <n v="1"/>
    <n v="0"/>
    <m/>
    <n v="-2"/>
    <n v="0"/>
    <x v="1"/>
    <x v="1"/>
  </r>
  <r>
    <n v="21"/>
    <x v="0"/>
    <n v="5"/>
    <s v="05E"/>
    <s v="HHRS van Rijnland"/>
    <s v="IJsseldijk Gouda (VIJG) spoor 2"/>
    <n v="102"/>
    <m/>
    <m/>
    <n v="0"/>
    <n v="0"/>
    <n v="2018"/>
    <n v="2021"/>
    <n v="2021"/>
    <n v="2022"/>
    <n v="2022"/>
    <n v="2026"/>
    <n v="3"/>
    <n v="1"/>
    <n v="4"/>
    <n v="8"/>
    <n v="2"/>
    <m/>
    <n v="3"/>
    <n v="2.4444444444444446"/>
    <n v="1"/>
    <n v="11.555555555555555"/>
    <n v="15"/>
    <n v="2.3344444444444434"/>
    <m/>
    <n v="3.9344444444444431"/>
    <m/>
    <n v="-21"/>
    <m/>
    <n v="46.08951819823244"/>
    <m/>
    <n v="0"/>
    <n v="1"/>
    <n v="0"/>
    <n v="0"/>
    <n v="2"/>
    <n v="147.05882352941177"/>
    <n v="1"/>
    <n v="1"/>
    <x v="0"/>
    <x v="0"/>
  </r>
  <r>
    <n v="21"/>
    <x v="1"/>
    <n v="5"/>
    <s v="05E"/>
    <s v="HHRS van Rijnland"/>
    <s v="IJsseldijk Gouda (VIJG) spoor 2"/>
    <n v="102"/>
    <n v="3"/>
    <s v="14-1"/>
    <n v="0"/>
    <n v="0"/>
    <n v="2019"/>
    <n v="2020"/>
    <n v="2020"/>
    <n v="2021"/>
    <n v="2021"/>
    <n v="2025"/>
    <n v="1"/>
    <n v="1"/>
    <n v="4"/>
    <n v="6"/>
    <n v="1"/>
    <n v="1"/>
    <m/>
    <n v="0"/>
    <n v="1.1055555555555556"/>
    <n v="11.56"/>
    <n v="12.665555555555557"/>
    <n v="-0.43444444444444308"/>
    <n v="0.16555555555555657"/>
    <s v=""/>
    <n v="-21"/>
    <s v=""/>
    <n v="22.54609702959776"/>
    <s v=""/>
    <n v="0"/>
    <n v="0"/>
    <n v="0"/>
    <n v="1"/>
    <n v="0"/>
    <n v="1"/>
    <n v="124.17211328976036"/>
    <n v="0"/>
    <n v="0"/>
    <x v="0"/>
    <x v="0"/>
  </r>
  <r>
    <n v="21"/>
    <x v="2"/>
    <n v="9"/>
    <s v="05E"/>
    <s v="HHRS van Rijnland"/>
    <s v="Verbetering IJsseldijk Gouda (VIJG) spoor 2"/>
    <n v="123"/>
    <n v="4"/>
    <s v="14-1"/>
    <n v="0"/>
    <n v="0"/>
    <n v="2018"/>
    <n v="2019"/>
    <n v="2019"/>
    <n v="2021"/>
    <n v="2021"/>
    <n v="2023"/>
    <n v="1"/>
    <n v="2"/>
    <n v="2"/>
    <n v="5"/>
    <n v="-1"/>
    <m/>
    <m/>
    <n v="1.1000000000000001"/>
    <n v="1"/>
    <n v="11"/>
    <n v="13.1"/>
    <n v="-2.2999999999999989"/>
    <m/>
    <s v=""/>
    <m/>
    <s v=""/>
    <m/>
    <s v=""/>
    <n v="0"/>
    <n v="0"/>
    <n v="0"/>
    <n v="1"/>
    <n v="0"/>
    <n v="1"/>
    <n v="106.5040650406504"/>
    <n v="-1"/>
    <n v="0"/>
    <x v="0"/>
    <x v="0"/>
  </r>
  <r>
    <n v="21"/>
    <x v="3"/>
    <n v="7"/>
    <s v="05E"/>
    <s v="HHRS van Rijnland"/>
    <s v="Verbetering IJsseldijk Gouda (VIJG) spoor 2"/>
    <n v="123.8"/>
    <n v="3"/>
    <s v="14-1"/>
    <n v="0"/>
    <n v="0"/>
    <n v="2017"/>
    <n v="2018"/>
    <n v="2018"/>
    <n v="2021"/>
    <n v="2021"/>
    <n v="2023"/>
    <n v="1"/>
    <n v="3"/>
    <n v="2"/>
    <n v="6"/>
    <n v="1"/>
    <m/>
    <m/>
    <n v="1.2"/>
    <n v="2.6"/>
    <n v="11.6"/>
    <n v="15.399999999999999"/>
    <n v="2.8999999999999986"/>
    <m/>
    <s v=""/>
    <m/>
    <s v=""/>
    <m/>
    <s v=""/>
    <n v="0"/>
    <n v="0"/>
    <n v="0"/>
    <n v="1"/>
    <n v="0"/>
    <n v="1"/>
    <n v="124.39418416801291"/>
    <n v="-2"/>
    <n v="0"/>
    <x v="0"/>
    <x v="0"/>
  </r>
  <r>
    <n v="21"/>
    <x v="4"/>
    <n v="10"/>
    <s v="6e"/>
    <s v="HHRS van Rijnland"/>
    <s v="Verbetering IJsseldijk Gouda (VIJG) spoor 2"/>
    <n v="123"/>
    <n v="3"/>
    <s v="14-1"/>
    <n v="0"/>
    <n v="0"/>
    <m/>
    <m/>
    <n v="2017"/>
    <n v="2019"/>
    <n v="2019"/>
    <n v="2022"/>
    <n v="0"/>
    <n v="2"/>
    <n v="3"/>
    <n v="5"/>
    <n v="0"/>
    <m/>
    <m/>
    <n v="0"/>
    <n v="1.5"/>
    <n v="11"/>
    <n v="12.5"/>
    <n v="-1.5999999999999996"/>
    <m/>
    <s v=""/>
    <m/>
    <s v=""/>
    <m/>
    <s v=""/>
    <n v="0"/>
    <n v="0"/>
    <n v="0"/>
    <n v="0"/>
    <n v="1"/>
    <n v="-1"/>
    <n v="101.6260162601626"/>
    <n v="-3"/>
    <n v="0"/>
    <x v="1"/>
    <x v="0"/>
  </r>
  <r>
    <n v="21"/>
    <x v="5"/>
    <n v="13"/>
    <s v="05E"/>
    <s v="HHRS van Rijnland"/>
    <s v="Verbetering IJsseldijk Gouda (VIJG) spoor 2"/>
    <m/>
    <m/>
    <m/>
    <n v="0"/>
    <n v="0"/>
    <n v="2016"/>
    <n v="2017"/>
    <n v="2017"/>
    <n v="2019"/>
    <n v="2019"/>
    <n v="2021"/>
    <n v="1"/>
    <n v="2"/>
    <n v="2"/>
    <n v="5"/>
    <m/>
    <m/>
    <m/>
    <n v="1.1000000000000001"/>
    <n v="2"/>
    <n v="11"/>
    <n v="14.1"/>
    <m/>
    <m/>
    <s v=""/>
    <m/>
    <s v=""/>
    <m/>
    <s v=""/>
    <n v="0"/>
    <n v="0"/>
    <n v="0"/>
    <n v="0"/>
    <n v="1"/>
    <n v="-1"/>
    <m/>
    <n v="-3"/>
    <n v="0"/>
    <x v="1"/>
    <x v="0"/>
  </r>
  <r>
    <n v="22"/>
    <x v="0"/>
    <n v="7"/>
    <s v="22X"/>
    <s v="Waterschap Rivierenland"/>
    <s v="Gorinchem-Waardenburg (GoWa)"/>
    <n v="23450"/>
    <m/>
    <s v="43-6"/>
    <n v="0"/>
    <n v="0"/>
    <n v="2015"/>
    <n v="2018"/>
    <n v="2018"/>
    <n v="2020"/>
    <n v="2020"/>
    <n v="2027"/>
    <n v="3"/>
    <n v="2"/>
    <n v="7"/>
    <n v="12"/>
    <n v="2"/>
    <m/>
    <n v="4"/>
    <n v="19.444444444444443"/>
    <n v="27.555555555555557"/>
    <n v="280"/>
    <n v="327"/>
    <n v="57.589999999999975"/>
    <m/>
    <n v="91.689999999999984"/>
    <m/>
    <n v="9299.6133758498181"/>
    <m/>
    <n v="9.3518123667377395"/>
    <m/>
    <n v="1"/>
    <n v="0"/>
    <n v="0"/>
    <n v="1"/>
    <n v="0"/>
    <n v="13.944562899786781"/>
    <n v="-2"/>
    <n v="0"/>
    <x v="1"/>
    <x v="1"/>
  </r>
  <r>
    <n v="22"/>
    <x v="1"/>
    <n v="7"/>
    <s v="22X"/>
    <s v="Waterschap Rivierenland"/>
    <s v="Gorinchem-Waardenburg (GoWa)"/>
    <n v="23450"/>
    <m/>
    <s v="43-6"/>
    <n v="0"/>
    <n v="0"/>
    <n v="2015"/>
    <n v="2018"/>
    <n v="2018"/>
    <n v="2020"/>
    <n v="2020"/>
    <n v="2025"/>
    <n v="3"/>
    <n v="2"/>
    <n v="5"/>
    <n v="10"/>
    <n v="1"/>
    <n v="2"/>
    <m/>
    <n v="19.542222222222222"/>
    <n v="27.645555555555553"/>
    <n v="222.22222222222223"/>
    <n v="269.41000000000003"/>
    <n v="2.2222222222012533E-3"/>
    <n v="161.71000000000004"/>
    <s v=""/>
    <n v="9299.6133758498181"/>
    <s v=""/>
    <n v="3.8775998999072891"/>
    <s v=""/>
    <n v="1"/>
    <n v="1"/>
    <n v="0"/>
    <n v="0"/>
    <n v="1"/>
    <n v="0"/>
    <n v="11.488699360341153"/>
    <n v="-2"/>
    <n v="0"/>
    <x v="1"/>
    <x v="1"/>
  </r>
  <r>
    <n v="22"/>
    <x v="2"/>
    <n v="19"/>
    <s v="22X   "/>
    <s v="Waterschap Rivierenland"/>
    <s v="Gorinchem-Waardenburg (GoWa)"/>
    <n v="23450"/>
    <n v="150"/>
    <s v="43-6"/>
    <n v="0"/>
    <n v="0"/>
    <n v="2016"/>
    <n v="2018"/>
    <n v="2018"/>
    <n v="2020"/>
    <n v="2020"/>
    <n v="2025"/>
    <n v="2"/>
    <n v="2"/>
    <n v="5"/>
    <n v="9"/>
    <n v="2"/>
    <m/>
    <m/>
    <n v="19.542222222222222"/>
    <n v="27.645555555555557"/>
    <n v="222.22000000000003"/>
    <n v="269.40777777777782"/>
    <n v="149.40777777777782"/>
    <m/>
    <s v=""/>
    <m/>
    <s v=""/>
    <m/>
    <s v=""/>
    <n v="1"/>
    <n v="1"/>
    <n v="0"/>
    <n v="0"/>
    <n v="1"/>
    <n v="0"/>
    <n v="11.488604596067285"/>
    <n v="-2"/>
    <n v="0"/>
    <x v="0"/>
    <x v="1"/>
  </r>
  <r>
    <n v="22"/>
    <x v="3"/>
    <n v="16"/>
    <s v="22X (incl. tussenstukken  22BA)"/>
    <s v="Waterschap Rivierenland"/>
    <s v="Gorinchem-Waardenburg (GoWa)"/>
    <n v="23450"/>
    <m/>
    <s v="43-6"/>
    <n v="0"/>
    <n v="0"/>
    <n v="2016"/>
    <n v="2018"/>
    <n v="2018"/>
    <n v="2020"/>
    <n v="2020"/>
    <n v="2023"/>
    <n v="2"/>
    <n v="2"/>
    <n v="3"/>
    <n v="7"/>
    <n v="-1"/>
    <m/>
    <m/>
    <n v="0"/>
    <n v="0"/>
    <n v="120"/>
    <n v="120"/>
    <n v="12.299999999999997"/>
    <m/>
    <s v=""/>
    <m/>
    <s v=""/>
    <m/>
    <s v=""/>
    <n v="1"/>
    <n v="1"/>
    <n v="0"/>
    <n v="0"/>
    <n v="1"/>
    <n v="0"/>
    <n v="5.1172707889125801"/>
    <n v="-2"/>
    <n v="0"/>
    <x v="0"/>
    <x v="1"/>
  </r>
  <r>
    <n v="22"/>
    <x v="4"/>
    <n v="25"/>
    <s v="22X"/>
    <s v="Waterschap Rivierenland"/>
    <s v="Gorinchem-Waardenburg (GoWa)"/>
    <n v="14150.386624150182"/>
    <m/>
    <s v="43-6"/>
    <n v="0"/>
    <n v="0"/>
    <n v="2016"/>
    <n v="2018"/>
    <n v="2018"/>
    <n v="2020"/>
    <n v="2020"/>
    <n v="2024"/>
    <n v="2"/>
    <n v="2"/>
    <n v="4"/>
    <n v="8"/>
    <n v="0"/>
    <m/>
    <m/>
    <n v="0"/>
    <n v="6.5"/>
    <n v="101.2"/>
    <n v="107.7"/>
    <n v="-34.100000000000009"/>
    <m/>
    <s v=""/>
    <m/>
    <s v=""/>
    <m/>
    <s v=""/>
    <n v="1"/>
    <n v="1"/>
    <n v="0"/>
    <n v="0"/>
    <n v="1"/>
    <n v="0"/>
    <n v="7.6110994604338638"/>
    <n v="-2"/>
    <n v="0"/>
    <x v="1"/>
    <x v="1"/>
  </r>
  <r>
    <n v="22"/>
    <x v="5"/>
    <n v="17"/>
    <s v="22X"/>
    <s v="Waterschap Rivierenland"/>
    <s v="Gorinchem-Waardenburg (GoWa)"/>
    <m/>
    <m/>
    <m/>
    <n v="0"/>
    <n v="0"/>
    <n v="2016"/>
    <n v="2018"/>
    <n v="2018"/>
    <n v="2020"/>
    <n v="2020"/>
    <n v="2024"/>
    <n v="2"/>
    <n v="2"/>
    <n v="4"/>
    <n v="8"/>
    <m/>
    <m/>
    <m/>
    <n v="0"/>
    <n v="14.9"/>
    <n v="126.9"/>
    <n v="141.80000000000001"/>
    <m/>
    <m/>
    <s v=""/>
    <m/>
    <s v=""/>
    <m/>
    <s v=""/>
    <n v="1"/>
    <n v="1"/>
    <n v="0"/>
    <n v="0"/>
    <n v="1"/>
    <n v="0"/>
    <m/>
    <n v="-2"/>
    <n v="0"/>
    <x v="1"/>
    <x v="1"/>
  </r>
  <r>
    <n v="23"/>
    <x v="0"/>
    <n v="7"/>
    <s v="22Y"/>
    <s v="Waterschap Rivierenland"/>
    <s v="Tiel - Waardenburg (TiWa)"/>
    <n v="19500"/>
    <m/>
    <s v="43-6"/>
    <n v="0"/>
    <n v="0"/>
    <n v="2015"/>
    <n v="2018"/>
    <n v="2018"/>
    <n v="2020"/>
    <n v="2020"/>
    <n v="2028"/>
    <n v="3"/>
    <n v="2"/>
    <n v="8"/>
    <n v="13"/>
    <n v="0"/>
    <m/>
    <n v="7"/>
    <n v="12.222222222222221"/>
    <n v="23.666666666666668"/>
    <n v="296.66666666666669"/>
    <n v="332.55555555555554"/>
    <n v="-1.0001933333334136"/>
    <m/>
    <n v="27.299806666666598"/>
    <m/>
    <n v="6999.9991711241255"/>
    <m/>
    <n v="12.43874643874644"/>
    <m/>
    <n v="1"/>
    <n v="0"/>
    <n v="0"/>
    <n v="1"/>
    <n v="0"/>
    <n v="17.054131054131055"/>
    <n v="-2"/>
    <n v="0"/>
    <x v="1"/>
    <x v="1"/>
  </r>
  <r>
    <n v="23"/>
    <x v="1"/>
    <n v="7"/>
    <s v="22Y"/>
    <s v="Waterschap Rivierenland"/>
    <s v="Tiel - Waardenburg (TiWa)"/>
    <n v="19500"/>
    <m/>
    <s v="43-6"/>
    <n v="0"/>
    <n v="0"/>
    <n v="2015"/>
    <n v="2018"/>
    <n v="2018"/>
    <n v="2020"/>
    <n v="2020"/>
    <n v="2028"/>
    <n v="3"/>
    <n v="2"/>
    <n v="8"/>
    <n v="13"/>
    <n v="5"/>
    <n v="7"/>
    <m/>
    <n v="12.255748888888892"/>
    <n v="23.748888888888892"/>
    <n v="297.55111111111114"/>
    <n v="333.55574888888896"/>
    <n v="119.77419333333339"/>
    <n v="243.55574888888896"/>
    <s v=""/>
    <n v="6999.9991711241255"/>
    <s v=""/>
    <n v="9.905423497375498"/>
    <s v=""/>
    <n v="1"/>
    <n v="1"/>
    <n v="0"/>
    <n v="0"/>
    <n v="1"/>
    <n v="0"/>
    <n v="17.105423019943025"/>
    <n v="-2"/>
    <n v="0"/>
    <x v="1"/>
    <x v="1"/>
  </r>
  <r>
    <n v="23"/>
    <x v="2"/>
    <n v="21"/>
    <s v="22Y "/>
    <s v="Waterschap Rivierenland"/>
    <s v="Tiel - Waardenburg (TiWa)"/>
    <n v="19500"/>
    <n v="115"/>
    <s v="43-6"/>
    <n v="0"/>
    <n v="0"/>
    <n v="2016"/>
    <n v="2018"/>
    <n v="2018"/>
    <n v="2020"/>
    <n v="2021"/>
    <n v="2025"/>
    <n v="2"/>
    <n v="2"/>
    <n v="4"/>
    <n v="8"/>
    <n v="3"/>
    <m/>
    <m/>
    <n v="12.256666666666668"/>
    <n v="23.748888888888889"/>
    <n v="177.77600000000001"/>
    <n v="213.78155555555557"/>
    <n v="137.28255555555558"/>
    <m/>
    <s v=""/>
    <m/>
    <s v=""/>
    <m/>
    <s v=""/>
    <n v="1"/>
    <n v="1"/>
    <n v="0"/>
    <n v="0"/>
    <n v="0"/>
    <n v="1"/>
    <n v="10.963156695156696"/>
    <n v="-2"/>
    <n v="0"/>
    <x v="0"/>
    <x v="1"/>
  </r>
  <r>
    <n v="23"/>
    <x v="3"/>
    <n v="18"/>
    <s v="22Y (incl. tussenstukken 22BC)"/>
    <s v="Waterschap Rivierenland"/>
    <s v="Tiel - Waardenburg (TiWa)"/>
    <n v="19500"/>
    <m/>
    <s v="43-6"/>
    <n v="0"/>
    <n v="0"/>
    <m/>
    <m/>
    <n v="2018"/>
    <n v="2020"/>
    <n v="2020"/>
    <n v="2023"/>
    <n v="0"/>
    <n v="2"/>
    <n v="3"/>
    <n v="5"/>
    <n v="-1"/>
    <m/>
    <m/>
    <n v="0"/>
    <n v="6.5"/>
    <n v="69.998999999999995"/>
    <n v="76.498999999999995"/>
    <n v="-13.501000000000005"/>
    <m/>
    <s v=""/>
    <m/>
    <s v=""/>
    <m/>
    <s v=""/>
    <n v="1"/>
    <n v="1"/>
    <n v="0"/>
    <n v="0"/>
    <n v="1"/>
    <n v="0"/>
    <n v="3.923025641025641"/>
    <n v="-2"/>
    <n v="0"/>
    <x v="0"/>
    <x v="1"/>
  </r>
  <r>
    <n v="23"/>
    <x v="4"/>
    <n v="27"/>
    <s v="22Y"/>
    <s v="Waterschap Rivierenland"/>
    <s v="Tiel - Waardenburg (TiWa)"/>
    <n v="12500.000828875875"/>
    <m/>
    <s v="43-6"/>
    <n v="0"/>
    <n v="0"/>
    <m/>
    <m/>
    <n v="2018"/>
    <n v="2021"/>
    <n v="2021"/>
    <n v="2024"/>
    <n v="0"/>
    <n v="3"/>
    <n v="3"/>
    <n v="6"/>
    <n v="1"/>
    <m/>
    <m/>
    <n v="0"/>
    <n v="3.7"/>
    <n v="86.3"/>
    <n v="90"/>
    <n v="-28.300000000000011"/>
    <m/>
    <s v=""/>
    <m/>
    <s v=""/>
    <m/>
    <s v=""/>
    <n v="1"/>
    <n v="1"/>
    <n v="0"/>
    <n v="1"/>
    <n v="0"/>
    <n v="1"/>
    <n v="7.199999522567528"/>
    <n v="-2"/>
    <n v="0"/>
    <x v="1"/>
    <x v="1"/>
  </r>
  <r>
    <n v="23"/>
    <x v="5"/>
    <n v="18"/>
    <s v="22Y"/>
    <s v="Waterschap Rivierenland"/>
    <s v="Tiel - Waardenburg (TiWa)"/>
    <m/>
    <m/>
    <m/>
    <n v="0"/>
    <n v="0"/>
    <m/>
    <m/>
    <n v="2018"/>
    <n v="2020"/>
    <n v="2020"/>
    <n v="2023"/>
    <n v="0"/>
    <n v="2"/>
    <n v="3"/>
    <n v="5"/>
    <m/>
    <m/>
    <m/>
    <n v="0"/>
    <n v="12.4"/>
    <n v="105.9"/>
    <n v="118.30000000000001"/>
    <m/>
    <m/>
    <s v=""/>
    <m/>
    <s v=""/>
    <m/>
    <s v=""/>
    <n v="1"/>
    <n v="1"/>
    <n v="0"/>
    <n v="0"/>
    <n v="1"/>
    <n v="0"/>
    <m/>
    <n v="-2"/>
    <n v="0"/>
    <x v="1"/>
    <x v="1"/>
  </r>
  <r>
    <n v="24"/>
    <x v="0"/>
    <n v="25"/>
    <s v="34R"/>
    <s v="Waterschap Drents-Overijsselse Delta"/>
    <s v="Keersluis Zwolle"/>
    <n v="283"/>
    <m/>
    <m/>
    <n v="0"/>
    <n v="0"/>
    <n v="2023"/>
    <n v="2025"/>
    <n v="2025"/>
    <n v="2027"/>
    <n v="2027"/>
    <n v="2029"/>
    <n v="2"/>
    <n v="2"/>
    <n v="2"/>
    <n v="6"/>
    <n v="0"/>
    <m/>
    <n v="0"/>
    <n v="0.26"/>
    <n v="0.7"/>
    <n v="5.74"/>
    <n v="6.7"/>
    <n v="0"/>
    <m/>
    <n v="0"/>
    <m/>
    <n v="0.14224693342839601"/>
    <m/>
    <n v="-1.1905926376144293E-2"/>
    <m/>
    <n v="0"/>
    <n v="0"/>
    <n v="0"/>
    <n v="0"/>
    <n v="7"/>
    <n v="23.674911660777386"/>
    <n v="5"/>
    <n v="1"/>
    <x v="0"/>
    <x v="0"/>
  </r>
  <r>
    <n v="24"/>
    <x v="1"/>
    <n v="25"/>
    <s v="34R"/>
    <s v="Waterschap Drents-Overijsselse Delta"/>
    <s v="Keersluis Zwolle"/>
    <n v="283"/>
    <n v="1"/>
    <s v="53-3"/>
    <n v="0"/>
    <n v="0"/>
    <n v="2023"/>
    <n v="2025"/>
    <n v="2025"/>
    <n v="2027"/>
    <n v="2027"/>
    <n v="2029"/>
    <n v="2"/>
    <n v="2"/>
    <n v="2"/>
    <n v="6"/>
    <n v="-3"/>
    <n v="0"/>
    <m/>
    <n v="0.26"/>
    <n v="0.7"/>
    <n v="5.74"/>
    <n v="6.7"/>
    <n v="5.7"/>
    <n v="0"/>
    <s v=""/>
    <n v="0.14224693342839601"/>
    <s v=""/>
    <n v="-1.1905926376144293E-2"/>
    <s v=""/>
    <n v="0"/>
    <n v="0"/>
    <n v="0"/>
    <n v="0"/>
    <n v="0"/>
    <n v="7"/>
    <n v="23.674911660777386"/>
    <n v="5"/>
    <n v="1"/>
    <x v="0"/>
    <x v="0"/>
  </r>
  <r>
    <n v="24"/>
    <x v="2"/>
    <n v="56"/>
    <s v="34R"/>
    <s v="Waterschap Drents-Overijsselse Delta"/>
    <s v="Keersluis Zwolle"/>
    <n v="282.8577530665716"/>
    <m/>
    <s v="53-3"/>
    <n v="0"/>
    <n v="0"/>
    <n v="2017"/>
    <n v="2022"/>
    <n v="2022"/>
    <n v="2024"/>
    <n v="2024"/>
    <n v="2026"/>
    <n v="5"/>
    <n v="2"/>
    <n v="2"/>
    <n v="9"/>
    <n v="0"/>
    <m/>
    <m/>
    <n v="0"/>
    <n v="0.3"/>
    <n v="0.7"/>
    <n v="1"/>
    <n v="-5.8669999999999991"/>
    <m/>
    <s v=""/>
    <m/>
    <s v=""/>
    <m/>
    <s v=""/>
    <n v="0"/>
    <n v="0"/>
    <n v="1"/>
    <n v="0"/>
    <n v="0"/>
    <n v="4"/>
    <n v="3.535345908530378"/>
    <n v="2"/>
    <n v="1"/>
    <x v="0"/>
    <x v="0"/>
  </r>
  <r>
    <n v="24"/>
    <x v="3"/>
    <n v="55"/>
    <s v="34R"/>
    <s v="Waterschap Drents-Overijsselse Delta"/>
    <s v="Keersluis Zwolle"/>
    <n v="282.8577530665716"/>
    <s v="53-3"/>
    <m/>
    <n v="0"/>
    <n v="0"/>
    <n v="2017"/>
    <n v="2022"/>
    <n v="2022"/>
    <n v="2024"/>
    <n v="2024"/>
    <n v="2026"/>
    <n v="5"/>
    <n v="2"/>
    <n v="2"/>
    <n v="9"/>
    <n v="3"/>
    <m/>
    <m/>
    <n v="0.42200000000000004"/>
    <n v="0.66700000000000004"/>
    <n v="5.7779999999999996"/>
    <n v="6.8669999999999991"/>
    <n v="0.16699999999999982"/>
    <m/>
    <s v=""/>
    <m/>
    <s v=""/>
    <m/>
    <s v=""/>
    <n v="0"/>
    <n v="0"/>
    <n v="1"/>
    <n v="0"/>
    <n v="0"/>
    <n v="4"/>
    <n v="24.277220353878104"/>
    <n v="2"/>
    <n v="1"/>
    <x v="0"/>
    <x v="0"/>
  </r>
  <r>
    <n v="24"/>
    <x v="4"/>
    <n v="57"/>
    <s v="15N"/>
    <s v="Waterschap Drents-Overijsselse Delta"/>
    <s v="Keersluis Zwolle"/>
    <n v="282.8577530665716"/>
    <m/>
    <m/>
    <n v="0"/>
    <n v="0"/>
    <n v="2017"/>
    <n v="2019"/>
    <n v="2019"/>
    <n v="2021"/>
    <n v="2021"/>
    <n v="2023"/>
    <n v="2"/>
    <n v="2"/>
    <n v="2"/>
    <n v="6"/>
    <n v="-1"/>
    <m/>
    <m/>
    <n v="0.2"/>
    <n v="0.7"/>
    <n v="5.8"/>
    <n v="6.6999999999999993"/>
    <n v="0"/>
    <m/>
    <s v=""/>
    <m/>
    <s v=""/>
    <m/>
    <s v=""/>
    <n v="0"/>
    <n v="0"/>
    <n v="0"/>
    <n v="1"/>
    <n v="0"/>
    <n v="1"/>
    <n v="23.686817587153531"/>
    <n v="-1"/>
    <n v="0"/>
    <x v="1"/>
    <x v="0"/>
  </r>
  <r>
    <n v="24"/>
    <x v="5"/>
    <n v="44"/>
    <s v="15N"/>
    <s v="Waterschap Drents-Overijsselse Delta"/>
    <s v="Keersluis Zwolle"/>
    <m/>
    <m/>
    <m/>
    <n v="0"/>
    <n v="0"/>
    <n v="2017"/>
    <n v="2019"/>
    <n v="2019"/>
    <n v="2022"/>
    <n v="2022"/>
    <n v="2024"/>
    <n v="2"/>
    <n v="3"/>
    <n v="2"/>
    <n v="7"/>
    <m/>
    <m/>
    <m/>
    <n v="0.2"/>
    <n v="0.7"/>
    <n v="5.8"/>
    <n v="6.6999999999999993"/>
    <m/>
    <m/>
    <s v=""/>
    <m/>
    <s v=""/>
    <m/>
    <s v=""/>
    <n v="0"/>
    <n v="0"/>
    <n v="0"/>
    <n v="1"/>
    <n v="0"/>
    <n v="2"/>
    <m/>
    <n v="-1"/>
    <n v="0"/>
    <x v="1"/>
    <x v="0"/>
  </r>
  <r>
    <n v="25"/>
    <x v="0"/>
    <n v="49"/>
    <s v="18A"/>
    <s v="Waterschap Noorderzijlvest"/>
    <s v="Eemshaven-Delfzijl"/>
    <n v="11700"/>
    <m/>
    <s v="6-7"/>
    <n v="0"/>
    <n v="0"/>
    <m/>
    <m/>
    <m/>
    <m/>
    <n v="2016"/>
    <n v="2021"/>
    <m/>
    <m/>
    <n v="5"/>
    <n v="5"/>
    <n v="0"/>
    <m/>
    <n v="0"/>
    <n v="0"/>
    <n v="36.444444444444443"/>
    <n v="60.333333333333329"/>
    <n v="96.777777777777771"/>
    <m/>
    <m/>
    <n v="7.0999999999999943"/>
    <m/>
    <n v="-141.0723808203802"/>
    <m/>
    <n v="1.7350348109435307"/>
    <m/>
    <n v="1"/>
    <n v="0"/>
    <n v="0"/>
    <n v="1"/>
    <n v="-4"/>
    <n v="8.2716049382716044"/>
    <m/>
    <n v="0"/>
    <x v="1"/>
    <x v="1"/>
  </r>
  <r>
    <n v="25"/>
    <x v="1"/>
    <n v="49"/>
    <s v="18A"/>
    <s v="Waterschap Noorderzijlvest"/>
    <s v="Eemshaven-Delfzijl"/>
    <n v="11700"/>
    <m/>
    <s v="6-7"/>
    <n v="0"/>
    <n v="0"/>
    <m/>
    <m/>
    <m/>
    <m/>
    <n v="2016"/>
    <n v="2021"/>
    <m/>
    <m/>
    <n v="5"/>
    <n v="5"/>
    <n v="0"/>
    <n v="0"/>
    <m/>
    <n v="0"/>
    <n v="43.333333333333336"/>
    <n v="60"/>
    <n v="103.33333333333334"/>
    <n v="0"/>
    <n v="25.933333333333337"/>
    <s v=""/>
    <n v="-141.0723808203802"/>
    <s v=""/>
    <n v="2.2953387045807601"/>
    <s v=""/>
    <n v="0"/>
    <n v="1"/>
    <n v="0"/>
    <n v="0"/>
    <n v="1"/>
    <n v="-4"/>
    <n v="8.8319088319088337"/>
    <m/>
    <n v="0"/>
    <x v="1"/>
    <x v="1"/>
  </r>
  <r>
    <n v="25"/>
    <x v="2"/>
    <n v="118"/>
    <s v="18A"/>
    <s v="Waterschap Noorderzijlvest"/>
    <s v="Eemshaven-Delfzijl"/>
    <n v="11740"/>
    <n v="13"/>
    <s v="6-7"/>
    <n v="0"/>
    <n v="0"/>
    <m/>
    <m/>
    <n v="2017"/>
    <n v="2018"/>
    <n v="2018"/>
    <n v="2022"/>
    <m/>
    <n v="1"/>
    <n v="4"/>
    <n v="5"/>
    <n v="0"/>
    <m/>
    <m/>
    <n v="0"/>
    <n v="43.333333333333336"/>
    <n v="60"/>
    <n v="103.33333333333334"/>
    <n v="26.603333333333339"/>
    <m/>
    <s v=""/>
    <m/>
    <s v=""/>
    <m/>
    <s v=""/>
    <n v="0"/>
    <n v="1"/>
    <n v="0"/>
    <n v="0"/>
    <n v="1"/>
    <n v="-2"/>
    <n v="8.801817149346963"/>
    <n v="-3"/>
    <n v="0"/>
    <x v="1"/>
    <x v="1"/>
  </r>
  <r>
    <n v="25"/>
    <x v="3"/>
    <n v="115"/>
    <s v="18A"/>
    <s v="Waterschap Noorderzijlvest"/>
    <s v="Eemshaven-Delfzijl"/>
    <n v="11841.07238082038"/>
    <m/>
    <s v="6-7"/>
    <n v="0"/>
    <n v="0"/>
    <m/>
    <m/>
    <n v="2017"/>
    <n v="2018"/>
    <n v="2018"/>
    <n v="2022"/>
    <m/>
    <n v="1"/>
    <n v="4"/>
    <n v="5"/>
    <n v="0"/>
    <m/>
    <m/>
    <n v="0"/>
    <n v="25.3"/>
    <n v="51.43"/>
    <n v="76.73"/>
    <n v="-0.67000000000000171"/>
    <m/>
    <s v=""/>
    <m/>
    <s v=""/>
    <m/>
    <s v=""/>
    <n v="0"/>
    <n v="1"/>
    <n v="0"/>
    <n v="0"/>
    <n v="1"/>
    <n v="-2"/>
    <n v="6.4799874143395746"/>
    <n v="-3"/>
    <n v="0"/>
    <x v="0"/>
    <x v="1"/>
  </r>
  <r>
    <n v="25"/>
    <x v="4"/>
    <n v="84"/>
    <s v="18A"/>
    <s v="Waterschap Noorderzijlvest"/>
    <s v="Eemshaven-Delfzijl"/>
    <n v="11841.07238082038"/>
    <m/>
    <m/>
    <n v="0"/>
    <n v="0"/>
    <m/>
    <m/>
    <m/>
    <m/>
    <n v="2017"/>
    <n v="2022"/>
    <m/>
    <m/>
    <n v="5"/>
    <n v="5"/>
    <n v="-1"/>
    <m/>
    <m/>
    <n v="0"/>
    <n v="0"/>
    <n v="77.400000000000006"/>
    <n v="77.400000000000006"/>
    <n v="-7.0999999999999943"/>
    <m/>
    <s v=""/>
    <m/>
    <s v=""/>
    <m/>
    <s v=""/>
    <n v="0"/>
    <n v="1"/>
    <n v="0"/>
    <n v="0"/>
    <n v="1"/>
    <n v="-3"/>
    <n v="6.5365701273280736"/>
    <m/>
    <n v="0"/>
    <x v="1"/>
    <x v="1"/>
  </r>
  <r>
    <n v="25"/>
    <x v="5"/>
    <n v="70"/>
    <s v="18A"/>
    <s v="Waterschap Noorderzijlvest"/>
    <s v="Eemshaven – Delfzijl"/>
    <m/>
    <m/>
    <m/>
    <n v="0"/>
    <n v="0"/>
    <m/>
    <m/>
    <n v="2016"/>
    <n v="2017"/>
    <n v="2017"/>
    <n v="2022"/>
    <m/>
    <n v="1"/>
    <n v="5"/>
    <n v="6"/>
    <m/>
    <m/>
    <m/>
    <n v="0"/>
    <n v="6.2"/>
    <n v="78.3"/>
    <n v="84.5"/>
    <m/>
    <m/>
    <s v=""/>
    <m/>
    <s v=""/>
    <m/>
    <s v=""/>
    <n v="0"/>
    <n v="1"/>
    <n v="0"/>
    <n v="0"/>
    <n v="1"/>
    <n v="-3"/>
    <m/>
    <n v="-4"/>
    <n v="0"/>
    <x v="1"/>
    <x v="1"/>
  </r>
  <r>
    <n v="26"/>
    <x v="0"/>
    <n v="65"/>
    <s v="34P"/>
    <s v="Waterschap Drents-Overijsselse Delta"/>
    <s v="Mastenbroek Zwarte Meer"/>
    <n v="5770"/>
    <m/>
    <s v="10-1"/>
    <n v="0"/>
    <n v="0"/>
    <n v="2024"/>
    <n v="2026"/>
    <n v="2026"/>
    <n v="2029"/>
    <n v="2029"/>
    <n v="2032"/>
    <n v="2"/>
    <n v="3"/>
    <n v="3"/>
    <n v="8"/>
    <n v="-4"/>
    <m/>
    <n v="3"/>
    <n v="4.333333333333333"/>
    <n v="3.6666666666666665"/>
    <n v="29.888888888888886"/>
    <n v="37.888888888888886"/>
    <n v="21.385555555555552"/>
    <m/>
    <n v="10.585555555555551"/>
    <m/>
    <n v="-1308.8308712956323"/>
    <m/>
    <n v="5.0408562043990566"/>
    <m/>
    <n v="0"/>
    <n v="0"/>
    <n v="0"/>
    <n v="0"/>
    <n v="9"/>
    <n v="6.5665318698247637"/>
    <n v="6"/>
    <n v="1"/>
    <x v="0"/>
    <x v="0"/>
  </r>
  <r>
    <n v="26"/>
    <x v="1"/>
    <n v="65"/>
    <s v="34P"/>
    <s v="Waterschap Drents-Overijsselse Delta"/>
    <s v="Mastenbroek Zwarte Meer"/>
    <n v="7100"/>
    <m/>
    <s v="10-1"/>
    <n v="1"/>
    <n v="0"/>
    <n v="2024"/>
    <n v="2026"/>
    <n v="2026"/>
    <n v="2029"/>
    <n v="2029"/>
    <n v="2036"/>
    <n v="2"/>
    <n v="3"/>
    <n v="7"/>
    <n v="12"/>
    <n v="4"/>
    <n v="7"/>
    <m/>
    <n v="5.2033333333333331"/>
    <n v="11.3"/>
    <n v="0"/>
    <n v="16.503333333333334"/>
    <n v="-72.800000000000011"/>
    <n v="5.7033333333333331"/>
    <s v=""/>
    <n v="21.169128704367722"/>
    <s v=""/>
    <n v="0.79873748011419909"/>
    <s v=""/>
    <n v="0"/>
    <n v="0"/>
    <n v="0"/>
    <n v="0"/>
    <n v="0"/>
    <n v="9"/>
    <n v="2.3244131455399062"/>
    <n v="6"/>
    <n v="1"/>
    <x v="0"/>
    <x v="0"/>
  </r>
  <r>
    <n v="26"/>
    <x v="2"/>
    <n v="109"/>
    <s v="34P"/>
    <s v="Waterschap Drents-Overijsselse Delta"/>
    <s v="Mastenbroek Zwarte Meer"/>
    <n v="7078.8308712956323"/>
    <n v="12"/>
    <s v="10-2"/>
    <n v="1"/>
    <n v="0"/>
    <n v="2024"/>
    <n v="2026"/>
    <n v="2026"/>
    <n v="2029"/>
    <n v="2029"/>
    <n v="2032"/>
    <n v="2"/>
    <n v="3"/>
    <n v="3"/>
    <n v="8"/>
    <n v="1"/>
    <m/>
    <m/>
    <n v="3.7033333333333336"/>
    <n v="9"/>
    <n v="76.600000000000009"/>
    <n v="89.303333333333342"/>
    <n v="33.792333333333339"/>
    <m/>
    <s v=""/>
    <m/>
    <s v=""/>
    <m/>
    <s v=""/>
    <n v="0"/>
    <n v="0"/>
    <n v="0"/>
    <n v="0"/>
    <n v="0"/>
    <n v="9"/>
    <n v="12.615548380376579"/>
    <n v="6"/>
    <n v="1"/>
    <x v="0"/>
    <x v="0"/>
  </r>
  <r>
    <n v="26"/>
    <x v="3"/>
    <n v="108"/>
    <s v="34P"/>
    <s v="Waterschap Drents-Overijsselse Delta"/>
    <s v="Mastenbroek Zwarte Meer"/>
    <n v="7078.8308712956323"/>
    <m/>
    <s v="10-2"/>
    <n v="1"/>
    <n v="0"/>
    <n v="2024"/>
    <n v="2026"/>
    <n v="2026"/>
    <n v="2029"/>
    <n v="2029"/>
    <n v="2031"/>
    <n v="2"/>
    <n v="3"/>
    <n v="2"/>
    <n v="7"/>
    <n v="2"/>
    <m/>
    <m/>
    <n v="3.8780000000000001"/>
    <n v="6.1890000000000001"/>
    <n v="45.444000000000003"/>
    <n v="55.511000000000003"/>
    <n v="44.710999999999999"/>
    <m/>
    <s v=""/>
    <m/>
    <s v=""/>
    <m/>
    <s v=""/>
    <n v="0"/>
    <n v="0"/>
    <n v="0"/>
    <n v="0"/>
    <n v="0"/>
    <n v="9"/>
    <n v="7.8418316540228163"/>
    <n v="6"/>
    <n v="1"/>
    <x v="0"/>
    <x v="0"/>
  </r>
  <r>
    <n v="26"/>
    <x v="4"/>
    <n v="96"/>
    <s v="15K"/>
    <s v="Waterschap Drents-Overijsselse Delta"/>
    <s v="Mastenbroek Zwarte Meer"/>
    <n v="7078.8308712956323"/>
    <m/>
    <m/>
    <n v="0"/>
    <n v="0"/>
    <n v="2024"/>
    <n v="2026"/>
    <n v="2026"/>
    <n v="2029"/>
    <m/>
    <m/>
    <n v="2"/>
    <n v="3"/>
    <n v="0"/>
    <n v="5"/>
    <m/>
    <m/>
    <m/>
    <n v="4.0999999999999996"/>
    <n v="6.7"/>
    <n v="0"/>
    <n v="10.8"/>
    <n v="10.8"/>
    <m/>
    <s v=""/>
    <m/>
    <s v=""/>
    <m/>
    <s v=""/>
    <n v="0"/>
    <n v="0"/>
    <n v="0"/>
    <n v="0"/>
    <n v="0"/>
    <m/>
    <n v="1.5256756654257071"/>
    <n v="6"/>
    <n v="1"/>
    <x v="1"/>
    <x v="0"/>
  </r>
  <r>
    <n v="26"/>
    <x v="5"/>
    <n v="88"/>
    <s v="15K"/>
    <s v="Waterschap Drents-Overijsselse Delta"/>
    <s v="Mastenbroek Zwarte Meer"/>
    <m/>
    <m/>
    <m/>
    <n v="0"/>
    <n v="0"/>
    <m/>
    <m/>
    <m/>
    <m/>
    <m/>
    <m/>
    <m/>
    <m/>
    <m/>
    <m/>
    <m/>
    <m/>
    <m/>
    <m/>
    <m/>
    <m/>
    <m/>
    <m/>
    <m/>
    <s v=""/>
    <m/>
    <s v=""/>
    <m/>
    <s v=""/>
    <n v="0"/>
    <n v="0"/>
    <n v="0"/>
    <n v="0"/>
    <n v="0"/>
    <m/>
    <m/>
    <m/>
    <m/>
    <x v="1"/>
    <x v="2"/>
  </r>
  <r>
    <n v="27"/>
    <x v="0"/>
    <n v="75"/>
    <s v="28F/28G"/>
    <s v="Wetterskip Fryslân"/>
    <s v="Koehool- Lauwersmeer"/>
    <n v="47300"/>
    <m/>
    <s v="6-3, 6-4"/>
    <n v="0"/>
    <n v="0"/>
    <n v="2016"/>
    <n v="2021"/>
    <n v="2021"/>
    <n v="2024"/>
    <n v="2024"/>
    <n v="2030"/>
    <n v="5"/>
    <n v="3"/>
    <n v="6"/>
    <n v="14"/>
    <n v="1"/>
    <m/>
    <n v="7"/>
    <n v="14.555555555555555"/>
    <n v="23.888888888888889"/>
    <n v="272.22222222222223"/>
    <n v="310.66666666666669"/>
    <n v="-0.47222222222222854"/>
    <m/>
    <n v="5.2277777777777743"/>
    <m/>
    <n v="32901.331912956397"/>
    <m/>
    <n v="4.7431033249628571"/>
    <m/>
    <n v="1"/>
    <n v="1"/>
    <n v="0"/>
    <n v="0"/>
    <n v="4"/>
    <n v="6.56800563777308"/>
    <n v="1"/>
    <n v="1"/>
    <x v="0"/>
    <x v="1"/>
  </r>
  <r>
    <n v="27"/>
    <x v="1"/>
    <n v="75"/>
    <s v="28F/28G"/>
    <s v="Wetterskip Fryslân"/>
    <s v="Koehool- Lauwersmeer"/>
    <n v="47300"/>
    <m/>
    <s v="6-3, 6-4"/>
    <n v="1"/>
    <n v="0"/>
    <n v="2016"/>
    <n v="2021"/>
    <n v="2021"/>
    <n v="2023"/>
    <n v="2023"/>
    <n v="2029"/>
    <n v="5"/>
    <n v="2"/>
    <n v="6"/>
    <n v="13"/>
    <n v="0"/>
    <n v="6"/>
    <m/>
    <n v="14.565555555555555"/>
    <n v="23.94"/>
    <n v="272.63333333333333"/>
    <n v="311.13888888888891"/>
    <n v="0.20398111111114758"/>
    <n v="224.73888888888894"/>
    <s v=""/>
    <n v="32901.331912956397"/>
    <s v=""/>
    <n v="0.57743417920089435"/>
    <s v=""/>
    <n v="1"/>
    <n v="1"/>
    <n v="1"/>
    <n v="0"/>
    <n v="0"/>
    <n v="3"/>
    <n v="6.5779891942682651"/>
    <n v="1"/>
    <n v="1"/>
    <x v="0"/>
    <x v="1"/>
  </r>
  <r>
    <n v="27"/>
    <x v="2"/>
    <n v="123"/>
    <s v="28F "/>
    <s v="Wetterskip Fryslân"/>
    <s v="Koehool- Lauwersmeer"/>
    <n v="47345"/>
    <n v="2"/>
    <s v="6-3, 6-4"/>
    <n v="1"/>
    <n v="0"/>
    <n v="2017"/>
    <n v="2021"/>
    <n v="2021"/>
    <n v="2023"/>
    <n v="2023"/>
    <n v="2030"/>
    <n v="4"/>
    <n v="2"/>
    <n v="7"/>
    <n v="13"/>
    <n v="0"/>
    <m/>
    <m/>
    <n v="14.460463333333333"/>
    <n v="23.94"/>
    <n v="272.53444444444443"/>
    <n v="310.93490777777777"/>
    <n v="6.2035267777777676"/>
    <m/>
    <s v=""/>
    <m/>
    <s v=""/>
    <m/>
    <s v=""/>
    <n v="1"/>
    <n v="1"/>
    <n v="1"/>
    <n v="0"/>
    <n v="0"/>
    <n v="3"/>
    <n v="6.5674286150127319"/>
    <n v="1"/>
    <n v="1"/>
    <x v="0"/>
    <x v="1"/>
  </r>
  <r>
    <n v="27"/>
    <x v="3"/>
    <n v="120"/>
    <s v="28F + 28G"/>
    <s v="Wetterskip Fryslân"/>
    <s v="Koehool- Lauwersmeer"/>
    <n v="47345"/>
    <m/>
    <s v="6-3, 6-4"/>
    <n v="1"/>
    <n v="0"/>
    <n v="2017"/>
    <n v="2021"/>
    <n v="2021"/>
    <n v="2023"/>
    <n v="2023"/>
    <n v="2030"/>
    <n v="4"/>
    <n v="2"/>
    <n v="7"/>
    <n v="13"/>
    <n v="6"/>
    <m/>
    <m/>
    <n v="9.5913810000000002"/>
    <n v="23.94"/>
    <n v="271.2"/>
    <n v="304.731381"/>
    <n v="218.33138100000002"/>
    <m/>
    <s v=""/>
    <m/>
    <s v=""/>
    <m/>
    <s v=""/>
    <n v="1"/>
    <n v="1"/>
    <n v="1"/>
    <n v="0"/>
    <n v="0"/>
    <n v="3"/>
    <n v="6.4364004857957546"/>
    <n v="1"/>
    <n v="1"/>
    <x v="0"/>
    <x v="1"/>
  </r>
  <r>
    <n v="27"/>
    <x v="4"/>
    <n v="104"/>
    <s v="28F &amp; 28G"/>
    <s v="Wetterskip Fryslân"/>
    <s v="Koehool- Lauwersmeer"/>
    <n v="14398.668087043601"/>
    <m/>
    <s v="6-5"/>
    <n v="1"/>
    <n v="0"/>
    <n v="2017"/>
    <n v="2019"/>
    <n v="2019"/>
    <n v="2021"/>
    <n v="2021"/>
    <n v="2024"/>
    <n v="2"/>
    <n v="2"/>
    <n v="3"/>
    <n v="7"/>
    <n v="-2"/>
    <m/>
    <m/>
    <n v="1.7"/>
    <n v="8.8999999999999986"/>
    <n v="75.8"/>
    <n v="86.399999999999991"/>
    <n v="-5.7000000000000028"/>
    <m/>
    <s v=""/>
    <m/>
    <s v=""/>
    <m/>
    <s v=""/>
    <n v="1"/>
    <n v="1"/>
    <n v="0"/>
    <n v="1"/>
    <n v="0"/>
    <n v="1"/>
    <n v="6.0005550150673708"/>
    <n v="-1"/>
    <n v="0"/>
    <x v="1"/>
    <x v="1"/>
  </r>
  <r>
    <n v="27"/>
    <x v="5"/>
    <n v="98"/>
    <s v="28G"/>
    <s v="Wetterskip Fryslân"/>
    <s v="West Holwerderpolder – Lauwersmeer"/>
    <m/>
    <m/>
    <m/>
    <n v="0"/>
    <n v="0"/>
    <n v="2016"/>
    <n v="2019"/>
    <n v="2019"/>
    <n v="2023"/>
    <n v="2023"/>
    <n v="2025"/>
    <n v="3"/>
    <n v="4"/>
    <n v="2"/>
    <n v="9"/>
    <m/>
    <m/>
    <m/>
    <n v="7.4"/>
    <n v="8.8999999999999986"/>
    <n v="75.8"/>
    <n v="92.1"/>
    <m/>
    <m/>
    <s v=""/>
    <m/>
    <s v=""/>
    <m/>
    <s v=""/>
    <n v="1"/>
    <n v="1"/>
    <n v="0"/>
    <n v="1"/>
    <n v="0"/>
    <n v="3"/>
    <m/>
    <n v="-1"/>
    <n v="0"/>
    <x v="1"/>
    <x v="1"/>
  </r>
  <r>
    <n v="28"/>
    <x v="0"/>
    <n v="50"/>
    <s v="34O"/>
    <s v="Waterschap Drents-Overijsselse Delta"/>
    <s v="Mastenbroek IJssel"/>
    <n v="14623"/>
    <m/>
    <s v="10-3"/>
    <n v="0"/>
    <n v="0"/>
    <n v="2022"/>
    <n v="2024"/>
    <n v="2024"/>
    <n v="2027"/>
    <n v="2027"/>
    <n v="2030"/>
    <n v="2"/>
    <n v="3"/>
    <n v="3"/>
    <n v="8"/>
    <n v="0"/>
    <m/>
    <n v="1"/>
    <n v="4.5555555555555554"/>
    <n v="7.7777777777777777"/>
    <n v="66.3"/>
    <n v="78.633333333333326"/>
    <n v="0.63333333333332575"/>
    <m/>
    <n v="-16.566666666666677"/>
    <m/>
    <n v="7617.5092065269946"/>
    <m/>
    <n v="-4.5291415091547336"/>
    <m/>
    <n v="1"/>
    <n v="0"/>
    <n v="0"/>
    <n v="0"/>
    <n v="7"/>
    <n v="5.3773735439604273"/>
    <n v="4"/>
    <n v="1"/>
    <x v="0"/>
    <x v="1"/>
  </r>
  <r>
    <n v="28"/>
    <x v="1"/>
    <n v="50"/>
    <s v="34O"/>
    <s v="Waterschap Drents-Overijsselse Delta"/>
    <s v="Mastenbroek IJssel"/>
    <n v="14836"/>
    <m/>
    <s v="10-3"/>
    <n v="0"/>
    <n v="0"/>
    <n v="2022"/>
    <n v="2024"/>
    <n v="2024"/>
    <n v="2027"/>
    <n v="2027"/>
    <n v="2030"/>
    <n v="2"/>
    <n v="3"/>
    <n v="3"/>
    <n v="8"/>
    <n v="0"/>
    <n v="1"/>
    <m/>
    <n v="3.9"/>
    <n v="7.8"/>
    <n v="66.3"/>
    <n v="78"/>
    <n v="9.647777777777776"/>
    <n v="8.5999999999999943"/>
    <s v=""/>
    <n v="7830.5092065269946"/>
    <s v=""/>
    <n v="-4.6490332520906259"/>
    <s v=""/>
    <n v="1"/>
    <n v="1"/>
    <n v="0"/>
    <n v="0"/>
    <n v="0"/>
    <n v="7"/>
    <n v="5.257481801024535"/>
    <n v="4"/>
    <n v="1"/>
    <x v="0"/>
    <x v="1"/>
  </r>
  <r>
    <n v="28"/>
    <x v="2"/>
    <n v="96"/>
    <s v="34O"/>
    <s v="Waterschap Drents-Overijsselse Delta"/>
    <s v="Mastenbroek IJssel"/>
    <n v="7005.4907934730054"/>
    <n v="8"/>
    <s v="10-3"/>
    <n v="0"/>
    <n v="0"/>
    <n v="2022"/>
    <n v="2024"/>
    <n v="2024"/>
    <n v="2027"/>
    <n v="2027"/>
    <n v="2030"/>
    <n v="2"/>
    <n v="3"/>
    <n v="3"/>
    <n v="8"/>
    <n v="0"/>
    <m/>
    <m/>
    <n v="3.4122222222222223"/>
    <n v="6.7577777777777781"/>
    <n v="58.182222222222229"/>
    <n v="68.352222222222224"/>
    <n v="2.2222222222012533E-4"/>
    <m/>
    <s v=""/>
    <m/>
    <s v=""/>
    <m/>
    <s v=""/>
    <n v="1"/>
    <n v="1"/>
    <n v="0"/>
    <n v="0"/>
    <n v="0"/>
    <n v="7"/>
    <n v="9.756949832252408"/>
    <n v="4"/>
    <n v="1"/>
    <x v="0"/>
    <x v="1"/>
  </r>
  <r>
    <n v="28"/>
    <x v="3"/>
    <n v="96"/>
    <s v="34O"/>
    <s v="Waterschap Drents-Overijsselse Delta"/>
    <s v="Mastenbroek IJssel"/>
    <n v="7005.4907934730054"/>
    <m/>
    <s v="10-3"/>
    <n v="0"/>
    <n v="0"/>
    <n v="2022"/>
    <n v="2024"/>
    <n v="2024"/>
    <n v="2027"/>
    <n v="2027"/>
    <n v="2030"/>
    <n v="2"/>
    <n v="3"/>
    <n v="3"/>
    <n v="8"/>
    <n v="1"/>
    <m/>
    <m/>
    <n v="3.4119999999999999"/>
    <n v="6.758"/>
    <n v="58.182000000000002"/>
    <n v="68.352000000000004"/>
    <n v="-1.0480000000000018"/>
    <m/>
    <s v=""/>
    <m/>
    <s v=""/>
    <m/>
    <s v=""/>
    <n v="1"/>
    <n v="1"/>
    <n v="0"/>
    <n v="0"/>
    <n v="0"/>
    <n v="7"/>
    <n v="9.756918111102701"/>
    <n v="4"/>
    <n v="1"/>
    <x v="0"/>
    <x v="1"/>
  </r>
  <r>
    <n v="28"/>
    <x v="4"/>
    <n v="85"/>
    <s v="15J"/>
    <s v="Waterschap Drents-Overijsselse Delta"/>
    <s v="Mastenbroek IJssel"/>
    <n v="7005.4907934730054"/>
    <m/>
    <s v="10-3"/>
    <n v="0"/>
    <n v="0"/>
    <n v="2022"/>
    <n v="2024"/>
    <n v="2024"/>
    <n v="2027"/>
    <n v="2027"/>
    <n v="2029"/>
    <n v="2"/>
    <n v="3"/>
    <n v="2"/>
    <n v="7"/>
    <n v="1"/>
    <m/>
    <m/>
    <n v="3.5"/>
    <n v="6.9"/>
    <n v="59"/>
    <n v="69.400000000000006"/>
    <n v="17.200000000000003"/>
    <m/>
    <s v=""/>
    <m/>
    <s v=""/>
    <m/>
    <s v=""/>
    <n v="1"/>
    <n v="1"/>
    <n v="0"/>
    <n v="0"/>
    <n v="0"/>
    <n v="7"/>
    <n v="9.9065150531151609"/>
    <n v="4"/>
    <n v="1"/>
    <x v="1"/>
    <x v="1"/>
  </r>
  <r>
    <n v="28"/>
    <x v="5"/>
    <n v="75"/>
    <s v="15J"/>
    <s v="Waterschap Drents-Overijsselse Delta"/>
    <s v="Mastenbroek IJssel"/>
    <m/>
    <m/>
    <m/>
    <n v="0"/>
    <n v="0"/>
    <n v="2023"/>
    <n v="2025"/>
    <n v="2025"/>
    <n v="2027"/>
    <n v="2027"/>
    <n v="2029"/>
    <n v="2"/>
    <n v="2"/>
    <n v="2"/>
    <n v="6"/>
    <m/>
    <m/>
    <m/>
    <n v="2.6"/>
    <n v="5.2"/>
    <n v="44.4"/>
    <n v="52.2"/>
    <m/>
    <m/>
    <s v=""/>
    <m/>
    <s v=""/>
    <m/>
    <s v=""/>
    <n v="1"/>
    <n v="1"/>
    <n v="0"/>
    <n v="0"/>
    <n v="0"/>
    <n v="7"/>
    <m/>
    <n v="5"/>
    <n v="1"/>
    <x v="1"/>
    <x v="1"/>
  </r>
  <r>
    <n v="29"/>
    <x v="0"/>
    <n v="94"/>
    <s v="25K"/>
    <s v="Waterschap Vallei en Veluwe"/>
    <s v="IJsseldijk Apeldoorns kanaal"/>
    <n v="2700"/>
    <m/>
    <s v="52-4"/>
    <n v="0"/>
    <n v="0"/>
    <n v="2016"/>
    <n v="2018"/>
    <n v="2018"/>
    <n v="2021"/>
    <n v="2021"/>
    <n v="2024"/>
    <n v="2"/>
    <n v="3"/>
    <n v="3"/>
    <n v="8"/>
    <n v="2"/>
    <m/>
    <n v="1"/>
    <n v="2.6666666666666665"/>
    <n v="4.333333333333333"/>
    <n v="14.444444444444445"/>
    <n v="21.444444444444443"/>
    <n v="-0.19333333333333513"/>
    <m/>
    <n v="11.746666666666663"/>
    <m/>
    <n v="-545.72257161103425"/>
    <m/>
    <n v="4.0911642685920739"/>
    <m/>
    <n v="0"/>
    <n v="0"/>
    <n v="1"/>
    <n v="0"/>
    <n v="1"/>
    <n v="7.9423868312757193"/>
    <n v="-2"/>
    <n v="0"/>
    <x v="1"/>
    <x v="0"/>
  </r>
  <r>
    <n v="29"/>
    <x v="1"/>
    <n v="94"/>
    <s v="25K"/>
    <s v="Waterschap Vallei en Veluwe"/>
    <s v="IJsseldijk Apeldoorns kanaal"/>
    <n v="2700"/>
    <m/>
    <s v="52-4"/>
    <n v="0"/>
    <n v="0"/>
    <n v="2016"/>
    <n v="2017"/>
    <n v="2018"/>
    <n v="2021"/>
    <n v="2021"/>
    <n v="2023"/>
    <n v="1"/>
    <n v="3"/>
    <n v="2"/>
    <n v="6"/>
    <n v="-1"/>
    <n v="-1"/>
    <m/>
    <n v="2.6933333333333334"/>
    <n v="4.3977777777777787"/>
    <n v="14.546666666666667"/>
    <n v="21.637777777777778"/>
    <n v="-0.3044444444444423"/>
    <n v="9.137777777777778"/>
    <s v=""/>
    <n v="-545.72257161103425"/>
    <s v=""/>
    <n v="4.162769206863679"/>
    <s v=""/>
    <n v="0"/>
    <n v="0"/>
    <n v="0"/>
    <n v="1"/>
    <n v="0"/>
    <n v="1"/>
    <n v="8.0139917695473244"/>
    <n v="-2"/>
    <n v="0"/>
    <x v="1"/>
    <x v="0"/>
  </r>
  <r>
    <n v="29"/>
    <x v="2"/>
    <n v="141"/>
    <s v="25K"/>
    <s v="Waterschap Vallei en Veluwe"/>
    <s v="IJsseldijk Apeldoorns kanaal"/>
    <n v="3245.7225716110343"/>
    <n v="4"/>
    <s v=" 52-4"/>
    <n v="0"/>
    <n v="0"/>
    <n v="2016"/>
    <n v="2018"/>
    <n v="2018"/>
    <n v="2020"/>
    <n v="2020"/>
    <n v="2023"/>
    <n v="2"/>
    <n v="2"/>
    <n v="3"/>
    <n v="7"/>
    <n v="1"/>
    <m/>
    <m/>
    <n v="2.6933333333333334"/>
    <n v="4.7777777777777777"/>
    <n v="14.47111111111111"/>
    <n v="21.94222222222222"/>
    <n v="8.4422222222222203"/>
    <m/>
    <s v=""/>
    <m/>
    <s v=""/>
    <m/>
    <s v=""/>
    <n v="0"/>
    <n v="0"/>
    <n v="0"/>
    <n v="0"/>
    <n v="1"/>
    <n v="0"/>
    <n v="6.7603505038112557"/>
    <n v="-2"/>
    <n v="0"/>
    <x v="0"/>
    <x v="0"/>
  </r>
  <r>
    <n v="29"/>
    <x v="3"/>
    <n v="138"/>
    <s v="25K"/>
    <s v="Waterschap Vallei en Veluwe"/>
    <s v="IJsseldijk Apeldoorns kanaal"/>
    <n v="3245.7225716110343"/>
    <m/>
    <s v=" 52-4, 11-1"/>
    <n v="0"/>
    <n v="0"/>
    <n v="2016"/>
    <n v="2018"/>
    <n v="2018"/>
    <n v="2020"/>
    <n v="2020"/>
    <n v="2022"/>
    <n v="2"/>
    <n v="2"/>
    <n v="2"/>
    <n v="6"/>
    <n v="-1"/>
    <m/>
    <m/>
    <n v="2.42"/>
    <n v="0.28000000000000003"/>
    <n v="10.8"/>
    <n v="13.5"/>
    <n v="1"/>
    <m/>
    <s v=""/>
    <m/>
    <s v=""/>
    <m/>
    <s v=""/>
    <n v="0"/>
    <n v="0"/>
    <n v="0"/>
    <n v="0"/>
    <n v="1"/>
    <n v="0"/>
    <n v="4.1593203676983377"/>
    <n v="-2"/>
    <n v="0"/>
    <x v="0"/>
    <x v="0"/>
  </r>
  <r>
    <n v="29"/>
    <x v="4"/>
    <n v="121"/>
    <s v="25K"/>
    <s v="Waterschap Vallei en Veluwe"/>
    <s v="IJsseldijk Apeldoorns kanaal"/>
    <n v="3245.7225716110343"/>
    <m/>
    <s v="52-4"/>
    <n v="0"/>
    <n v="0"/>
    <n v="2016"/>
    <n v="2018"/>
    <n v="2018"/>
    <n v="2020"/>
    <n v="2020"/>
    <n v="2023"/>
    <n v="2"/>
    <n v="2"/>
    <n v="3"/>
    <n v="7"/>
    <n v="0"/>
    <m/>
    <m/>
    <n v="2.42"/>
    <n v="0.28000000000000003"/>
    <n v="9.8000000000000007"/>
    <n v="12.5"/>
    <n v="-11.939999999999998"/>
    <m/>
    <s v=""/>
    <m/>
    <s v=""/>
    <m/>
    <s v=""/>
    <n v="0"/>
    <n v="0"/>
    <n v="0"/>
    <n v="0"/>
    <n v="1"/>
    <n v="0"/>
    <n v="3.8512225626836458"/>
    <n v="-2"/>
    <n v="0"/>
    <x v="1"/>
    <x v="0"/>
  </r>
  <r>
    <n v="29"/>
    <x v="5"/>
    <n v="118"/>
    <s v="25K"/>
    <s v="Waterschap Vallei en Veluwe"/>
    <s v="Loswal Hattem + Apeldoorns kanaal"/>
    <m/>
    <m/>
    <m/>
    <n v="0"/>
    <n v="0"/>
    <n v="2016"/>
    <n v="2018"/>
    <n v="2018"/>
    <n v="2020"/>
    <n v="2020"/>
    <n v="2023"/>
    <n v="2"/>
    <n v="2"/>
    <n v="3"/>
    <n v="7"/>
    <m/>
    <m/>
    <m/>
    <n v="7"/>
    <n v="1.8399999999999999"/>
    <n v="15.6"/>
    <n v="24.439999999999998"/>
    <m/>
    <m/>
    <s v=""/>
    <m/>
    <s v=""/>
    <m/>
    <s v=""/>
    <n v="0"/>
    <n v="0"/>
    <n v="0"/>
    <n v="0"/>
    <n v="1"/>
    <n v="0"/>
    <m/>
    <n v="-2"/>
    <n v="0"/>
    <x v="1"/>
    <x v="0"/>
  </r>
  <r>
    <n v="31"/>
    <x v="0"/>
    <n v="12"/>
    <s v="24AH + 24AN"/>
    <s v="Waterschap Scheldestromen"/>
    <s v="Zuid-Beveland West, Westerschelde S2"/>
    <n v="24300"/>
    <m/>
    <m/>
    <n v="0"/>
    <n v="0"/>
    <n v="2021"/>
    <n v="2022"/>
    <n v="2022"/>
    <n v="2025"/>
    <n v="2025"/>
    <n v="2028"/>
    <n v="1"/>
    <n v="3"/>
    <n v="3"/>
    <n v="7"/>
    <n v="-1"/>
    <m/>
    <n v="1"/>
    <n v="0.64"/>
    <n v="0.64"/>
    <n v="6.72"/>
    <n v="8"/>
    <n v="0"/>
    <m/>
    <n v="-16.900000000000002"/>
    <m/>
    <n v="-549.9939715291257"/>
    <m/>
    <n v="-0.35086240792986551"/>
    <m/>
    <n v="0"/>
    <n v="0"/>
    <n v="0"/>
    <n v="0"/>
    <n v="5"/>
    <n v="0.32921810699588477"/>
    <n v="2"/>
    <n v="1"/>
    <x v="0"/>
    <x v="0"/>
  </r>
  <r>
    <n v="31"/>
    <x v="1"/>
    <n v="13"/>
    <s v="24AH + 24AN"/>
    <s v="Waterschap Scheldestromen"/>
    <s v="Zuid-Beveland West, Westerschelde S2"/>
    <n v="24850"/>
    <m/>
    <s v="30-3"/>
    <n v="0"/>
    <n v="0"/>
    <n v="2020"/>
    <n v="2022"/>
    <n v="2022"/>
    <n v="2024"/>
    <n v="2024"/>
    <n v="2028"/>
    <n v="2"/>
    <n v="2"/>
    <n v="4"/>
    <n v="8"/>
    <n v="-1"/>
    <n v="2"/>
    <m/>
    <n v="0.64"/>
    <n v="0.64"/>
    <n v="6.72"/>
    <n v="8"/>
    <n v="0"/>
    <n v="-8.9000000000000021"/>
    <s v=""/>
    <n v="6.0284708742983639E-3"/>
    <s v=""/>
    <n v="-0.35814905834391864"/>
    <s v=""/>
    <n v="0"/>
    <n v="0"/>
    <n v="1"/>
    <n v="0"/>
    <n v="0"/>
    <n v="4"/>
    <n v="0.32193158953722334"/>
    <n v="2"/>
    <n v="1"/>
    <x v="0"/>
    <x v="0"/>
  </r>
  <r>
    <n v="31"/>
    <x v="2"/>
    <n v="33"/>
    <s v="24AH "/>
    <s v="Waterschap Scheldestromen"/>
    <s v="Zuid-Beveland West, Westerschelde S2"/>
    <n v="24849.998829690201"/>
    <n v="38"/>
    <s v="30-3"/>
    <n v="0"/>
    <n v="0"/>
    <n v="2019"/>
    <n v="2023"/>
    <n v="2023"/>
    <n v="2025"/>
    <n v="2025"/>
    <n v="2028"/>
    <n v="4"/>
    <n v="2"/>
    <n v="3"/>
    <n v="9"/>
    <n v="0"/>
    <m/>
    <m/>
    <n v="0.4"/>
    <n v="0.8"/>
    <n v="6.8000000000000007"/>
    <n v="8"/>
    <n v="0"/>
    <m/>
    <s v=""/>
    <m/>
    <s v=""/>
    <m/>
    <s v=""/>
    <n v="0"/>
    <n v="0"/>
    <n v="1"/>
    <n v="0"/>
    <n v="0"/>
    <n v="5"/>
    <n v="0.32193160469857995"/>
    <n v="3"/>
    <n v="1"/>
    <x v="0"/>
    <x v="0"/>
  </r>
  <r>
    <n v="31"/>
    <x v="3"/>
    <n v="29"/>
    <s v="24AH + 24AN"/>
    <s v="Waterschap Scheldestromen"/>
    <s v="Zuid-Beveland West, Westerschelde S2"/>
    <n v="24849.998829690201"/>
    <s v="30-3"/>
    <s v="30-3"/>
    <n v="0"/>
    <n v="0"/>
    <n v="2017"/>
    <n v="2021"/>
    <n v="2021"/>
    <n v="2023"/>
    <n v="2023"/>
    <n v="2026"/>
    <n v="4"/>
    <n v="2"/>
    <n v="3"/>
    <n v="9"/>
    <n v="3"/>
    <m/>
    <m/>
    <n v="0.4"/>
    <n v="0.8"/>
    <n v="6.8"/>
    <n v="8"/>
    <n v="-8.9000000000000021"/>
    <m/>
    <s v=""/>
    <m/>
    <s v=""/>
    <m/>
    <s v=""/>
    <n v="0"/>
    <n v="0"/>
    <n v="1"/>
    <n v="0"/>
    <n v="0"/>
    <n v="3"/>
    <n v="0.32193160469857995"/>
    <n v="1"/>
    <n v="1"/>
    <x v="0"/>
    <x v="0"/>
  </r>
  <r>
    <n v="31"/>
    <x v="4"/>
    <n v="8"/>
    <s v="24AG"/>
    <s v="Waterschap Scheldestromen"/>
    <s v="Zuid-Beveland West, Westerschelde"/>
    <n v="24849.993971529126"/>
    <m/>
    <s v="30-3"/>
    <n v="0"/>
    <n v="0"/>
    <n v="2017"/>
    <n v="2018"/>
    <n v="2018"/>
    <n v="2019"/>
    <n v="2019"/>
    <n v="2023"/>
    <n v="1"/>
    <n v="1"/>
    <n v="4"/>
    <n v="6"/>
    <m/>
    <m/>
    <m/>
    <n v="0.4"/>
    <n v="1.7000000000000002"/>
    <n v="14.8"/>
    <n v="16.900000000000002"/>
    <n v="16.900000000000002"/>
    <m/>
    <s v=""/>
    <m/>
    <s v=""/>
    <m/>
    <s v=""/>
    <n v="0"/>
    <n v="0"/>
    <n v="0"/>
    <n v="0"/>
    <n v="1"/>
    <n v="-1"/>
    <n v="0.68008064788114198"/>
    <n v="-2"/>
    <n v="0"/>
    <x v="1"/>
    <x v="0"/>
  </r>
  <r>
    <n v="31"/>
    <x v="5"/>
    <m/>
    <m/>
    <s v="Waterschap Scheldestromen"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n v="0"/>
    <n v="0"/>
    <n v="0"/>
    <n v="0"/>
    <m/>
    <m/>
    <m/>
    <m/>
    <x v="1"/>
    <x v="2"/>
  </r>
  <r>
    <n v="32"/>
    <x v="0"/>
    <n v="55"/>
    <s v="24AE"/>
    <s v="Waterschap Scheldestromen"/>
    <s v="Zuid-Beveland Oost, Oosterschelde"/>
    <n v="1850"/>
    <m/>
    <s v="31-1"/>
    <n v="0"/>
    <n v="0"/>
    <n v="2023"/>
    <n v="2025"/>
    <n v="2025"/>
    <n v="2027"/>
    <n v="2027"/>
    <n v="2029"/>
    <n v="2"/>
    <n v="2"/>
    <n v="2"/>
    <n v="6"/>
    <n v="-1"/>
    <m/>
    <n v="1"/>
    <n v="0.44"/>
    <n v="0.44"/>
    <n v="4.5555555555555554"/>
    <n v="5.4355555555555553"/>
    <n v="-1.0133333333333328"/>
    <m/>
    <n v="-2.9383333333333335"/>
    <m/>
    <n v="49.99631860416207"/>
    <m/>
    <n v="-0.24241091249517499"/>
    <m/>
    <n v="0"/>
    <n v="0"/>
    <n v="0"/>
    <n v="0"/>
    <n v="7"/>
    <n v="2.9381381381381377"/>
    <n v="5"/>
    <n v="1"/>
    <x v="0"/>
    <x v="0"/>
  </r>
  <r>
    <n v="32"/>
    <x v="1"/>
    <n v="56"/>
    <s v="24AE"/>
    <s v="Waterschap Scheldestromen"/>
    <s v="Zuid-Beveland Oost, Oosterschelde"/>
    <n v="1500"/>
    <m/>
    <s v="31-2"/>
    <n v="0"/>
    <n v="0"/>
    <n v="2023"/>
    <n v="2025"/>
    <n v="2025"/>
    <n v="2027"/>
    <n v="2027"/>
    <n v="2030"/>
    <n v="2"/>
    <n v="2"/>
    <n v="3"/>
    <n v="7"/>
    <n v="-1"/>
    <n v="2"/>
    <m/>
    <n v="0.51555555555555554"/>
    <n v="0.51555555555555554"/>
    <n v="5.4177777777777774"/>
    <n v="6.448888888888888"/>
    <n v="-0.27611111111111253"/>
    <n v="0.72388888888888747"/>
    <s v=""/>
    <n v="-300.00368139583793"/>
    <s v=""/>
    <n v="1.1187102086259459"/>
    <s v=""/>
    <n v="0"/>
    <n v="0"/>
    <n v="0"/>
    <n v="0"/>
    <n v="0"/>
    <n v="7"/>
    <n v="4.2992592592592587"/>
    <n v="5"/>
    <n v="1"/>
    <x v="0"/>
    <x v="0"/>
  </r>
  <r>
    <n v="32"/>
    <x v="2"/>
    <n v="101"/>
    <s v="24AP"/>
    <s v="Waterschap Scheldestromen"/>
    <s v="Zuid-Beveland Oost, Oosterschelde (2)"/>
    <n v="1500"/>
    <n v="7"/>
    <s v="31-2"/>
    <n v="0"/>
    <n v="0"/>
    <n v="2021"/>
    <n v="2025"/>
    <n v="2025"/>
    <n v="2027"/>
    <n v="2027"/>
    <n v="2029"/>
    <n v="4"/>
    <n v="2"/>
    <n v="2"/>
    <n v="8"/>
    <n v="2"/>
    <m/>
    <m/>
    <n v="0.875"/>
    <n v="1"/>
    <n v="4.8500000000000005"/>
    <n v="6.7250000000000005"/>
    <n v="-0.54999999999999982"/>
    <m/>
    <s v=""/>
    <m/>
    <s v=""/>
    <m/>
    <s v=""/>
    <n v="0"/>
    <n v="0"/>
    <n v="0"/>
    <n v="0"/>
    <n v="0"/>
    <n v="7"/>
    <n v="4.4833333333333334"/>
    <n v="5"/>
    <n v="1"/>
    <x v="0"/>
    <x v="0"/>
  </r>
  <r>
    <n v="32"/>
    <x v="3"/>
    <n v="100"/>
    <s v="24AE"/>
    <s v="Waterschap Scheldestromen"/>
    <s v="Zuid-Beveland Oost, Oosterschelde"/>
    <n v="1800.0036813958379"/>
    <m/>
    <s v="31-2"/>
    <n v="0"/>
    <n v="0"/>
    <n v="2020"/>
    <n v="2022"/>
    <n v="2022"/>
    <n v="2024"/>
    <n v="2024"/>
    <n v="2026"/>
    <n v="2"/>
    <n v="2"/>
    <n v="2"/>
    <n v="6"/>
    <n v="1"/>
    <m/>
    <m/>
    <n v="1.375"/>
    <n v="1"/>
    <n v="4.9000000000000004"/>
    <n v="7.2750000000000004"/>
    <n v="1.5499999999999998"/>
    <m/>
    <s v=""/>
    <m/>
    <s v=""/>
    <m/>
    <s v=""/>
    <n v="0"/>
    <n v="0"/>
    <n v="1"/>
    <n v="0"/>
    <n v="0"/>
    <n v="4"/>
    <n v="4.0416584005864369"/>
    <n v="2"/>
    <s v="Na VV"/>
    <x v="0"/>
    <x v="2"/>
  </r>
  <r>
    <n v="32"/>
    <x v="4"/>
    <n v="88"/>
    <s v="24AE"/>
    <s v="Waterschap Scheldestromen"/>
    <s v="Zuid-Beveland Oost, Oosterschelde"/>
    <n v="1800.0036813958379"/>
    <m/>
    <s v="31-2"/>
    <n v="0"/>
    <n v="0"/>
    <n v="2016"/>
    <n v="2018"/>
    <n v="2018"/>
    <n v="2020"/>
    <n v="2020"/>
    <n v="2021"/>
    <n v="2"/>
    <n v="2"/>
    <n v="1"/>
    <n v="5"/>
    <n v="1"/>
    <m/>
    <m/>
    <n v="0.27500000000000002"/>
    <n v="0.55000000000000004"/>
    <n v="4.9000000000000004"/>
    <n v="5.7250000000000005"/>
    <n v="1.9250000000000007"/>
    <m/>
    <s v=""/>
    <m/>
    <s v=""/>
    <m/>
    <s v=""/>
    <n v="0"/>
    <n v="0"/>
    <n v="0"/>
    <n v="0"/>
    <n v="1"/>
    <n v="0"/>
    <n v="3.1805490506333127"/>
    <n v="-2"/>
    <n v="0"/>
    <x v="1"/>
    <x v="0"/>
  </r>
  <r>
    <n v="32"/>
    <x v="5"/>
    <n v="80"/>
    <s v="24O"/>
    <s v="Waterschap Scheldestromen"/>
    <s v="Zuid–Beveland Oost, Oosterschelde"/>
    <m/>
    <m/>
    <m/>
    <n v="0"/>
    <n v="0"/>
    <n v="2016"/>
    <n v="2018"/>
    <n v="2018"/>
    <n v="2019"/>
    <n v="2019"/>
    <n v="2020"/>
    <n v="2"/>
    <n v="1"/>
    <n v="1"/>
    <n v="4"/>
    <m/>
    <m/>
    <m/>
    <n v="0.1"/>
    <n v="0.2"/>
    <n v="3.5"/>
    <n v="3.8"/>
    <m/>
    <m/>
    <s v=""/>
    <m/>
    <s v=""/>
    <m/>
    <s v=""/>
    <n v="0"/>
    <n v="0"/>
    <n v="0"/>
    <n v="0"/>
    <n v="0"/>
    <n v="-1"/>
    <m/>
    <n v="-2"/>
    <n v="0"/>
    <x v="1"/>
    <x v="0"/>
  </r>
  <r>
    <n v="33"/>
    <x v="0"/>
    <n v="22"/>
    <s v="2G"/>
    <s v="HHRS De Stichtse Rijnlanden"/>
    <s v="Salmsteke Schoonhoven (SAS)"/>
    <n v="8339"/>
    <m/>
    <m/>
    <n v="0"/>
    <n v="0"/>
    <n v="2020"/>
    <n v="2022"/>
    <n v="2022"/>
    <n v="2024"/>
    <n v="2024"/>
    <n v="2028"/>
    <n v="2"/>
    <n v="2"/>
    <n v="4"/>
    <n v="8"/>
    <n v="0"/>
    <m/>
    <m/>
    <n v="8"/>
    <n v="12.444444444444443"/>
    <n v="49.666666666666671"/>
    <n v="70.111111111111114"/>
    <n v="-0.13333333333332575"/>
    <m/>
    <s v=""/>
    <m/>
    <s v=""/>
    <m/>
    <s v=""/>
    <m/>
    <n v="1"/>
    <n v="1"/>
    <n v="0"/>
    <n v="0"/>
    <n v="4"/>
    <n v="8.4076161543483767"/>
    <n v="2"/>
    <n v="1"/>
    <x v="0"/>
    <x v="1"/>
  </r>
  <r>
    <n v="33"/>
    <x v="1"/>
    <n v="22"/>
    <s v="2G"/>
    <s v="HHRS De Stichtse Rijnlanden"/>
    <s v="Salmsteke Schoonhoven (SAS)"/>
    <n v="8339"/>
    <m/>
    <m/>
    <n v="1"/>
    <n v="0"/>
    <n v="2020"/>
    <n v="2022"/>
    <n v="2022"/>
    <n v="2024"/>
    <n v="2024"/>
    <n v="2028"/>
    <n v="2"/>
    <n v="2"/>
    <n v="4"/>
    <n v="8"/>
    <n v="0"/>
    <m/>
    <m/>
    <n v="7.7"/>
    <n v="12.508888888888889"/>
    <n v="50.035555555555554"/>
    <n v="70.24444444444444"/>
    <n v="11.374444444444443"/>
    <m/>
    <s v=""/>
    <m/>
    <s v=""/>
    <m/>
    <s v=""/>
    <n v="1"/>
    <n v="1"/>
    <n v="1"/>
    <n v="0"/>
    <n v="0"/>
    <n v="4"/>
    <n v="8.4236052817417484"/>
    <n v="2"/>
    <n v="1"/>
    <x v="0"/>
    <x v="1"/>
  </r>
  <r>
    <n v="33"/>
    <x v="2"/>
    <n v="52"/>
    <s v="02G"/>
    <s v="HHRS De Stichtse Rijnlanden"/>
    <s v="Sterke Lekdijk: Salmsteke - Schoonhoven"/>
    <n v="8339"/>
    <m/>
    <s v="15-1"/>
    <n v="1"/>
    <n v="0"/>
    <n v="2020"/>
    <n v="2022"/>
    <n v="2022"/>
    <n v="2024"/>
    <n v="2024"/>
    <n v="2028"/>
    <n v="2"/>
    <n v="2"/>
    <n v="4"/>
    <n v="8"/>
    <m/>
    <m/>
    <m/>
    <n v="2.5566666666666671"/>
    <n v="5.1133333333333342"/>
    <n v="51.199999999999996"/>
    <n v="58.87"/>
    <m/>
    <m/>
    <s v=""/>
    <m/>
    <s v=""/>
    <m/>
    <s v=""/>
    <n v="1"/>
    <n v="1"/>
    <n v="1"/>
    <n v="0"/>
    <n v="0"/>
    <n v="4"/>
    <n v="7.0595994723587951"/>
    <n v="2"/>
    <n v="1"/>
    <x v="0"/>
    <x v="1"/>
  </r>
  <r>
    <n v="33"/>
    <x v="3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33"/>
    <x v="4"/>
    <m/>
    <m/>
    <m/>
    <m/>
    <m/>
    <m/>
    <m/>
    <n v="0"/>
    <n v="0"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33"/>
    <x v="5"/>
    <m/>
    <m/>
    <m/>
    <m/>
    <m/>
    <m/>
    <m/>
    <n v="0"/>
    <n v="0"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34"/>
    <x v="0"/>
    <n v="8"/>
    <s v="16M"/>
    <s v="Waterschap Hollandse Delta"/>
    <s v="Geervliet - Hekelingen 20-3"/>
    <n v="21900"/>
    <m/>
    <m/>
    <n v="0"/>
    <n v="0"/>
    <n v="2017"/>
    <n v="2022"/>
    <n v="2022"/>
    <n v="2024"/>
    <n v="2024"/>
    <n v="2027"/>
    <n v="5"/>
    <n v="2"/>
    <n v="3"/>
    <n v="10"/>
    <n v="0"/>
    <m/>
    <n v="3"/>
    <n v="5.4444444444444446"/>
    <n v="5"/>
    <n v="10.555555555555555"/>
    <n v="21"/>
    <n v="4.984444444444442"/>
    <m/>
    <n v="4.984444444444442"/>
    <m/>
    <n v="19545.976711010968"/>
    <m/>
    <n v="-6.177884335610619"/>
    <m/>
    <n v="0"/>
    <n v="1"/>
    <n v="0"/>
    <n v="0"/>
    <n v="4"/>
    <n v="0.95890410958904115"/>
    <n v="2"/>
    <n v="1"/>
    <x v="0"/>
    <x v="0"/>
  </r>
  <r>
    <n v="34"/>
    <x v="1"/>
    <n v="8"/>
    <s v="16M"/>
    <s v="Waterschap Hollandse Delta"/>
    <s v="Geervliet - Hekelingen 20-3"/>
    <n v="21900"/>
    <n v="8"/>
    <s v="20-3"/>
    <n v="0"/>
    <n v="0"/>
    <n v="2017"/>
    <n v="2022"/>
    <n v="2022"/>
    <n v="2024"/>
    <n v="2024"/>
    <n v="2027"/>
    <n v="5"/>
    <n v="2"/>
    <n v="3"/>
    <n v="10"/>
    <n v="0"/>
    <n v="3"/>
    <m/>
    <n v="3.7411111111111115"/>
    <n v="1.7"/>
    <n v="10.574444444444445"/>
    <n v="16.015555555555558"/>
    <n v="0"/>
    <n v="-0.78444444444444272"/>
    <s v=""/>
    <n v="19545.976711010968"/>
    <s v=""/>
    <n v="-6.4054139323750956"/>
    <s v=""/>
    <n v="0"/>
    <n v="0"/>
    <n v="1"/>
    <n v="0"/>
    <n v="0"/>
    <n v="4"/>
    <n v="0.73130390664637257"/>
    <n v="2"/>
    <n v="1"/>
    <x v="0"/>
    <x v="0"/>
  </r>
  <r>
    <n v="34"/>
    <x v="2"/>
    <n v="22"/>
    <s v="16M "/>
    <s v="Waterschap Hollandse Delta"/>
    <s v="Geervliet - Hekelingen 20-3"/>
    <n v="21911"/>
    <n v="7"/>
    <s v="20-3"/>
    <n v="0"/>
    <n v="0"/>
    <n v="2017"/>
    <n v="2022"/>
    <n v="2022"/>
    <n v="2024"/>
    <n v="2024"/>
    <n v="2027"/>
    <n v="5"/>
    <n v="2"/>
    <n v="3"/>
    <n v="10"/>
    <n v="0"/>
    <m/>
    <m/>
    <n v="3.7411111111111106"/>
    <n v="1.7000000000000002"/>
    <n v="10.574444444444444"/>
    <n v="16.015555555555554"/>
    <n v="2.4971111111111099"/>
    <m/>
    <s v=""/>
    <m/>
    <s v=""/>
    <m/>
    <s v=""/>
    <n v="0"/>
    <n v="0"/>
    <n v="1"/>
    <n v="0"/>
    <n v="0"/>
    <n v="4"/>
    <n v="0.73093676945623443"/>
    <n v="2"/>
    <n v="1"/>
    <x v="0"/>
    <x v="0"/>
  </r>
  <r>
    <n v="34"/>
    <x v="3"/>
    <n v="20"/>
    <s v="16M (nog oud nummer)"/>
    <s v="Waterschap Hollandse Delta"/>
    <s v="Geervliet - Hekelingen 20-3"/>
    <n v="2354"/>
    <m/>
    <s v="20-3"/>
    <n v="0"/>
    <n v="0"/>
    <n v="2017"/>
    <n v="2022"/>
    <n v="2022"/>
    <n v="2024"/>
    <n v="2024"/>
    <n v="2027"/>
    <n v="5"/>
    <n v="2"/>
    <n v="3"/>
    <n v="10"/>
    <n v="3"/>
    <m/>
    <m/>
    <n v="1.2444444444444445"/>
    <n v="1.7"/>
    <n v="10.574"/>
    <n v="13.518444444444444"/>
    <n v="-3.2815555555555562"/>
    <m/>
    <s v=""/>
    <m/>
    <s v=""/>
    <m/>
    <s v=""/>
    <n v="0"/>
    <n v="0"/>
    <n v="1"/>
    <n v="0"/>
    <n v="0"/>
    <n v="4"/>
    <n v="5.742754649296705"/>
    <n v="2"/>
    <n v="1"/>
    <x v="0"/>
    <x v="0"/>
  </r>
  <r>
    <n v="34"/>
    <x v="4"/>
    <n v="30"/>
    <s v="16VLBO20-3 16M"/>
    <s v="Waterschap Hollandse Delta"/>
    <s v="VLRT-4 - Normtraject nr. 20_3"/>
    <n v="2354.0232889890303"/>
    <m/>
    <s v="20-3"/>
    <n v="0"/>
    <n v="0"/>
    <n v="2017"/>
    <n v="2020"/>
    <n v="2020"/>
    <n v="2022"/>
    <n v="2022"/>
    <n v="2024"/>
    <n v="3"/>
    <n v="2"/>
    <n v="2"/>
    <n v="7"/>
    <m/>
    <m/>
    <m/>
    <n v="0.8"/>
    <n v="1.7"/>
    <n v="14.3"/>
    <n v="16.8"/>
    <m/>
    <m/>
    <s v=""/>
    <m/>
    <s v=""/>
    <m/>
    <s v=""/>
    <n v="0"/>
    <n v="0"/>
    <n v="0"/>
    <n v="1"/>
    <n v="0"/>
    <n v="2"/>
    <n v="7.1367178390214683"/>
    <n v="0"/>
    <n v="0"/>
    <x v="1"/>
    <x v="0"/>
  </r>
  <r>
    <n v="34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n v="0"/>
    <n v="0"/>
    <n v="0"/>
    <n v="0"/>
    <m/>
    <m/>
    <m/>
    <m/>
    <x v="1"/>
    <x v="2"/>
  </r>
  <r>
    <n v="35"/>
    <x v="0"/>
    <s v="C-kering"/>
    <s v="03E"/>
    <s v="HHRS Hollands Noorderkwartier"/>
    <s v="Wieringermeer C kering"/>
    <n v="6000"/>
    <m/>
    <m/>
    <n v="0"/>
    <n v="0"/>
    <n v="2018"/>
    <n v="2021"/>
    <n v="2021"/>
    <n v="2023"/>
    <n v="2023"/>
    <n v="2026"/>
    <n v="3"/>
    <n v="2"/>
    <n v="3"/>
    <n v="8"/>
    <n v="0"/>
    <m/>
    <n v="0"/>
    <n v="4.2866666666666662"/>
    <n v="5.3577777777777778"/>
    <n v="54.656666666666673"/>
    <n v="64.301111111111112"/>
    <n v="0"/>
    <m/>
    <n v="2.1999999999999886"/>
    <m/>
    <n v="-27282.272231718722"/>
    <m/>
    <n v="7.6761940717753383"/>
    <m/>
    <n v="1"/>
    <n v="1"/>
    <n v="0"/>
    <n v="0"/>
    <n v="3"/>
    <n v="10.716851851851851"/>
    <n v="1"/>
    <n v="1"/>
    <x v="0"/>
    <x v="1"/>
  </r>
  <r>
    <n v="35"/>
    <x v="1"/>
    <s v="C-kering"/>
    <s v="03E"/>
    <s v="HHRS Hollands Noorderkwartier"/>
    <s v="Wieringermeer C kering"/>
    <n v="6000"/>
    <n v="3"/>
    <s v="C-kering"/>
    <n v="0"/>
    <n v="0"/>
    <n v="2018"/>
    <n v="2020"/>
    <n v="2020"/>
    <n v="2023"/>
    <n v="2023"/>
    <n v="2026"/>
    <n v="2"/>
    <n v="3"/>
    <n v="3"/>
    <n v="8"/>
    <n v="-2"/>
    <n v="0"/>
    <m/>
    <n v="4.2866666666666662"/>
    <n v="5.3577777777777778"/>
    <n v="54.656666666666673"/>
    <n v="64.301111111111112"/>
    <n v="2.2222222222154642E-3"/>
    <n v="-36.898888888888891"/>
    <s v=""/>
    <n v="-27282.272231718722"/>
    <s v=""/>
    <n v="7.6761940717753383"/>
    <s v=""/>
    <n v="0"/>
    <n v="1"/>
    <n v="0"/>
    <n v="1"/>
    <n v="0"/>
    <n v="3"/>
    <n v="10.716851851851851"/>
    <n v="0"/>
    <n v="0"/>
    <x v="0"/>
    <x v="1"/>
  </r>
  <r>
    <n v="35"/>
    <x v="2"/>
    <s v="C-kering"/>
    <s v="03E"/>
    <s v="HHRS Hollands Noorderkwartier"/>
    <s v="Wieringermeerkering"/>
    <n v="5985"/>
    <n v="5"/>
    <s v="nvt"/>
    <n v="0"/>
    <n v="0"/>
    <n v="2016"/>
    <n v="2021"/>
    <n v="2021"/>
    <n v="2023"/>
    <n v="2023"/>
    <n v="2026"/>
    <n v="5"/>
    <n v="2"/>
    <n v="3"/>
    <n v="10"/>
    <n v="3"/>
    <m/>
    <m/>
    <n v="4.3055555555555562"/>
    <n v="5.34"/>
    <n v="54.653333333333336"/>
    <n v="64.298888888888897"/>
    <n v="-34.311111111111103"/>
    <m/>
    <s v=""/>
    <m/>
    <s v=""/>
    <m/>
    <s v=""/>
    <n v="0"/>
    <n v="1"/>
    <n v="1"/>
    <n v="0"/>
    <n v="0"/>
    <n v="3"/>
    <n v="10.74333983105913"/>
    <n v="1"/>
    <n v="1"/>
    <x v="0"/>
    <x v="1"/>
  </r>
  <r>
    <n v="35"/>
    <x v="3"/>
    <s v="C-kering"/>
    <s v="03E"/>
    <s v="HHRS Hollands Noorderkwartier"/>
    <s v="Wieringermeerkering"/>
    <n v="33282.272231718722"/>
    <s v="nvt"/>
    <m/>
    <n v="0"/>
    <n v="0"/>
    <n v="2018"/>
    <n v="2020"/>
    <n v="2020"/>
    <n v="2022"/>
    <n v="2022"/>
    <n v="2025"/>
    <n v="2"/>
    <n v="2"/>
    <n v="3"/>
    <n v="7"/>
    <n v="-1"/>
    <m/>
    <m/>
    <n v="10.38"/>
    <n v="0"/>
    <n v="88.23"/>
    <n v="98.61"/>
    <n v="-2.5900000000000034"/>
    <m/>
    <s v=""/>
    <m/>
    <s v=""/>
    <m/>
    <s v=""/>
    <n v="0"/>
    <n v="1"/>
    <n v="0"/>
    <n v="1"/>
    <n v="0"/>
    <n v="2"/>
    <n v="2.9628385740449099"/>
    <n v="0"/>
    <n v="0"/>
    <x v="0"/>
    <x v="1"/>
  </r>
  <r>
    <n v="35"/>
    <x v="4"/>
    <m/>
    <s v="03E"/>
    <s v="HHRS Hollands Noorderkwartier"/>
    <s v="Wieringermeerkering"/>
    <n v="33282.272231718722"/>
    <n v="12"/>
    <m/>
    <n v="0"/>
    <n v="0"/>
    <n v="2018"/>
    <n v="2020"/>
    <n v="2020"/>
    <n v="2023"/>
    <n v="2023"/>
    <n v="2026"/>
    <n v="2"/>
    <n v="3"/>
    <n v="3"/>
    <n v="8"/>
    <n v="-2"/>
    <m/>
    <m/>
    <n v="2.6"/>
    <n v="10.4"/>
    <n v="88.2"/>
    <n v="101.2"/>
    <n v="-2.1999999999999886"/>
    <m/>
    <s v=""/>
    <m/>
    <s v=""/>
    <m/>
    <s v=""/>
    <n v="0"/>
    <n v="1"/>
    <n v="0"/>
    <n v="1"/>
    <n v="0"/>
    <n v="3"/>
    <n v="3.0406577800765127"/>
    <n v="0"/>
    <n v="0"/>
    <x v="1"/>
    <x v="1"/>
  </r>
  <r>
    <n v="35"/>
    <x v="5"/>
    <s v="C-kering"/>
    <s v="03E"/>
    <s v="HHRS Hollands Noorderkwartier"/>
    <s v="Wieringermeer C kering"/>
    <m/>
    <m/>
    <m/>
    <n v="0"/>
    <n v="0"/>
    <n v="2017"/>
    <n v="2021"/>
    <n v="2021"/>
    <n v="2024"/>
    <n v="2024"/>
    <n v="2027"/>
    <n v="4"/>
    <n v="3"/>
    <n v="3"/>
    <n v="10"/>
    <m/>
    <m/>
    <m/>
    <n v="4.8"/>
    <n v="10.4"/>
    <n v="88.199999999999989"/>
    <n v="103.39999999999999"/>
    <m/>
    <m/>
    <s v=""/>
    <m/>
    <s v=""/>
    <m/>
    <s v=""/>
    <n v="0"/>
    <n v="1"/>
    <n v="1"/>
    <n v="0"/>
    <n v="0"/>
    <n v="4"/>
    <m/>
    <n v="1"/>
    <n v="1"/>
    <x v="1"/>
    <x v="1"/>
  </r>
  <r>
    <n v="36"/>
    <x v="0"/>
    <n v="15"/>
    <s v="13K"/>
    <s v="Waterschap Aa en Maas"/>
    <s v="Cuijk - Ravenstein"/>
    <n v="21020"/>
    <n v="10"/>
    <s v="36-2"/>
    <n v="0"/>
    <n v="0"/>
    <n v="2019"/>
    <n v="2023"/>
    <n v="2023"/>
    <n v="2025"/>
    <n v="2025"/>
    <n v="2029"/>
    <n v="4"/>
    <n v="2"/>
    <n v="4"/>
    <n v="10"/>
    <n v="0"/>
    <m/>
    <m/>
    <n v="2.8888888888888888"/>
    <n v="10.666666666666666"/>
    <n v="87.555555555555557"/>
    <n v="101.11111111111111"/>
    <n v="-42.708888888888879"/>
    <m/>
    <s v=""/>
    <m/>
    <s v=""/>
    <m/>
    <s v=""/>
    <m/>
    <n v="1"/>
    <n v="1"/>
    <n v="0"/>
    <n v="0"/>
    <n v="5"/>
    <n v="4.8102336399196535"/>
    <n v="3"/>
    <n v="1"/>
    <x v="0"/>
    <x v="1"/>
  </r>
  <r>
    <n v="36"/>
    <x v="1"/>
    <n v="15"/>
    <s v="13K"/>
    <s v="Waterschap Aa en Maas"/>
    <s v="Cuijk - Ravenstein"/>
    <n v="21020"/>
    <n v="10"/>
    <s v="36-2"/>
    <n v="0"/>
    <n v="0"/>
    <n v="2019"/>
    <n v="2023"/>
    <n v="2023"/>
    <n v="2025"/>
    <n v="2025"/>
    <n v="2029"/>
    <n v="4"/>
    <n v="2"/>
    <n v="4"/>
    <n v="10"/>
    <n v="-1"/>
    <m/>
    <m/>
    <n v="7.195555555555555"/>
    <n v="14.7"/>
    <n v="121.92444444444443"/>
    <n v="143.82"/>
    <n v="-2.0488888888888823"/>
    <m/>
    <s v=""/>
    <n v="21020"/>
    <s v=""/>
    <m/>
    <s v=""/>
    <n v="1"/>
    <n v="1"/>
    <n v="1"/>
    <n v="0"/>
    <n v="0"/>
    <n v="5"/>
    <n v="6.8420551855375829"/>
    <n v="3"/>
    <n v="1"/>
    <x v="0"/>
    <x v="1"/>
  </r>
  <r>
    <n v="36"/>
    <x v="2"/>
    <n v="40"/>
    <s v="13K"/>
    <s v="Waterschap Aa en Maas"/>
    <s v="Cuijk - Ravenstein"/>
    <n v="20854"/>
    <n v="1"/>
    <s v="36-2"/>
    <n v="0"/>
    <n v="0"/>
    <n v="2019"/>
    <n v="2023"/>
    <n v="2023"/>
    <n v="2025"/>
    <n v="2025"/>
    <n v="2030"/>
    <n v="4"/>
    <n v="2"/>
    <n v="5"/>
    <n v="11"/>
    <n v="0"/>
    <m/>
    <m/>
    <n v="7.2688888888888901"/>
    <n v="14.6"/>
    <n v="124"/>
    <n v="145.86888888888888"/>
    <n v="40.868888888888875"/>
    <m/>
    <s v=""/>
    <m/>
    <s v=""/>
    <m/>
    <s v=""/>
    <n v="1"/>
    <n v="1"/>
    <n v="1"/>
    <n v="0"/>
    <n v="0"/>
    <n v="5"/>
    <n v="6.9947678569525698"/>
    <n v="3"/>
    <n v="1"/>
    <x v="0"/>
    <x v="1"/>
  </r>
  <r>
    <n v="36"/>
    <x v="3"/>
    <n v="36"/>
    <s v="13K"/>
    <s v="Waterschap Aa en Maas"/>
    <s v="Cuijk - Ravenstein"/>
    <n v="20854"/>
    <m/>
    <s v="36-2"/>
    <n v="0"/>
    <n v="0"/>
    <n v="2019"/>
    <n v="2023"/>
    <n v="2023"/>
    <n v="2025"/>
    <n v="2025"/>
    <n v="2030"/>
    <n v="4"/>
    <n v="2"/>
    <n v="5"/>
    <n v="11"/>
    <m/>
    <m/>
    <m/>
    <n v="5.5"/>
    <n v="10.5"/>
    <n v="89"/>
    <n v="105"/>
    <m/>
    <m/>
    <s v=""/>
    <m/>
    <s v=""/>
    <m/>
    <s v=""/>
    <n v="1"/>
    <n v="1"/>
    <n v="1"/>
    <n v="0"/>
    <n v="0"/>
    <n v="5"/>
    <n v="5.035005274767431"/>
    <n v="3"/>
    <n v="1"/>
    <x v="0"/>
    <x v="1"/>
  </r>
  <r>
    <n v="36"/>
    <x v="4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36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37"/>
    <x v="0"/>
    <n v="4"/>
    <s v="24AG ( 24AV-24AM)"/>
    <s v="Waterschap Scheldestromen"/>
    <s v="Zuid-Beveland West, Westerschelde Hansweert"/>
    <n v="5150"/>
    <m/>
    <m/>
    <n v="0"/>
    <n v="0"/>
    <n v="2017"/>
    <n v="2019"/>
    <n v="2019"/>
    <n v="2021"/>
    <n v="2021"/>
    <n v="2026"/>
    <n v="2"/>
    <n v="2"/>
    <n v="5"/>
    <n v="9"/>
    <n v="0"/>
    <m/>
    <n v="3"/>
    <n v="3.6"/>
    <n v="7.2"/>
    <n v="84"/>
    <n v="94.8"/>
    <n v="0"/>
    <m/>
    <n v="-9.4"/>
    <m/>
    <n v="3199.9992320992751"/>
    <m/>
    <n v="16.582524271844658"/>
    <n v="1"/>
    <n v="1"/>
    <n v="0"/>
    <n v="1"/>
    <n v="0"/>
    <n v="1"/>
    <n v="18.407766990291261"/>
    <n v="-1"/>
    <n v="0"/>
    <x v="1"/>
    <x v="1"/>
  </r>
  <r>
    <n v="37"/>
    <x v="1"/>
    <n v="4"/>
    <s v="24AG ( 24AV-24AM)"/>
    <s v="Waterschap Scheldestromen"/>
    <s v="Zuid-Beveland West, Westerschelde Hansweert"/>
    <n v="5150"/>
    <m/>
    <s v="30-2"/>
    <n v="0"/>
    <n v="0"/>
    <n v="2017"/>
    <n v="2019"/>
    <n v="2019"/>
    <n v="2021"/>
    <n v="2021"/>
    <n v="2026"/>
    <n v="2"/>
    <n v="2"/>
    <n v="5"/>
    <n v="9"/>
    <n v="1"/>
    <n v="3"/>
    <m/>
    <n v="3.6"/>
    <n v="7.2"/>
    <n v="84"/>
    <n v="94.8"/>
    <n v="28"/>
    <n v="85.399999999999991"/>
    <s v=""/>
    <n v="3199.9992320992751"/>
    <s v=""/>
    <n v="13.587256068072712"/>
    <s v=""/>
    <n v="1"/>
    <n v="1"/>
    <n v="0"/>
    <n v="1"/>
    <n v="0"/>
    <n v="1"/>
    <n v="18.407766990291261"/>
    <n v="-1"/>
    <n v="0"/>
    <x v="0"/>
    <x v="1"/>
  </r>
  <r>
    <n v="37"/>
    <x v="2"/>
    <n v="6"/>
    <s v="24AV "/>
    <s v="Waterschap Scheldestromen"/>
    <s v="Zuid-Beveland West, Hansweert S1"/>
    <n v="4507"/>
    <m/>
    <s v="30-2"/>
    <m/>
    <n v="0"/>
    <n v="2017"/>
    <n v="2018"/>
    <n v="2019"/>
    <n v="2023"/>
    <n v="2023"/>
    <n v="2026"/>
    <n v="1"/>
    <n v="4"/>
    <n v="3"/>
    <n v="8"/>
    <n v="3"/>
    <m/>
    <m/>
    <n v="3.6"/>
    <n v="6.2"/>
    <n v="57"/>
    <n v="66.8"/>
    <n v="52.599999999999994"/>
    <m/>
    <s v=""/>
    <m/>
    <s v=""/>
    <m/>
    <s v=""/>
    <n v="1"/>
    <n v="1"/>
    <n v="0"/>
    <n v="1"/>
    <n v="0"/>
    <n v="3"/>
    <n v="14.821388950521412"/>
    <n v="-1"/>
    <n v="0"/>
    <x v="0"/>
    <x v="1"/>
  </r>
  <r>
    <n v="37"/>
    <x v="3"/>
    <n v="5"/>
    <s v="24AG, 24AL, 24AM"/>
    <s v="Waterschap Scheldestromen"/>
    <s v="Zuid-Beveland West, Hansweert S1"/>
    <n v="5150"/>
    <m/>
    <s v="30-2, 30-3"/>
    <n v="0"/>
    <n v="0"/>
    <m/>
    <m/>
    <n v="2018"/>
    <n v="2021"/>
    <n v="2021"/>
    <n v="2023"/>
    <n v="0"/>
    <n v="3"/>
    <n v="2"/>
    <n v="5"/>
    <n v="-1"/>
    <m/>
    <m/>
    <n v="1.5"/>
    <n v="1.1000000000000001"/>
    <n v="11.6"/>
    <n v="14.2"/>
    <n v="4.7999999999999989"/>
    <m/>
    <s v=""/>
    <m/>
    <s v=""/>
    <m/>
    <s v=""/>
    <n v="1"/>
    <n v="1"/>
    <n v="0"/>
    <n v="1"/>
    <n v="0"/>
    <n v="1"/>
    <n v="2.7572815533980579"/>
    <n v="-2"/>
    <n v="0"/>
    <x v="0"/>
    <x v="1"/>
  </r>
  <r>
    <n v="37"/>
    <x v="4"/>
    <n v="8"/>
    <s v="24AG"/>
    <s v="Waterschap Scheldestromen"/>
    <s v="Zuid-Beveland West, Westerschelde"/>
    <n v="1950.0007679007249"/>
    <m/>
    <s v="30-3"/>
    <n v="0"/>
    <n v="0"/>
    <n v="2017"/>
    <n v="2019"/>
    <n v="2019"/>
    <n v="2021"/>
    <n v="2021"/>
    <n v="2023"/>
    <n v="2"/>
    <n v="2"/>
    <n v="2"/>
    <n v="6"/>
    <m/>
    <m/>
    <m/>
    <n v="0.5"/>
    <n v="0.9"/>
    <n v="8"/>
    <n v="9.4"/>
    <n v="9.4"/>
    <m/>
    <s v=""/>
    <m/>
    <s v=""/>
    <m/>
    <s v=""/>
    <n v="1"/>
    <n v="1"/>
    <n v="0"/>
    <n v="1"/>
    <n v="0"/>
    <n v="1"/>
    <n v="4.8205109222185483"/>
    <n v="-1"/>
    <n v="0"/>
    <x v="1"/>
    <x v="1"/>
  </r>
  <r>
    <n v="37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1"/>
    <n v="1"/>
    <n v="0"/>
    <n v="0"/>
    <n v="0"/>
    <m/>
    <m/>
    <m/>
    <m/>
    <x v="1"/>
    <x v="2"/>
  </r>
  <r>
    <n v="38"/>
    <x v="0"/>
    <n v="65"/>
    <s v="34Q"/>
    <s v="Waterschap Drents-Overijsselse Delta"/>
    <s v="Mastenbroek Zwarte Water"/>
    <n v="11700"/>
    <m/>
    <s v="10-1"/>
    <n v="0"/>
    <n v="0"/>
    <n v="2028"/>
    <n v="2030"/>
    <n v="2030"/>
    <n v="2032"/>
    <n v="2032"/>
    <n v="2035"/>
    <n v="2"/>
    <n v="2"/>
    <n v="3"/>
    <n v="7"/>
    <n v="0"/>
    <m/>
    <n v="1"/>
    <n v="2.2000000000000002"/>
    <n v="6.2"/>
    <n v="52.2"/>
    <n v="60.6"/>
    <n v="0"/>
    <m/>
    <n v="0"/>
    <m/>
    <n v="6300.4147746233803"/>
    <m/>
    <n v="3.4571326630157175"/>
    <n v="0"/>
    <n v="0"/>
    <n v="0"/>
    <n v="0"/>
    <n v="0"/>
    <n v="12"/>
    <n v="5.1794871794871797"/>
    <n v="10"/>
    <n v="1"/>
    <x v="0"/>
    <x v="0"/>
  </r>
  <r>
    <n v="38"/>
    <x v="1"/>
    <n v="65"/>
    <s v="34Q"/>
    <s v="Waterschap Drents-Overijsselse Delta"/>
    <s v="Mastenbroek Zwarte Water"/>
    <n v="11700"/>
    <m/>
    <s v="10-1"/>
    <n v="0"/>
    <n v="0"/>
    <n v="2028"/>
    <n v="2030"/>
    <n v="2030"/>
    <n v="2032"/>
    <n v="2032"/>
    <n v="2035"/>
    <n v="2"/>
    <n v="2"/>
    <n v="3"/>
    <n v="7"/>
    <n v="1"/>
    <n v="1"/>
    <m/>
    <n v="2.2000000000000002"/>
    <n v="6.2"/>
    <n v="52.2"/>
    <n v="60.6"/>
    <n v="57.5"/>
    <n v="51.3"/>
    <s v=""/>
    <n v="6300.4147746233803"/>
    <s v=""/>
    <n v="3.4571326630157175"/>
    <s v=""/>
    <n v="0"/>
    <n v="0"/>
    <n v="0"/>
    <n v="0"/>
    <n v="0"/>
    <n v="12"/>
    <n v="5.1794871794871797"/>
    <n v="10"/>
    <n v="1"/>
    <x v="0"/>
    <x v="0"/>
  </r>
  <r>
    <n v="38"/>
    <x v="2"/>
    <n v="113"/>
    <s v="34Q"/>
    <s v="Waterschap Drents-Overijsselse Delta"/>
    <s v="Mastenbroek Zwarte Water"/>
    <n v="5399.5852253766197"/>
    <n v="11"/>
    <s v="10-1"/>
    <n v="0"/>
    <n v="0"/>
    <n v="2028"/>
    <n v="2030"/>
    <n v="2030"/>
    <n v="2032"/>
    <n v="2032"/>
    <n v="2034"/>
    <n v="2"/>
    <n v="2"/>
    <n v="2"/>
    <n v="6"/>
    <n v="-2"/>
    <m/>
    <m/>
    <n v="0.9"/>
    <n v="2.2000000000000002"/>
    <n v="0"/>
    <n v="3.1"/>
    <n v="-40"/>
    <m/>
    <s v=""/>
    <m/>
    <s v=""/>
    <m/>
    <s v=""/>
    <n v="0"/>
    <n v="0"/>
    <n v="0"/>
    <n v="0"/>
    <n v="0"/>
    <n v="12"/>
    <n v="0.57411817215715411"/>
    <n v="10"/>
    <n v="1"/>
    <x v="0"/>
    <x v="0"/>
  </r>
  <r>
    <n v="38"/>
    <x v="3"/>
    <n v="112"/>
    <s v="34Q"/>
    <s v="Waterschap Drents-Overijsselse Delta"/>
    <s v="Mastenbroek Zwarte Water"/>
    <n v="5399.5852253766197"/>
    <m/>
    <s v="10-1"/>
    <n v="0"/>
    <n v="0"/>
    <n v="2028"/>
    <n v="2030"/>
    <n v="2030"/>
    <n v="2034"/>
    <n v="2034"/>
    <n v="2036"/>
    <n v="2"/>
    <n v="4"/>
    <n v="2"/>
    <n v="8"/>
    <n v="2"/>
    <m/>
    <m/>
    <n v="0.9"/>
    <n v="6.5"/>
    <n v="35.700000000000003"/>
    <n v="43.1"/>
    <n v="33.799999999999997"/>
    <m/>
    <s v=""/>
    <m/>
    <s v=""/>
    <m/>
    <s v=""/>
    <n v="0"/>
    <n v="0"/>
    <n v="0"/>
    <n v="0"/>
    <n v="0"/>
    <n v="14"/>
    <n v="7.9820945870881754"/>
    <n v="10"/>
    <n v="1"/>
    <x v="0"/>
    <x v="0"/>
  </r>
  <r>
    <n v="38"/>
    <x v="4"/>
    <n v="98"/>
    <s v="15L"/>
    <s v="Waterschap Drents-Overijsselse Delta"/>
    <s v="Mastenbroek Zwarte Water"/>
    <n v="5399.5852253766197"/>
    <m/>
    <m/>
    <n v="0"/>
    <n v="0"/>
    <n v="2026"/>
    <n v="2028"/>
    <n v="2028"/>
    <n v="2030"/>
    <n v="2030"/>
    <n v="2032"/>
    <n v="2"/>
    <n v="2"/>
    <n v="2"/>
    <n v="6"/>
    <m/>
    <m/>
    <m/>
    <n v="0.9"/>
    <n v="2.2000000000000002"/>
    <n v="6.2"/>
    <n v="9.3000000000000007"/>
    <m/>
    <m/>
    <s v=""/>
    <m/>
    <s v=""/>
    <m/>
    <s v=""/>
    <n v="0"/>
    <n v="0"/>
    <n v="0"/>
    <n v="0"/>
    <n v="0"/>
    <n v="10"/>
    <n v="1.7223545164714624"/>
    <n v="8"/>
    <n v="1"/>
    <x v="1"/>
    <x v="0"/>
  </r>
  <r>
    <n v="38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n v="0"/>
    <n v="0"/>
    <n v="0"/>
    <n v="0"/>
    <m/>
    <m/>
    <m/>
    <m/>
    <x v="1"/>
    <x v="2"/>
  </r>
  <r>
    <n v="39"/>
    <x v="0"/>
    <n v="13"/>
    <s v="24AO"/>
    <s v="Waterschap Scheldestromen"/>
    <s v="Zuid-Beveland West, Westerschelde S3"/>
    <n v="1000"/>
    <m/>
    <s v="30-3"/>
    <n v="0"/>
    <n v="0"/>
    <n v="2021"/>
    <n v="2022"/>
    <n v="2022"/>
    <n v="2023"/>
    <n v="2023"/>
    <n v="2024"/>
    <n v="1"/>
    <n v="1"/>
    <n v="1"/>
    <n v="3"/>
    <n v="0"/>
    <m/>
    <n v="0"/>
    <n v="0.08"/>
    <n v="0.08"/>
    <n v="0.84"/>
    <n v="1"/>
    <n v="0"/>
    <m/>
    <n v="0"/>
    <m/>
    <n v="0"/>
    <m/>
    <n v="0"/>
    <n v="0"/>
    <n v="0"/>
    <n v="0"/>
    <n v="0"/>
    <n v="0"/>
    <n v="3"/>
    <n v="1"/>
    <n v="2"/>
    <n v="1"/>
    <x v="0"/>
    <x v="0"/>
  </r>
  <r>
    <n v="39"/>
    <x v="1"/>
    <n v="13"/>
    <s v="24AO"/>
    <s v="Waterschap Scheldestromen"/>
    <s v="Zuid-Beveland West, Westerschelde S3"/>
    <n v="1000"/>
    <m/>
    <s v="30-3"/>
    <n v="0"/>
    <n v="0"/>
    <n v="2021"/>
    <n v="2022"/>
    <n v="2022"/>
    <n v="2023"/>
    <n v="2023"/>
    <n v="2024"/>
    <n v="1"/>
    <n v="1"/>
    <n v="1"/>
    <n v="3"/>
    <n v="-1"/>
    <n v="0"/>
    <m/>
    <n v="0.08"/>
    <n v="0.08"/>
    <n v="0.84"/>
    <n v="1"/>
    <n v="-0.10000000000000009"/>
    <n v="0"/>
    <s v=""/>
    <n v="0"/>
    <s v=""/>
    <n v="0"/>
    <s v=""/>
    <n v="0"/>
    <n v="0"/>
    <n v="0"/>
    <n v="0"/>
    <n v="0"/>
    <n v="3"/>
    <n v="1"/>
    <n v="2"/>
    <n v="1"/>
    <x v="0"/>
    <x v="0"/>
  </r>
  <r>
    <n v="39"/>
    <x v="2"/>
    <n v="35"/>
    <s v="24AO"/>
    <s v="Waterschap Scheldestromen"/>
    <s v="Zuid-Beveland West, Westerschelde S3"/>
    <n v="1000"/>
    <m/>
    <s v="30-3"/>
    <n v="0"/>
    <n v="0"/>
    <n v="2020"/>
    <n v="2021"/>
    <n v="2021"/>
    <n v="2023"/>
    <n v="2023"/>
    <n v="2024"/>
    <n v="1"/>
    <n v="2"/>
    <n v="1"/>
    <n v="4"/>
    <n v="2"/>
    <m/>
    <m/>
    <n v="0.1"/>
    <n v="0.1"/>
    <n v="0.9"/>
    <n v="1.1000000000000001"/>
    <n v="-0.79999999999999982"/>
    <m/>
    <s v=""/>
    <m/>
    <s v=""/>
    <m/>
    <s v=""/>
    <n v="0"/>
    <n v="0"/>
    <n v="1"/>
    <n v="0"/>
    <n v="0"/>
    <n v="3"/>
    <n v="1.1000000000000001"/>
    <n v="1"/>
    <n v="1"/>
    <x v="0"/>
    <x v="0"/>
  </r>
  <r>
    <n v="39"/>
    <x v="3"/>
    <n v="31"/>
    <s v="24AO"/>
    <s v="Waterschap Scheldestromen"/>
    <s v="Zuid-Beveland West, Westerschelde S3"/>
    <n v="1000"/>
    <m/>
    <s v="30-3"/>
    <n v="0"/>
    <n v="0"/>
    <m/>
    <m/>
    <n v="2018"/>
    <n v="2019"/>
    <n v="2019"/>
    <n v="2020"/>
    <n v="0"/>
    <n v="1"/>
    <n v="1"/>
    <n v="2"/>
    <n v="-1"/>
    <m/>
    <m/>
    <m/>
    <n v="0.9"/>
    <n v="1"/>
    <n v="1.9"/>
    <n v="0.89999999999999991"/>
    <m/>
    <s v=""/>
    <m/>
    <s v=""/>
    <m/>
    <s v=""/>
    <n v="0"/>
    <n v="0"/>
    <n v="0"/>
    <n v="0"/>
    <n v="0"/>
    <n v="-1"/>
    <n v="1.9"/>
    <n v="-2"/>
    <n v="0"/>
    <x v="0"/>
    <x v="0"/>
  </r>
  <r>
    <n v="39"/>
    <x v="4"/>
    <n v="40"/>
    <s v="24VLBO30-3 24AI"/>
    <s v="Waterschap Scheldestromen"/>
    <s v="Zuid-Beveland West, Westerschelde S3"/>
    <n v="1000"/>
    <m/>
    <s v="30-3"/>
    <n v="0"/>
    <n v="0"/>
    <m/>
    <m/>
    <n v="2018"/>
    <n v="2019"/>
    <n v="2019"/>
    <n v="2021"/>
    <n v="0"/>
    <n v="1"/>
    <n v="2"/>
    <n v="3"/>
    <m/>
    <m/>
    <m/>
    <m/>
    <n v="0.1"/>
    <n v="0.9"/>
    <n v="1"/>
    <m/>
    <m/>
    <s v=""/>
    <m/>
    <s v=""/>
    <m/>
    <s v=""/>
    <n v="0"/>
    <n v="0"/>
    <n v="0"/>
    <n v="0"/>
    <n v="1"/>
    <n v="-1"/>
    <n v="1"/>
    <n v="-2"/>
    <n v="0"/>
    <x v="1"/>
    <x v="0"/>
  </r>
  <r>
    <n v="39"/>
    <x v="5"/>
    <m/>
    <m/>
    <m/>
    <m/>
    <m/>
    <m/>
    <m/>
    <m/>
    <m/>
    <m/>
    <m/>
    <m/>
    <m/>
    <m/>
    <m/>
    <m/>
    <m/>
    <m/>
    <m/>
    <m/>
    <m/>
    <m/>
    <m/>
    <m/>
    <m/>
    <m/>
    <m/>
    <m/>
    <s v=""/>
    <m/>
    <s v=""/>
    <m/>
    <s v=""/>
    <n v="0"/>
    <n v="0"/>
    <n v="0"/>
    <n v="0"/>
    <n v="0"/>
    <m/>
    <m/>
    <m/>
    <m/>
    <x v="1"/>
    <x v="2"/>
  </r>
  <r>
    <n v="40"/>
    <x v="0"/>
    <n v="41"/>
    <s v="34AK"/>
    <s v="Waterschap Drents-Overijsselse Delta"/>
    <s v="Vecht  - Stenendijk Hasselt"/>
    <n v="1284"/>
    <m/>
    <m/>
    <n v="0"/>
    <n v="0"/>
    <n v="2019"/>
    <n v="2020"/>
    <n v="2020"/>
    <n v="2022"/>
    <n v="2022"/>
    <n v="2025"/>
    <n v="1"/>
    <n v="2"/>
    <n v="3"/>
    <n v="6"/>
    <n v="2"/>
    <m/>
    <m/>
    <n v="2.2222222222222223"/>
    <n v="3.0555555555555554"/>
    <n v="6.7777777777777768"/>
    <n v="12.055555555555554"/>
    <n v="5.6555555555555532"/>
    <m/>
    <s v=""/>
    <m/>
    <s v=""/>
    <n v="5.6126269138381941"/>
    <s v=""/>
    <n v="0"/>
    <n v="0"/>
    <n v="0"/>
    <n v="1"/>
    <n v="0"/>
    <n v="2"/>
    <n v="9.3890619591554145"/>
    <n v="0"/>
    <n v="0"/>
    <x v="0"/>
    <x v="0"/>
  </r>
  <r>
    <n v="40"/>
    <x v="1"/>
    <n v="41"/>
    <s v="34AK"/>
    <s v="Waterschap Drents-Overijsselse Delta"/>
    <s v="Vecht  - Stenendijk Hasselt"/>
    <n v="1284"/>
    <m/>
    <s v="9-1"/>
    <n v="0"/>
    <n v="0"/>
    <n v="2019"/>
    <n v="2020"/>
    <n v="2020"/>
    <n v="2022"/>
    <n v="2022"/>
    <n v="2023"/>
    <n v="1"/>
    <n v="2"/>
    <n v="1"/>
    <n v="4"/>
    <n v="0"/>
    <m/>
    <m/>
    <n v="2.2999999999999998"/>
    <n v="0.5"/>
    <n v="3.6"/>
    <n v="6.4"/>
    <n v="1.3000000000000007"/>
    <m/>
    <s v=""/>
    <n v="1284"/>
    <s v=""/>
    <m/>
    <s v=""/>
    <n v="0"/>
    <n v="0"/>
    <n v="0"/>
    <n v="1"/>
    <n v="0"/>
    <n v="2"/>
    <n v="4.9844236760124616"/>
    <n v="0"/>
    <n v="0"/>
    <x v="0"/>
    <x v="0"/>
  </r>
  <r>
    <n v="40"/>
    <x v="2"/>
    <n v="84"/>
    <s v="34AK"/>
    <s v="Waterschap Drents-Overijsselse Delta"/>
    <s v="Vecht- Stenendijk Hasselt"/>
    <n v="1217"/>
    <m/>
    <s v="9-1"/>
    <n v="0"/>
    <n v="0"/>
    <n v="2019"/>
    <n v="2020"/>
    <n v="2020"/>
    <n v="2021"/>
    <n v="2021"/>
    <n v="2023"/>
    <n v="1"/>
    <n v="1"/>
    <n v="2"/>
    <n v="4"/>
    <n v="1"/>
    <m/>
    <m/>
    <n v="2.2999999999999998"/>
    <n v="0.5"/>
    <n v="2.2999999999999998"/>
    <n v="5.0999999999999996"/>
    <n v="9.9999999999999645E-2"/>
    <m/>
    <s v=""/>
    <m/>
    <s v=""/>
    <m/>
    <s v=""/>
    <n v="0"/>
    <n v="0"/>
    <n v="0"/>
    <n v="1"/>
    <n v="0"/>
    <n v="1"/>
    <n v="4.190632703368939"/>
    <n v="0"/>
    <n v="0"/>
    <x v="0"/>
    <x v="0"/>
  </r>
  <r>
    <n v="40"/>
    <x v="3"/>
    <n v="57"/>
    <s v="34AK"/>
    <s v="Waterschap Drents-Overijsselse Delta"/>
    <s v="Vecht Stenendijk Hasselt"/>
    <n v="1324"/>
    <m/>
    <s v="53-3 + 9-1"/>
    <n v="0"/>
    <n v="0"/>
    <n v="2019"/>
    <n v="2020"/>
    <n v="2020"/>
    <n v="2021"/>
    <n v="2021"/>
    <n v="2022"/>
    <n v="1"/>
    <n v="1"/>
    <n v="1"/>
    <n v="3"/>
    <n v="3"/>
    <m/>
    <m/>
    <n v="0.3"/>
    <n v="0.5"/>
    <n v="4.2"/>
    <n v="5"/>
    <m/>
    <m/>
    <s v=""/>
    <m/>
    <s v=""/>
    <m/>
    <s v=""/>
    <n v="0"/>
    <n v="0"/>
    <n v="0"/>
    <n v="1"/>
    <n v="0"/>
    <n v="1"/>
    <n v="3.7764350453172204"/>
    <n v="0"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E98ED-E13B-4CE3-BE89-24D87BFD4641}" name="Draaitabel1" cacheId="4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outline="1" outlineData="1" multipleFieldFilters="0" chartFormat="7">
  <location ref="A3:E10" firstHeaderRow="1" firstDataRow="3" firstDataCol="1"/>
  <pivotFields count="42">
    <pivotField showAll="0"/>
    <pivotField axis="axisRow" showAll="0">
      <items count="7">
        <item h="1"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1"/>
    </i>
    <i>
      <x v="2"/>
    </i>
    <i>
      <x v="3"/>
    </i>
    <i>
      <x v="4"/>
    </i>
    <i>
      <x v="5"/>
    </i>
  </rowItems>
  <colFields count="2">
    <field x="36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Gemiddelde van Efficiency" fld="41" subtotal="average" baseField="36" baseItem="0"/>
    <dataField name="Som van Netto vertraging t.o.v. vorig jaar OF  netto toename in duur" fld="21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86A99-083F-485B-AD1B-CA5DC7932E0E}" name="Draaitabel1" cacheId="4" applyNumberFormats="0" applyBorderFormats="0" applyFontFormats="0" applyPatternFormats="0" applyAlignmentFormats="0" applyWidthHeightFormats="1" dataCaption="Waarden" updatedVersion="6" minRefreshableVersion="3" useAutoFormatting="1" rowGrandTotals="0" itemPrintTitles="1" createdVersion="6" indent="0" outline="1" outlineData="1" multipleFieldFilters="0" chartFormat="11">
  <location ref="A3:D8" firstHeaderRow="0" firstDataRow="1" firstDataCol="1"/>
  <pivotFields count="42">
    <pivotField showAll="0"/>
    <pivotField axis="axisRow" showAll="0">
      <items count="7">
        <item h="1"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Gemiddelde van Kosten vv" fld="24" subtotal="average" baseField="1" baseItem="1"/>
    <dataField name="Gemiddelde van Kosten PU" fld="25" subtotal="average" baseField="1" baseItem="1"/>
    <dataField name="Gemiddelde van Kosten R" fld="26" subtotal="average" baseField="1" baseItem="1"/>
  </dataFields>
  <formats count="1">
    <format dxfId="8">
      <pivotArea outline="0" collapsedLevelsAreSubtotals="1" fieldPosition="0"/>
    </format>
  </formats>
  <chartFormats count="3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F68D8-3C6F-4125-BB55-9024783C1958}" name="Draaitabel1" cacheId="5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outline="1" outlineData="1" multipleFieldFilters="0" chartFormat="37">
  <location ref="A4:B19" firstHeaderRow="1" firstDataRow="1" firstDataCol="1" rowPageCount="1" colPageCount="1"/>
  <pivotFields count="43">
    <pivotField showAll="0" measure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Page" multipleItemSelectionAllowed="1" showAll="0" sortType="ascending">
      <items count="7">
        <item h="1" x="5"/>
        <item h="1" x="4"/>
        <item h="1" x="3"/>
        <item h="1" x="2"/>
        <item h="1" x="1"/>
        <item x="0"/>
        <item t="default"/>
      </items>
    </pivotField>
    <pivotField showAll="0"/>
    <pivotField showAll="0"/>
    <pivotField showAll="0"/>
    <pivotField axis="axisRow" showAll="0" measureFilter="1">
      <items count="73">
        <item x="64"/>
        <item x="48"/>
        <item x="47"/>
        <item x="1"/>
        <item x="62"/>
        <item x="44"/>
        <item x="3"/>
        <item x="53"/>
        <item x="7"/>
        <item x="42"/>
        <item x="6"/>
        <item x="5"/>
        <item x="46"/>
        <item x="50"/>
        <item x="17"/>
        <item x="21"/>
        <item x="54"/>
        <item x="52"/>
        <item x="49"/>
        <item x="67"/>
        <item x="4"/>
        <item x="26"/>
        <item x="25"/>
        <item x="27"/>
        <item x="16"/>
        <item x="15"/>
        <item x="60"/>
        <item x="41"/>
        <item x="10"/>
        <item x="9"/>
        <item x="8"/>
        <item x="13"/>
        <item x="12"/>
        <item x="19"/>
        <item x="30"/>
        <item x="61"/>
        <item x="29"/>
        <item x="0"/>
        <item x="45"/>
        <item x="11"/>
        <item x="69"/>
        <item x="33"/>
        <item x="32"/>
        <item x="31"/>
        <item x="71"/>
        <item x="70"/>
        <item x="34"/>
        <item x="43"/>
        <item x="36"/>
        <item x="35"/>
        <item x="37"/>
        <item x="63"/>
        <item x="51"/>
        <item x="24"/>
        <item x="22"/>
        <item x="23"/>
        <item x="28"/>
        <item x="39"/>
        <item x="40"/>
        <item x="38"/>
        <item x="14"/>
        <item x="57"/>
        <item x="59"/>
        <item x="58"/>
        <item x="66"/>
        <item x="56"/>
        <item x="65"/>
        <item x="55"/>
        <item x="68"/>
        <item x="20"/>
        <item x="18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6">
        <item x="130"/>
        <item x="189"/>
        <item x="190"/>
        <item x="186"/>
        <item x="167"/>
        <item x="194"/>
        <item x="193"/>
        <item x="104"/>
        <item x="162"/>
        <item x="166"/>
        <item x="192"/>
        <item x="163"/>
        <item x="132"/>
        <item x="129"/>
        <item x="164"/>
        <item x="131"/>
        <item x="165"/>
        <item x="160"/>
        <item x="75"/>
        <item x="103"/>
        <item x="188"/>
        <item x="184"/>
        <item x="102"/>
        <item x="76"/>
        <item x="77"/>
        <item x="142"/>
        <item x="101"/>
        <item x="99"/>
        <item x="191"/>
        <item x="115"/>
        <item x="112"/>
        <item x="113"/>
        <item x="158"/>
        <item x="174"/>
        <item x="100"/>
        <item x="116"/>
        <item x="183"/>
        <item x="111"/>
        <item x="114"/>
        <item x="173"/>
        <item x="172"/>
        <item x="110"/>
        <item x="139"/>
        <item x="175"/>
        <item x="161"/>
        <item x="4"/>
        <item x="171"/>
        <item x="155"/>
        <item x="156"/>
        <item x="157"/>
        <item x="17"/>
        <item x="18"/>
        <item x="79"/>
        <item x="21"/>
        <item x="20"/>
        <item x="19"/>
        <item x="159"/>
        <item x="32"/>
        <item x="29"/>
        <item x="31"/>
        <item x="33"/>
        <item x="92"/>
        <item x="3"/>
        <item x="82"/>
        <item x="1"/>
        <item x="2"/>
        <item x="0"/>
        <item x="9"/>
        <item x="10"/>
        <item x="78"/>
        <item x="138"/>
        <item x="93"/>
        <item x="35"/>
        <item x="34"/>
        <item x="28"/>
        <item x="81"/>
        <item x="80"/>
        <item x="88"/>
        <item x="187"/>
        <item x="83"/>
        <item x="91"/>
        <item x="38"/>
        <item x="87"/>
        <item x="109"/>
        <item x="108"/>
        <item x="154"/>
        <item x="37"/>
        <item x="94"/>
        <item x="36"/>
        <item x="68"/>
        <item x="141"/>
        <item x="69"/>
        <item x="5"/>
        <item x="170"/>
        <item x="67"/>
        <item x="185"/>
        <item x="85"/>
        <item x="66"/>
        <item x="70"/>
        <item x="72"/>
        <item x="71"/>
        <item x="64"/>
        <item x="65"/>
        <item x="30"/>
        <item x="182"/>
        <item x="152"/>
        <item x="151"/>
        <item x="153"/>
        <item x="168"/>
        <item x="169"/>
        <item x="60"/>
        <item x="27"/>
        <item x="95"/>
        <item x="126"/>
        <item x="16"/>
        <item x="135"/>
        <item x="136"/>
        <item x="61"/>
        <item x="150"/>
        <item x="149"/>
        <item x="8"/>
        <item x="86"/>
        <item x="26"/>
        <item x="96"/>
        <item x="137"/>
        <item x="7"/>
        <item x="6"/>
        <item x="25"/>
        <item x="147"/>
        <item x="97"/>
        <item x="140"/>
        <item x="127"/>
        <item x="148"/>
        <item x="98"/>
        <item x="181"/>
        <item x="133"/>
        <item x="59"/>
        <item x="176"/>
        <item x="177"/>
        <item x="73"/>
        <item x="134"/>
        <item x="74"/>
        <item x="24"/>
        <item x="180"/>
        <item x="89"/>
        <item x="90"/>
        <item x="62"/>
        <item x="121"/>
        <item x="107"/>
        <item x="57"/>
        <item x="58"/>
        <item x="128"/>
        <item x="120"/>
        <item x="14"/>
        <item x="15"/>
        <item x="12"/>
        <item x="13"/>
        <item x="105"/>
        <item x="106"/>
        <item x="41"/>
        <item x="44"/>
        <item x="45"/>
        <item x="43"/>
        <item x="40"/>
        <item x="122"/>
        <item x="42"/>
        <item x="178"/>
        <item x="179"/>
        <item x="63"/>
        <item x="56"/>
        <item x="55"/>
        <item x="53"/>
        <item x="54"/>
        <item x="50"/>
        <item x="49"/>
        <item x="11"/>
        <item x="23"/>
        <item x="125"/>
        <item x="22"/>
        <item x="48"/>
        <item x="46"/>
        <item x="47"/>
        <item x="51"/>
        <item x="84"/>
        <item x="52"/>
        <item x="119"/>
        <item x="118"/>
        <item x="146"/>
        <item x="143"/>
        <item x="145"/>
        <item x="144"/>
        <item x="117"/>
        <item x="123"/>
        <item x="124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10"/>
        <item x="7"/>
        <item x="2"/>
        <item x="3"/>
        <item x="4"/>
        <item x="1"/>
        <item x="0"/>
        <item x="5"/>
        <item x="8"/>
        <item x="9"/>
        <item x="11"/>
        <item x="13"/>
        <item x="12"/>
        <item x="6"/>
        <item t="default"/>
      </items>
    </pivotField>
  </pivotFields>
  <rowFields count="1">
    <field x="5"/>
  </rowFields>
  <rowItems count="15">
    <i>
      <x/>
    </i>
    <i>
      <x v="2"/>
    </i>
    <i>
      <x v="5"/>
    </i>
    <i>
      <x v="13"/>
    </i>
    <i>
      <x v="14"/>
    </i>
    <i>
      <x v="20"/>
    </i>
    <i>
      <x v="25"/>
    </i>
    <i>
      <x v="30"/>
    </i>
    <i>
      <x v="33"/>
    </i>
    <i>
      <x v="38"/>
    </i>
    <i>
      <x v="43"/>
    </i>
    <i>
      <x v="54"/>
    </i>
    <i>
      <x v="59"/>
    </i>
    <i>
      <x v="66"/>
    </i>
    <i>
      <x v="70"/>
    </i>
  </rowItems>
  <colItems count="1">
    <i/>
  </colItems>
  <pageFields count="1">
    <pageField fld="1" hier="-1"/>
  </pageFields>
  <dataFields count="1">
    <dataField name="Som van Kosten totaal" fld="27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0" type="valueGreaterThan" evalOrder="-1" id="1" iMeasureFld="0">
      <autoFilter ref="A1">
        <filterColumn colId="0">
          <customFilters>
            <customFilter operator="greaterThan" val="107"/>
          </customFilters>
        </filterColumn>
      </autoFilter>
    </filter>
    <filter fld="5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32E45-91FF-49AD-8A44-EE627F5DC257}" name="Draaitabel1" cacheId="5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outline="1" outlineData="1" multipleFieldFilters="0" chartFormat="37">
  <location ref="A4:F34" firstHeaderRow="1" firstDataRow="2" firstDataCol="1"/>
  <pivotFields count="43">
    <pivotField axis="axisRow" showAll="0" measure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Col" multipleItemSelectionAllowed="1" showAll="0" sortType="ascending">
      <items count="7">
        <item h="1"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73">
        <item h="1" x="64"/>
        <item h="1" x="48"/>
        <item h="1" x="47"/>
        <item h="1" x="1"/>
        <item h="1" x="62"/>
        <item h="1" x="44"/>
        <item h="1" x="3"/>
        <item h="1" x="53"/>
        <item h="1" x="7"/>
        <item h="1" x="42"/>
        <item h="1" x="6"/>
        <item h="1" x="5"/>
        <item h="1" x="46"/>
        <item h="1" x="50"/>
        <item h="1" x="17"/>
        <item h="1" x="21"/>
        <item h="1" x="54"/>
        <item h="1" x="52"/>
        <item h="1" x="49"/>
        <item h="1" x="67"/>
        <item h="1" x="4"/>
        <item h="1" x="26"/>
        <item h="1" x="25"/>
        <item h="1" x="27"/>
        <item h="1" x="16"/>
        <item h="1" x="15"/>
        <item h="1" x="60"/>
        <item h="1" x="41"/>
        <item h="1" x="10"/>
        <item h="1" x="9"/>
        <item h="1" x="8"/>
        <item h="1" x="13"/>
        <item h="1" x="12"/>
        <item h="1" x="19"/>
        <item h="1" x="30"/>
        <item h="1" x="61"/>
        <item h="1" x="29"/>
        <item h="1" x="0"/>
        <item h="1" x="45"/>
        <item h="1" x="11"/>
        <item h="1" x="69"/>
        <item h="1" x="33"/>
        <item h="1" x="32"/>
        <item h="1" x="31"/>
        <item h="1" x="71"/>
        <item h="1" x="70"/>
        <item h="1" x="34"/>
        <item h="1" x="43"/>
        <item h="1" x="36"/>
        <item h="1" x="35"/>
        <item h="1" x="37"/>
        <item h="1" x="63"/>
        <item h="1" x="51"/>
        <item h="1" x="24"/>
        <item h="1" x="22"/>
        <item h="1" x="23"/>
        <item h="1" x="28"/>
        <item h="1" x="39"/>
        <item h="1" x="40"/>
        <item x="38"/>
        <item h="1" x="14"/>
        <item h="1" x="57"/>
        <item h="1" x="59"/>
        <item h="1" x="58"/>
        <item h="1" x="66"/>
        <item h="1" x="56"/>
        <item h="1" x="65"/>
        <item h="1" x="55"/>
        <item h="1" x="68"/>
        <item h="1" x="20"/>
        <item h="1" x="18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6">
        <item x="130"/>
        <item x="189"/>
        <item x="190"/>
        <item x="186"/>
        <item x="167"/>
        <item x="194"/>
        <item x="193"/>
        <item x="104"/>
        <item x="162"/>
        <item x="166"/>
        <item x="192"/>
        <item x="163"/>
        <item x="132"/>
        <item x="129"/>
        <item x="164"/>
        <item x="131"/>
        <item x="165"/>
        <item x="160"/>
        <item x="75"/>
        <item x="103"/>
        <item x="188"/>
        <item x="184"/>
        <item x="102"/>
        <item x="76"/>
        <item x="77"/>
        <item x="142"/>
        <item x="101"/>
        <item x="99"/>
        <item x="191"/>
        <item x="115"/>
        <item x="112"/>
        <item x="113"/>
        <item x="158"/>
        <item x="174"/>
        <item x="100"/>
        <item x="116"/>
        <item x="183"/>
        <item x="111"/>
        <item x="114"/>
        <item x="173"/>
        <item x="172"/>
        <item x="110"/>
        <item x="139"/>
        <item x="175"/>
        <item x="161"/>
        <item x="4"/>
        <item x="171"/>
        <item x="155"/>
        <item x="156"/>
        <item x="157"/>
        <item x="17"/>
        <item x="18"/>
        <item x="79"/>
        <item x="21"/>
        <item x="20"/>
        <item x="19"/>
        <item x="159"/>
        <item x="32"/>
        <item x="29"/>
        <item x="31"/>
        <item x="33"/>
        <item x="92"/>
        <item x="3"/>
        <item x="82"/>
        <item x="1"/>
        <item x="2"/>
        <item x="0"/>
        <item x="9"/>
        <item x="10"/>
        <item x="78"/>
        <item x="138"/>
        <item x="93"/>
        <item x="35"/>
        <item x="34"/>
        <item x="28"/>
        <item x="81"/>
        <item x="80"/>
        <item x="88"/>
        <item x="187"/>
        <item x="83"/>
        <item x="91"/>
        <item x="38"/>
        <item x="87"/>
        <item x="109"/>
        <item x="108"/>
        <item x="154"/>
        <item x="37"/>
        <item x="94"/>
        <item x="36"/>
        <item x="68"/>
        <item x="141"/>
        <item x="69"/>
        <item x="5"/>
        <item x="170"/>
        <item x="67"/>
        <item x="185"/>
        <item x="85"/>
        <item x="66"/>
        <item x="70"/>
        <item x="72"/>
        <item x="71"/>
        <item x="64"/>
        <item x="65"/>
        <item x="30"/>
        <item x="182"/>
        <item x="152"/>
        <item x="151"/>
        <item x="153"/>
        <item x="168"/>
        <item x="169"/>
        <item x="60"/>
        <item x="27"/>
        <item x="95"/>
        <item x="126"/>
        <item x="16"/>
        <item x="135"/>
        <item x="136"/>
        <item x="61"/>
        <item x="150"/>
        <item x="149"/>
        <item x="8"/>
        <item x="86"/>
        <item x="26"/>
        <item x="96"/>
        <item x="137"/>
        <item x="7"/>
        <item x="6"/>
        <item x="25"/>
        <item x="147"/>
        <item x="97"/>
        <item x="140"/>
        <item x="127"/>
        <item x="148"/>
        <item x="98"/>
        <item x="181"/>
        <item x="133"/>
        <item x="59"/>
        <item x="176"/>
        <item x="177"/>
        <item x="73"/>
        <item x="134"/>
        <item x="74"/>
        <item x="24"/>
        <item x="180"/>
        <item x="89"/>
        <item x="90"/>
        <item x="62"/>
        <item x="121"/>
        <item x="107"/>
        <item x="57"/>
        <item x="58"/>
        <item x="128"/>
        <item x="120"/>
        <item x="14"/>
        <item x="15"/>
        <item x="12"/>
        <item x="13"/>
        <item x="105"/>
        <item x="106"/>
        <item x="41"/>
        <item x="44"/>
        <item x="45"/>
        <item x="43"/>
        <item x="40"/>
        <item x="122"/>
        <item x="42"/>
        <item x="178"/>
        <item x="179"/>
        <item x="63"/>
        <item x="56"/>
        <item x="55"/>
        <item x="53"/>
        <item x="54"/>
        <item x="50"/>
        <item x="49"/>
        <item x="11"/>
        <item x="23"/>
        <item x="125"/>
        <item x="22"/>
        <item x="48"/>
        <item x="46"/>
        <item x="47"/>
        <item x="51"/>
        <item x="84"/>
        <item x="52"/>
        <item x="119"/>
        <item x="118"/>
        <item x="146"/>
        <item x="143"/>
        <item x="145"/>
        <item x="144"/>
        <item x="117"/>
        <item x="123"/>
        <item x="124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10"/>
        <item x="7"/>
        <item x="2"/>
        <item x="3"/>
        <item x="4"/>
        <item x="1"/>
        <item x="0"/>
        <item x="5"/>
        <item x="8"/>
        <item x="9"/>
        <item x="11"/>
        <item x="13"/>
        <item x="12"/>
        <item x="6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5"/>
    </i>
    <i>
      <x v="26"/>
    </i>
    <i>
      <x v="27"/>
    </i>
    <i>
      <x v="31"/>
    </i>
    <i>
      <x v="33"/>
    </i>
    <i>
      <x v="34"/>
    </i>
    <i>
      <x v="35"/>
    </i>
    <i>
      <x v="36"/>
    </i>
  </rowItems>
  <colFields count="1">
    <field x="1"/>
  </colFields>
  <colItems count="5">
    <i>
      <x v="1"/>
    </i>
    <i>
      <x v="2"/>
    </i>
    <i>
      <x v="3"/>
    </i>
    <i>
      <x v="4"/>
    </i>
    <i>
      <x v="5"/>
    </i>
  </colItems>
  <dataFields count="1">
    <dataField name="Som van Kosten totaal" fld="27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0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EE156-C331-4CFC-886F-2F91DBE2632B}" name="Draaitabel1" cacheId="6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outline="1" outlineData="1" multipleFieldFilters="0" chartFormat="40">
  <location ref="A4:F11" firstHeaderRow="1" firstDataRow="2" firstDataCol="1"/>
  <pivotFields count="46">
    <pivotField showAll="0" defaultSubtotal="0"/>
    <pivotField axis="axisCol" multipleItemSelectionAllowed="1" showAll="0" sortType="descending" defaultSubtotal="0">
      <items count="6">
        <item x="0"/>
        <item x="1"/>
        <item x="2"/>
        <item x="3"/>
        <item x="4"/>
        <item h="1" x="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subtotalTop="0" showAll="0" defaultSubtotal="0"/>
    <pivotField axis="axisRow" subtotalTop="0" showAll="0" sortType="ascending" defaultSubtotal="0">
      <items count="5">
        <item x="1"/>
        <item x="0"/>
        <item h="1" m="1" x="2"/>
        <item h="1" m="1" x="4"/>
        <item h="1" m="1" x="3"/>
      </items>
    </pivotField>
    <pivotField axis="axisRow" subtotalTop="0" showAll="0" sortType="descending" defaultSubtotal="0">
      <items count="3">
        <item h="1" x="2"/>
        <item x="0"/>
        <item x="1"/>
      </items>
    </pivotField>
  </pivotFields>
  <rowFields count="2">
    <field x="44"/>
    <field x="45"/>
  </rowFields>
  <rowItems count="6">
    <i>
      <x/>
    </i>
    <i r="1">
      <x v="1"/>
    </i>
    <i r="1">
      <x v="2"/>
    </i>
    <i>
      <x v="1"/>
    </i>
    <i r="1">
      <x v="1"/>
    </i>
    <i r="1">
      <x v="2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Gemiddelde van Kosten totaal" fld="27" subtotal="average" baseField="44" baseItem="3"/>
  </dataFields>
  <formats count="1">
    <format dxfId="0">
      <pivotArea outline="0" collapsedLevelsAreSubtotals="1" fieldPosition="0"/>
    </format>
  </formats>
  <chartFormats count="15">
    <chartFormat chart="39" format="12" series="1">
      <pivotArea type="data" outline="0" fieldPosition="0">
        <references count="1">
          <reference field="45" count="1" selected="0">
            <x v="2"/>
          </reference>
        </references>
      </pivotArea>
    </chartFormat>
    <chartFormat chart="39" format="13" series="1">
      <pivotArea type="data" outline="0" fieldPosition="0">
        <references count="1">
          <reference field="45" count="1" selected="0">
            <x v="1"/>
          </reference>
        </references>
      </pivotArea>
    </chartFormat>
    <chartFormat chart="39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5" count="1" selected="0">
            <x v="1"/>
          </reference>
        </references>
      </pivotArea>
    </chartFormat>
    <chartFormat chart="39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5" count="1" selected="0">
            <x v="1"/>
          </reference>
        </references>
      </pivotArea>
    </chartFormat>
    <chartFormat chart="39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5" count="1" selected="0">
            <x v="1"/>
          </reference>
        </references>
      </pivotArea>
    </chartFormat>
    <chartFormat chart="39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5" count="1" selected="0">
            <x v="2"/>
          </reference>
        </references>
      </pivotArea>
    </chartFormat>
    <chartFormat chart="39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5" count="1" selected="0">
            <x v="2"/>
          </reference>
        </references>
      </pivotArea>
    </chartFormat>
    <chartFormat chart="39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5" count="1" selected="0">
            <x v="2"/>
          </reference>
        </references>
      </pivotArea>
    </chartFormat>
    <chartFormat chart="39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45" count="1" selected="0">
            <x v="2"/>
          </reference>
        </references>
      </pivotArea>
    </chartFormat>
    <chartFormat chart="39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45" count="1" selected="0">
            <x v="2"/>
          </reference>
        </references>
      </pivotArea>
    </chartFormat>
    <chartFormat chart="39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9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9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9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9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3AD60F-1451-4E44-A475-9B9275E483DB}" name="Tabel2" displayName="Tabel2" ref="J3:M22" totalsRowShown="0" headerRowDxfId="6">
  <autoFilter ref="J3:M22" xr:uid="{5E0FBF88-4FCA-44F6-AF63-D7AA5D15AE64}"/>
  <sortState xmlns:xlrd2="http://schemas.microsoft.com/office/spreadsheetml/2017/richdata2" ref="J4:M22">
    <sortCondition descending="1" ref="J3:J22"/>
  </sortState>
  <tableColumns count="4">
    <tableColumn id="1" xr3:uid="{0475AF9A-B6A7-4CC2-92EB-AF2CA5FC080C}" name="Project" dataDxfId="5"/>
    <tableColumn id="2" xr3:uid="{0DBE86B2-C99E-4796-AC20-7FC0F5B0E12E}" name="2018" dataDxfId="4"/>
    <tableColumn id="3" xr3:uid="{A54D0C22-6287-4224-8CB1-398DC51FEB79}" name="2022" dataDxfId="3"/>
    <tableColumn id="4" xr3:uid="{E64AFD09-ACA4-4055-B169-2E7DB216AD15}" name="VKA vastgesteld of nie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5"/>
  <sheetViews>
    <sheetView tabSelected="1" zoomScale="70" zoomScaleNormal="70" workbookViewId="0">
      <pane xSplit="2" ySplit="1" topLeftCell="N196" activePane="bottomRight" state="frozen"/>
      <selection pane="topRight" activeCell="C1" sqref="C1"/>
      <selection pane="bottomLeft" activeCell="A2" sqref="A2"/>
      <selection pane="bottomRight" activeCell="AO239" sqref="AO239"/>
    </sheetView>
  </sheetViews>
  <sheetFormatPr defaultRowHeight="15" x14ac:dyDescent="0.25"/>
  <cols>
    <col min="1" max="1" width="8.140625" style="14" bestFit="1" customWidth="1"/>
    <col min="2" max="2" width="8.42578125" style="14" bestFit="1" customWidth="1"/>
    <col min="3" max="3" width="9.5703125" style="14" bestFit="1" customWidth="1"/>
    <col min="4" max="4" width="31.28515625" style="14" customWidth="1"/>
    <col min="5" max="5" width="43.5703125" style="14" bestFit="1" customWidth="1"/>
    <col min="6" max="6" width="49.140625" style="14" bestFit="1" customWidth="1"/>
    <col min="7" max="7" width="15.42578125" style="27" customWidth="1"/>
    <col min="8" max="8" width="8.140625" style="14" customWidth="1"/>
    <col min="9" max="9" width="18.140625" style="14" customWidth="1"/>
    <col min="10" max="19" width="9.140625" style="14" customWidth="1"/>
    <col min="20" max="20" width="7" style="14" customWidth="1"/>
    <col min="21" max="21" width="9.140625" style="14" customWidth="1"/>
    <col min="22" max="22" width="14" style="14" customWidth="1"/>
    <col min="23" max="26" width="9.28515625" style="14" customWidth="1"/>
    <col min="27" max="27" width="9.7109375" style="14" customWidth="1"/>
    <col min="28" max="28" width="19.28515625" style="14" customWidth="1"/>
    <col min="29" max="31" width="10.42578125" style="14" customWidth="1"/>
    <col min="32" max="33" width="16.85546875" style="27" customWidth="1"/>
    <col min="34" max="34" width="13.42578125" style="14" customWidth="1"/>
    <col min="35" max="35" width="16.5703125" style="14" customWidth="1"/>
    <col min="36" max="37" width="8.140625" style="14" customWidth="1"/>
    <col min="38" max="41" width="9.140625" style="14" customWidth="1"/>
    <col min="42" max="42" width="14.5703125" style="14" customWidth="1"/>
    <col min="43" max="16384" width="9.140625" style="14"/>
  </cols>
  <sheetData>
    <row r="1" spans="1:46" customFormat="1" ht="90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6" t="s">
        <v>7</v>
      </c>
      <c r="I1" s="35" t="s">
        <v>8</v>
      </c>
      <c r="J1" s="36" t="s">
        <v>9</v>
      </c>
      <c r="K1" s="36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23</v>
      </c>
      <c r="W1" s="35" t="s">
        <v>212</v>
      </c>
      <c r="X1" s="35" t="s">
        <v>275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208</v>
      </c>
      <c r="AD1" s="35" t="s">
        <v>209</v>
      </c>
      <c r="AE1" s="35" t="s">
        <v>276</v>
      </c>
      <c r="AF1" s="35" t="s">
        <v>210</v>
      </c>
      <c r="AG1" s="35" t="s">
        <v>277</v>
      </c>
      <c r="AH1" s="35" t="s">
        <v>213</v>
      </c>
      <c r="AI1" s="35" t="s">
        <v>279</v>
      </c>
      <c r="AJ1" s="35" t="s">
        <v>211</v>
      </c>
      <c r="AK1" s="35" t="s">
        <v>278</v>
      </c>
      <c r="AL1" s="35" t="s">
        <v>214</v>
      </c>
      <c r="AM1" s="35" t="s">
        <v>215</v>
      </c>
      <c r="AN1" s="35" t="s">
        <v>216</v>
      </c>
      <c r="AO1" s="35" t="s">
        <v>280</v>
      </c>
      <c r="AP1" s="35" t="s">
        <v>282</v>
      </c>
      <c r="AQ1" s="35" t="s">
        <v>307</v>
      </c>
      <c r="AR1" s="35" t="s">
        <v>308</v>
      </c>
      <c r="AS1" s="35" t="s">
        <v>309</v>
      </c>
      <c r="AT1" s="35" t="s">
        <v>310</v>
      </c>
    </row>
    <row r="2" spans="1:46" customFormat="1" x14ac:dyDescent="0.25">
      <c r="A2" s="32">
        <v>1</v>
      </c>
      <c r="B2" s="6">
        <v>22</v>
      </c>
      <c r="C2" s="6">
        <v>1</v>
      </c>
      <c r="D2" t="s">
        <v>28</v>
      </c>
      <c r="E2" t="s">
        <v>29</v>
      </c>
      <c r="F2" t="s">
        <v>30</v>
      </c>
      <c r="G2" s="25">
        <v>11755</v>
      </c>
      <c r="H2" s="20"/>
      <c r="I2" s="6"/>
      <c r="J2" s="20">
        <v>0</v>
      </c>
      <c r="K2" s="20">
        <v>0</v>
      </c>
      <c r="L2" s="6">
        <v>2017</v>
      </c>
      <c r="M2" s="6">
        <v>2022</v>
      </c>
      <c r="N2" s="6">
        <v>2022</v>
      </c>
      <c r="O2" s="6">
        <v>2024</v>
      </c>
      <c r="P2" s="6">
        <v>2024</v>
      </c>
      <c r="Q2" s="6">
        <v>2029</v>
      </c>
      <c r="R2">
        <f>M2-L2</f>
        <v>5</v>
      </c>
      <c r="S2">
        <f>O2-N2</f>
        <v>2</v>
      </c>
      <c r="T2">
        <f>Q2-P2</f>
        <v>5</v>
      </c>
      <c r="U2" s="6">
        <f>SUM(R2:T2)</f>
        <v>12</v>
      </c>
      <c r="V2" s="6">
        <f>U2-U3</f>
        <v>5</v>
      </c>
      <c r="W2" s="6"/>
      <c r="X2" s="2">
        <f>U2-U6</f>
        <v>7</v>
      </c>
      <c r="Y2" s="24">
        <f>3.4/0.9</f>
        <v>3.7777777777777777</v>
      </c>
      <c r="Z2" s="24">
        <f>7.2/0.9</f>
        <v>8</v>
      </c>
      <c r="AA2" s="24">
        <f>18.1/0.9</f>
        <v>20.111111111111111</v>
      </c>
      <c r="AB2" s="2">
        <f>SUM(Y2:AA2)</f>
        <v>31.888888888888889</v>
      </c>
      <c r="AC2" s="2">
        <f>AB2-AB3</f>
        <v>1.8888888888888893</v>
      </c>
      <c r="AD2" s="6"/>
      <c r="AE2" s="2">
        <f>IF(ISNUMBER(X2),AC2-AC6,"")</f>
        <v>-8.1111111111111107</v>
      </c>
      <c r="AF2" s="6"/>
      <c r="AG2" s="2">
        <f t="shared" ref="AG2:AG65" si="0">IF(ISNUMBER(X2),G2-G6,"")</f>
        <v>-26606</v>
      </c>
      <c r="AH2" s="28"/>
      <c r="AI2" s="1">
        <f t="shared" ref="AI2:AI65" si="1">IF(ISNUMBER(X2),((AB2)/(G2/1000))-((AB6)/(G5/1000)),"")</f>
        <v>1.930749346578714</v>
      </c>
      <c r="AJ2" s="6"/>
      <c r="AK2" s="6">
        <f>IF(AB2&gt;64.2061111111111,1,0)</f>
        <v>0</v>
      </c>
      <c r="AL2">
        <f t="shared" ref="AL2:AL65" si="2">IF(AND(L2&lt;=2020,2020&lt;M2),1,0)</f>
        <v>1</v>
      </c>
      <c r="AM2">
        <f t="shared" ref="AM2:AM65" si="3">IF(AND(N2&lt;=2020,2020&lt;O2),1,0)</f>
        <v>0</v>
      </c>
      <c r="AN2">
        <f t="shared" ref="AN2:AN65" si="4">IF(AND(P2&lt;=2020,2020&lt;Q2),1,0)</f>
        <v>0</v>
      </c>
      <c r="AO2">
        <f>P2-2020</f>
        <v>4</v>
      </c>
      <c r="AP2" s="1">
        <f>AB2/(G2/1000)</f>
        <v>2.7127936102840398</v>
      </c>
      <c r="AQ2">
        <f>N2-2020</f>
        <v>2</v>
      </c>
      <c r="AR2">
        <f>IF(N2&gt;2020,1,0)</f>
        <v>1</v>
      </c>
      <c r="AS2">
        <f>IF(AND(B2=22,N2&gt;2019),1,IF(AND(B2=21,N2&gt;2018),1,IF(AND(B2=20,N2&gt;2017),1,IF(AND(B2=19,N2&gt;2016),1,IF(AND(B2=18,B2&gt;2015),1,0)))))</f>
        <v>1</v>
      </c>
      <c r="AT2" t="str">
        <f>IF(AK2=1,"groot","klein")</f>
        <v>klein</v>
      </c>
    </row>
    <row r="3" spans="1:46" customFormat="1" x14ac:dyDescent="0.25">
      <c r="A3" s="33">
        <v>1</v>
      </c>
      <c r="B3">
        <v>21</v>
      </c>
      <c r="C3">
        <v>1</v>
      </c>
      <c r="D3" t="s">
        <v>28</v>
      </c>
      <c r="E3" t="s">
        <v>29</v>
      </c>
      <c r="F3" t="s">
        <v>30</v>
      </c>
      <c r="G3" s="3">
        <v>39600</v>
      </c>
      <c r="H3" s="21"/>
      <c r="I3" t="s">
        <v>31</v>
      </c>
      <c r="J3" s="21">
        <v>1</v>
      </c>
      <c r="K3" s="21">
        <v>0</v>
      </c>
      <c r="L3">
        <v>2017</v>
      </c>
      <c r="M3">
        <v>2021</v>
      </c>
      <c r="N3">
        <v>2021</v>
      </c>
      <c r="O3">
        <v>2022</v>
      </c>
      <c r="P3">
        <v>2022</v>
      </c>
      <c r="Q3">
        <v>2024</v>
      </c>
      <c r="R3">
        <f t="shared" ref="R3:R15" si="5">M3-L3</f>
        <v>4</v>
      </c>
      <c r="S3">
        <f t="shared" ref="S3:S15" si="6">O3-N3</f>
        <v>1</v>
      </c>
      <c r="T3">
        <f t="shared" ref="T3:T15" si="7">Q3-P3</f>
        <v>2</v>
      </c>
      <c r="U3" s="6">
        <f t="shared" ref="U3:U15" si="8">SUM(R3:T3)</f>
        <v>7</v>
      </c>
      <c r="V3" s="6">
        <f>U3-U4</f>
        <v>0</v>
      </c>
      <c r="W3" s="2">
        <f>U3-U6</f>
        <v>2</v>
      </c>
      <c r="X3" s="2"/>
      <c r="Y3" s="19">
        <v>6.8344444444444452</v>
      </c>
      <c r="Z3" s="19">
        <v>3</v>
      </c>
      <c r="AA3" s="19">
        <v>20.165555555555553</v>
      </c>
      <c r="AB3" s="2">
        <f t="shared" ref="AB3:AB66" si="9">SUM(Y3:AA3)</f>
        <v>30</v>
      </c>
      <c r="AC3" s="2">
        <f t="shared" ref="AC3:AC6" si="10">AB3-AB4</f>
        <v>0</v>
      </c>
      <c r="AD3" s="2">
        <f>AB3-AB6</f>
        <v>0</v>
      </c>
      <c r="AE3" s="2" t="str">
        <f t="shared" ref="AE3:AE66" si="11">IF(ISNUMBER(X3),AC3-AC7,"")</f>
        <v/>
      </c>
      <c r="AF3" s="3">
        <f>G3-G6</f>
        <v>1239</v>
      </c>
      <c r="AG3" s="2" t="str">
        <f t="shared" si="0"/>
        <v/>
      </c>
      <c r="AH3" s="29">
        <f>((AB3)/(G3/1000))-((AB6)/(G6/1000))</f>
        <v>-2.446850612956819E-2</v>
      </c>
      <c r="AI3" s="1" t="str">
        <f t="shared" si="1"/>
        <v/>
      </c>
      <c r="AJ3">
        <v>0</v>
      </c>
      <c r="AK3">
        <v>0</v>
      </c>
      <c r="AL3">
        <f t="shared" si="2"/>
        <v>1</v>
      </c>
      <c r="AM3">
        <f t="shared" si="3"/>
        <v>0</v>
      </c>
      <c r="AN3">
        <f t="shared" si="4"/>
        <v>0</v>
      </c>
      <c r="AO3">
        <f t="shared" ref="AO3:AO66" si="12">P3-2020</f>
        <v>2</v>
      </c>
      <c r="AP3" s="1">
        <f t="shared" ref="AP3:AP66" si="13">AB3/(G3/1000)</f>
        <v>0.75757575757575757</v>
      </c>
      <c r="AQ3">
        <f t="shared" ref="AQ3:AQ66" si="14">N3-2020</f>
        <v>1</v>
      </c>
      <c r="AR3">
        <f t="shared" ref="AR3:AR66" si="15">IF(N3&gt;2020,1,0)</f>
        <v>1</v>
      </c>
      <c r="AS3">
        <f t="shared" ref="AS3:AS66" si="16">IF(AND(B3=22,N3&gt;2019),1,IF(AND(B3=21,N3&gt;2018),1,IF(AND(B3=20,N3&gt;2017),1,IF(AND(B3=19,N3&gt;2016),1,IF(AND(B3=18,B3&gt;2015),1,0)))))</f>
        <v>1</v>
      </c>
      <c r="AT3" t="str">
        <f t="shared" ref="AT3:AT66" si="17">IF(AK3=1,"groot","klein")</f>
        <v>klein</v>
      </c>
    </row>
    <row r="4" spans="1:46" customFormat="1" x14ac:dyDescent="0.25">
      <c r="A4" s="33">
        <v>1</v>
      </c>
      <c r="B4">
        <v>20</v>
      </c>
      <c r="C4">
        <v>1</v>
      </c>
      <c r="D4" t="s">
        <v>32</v>
      </c>
      <c r="E4" t="s">
        <v>29</v>
      </c>
      <c r="F4" t="s">
        <v>250</v>
      </c>
      <c r="G4" s="3">
        <f>18452+19909</f>
        <v>38361</v>
      </c>
      <c r="H4" s="21">
        <v>2</v>
      </c>
      <c r="I4" t="s">
        <v>33</v>
      </c>
      <c r="J4" s="21">
        <v>0</v>
      </c>
      <c r="K4" s="21">
        <v>0</v>
      </c>
      <c r="L4">
        <v>2017</v>
      </c>
      <c r="M4">
        <v>2018</v>
      </c>
      <c r="N4">
        <v>2018</v>
      </c>
      <c r="O4">
        <v>2021</v>
      </c>
      <c r="P4">
        <v>2021</v>
      </c>
      <c r="Q4">
        <v>2024</v>
      </c>
      <c r="R4">
        <f t="shared" si="5"/>
        <v>1</v>
      </c>
      <c r="S4">
        <f t="shared" si="6"/>
        <v>3</v>
      </c>
      <c r="T4">
        <f t="shared" si="7"/>
        <v>3</v>
      </c>
      <c r="U4" s="6">
        <f t="shared" si="8"/>
        <v>7</v>
      </c>
      <c r="V4" s="6">
        <f>U4-U5</f>
        <v>1</v>
      </c>
      <c r="W4" s="2"/>
      <c r="X4" s="2"/>
      <c r="Y4" s="19">
        <v>3.4611111111111112</v>
      </c>
      <c r="Z4" s="19">
        <v>6.3733333333333348</v>
      </c>
      <c r="AA4" s="19">
        <v>20.165555555555557</v>
      </c>
      <c r="AB4" s="2">
        <f t="shared" si="9"/>
        <v>30.000000000000004</v>
      </c>
      <c r="AC4" s="2">
        <f t="shared" si="10"/>
        <v>0.80000000000000426</v>
      </c>
      <c r="AD4" s="2"/>
      <c r="AE4" s="2" t="str">
        <f t="shared" si="11"/>
        <v/>
      </c>
      <c r="AF4" s="3"/>
      <c r="AG4" s="2" t="str">
        <f t="shared" si="0"/>
        <v/>
      </c>
      <c r="AH4" s="29"/>
      <c r="AI4" s="1" t="str">
        <f t="shared" si="1"/>
        <v/>
      </c>
      <c r="AJ4">
        <v>0</v>
      </c>
      <c r="AK4">
        <v>0</v>
      </c>
      <c r="AL4">
        <f t="shared" si="2"/>
        <v>0</v>
      </c>
      <c r="AM4">
        <f t="shared" si="3"/>
        <v>1</v>
      </c>
      <c r="AN4">
        <f t="shared" si="4"/>
        <v>0</v>
      </c>
      <c r="AO4">
        <f t="shared" si="12"/>
        <v>1</v>
      </c>
      <c r="AP4" s="1">
        <f t="shared" si="13"/>
        <v>0.78204426370532587</v>
      </c>
      <c r="AQ4">
        <f t="shared" si="14"/>
        <v>-2</v>
      </c>
      <c r="AR4">
        <f t="shared" si="15"/>
        <v>0</v>
      </c>
      <c r="AS4">
        <f t="shared" si="16"/>
        <v>1</v>
      </c>
      <c r="AT4" t="str">
        <f t="shared" si="17"/>
        <v>klein</v>
      </c>
    </row>
    <row r="5" spans="1:46" customFormat="1" x14ac:dyDescent="0.25">
      <c r="A5" s="33">
        <v>1</v>
      </c>
      <c r="B5">
        <v>19</v>
      </c>
      <c r="C5">
        <v>1</v>
      </c>
      <c r="D5" t="s">
        <v>32</v>
      </c>
      <c r="E5" t="s">
        <v>29</v>
      </c>
      <c r="F5" t="s">
        <v>250</v>
      </c>
      <c r="G5" s="3">
        <f>18452+19909</f>
        <v>38361</v>
      </c>
      <c r="H5" s="21"/>
      <c r="I5" t="s">
        <v>33</v>
      </c>
      <c r="J5" s="21">
        <v>0</v>
      </c>
      <c r="K5" s="21">
        <v>0</v>
      </c>
      <c r="L5">
        <v>2017</v>
      </c>
      <c r="M5">
        <v>2019</v>
      </c>
      <c r="N5">
        <v>2019</v>
      </c>
      <c r="O5">
        <v>2020</v>
      </c>
      <c r="P5">
        <v>2020</v>
      </c>
      <c r="Q5">
        <v>2023</v>
      </c>
      <c r="R5">
        <f t="shared" si="5"/>
        <v>2</v>
      </c>
      <c r="S5">
        <f t="shared" si="6"/>
        <v>1</v>
      </c>
      <c r="T5">
        <f t="shared" si="7"/>
        <v>3</v>
      </c>
      <c r="U5" s="6">
        <f t="shared" si="8"/>
        <v>6</v>
      </c>
      <c r="V5" s="6">
        <f>U5-U6</f>
        <v>1</v>
      </c>
      <c r="W5" s="2"/>
      <c r="X5" s="2"/>
      <c r="Y5" s="19">
        <v>3</v>
      </c>
      <c r="Z5" s="19">
        <v>6</v>
      </c>
      <c r="AA5" s="19">
        <v>20.2</v>
      </c>
      <c r="AB5" s="2">
        <f t="shared" si="9"/>
        <v>29.2</v>
      </c>
      <c r="AC5" s="2">
        <f t="shared" si="10"/>
        <v>-0.80000000000000071</v>
      </c>
      <c r="AD5" s="2"/>
      <c r="AE5" s="2" t="str">
        <f t="shared" si="11"/>
        <v/>
      </c>
      <c r="AF5" s="3"/>
      <c r="AG5" s="2" t="str">
        <f t="shared" si="0"/>
        <v/>
      </c>
      <c r="AH5" s="29"/>
      <c r="AI5" s="1" t="str">
        <f t="shared" si="1"/>
        <v/>
      </c>
      <c r="AJ5">
        <v>0</v>
      </c>
      <c r="AK5">
        <v>0</v>
      </c>
      <c r="AL5">
        <f t="shared" si="2"/>
        <v>0</v>
      </c>
      <c r="AM5">
        <f t="shared" si="3"/>
        <v>0</v>
      </c>
      <c r="AN5">
        <f t="shared" si="4"/>
        <v>1</v>
      </c>
      <c r="AO5">
        <f t="shared" si="12"/>
        <v>0</v>
      </c>
      <c r="AP5" s="1">
        <f t="shared" si="13"/>
        <v>0.76118975000651712</v>
      </c>
      <c r="AQ5">
        <f t="shared" si="14"/>
        <v>-1</v>
      </c>
      <c r="AR5">
        <f t="shared" si="15"/>
        <v>0</v>
      </c>
      <c r="AS5">
        <f t="shared" si="16"/>
        <v>1</v>
      </c>
      <c r="AT5" t="str">
        <f t="shared" si="17"/>
        <v>klein</v>
      </c>
    </row>
    <row r="6" spans="1:46" customFormat="1" x14ac:dyDescent="0.25">
      <c r="A6" s="33">
        <v>1</v>
      </c>
      <c r="B6">
        <v>18</v>
      </c>
      <c r="C6">
        <v>1</v>
      </c>
      <c r="D6" t="s">
        <v>34</v>
      </c>
      <c r="E6" t="s">
        <v>29</v>
      </c>
      <c r="F6" t="s">
        <v>250</v>
      </c>
      <c r="G6" s="3">
        <f>18452+19909</f>
        <v>38361</v>
      </c>
      <c r="H6" s="21"/>
      <c r="I6" t="s">
        <v>33</v>
      </c>
      <c r="J6" s="21">
        <v>0</v>
      </c>
      <c r="K6" s="21">
        <v>0</v>
      </c>
      <c r="L6">
        <v>2017</v>
      </c>
      <c r="M6">
        <v>2019</v>
      </c>
      <c r="N6">
        <v>2019</v>
      </c>
      <c r="O6">
        <v>2020</v>
      </c>
      <c r="P6">
        <v>2020</v>
      </c>
      <c r="Q6">
        <v>2022</v>
      </c>
      <c r="R6">
        <f t="shared" si="5"/>
        <v>2</v>
      </c>
      <c r="S6">
        <f t="shared" si="6"/>
        <v>1</v>
      </c>
      <c r="T6">
        <f t="shared" si="7"/>
        <v>2</v>
      </c>
      <c r="U6" s="6">
        <f t="shared" si="8"/>
        <v>5</v>
      </c>
      <c r="V6" s="6">
        <f>U6-U7</f>
        <v>0</v>
      </c>
      <c r="W6" s="2"/>
      <c r="X6" s="2"/>
      <c r="Y6" s="19">
        <v>3</v>
      </c>
      <c r="Z6" s="19">
        <v>3</v>
      </c>
      <c r="AA6" s="19">
        <v>24</v>
      </c>
      <c r="AB6" s="2">
        <f t="shared" si="9"/>
        <v>30</v>
      </c>
      <c r="AC6" s="2">
        <f t="shared" si="10"/>
        <v>10</v>
      </c>
      <c r="AD6" s="2"/>
      <c r="AE6" s="2" t="str">
        <f t="shared" si="11"/>
        <v/>
      </c>
      <c r="AF6" s="3"/>
      <c r="AG6" s="2" t="str">
        <f t="shared" si="0"/>
        <v/>
      </c>
      <c r="AH6" s="29"/>
      <c r="AI6" s="1" t="str">
        <f t="shared" si="1"/>
        <v/>
      </c>
      <c r="AJ6">
        <v>0</v>
      </c>
      <c r="AK6">
        <v>0</v>
      </c>
      <c r="AL6">
        <f t="shared" si="2"/>
        <v>0</v>
      </c>
      <c r="AM6">
        <f t="shared" si="3"/>
        <v>0</v>
      </c>
      <c r="AN6">
        <f t="shared" si="4"/>
        <v>1</v>
      </c>
      <c r="AO6">
        <f t="shared" si="12"/>
        <v>0</v>
      </c>
      <c r="AP6" s="1">
        <f t="shared" si="13"/>
        <v>0.78204426370532576</v>
      </c>
      <c r="AQ6">
        <f t="shared" si="14"/>
        <v>-1</v>
      </c>
      <c r="AR6">
        <f t="shared" si="15"/>
        <v>0</v>
      </c>
      <c r="AS6">
        <f t="shared" si="16"/>
        <v>0</v>
      </c>
      <c r="AT6" t="str">
        <f t="shared" si="17"/>
        <v>klein</v>
      </c>
    </row>
    <row r="7" spans="1:46" customFormat="1" x14ac:dyDescent="0.25">
      <c r="A7" s="33">
        <v>1</v>
      </c>
      <c r="B7">
        <v>17</v>
      </c>
      <c r="G7" s="3"/>
      <c r="H7" s="21"/>
      <c r="I7" t="s">
        <v>33</v>
      </c>
      <c r="J7" s="21">
        <v>0</v>
      </c>
      <c r="K7" s="21">
        <v>0</v>
      </c>
      <c r="L7">
        <v>2017</v>
      </c>
      <c r="M7">
        <v>2019</v>
      </c>
      <c r="N7">
        <v>2019</v>
      </c>
      <c r="O7">
        <v>2020</v>
      </c>
      <c r="P7">
        <v>2020</v>
      </c>
      <c r="Q7">
        <v>2022</v>
      </c>
      <c r="R7">
        <f t="shared" si="5"/>
        <v>2</v>
      </c>
      <c r="S7">
        <f t="shared" si="6"/>
        <v>1</v>
      </c>
      <c r="T7">
        <f t="shared" si="7"/>
        <v>2</v>
      </c>
      <c r="U7" s="6">
        <f t="shared" si="8"/>
        <v>5</v>
      </c>
      <c r="V7" s="1"/>
      <c r="W7" s="2"/>
      <c r="X7" s="2"/>
      <c r="Y7" s="19">
        <v>2</v>
      </c>
      <c r="Z7" s="19">
        <v>2</v>
      </c>
      <c r="AA7" s="19">
        <v>16</v>
      </c>
      <c r="AB7" s="2">
        <f t="shared" si="9"/>
        <v>20</v>
      </c>
      <c r="AC7" s="2"/>
      <c r="AD7" s="2"/>
      <c r="AE7" s="2" t="str">
        <f t="shared" si="11"/>
        <v/>
      </c>
      <c r="AF7" s="3"/>
      <c r="AG7" s="2" t="str">
        <f t="shared" si="0"/>
        <v/>
      </c>
      <c r="AH7" s="29"/>
      <c r="AI7" s="1" t="str">
        <f t="shared" si="1"/>
        <v/>
      </c>
      <c r="AJ7">
        <v>0</v>
      </c>
      <c r="AK7">
        <v>0</v>
      </c>
      <c r="AL7">
        <f t="shared" si="2"/>
        <v>0</v>
      </c>
      <c r="AM7">
        <f t="shared" si="3"/>
        <v>0</v>
      </c>
      <c r="AN7">
        <f t="shared" si="4"/>
        <v>1</v>
      </c>
      <c r="AO7">
        <f t="shared" si="12"/>
        <v>0</v>
      </c>
      <c r="AP7" s="1"/>
      <c r="AQ7">
        <f t="shared" si="14"/>
        <v>-1</v>
      </c>
      <c r="AR7">
        <f t="shared" si="15"/>
        <v>0</v>
      </c>
      <c r="AS7">
        <f t="shared" si="16"/>
        <v>0</v>
      </c>
      <c r="AT7" t="str">
        <f t="shared" si="17"/>
        <v>klein</v>
      </c>
    </row>
    <row r="8" spans="1:46" customFormat="1" x14ac:dyDescent="0.25">
      <c r="A8" s="33">
        <v>2</v>
      </c>
      <c r="B8">
        <v>22</v>
      </c>
      <c r="C8">
        <v>2</v>
      </c>
      <c r="D8" t="s">
        <v>35</v>
      </c>
      <c r="E8" t="s">
        <v>36</v>
      </c>
      <c r="F8" t="s">
        <v>37</v>
      </c>
      <c r="G8" s="3">
        <v>5400</v>
      </c>
      <c r="H8" s="21"/>
      <c r="J8" s="21">
        <v>0</v>
      </c>
      <c r="K8" s="21">
        <v>0</v>
      </c>
      <c r="L8">
        <v>2017</v>
      </c>
      <c r="M8">
        <v>2021</v>
      </c>
      <c r="N8">
        <v>2021</v>
      </c>
      <c r="O8">
        <v>2023</v>
      </c>
      <c r="P8">
        <v>2023</v>
      </c>
      <c r="Q8">
        <v>2026</v>
      </c>
      <c r="R8">
        <f t="shared" si="5"/>
        <v>4</v>
      </c>
      <c r="S8">
        <f t="shared" si="6"/>
        <v>2</v>
      </c>
      <c r="T8">
        <f t="shared" si="7"/>
        <v>3</v>
      </c>
      <c r="U8" s="6">
        <f t="shared" si="8"/>
        <v>9</v>
      </c>
      <c r="V8" s="6">
        <f>U8-U9</f>
        <v>0</v>
      </c>
      <c r="W8" s="2"/>
      <c r="X8" s="2">
        <f>U8-U12</f>
        <v>0</v>
      </c>
      <c r="Y8" s="19">
        <f>6.1/0.9</f>
        <v>6.7777777777777768</v>
      </c>
      <c r="Z8" s="19">
        <f>4.95/0.9</f>
        <v>5.5</v>
      </c>
      <c r="AA8" s="19">
        <f>41.6/0.9</f>
        <v>46.222222222222221</v>
      </c>
      <c r="AB8" s="2">
        <f t="shared" si="9"/>
        <v>58.5</v>
      </c>
      <c r="AC8" s="2">
        <f t="shared" ref="AC8:AC12" si="18">AB8-AB9</f>
        <v>-27.087777777777774</v>
      </c>
      <c r="AD8" s="2"/>
      <c r="AE8" s="2">
        <f t="shared" si="11"/>
        <v>-27.030227777777775</v>
      </c>
      <c r="AF8" s="3"/>
      <c r="AG8" s="2">
        <f t="shared" si="0"/>
        <v>46.096176043620289</v>
      </c>
      <c r="AH8" s="29"/>
      <c r="AI8" s="1">
        <f t="shared" si="1"/>
        <v>3.8477763958606515</v>
      </c>
      <c r="AK8" s="6">
        <f>IF(AB8&gt;64.2061111111111,1,0)</f>
        <v>0</v>
      </c>
      <c r="AL8">
        <f t="shared" si="2"/>
        <v>1</v>
      </c>
      <c r="AM8">
        <f t="shared" si="3"/>
        <v>0</v>
      </c>
      <c r="AN8">
        <f t="shared" si="4"/>
        <v>0</v>
      </c>
      <c r="AO8">
        <f t="shared" si="12"/>
        <v>3</v>
      </c>
      <c r="AP8" s="1">
        <f t="shared" si="13"/>
        <v>10.833333333333332</v>
      </c>
      <c r="AQ8">
        <f t="shared" si="14"/>
        <v>1</v>
      </c>
      <c r="AR8">
        <f t="shared" si="15"/>
        <v>1</v>
      </c>
      <c r="AS8">
        <f t="shared" si="16"/>
        <v>1</v>
      </c>
      <c r="AT8" t="str">
        <f t="shared" si="17"/>
        <v>klein</v>
      </c>
    </row>
    <row r="9" spans="1:46" customFormat="1" x14ac:dyDescent="0.25">
      <c r="A9" s="34">
        <v>2</v>
      </c>
      <c r="B9">
        <v>21</v>
      </c>
      <c r="C9">
        <v>2</v>
      </c>
      <c r="D9" t="s">
        <v>35</v>
      </c>
      <c r="E9" t="s">
        <v>36</v>
      </c>
      <c r="F9" t="s">
        <v>37</v>
      </c>
      <c r="G9" s="3">
        <v>5400</v>
      </c>
      <c r="H9" s="21"/>
      <c r="I9" t="s">
        <v>38</v>
      </c>
      <c r="J9" s="21">
        <v>0</v>
      </c>
      <c r="K9" s="21">
        <v>0</v>
      </c>
      <c r="L9">
        <v>2017</v>
      </c>
      <c r="M9">
        <v>2021</v>
      </c>
      <c r="N9">
        <v>2021</v>
      </c>
      <c r="O9">
        <v>2024</v>
      </c>
      <c r="P9">
        <v>2024</v>
      </c>
      <c r="Q9">
        <v>2026</v>
      </c>
      <c r="R9">
        <f t="shared" si="5"/>
        <v>4</v>
      </c>
      <c r="S9">
        <f t="shared" si="6"/>
        <v>3</v>
      </c>
      <c r="T9">
        <f t="shared" si="7"/>
        <v>2</v>
      </c>
      <c r="U9" s="6">
        <f t="shared" si="8"/>
        <v>9</v>
      </c>
      <c r="V9" s="6">
        <f>U9-U10</f>
        <v>0</v>
      </c>
      <c r="W9" s="2">
        <f>U9-U12</f>
        <v>0</v>
      </c>
      <c r="X9" s="2"/>
      <c r="Y9" s="19">
        <v>6.8288888888888888</v>
      </c>
      <c r="Z9" s="19">
        <v>5.4944444444444445</v>
      </c>
      <c r="AA9" s="19">
        <v>73.264444444444436</v>
      </c>
      <c r="AB9" s="2">
        <f t="shared" si="9"/>
        <v>85.587777777777774</v>
      </c>
      <c r="AC9" s="2">
        <f t="shared" si="18"/>
        <v>0.65888888888888175</v>
      </c>
      <c r="AD9" s="2">
        <f>AB9-AB12</f>
        <v>48.187777777777775</v>
      </c>
      <c r="AE9" s="2" t="str">
        <f t="shared" si="11"/>
        <v/>
      </c>
      <c r="AF9" s="3">
        <f>G9-G12</f>
        <v>46.096176043620289</v>
      </c>
      <c r="AG9" s="2" t="str">
        <f t="shared" si="0"/>
        <v/>
      </c>
      <c r="AH9" s="29">
        <f>((AB9)/(G9/1000))-((AB12)/(G12/1000))</f>
        <v>8.8640315398935741</v>
      </c>
      <c r="AI9" s="1" t="str">
        <f t="shared" si="1"/>
        <v/>
      </c>
      <c r="AJ9">
        <v>1</v>
      </c>
      <c r="AK9">
        <v>0</v>
      </c>
      <c r="AL9">
        <f t="shared" si="2"/>
        <v>1</v>
      </c>
      <c r="AM9">
        <f t="shared" si="3"/>
        <v>0</v>
      </c>
      <c r="AN9">
        <f t="shared" si="4"/>
        <v>0</v>
      </c>
      <c r="AO9">
        <f t="shared" si="12"/>
        <v>4</v>
      </c>
      <c r="AP9" s="1">
        <f t="shared" si="13"/>
        <v>15.849588477366254</v>
      </c>
      <c r="AQ9">
        <f t="shared" si="14"/>
        <v>1</v>
      </c>
      <c r="AR9">
        <f t="shared" si="15"/>
        <v>1</v>
      </c>
      <c r="AS9">
        <f t="shared" si="16"/>
        <v>1</v>
      </c>
      <c r="AT9" t="str">
        <f t="shared" si="17"/>
        <v>klein</v>
      </c>
    </row>
    <row r="10" spans="1:46" customFormat="1" x14ac:dyDescent="0.25">
      <c r="A10" s="34">
        <v>2</v>
      </c>
      <c r="B10">
        <v>20</v>
      </c>
      <c r="C10">
        <v>4</v>
      </c>
      <c r="D10" t="s">
        <v>39</v>
      </c>
      <c r="E10" t="s">
        <v>36</v>
      </c>
      <c r="F10" t="s">
        <v>37</v>
      </c>
      <c r="G10" s="3">
        <v>5353.9038239563797</v>
      </c>
      <c r="H10" s="21">
        <v>6</v>
      </c>
      <c r="I10" t="s">
        <v>38</v>
      </c>
      <c r="J10" s="21">
        <v>0</v>
      </c>
      <c r="K10" s="21">
        <v>0</v>
      </c>
      <c r="L10">
        <v>2017</v>
      </c>
      <c r="M10">
        <v>2021</v>
      </c>
      <c r="N10">
        <v>2021</v>
      </c>
      <c r="O10">
        <v>2024</v>
      </c>
      <c r="P10">
        <v>2024</v>
      </c>
      <c r="Q10">
        <v>2026</v>
      </c>
      <c r="R10">
        <f t="shared" si="5"/>
        <v>4</v>
      </c>
      <c r="S10">
        <f t="shared" si="6"/>
        <v>3</v>
      </c>
      <c r="T10">
        <f t="shared" si="7"/>
        <v>2</v>
      </c>
      <c r="U10" s="6">
        <f t="shared" si="8"/>
        <v>9</v>
      </c>
      <c r="V10" s="6">
        <f>U10-U11</f>
        <v>0</v>
      </c>
      <c r="W10" s="2"/>
      <c r="X10" s="2"/>
      <c r="Y10" s="19">
        <v>6.8288888888888888</v>
      </c>
      <c r="Z10" s="19">
        <v>4.9000000000000004</v>
      </c>
      <c r="AA10" s="19">
        <v>73.2</v>
      </c>
      <c r="AB10" s="2">
        <f t="shared" si="9"/>
        <v>84.928888888888892</v>
      </c>
      <c r="AC10" s="2">
        <f t="shared" si="18"/>
        <v>5.5348888888889007</v>
      </c>
      <c r="AD10" s="2"/>
      <c r="AE10" s="2" t="str">
        <f t="shared" si="11"/>
        <v/>
      </c>
      <c r="AF10" s="3"/>
      <c r="AG10" s="2" t="str">
        <f t="shared" si="0"/>
        <v/>
      </c>
      <c r="AH10" s="29"/>
      <c r="AI10" s="1" t="str">
        <f t="shared" si="1"/>
        <v/>
      </c>
      <c r="AJ10">
        <v>1</v>
      </c>
      <c r="AK10">
        <v>0</v>
      </c>
      <c r="AL10">
        <f t="shared" si="2"/>
        <v>1</v>
      </c>
      <c r="AM10">
        <f t="shared" si="3"/>
        <v>0</v>
      </c>
      <c r="AN10">
        <f t="shared" si="4"/>
        <v>0</v>
      </c>
      <c r="AO10">
        <f t="shared" si="12"/>
        <v>4</v>
      </c>
      <c r="AP10" s="1">
        <f t="shared" si="13"/>
        <v>15.86298366228942</v>
      </c>
      <c r="AQ10">
        <f t="shared" si="14"/>
        <v>1</v>
      </c>
      <c r="AR10">
        <f t="shared" si="15"/>
        <v>1</v>
      </c>
      <c r="AS10">
        <f t="shared" si="16"/>
        <v>1</v>
      </c>
      <c r="AT10" t="str">
        <f t="shared" si="17"/>
        <v>klein</v>
      </c>
    </row>
    <row r="11" spans="1:46" customFormat="1" x14ac:dyDescent="0.25">
      <c r="A11" s="34">
        <v>2</v>
      </c>
      <c r="B11">
        <v>19</v>
      </c>
      <c r="C11">
        <v>3</v>
      </c>
      <c r="D11" t="s">
        <v>39</v>
      </c>
      <c r="E11" t="s">
        <v>36</v>
      </c>
      <c r="F11" t="s">
        <v>37</v>
      </c>
      <c r="G11" s="3">
        <v>5353.9038239563797</v>
      </c>
      <c r="H11" s="21"/>
      <c r="I11" t="s">
        <v>38</v>
      </c>
      <c r="J11" s="21">
        <v>0</v>
      </c>
      <c r="K11" s="21">
        <v>0</v>
      </c>
      <c r="L11">
        <v>2017</v>
      </c>
      <c r="M11">
        <v>2021</v>
      </c>
      <c r="N11">
        <v>2021</v>
      </c>
      <c r="O11">
        <v>2024</v>
      </c>
      <c r="P11">
        <v>2024</v>
      </c>
      <c r="Q11">
        <v>2026</v>
      </c>
      <c r="R11">
        <f t="shared" si="5"/>
        <v>4</v>
      </c>
      <c r="S11">
        <f t="shared" si="6"/>
        <v>3</v>
      </c>
      <c r="T11">
        <f t="shared" si="7"/>
        <v>2</v>
      </c>
      <c r="U11" s="6">
        <f t="shared" si="8"/>
        <v>9</v>
      </c>
      <c r="V11" s="6">
        <f>U11-U12</f>
        <v>0</v>
      </c>
      <c r="W11" s="2"/>
      <c r="X11" s="2"/>
      <c r="Y11" s="19">
        <v>0.6</v>
      </c>
      <c r="Z11" s="19">
        <v>5.4939999999999998</v>
      </c>
      <c r="AA11" s="19">
        <v>73.3</v>
      </c>
      <c r="AB11" s="2">
        <f t="shared" si="9"/>
        <v>79.393999999999991</v>
      </c>
      <c r="AC11" s="2">
        <f t="shared" si="18"/>
        <v>41.993999999999993</v>
      </c>
      <c r="AD11" s="2"/>
      <c r="AE11" s="2" t="str">
        <f t="shared" si="11"/>
        <v/>
      </c>
      <c r="AF11" s="3"/>
      <c r="AG11" s="2" t="str">
        <f t="shared" si="0"/>
        <v/>
      </c>
      <c r="AH11" s="29"/>
      <c r="AI11" s="1" t="str">
        <f t="shared" si="1"/>
        <v/>
      </c>
      <c r="AJ11">
        <v>1</v>
      </c>
      <c r="AK11">
        <v>0</v>
      </c>
      <c r="AL11">
        <f t="shared" si="2"/>
        <v>1</v>
      </c>
      <c r="AM11">
        <f t="shared" si="3"/>
        <v>0</v>
      </c>
      <c r="AN11">
        <f t="shared" si="4"/>
        <v>0</v>
      </c>
      <c r="AO11">
        <f t="shared" si="12"/>
        <v>4</v>
      </c>
      <c r="AP11" s="1">
        <f t="shared" si="13"/>
        <v>14.829179344751497</v>
      </c>
      <c r="AQ11">
        <f t="shared" si="14"/>
        <v>1</v>
      </c>
      <c r="AR11">
        <f t="shared" si="15"/>
        <v>1</v>
      </c>
      <c r="AS11">
        <f t="shared" si="16"/>
        <v>1</v>
      </c>
      <c r="AT11" t="str">
        <f t="shared" si="17"/>
        <v>klein</v>
      </c>
    </row>
    <row r="12" spans="1:46" customFormat="1" x14ac:dyDescent="0.25">
      <c r="A12" s="34">
        <v>2</v>
      </c>
      <c r="B12">
        <v>18</v>
      </c>
      <c r="C12">
        <v>3</v>
      </c>
      <c r="D12" t="s">
        <v>40</v>
      </c>
      <c r="E12" t="s">
        <v>36</v>
      </c>
      <c r="F12" t="s">
        <v>37</v>
      </c>
      <c r="G12" s="3">
        <v>5353.9038239563797</v>
      </c>
      <c r="H12" s="21"/>
      <c r="I12" t="s">
        <v>38</v>
      </c>
      <c r="J12" s="21">
        <v>0</v>
      </c>
      <c r="K12" s="21">
        <v>0</v>
      </c>
      <c r="L12">
        <v>2017</v>
      </c>
      <c r="M12">
        <v>2021</v>
      </c>
      <c r="N12">
        <v>2021</v>
      </c>
      <c r="O12">
        <v>2023</v>
      </c>
      <c r="P12">
        <v>2023</v>
      </c>
      <c r="Q12">
        <v>2026</v>
      </c>
      <c r="R12">
        <f t="shared" si="5"/>
        <v>4</v>
      </c>
      <c r="S12">
        <f t="shared" si="6"/>
        <v>2</v>
      </c>
      <c r="T12">
        <f t="shared" si="7"/>
        <v>3</v>
      </c>
      <c r="U12" s="6">
        <f t="shared" si="8"/>
        <v>9</v>
      </c>
      <c r="V12" s="6">
        <f>U12-U13</f>
        <v>0</v>
      </c>
      <c r="W12" s="2"/>
      <c r="X12" s="2"/>
      <c r="Y12" s="19">
        <v>1.9</v>
      </c>
      <c r="Z12" s="19">
        <v>3.7</v>
      </c>
      <c r="AA12" s="19">
        <v>31.8</v>
      </c>
      <c r="AB12" s="2">
        <f t="shared" si="9"/>
        <v>37.4</v>
      </c>
      <c r="AC12" s="2">
        <f t="shared" si="18"/>
        <v>-5.7549999999999102E-2</v>
      </c>
      <c r="AD12" s="2"/>
      <c r="AE12" s="2" t="str">
        <f t="shared" si="11"/>
        <v/>
      </c>
      <c r="AF12" s="3"/>
      <c r="AG12" s="2" t="str">
        <f t="shared" si="0"/>
        <v/>
      </c>
      <c r="AH12" s="29"/>
      <c r="AI12" s="1" t="str">
        <f t="shared" si="1"/>
        <v/>
      </c>
      <c r="AJ12">
        <v>1</v>
      </c>
      <c r="AK12">
        <v>0</v>
      </c>
      <c r="AL12">
        <f t="shared" si="2"/>
        <v>1</v>
      </c>
      <c r="AM12">
        <f t="shared" si="3"/>
        <v>0</v>
      </c>
      <c r="AN12">
        <f t="shared" si="4"/>
        <v>0</v>
      </c>
      <c r="AO12">
        <f t="shared" si="12"/>
        <v>3</v>
      </c>
      <c r="AP12" s="1">
        <f t="shared" si="13"/>
        <v>6.9855569374726807</v>
      </c>
      <c r="AQ12">
        <f t="shared" si="14"/>
        <v>1</v>
      </c>
      <c r="AR12">
        <f t="shared" si="15"/>
        <v>1</v>
      </c>
      <c r="AS12">
        <f t="shared" si="16"/>
        <v>0</v>
      </c>
      <c r="AT12" t="str">
        <f t="shared" si="17"/>
        <v>klein</v>
      </c>
    </row>
    <row r="13" spans="1:46" customFormat="1" x14ac:dyDescent="0.25">
      <c r="A13" s="34">
        <v>2</v>
      </c>
      <c r="B13">
        <v>17</v>
      </c>
      <c r="C13">
        <v>3</v>
      </c>
      <c r="E13" t="s">
        <v>36</v>
      </c>
      <c r="F13" t="s">
        <v>37</v>
      </c>
      <c r="G13" s="3">
        <v>5353.9038239563797</v>
      </c>
      <c r="H13" s="21"/>
      <c r="I13" t="s">
        <v>41</v>
      </c>
      <c r="J13" s="21">
        <v>0</v>
      </c>
      <c r="K13" s="21">
        <v>0</v>
      </c>
      <c r="L13">
        <v>2017</v>
      </c>
      <c r="M13">
        <v>2021</v>
      </c>
      <c r="N13">
        <v>2021</v>
      </c>
      <c r="O13">
        <v>2023</v>
      </c>
      <c r="P13">
        <v>2023</v>
      </c>
      <c r="Q13">
        <v>2026</v>
      </c>
      <c r="R13">
        <f t="shared" si="5"/>
        <v>4</v>
      </c>
      <c r="S13">
        <f t="shared" si="6"/>
        <v>2</v>
      </c>
      <c r="T13">
        <f t="shared" si="7"/>
        <v>3</v>
      </c>
      <c r="U13" s="6">
        <f t="shared" si="8"/>
        <v>9</v>
      </c>
      <c r="W13" s="2"/>
      <c r="X13" s="2"/>
      <c r="Y13" s="19">
        <v>1.9</v>
      </c>
      <c r="Z13" s="19">
        <v>3.7429000000000006</v>
      </c>
      <c r="AA13" s="19">
        <v>31.81465</v>
      </c>
      <c r="AB13" s="2">
        <f t="shared" si="9"/>
        <v>37.457549999999998</v>
      </c>
      <c r="AC13" s="2"/>
      <c r="AD13" s="2"/>
      <c r="AE13" s="2" t="str">
        <f t="shared" si="11"/>
        <v/>
      </c>
      <c r="AF13" s="3"/>
      <c r="AG13" s="2" t="str">
        <f t="shared" si="0"/>
        <v/>
      </c>
      <c r="AH13" s="29"/>
      <c r="AI13" s="1" t="str">
        <f t="shared" si="1"/>
        <v/>
      </c>
      <c r="AJ13">
        <v>1</v>
      </c>
      <c r="AK13">
        <v>0</v>
      </c>
      <c r="AL13">
        <f t="shared" si="2"/>
        <v>1</v>
      </c>
      <c r="AM13">
        <f t="shared" si="3"/>
        <v>0</v>
      </c>
      <c r="AN13">
        <f t="shared" si="4"/>
        <v>0</v>
      </c>
      <c r="AO13">
        <f t="shared" si="12"/>
        <v>3</v>
      </c>
      <c r="AP13" s="1">
        <f t="shared" si="13"/>
        <v>6.9963061032949145</v>
      </c>
      <c r="AQ13">
        <f t="shared" si="14"/>
        <v>1</v>
      </c>
      <c r="AR13">
        <f t="shared" si="15"/>
        <v>1</v>
      </c>
      <c r="AS13">
        <f t="shared" si="16"/>
        <v>0</v>
      </c>
      <c r="AT13" t="str">
        <f t="shared" si="17"/>
        <v>klein</v>
      </c>
    </row>
    <row r="14" spans="1:46" customFormat="1" x14ac:dyDescent="0.25">
      <c r="A14" s="34">
        <v>3</v>
      </c>
      <c r="B14">
        <v>22</v>
      </c>
      <c r="C14">
        <v>3</v>
      </c>
      <c r="D14" t="s">
        <v>42</v>
      </c>
      <c r="E14" t="s">
        <v>29</v>
      </c>
      <c r="F14" t="s">
        <v>43</v>
      </c>
      <c r="G14" s="3">
        <v>20200</v>
      </c>
      <c r="H14" s="21"/>
      <c r="J14" s="21">
        <v>0</v>
      </c>
      <c r="K14" s="21">
        <v>0</v>
      </c>
      <c r="L14">
        <v>2016</v>
      </c>
      <c r="M14">
        <v>2020</v>
      </c>
      <c r="N14">
        <v>2020</v>
      </c>
      <c r="O14">
        <v>2023</v>
      </c>
      <c r="P14">
        <v>2023</v>
      </c>
      <c r="Q14">
        <v>2028</v>
      </c>
      <c r="R14">
        <f t="shared" si="5"/>
        <v>4</v>
      </c>
      <c r="S14">
        <f t="shared" si="6"/>
        <v>3</v>
      </c>
      <c r="T14">
        <f t="shared" si="7"/>
        <v>5</v>
      </c>
      <c r="U14" s="6">
        <f t="shared" si="8"/>
        <v>12</v>
      </c>
      <c r="V14" s="6">
        <f>U14-U15</f>
        <v>1</v>
      </c>
      <c r="W14" s="2"/>
      <c r="X14" s="2">
        <f>U14-U18</f>
        <v>4</v>
      </c>
      <c r="Y14" s="19">
        <f>8.1/0.9</f>
        <v>9</v>
      </c>
      <c r="Z14" s="19">
        <f>12.1/0.9</f>
        <v>13.444444444444443</v>
      </c>
      <c r="AA14" s="19">
        <f>171.1/0.9</f>
        <v>190.11111111111111</v>
      </c>
      <c r="AB14" s="2">
        <f t="shared" si="9"/>
        <v>212.55555555555554</v>
      </c>
      <c r="AC14" s="2">
        <f t="shared" ref="AC14:AC18" si="19">AB14-AB15</f>
        <v>83.936666666666667</v>
      </c>
      <c r="AD14" s="2"/>
      <c r="AE14" s="2">
        <f t="shared" si="11"/>
        <v>35.59419166666666</v>
      </c>
      <c r="AF14" s="3"/>
      <c r="AG14" s="2">
        <f t="shared" si="0"/>
        <v>91.829682285890158</v>
      </c>
      <c r="AH14" s="29"/>
      <c r="AI14" s="1">
        <f t="shared" si="1"/>
        <v>4.9720202694414262</v>
      </c>
      <c r="AK14" s="6">
        <f>IF(AB14&gt;64.2061111111111,1,0)</f>
        <v>1</v>
      </c>
      <c r="AL14">
        <f t="shared" si="2"/>
        <v>0</v>
      </c>
      <c r="AM14">
        <f t="shared" si="3"/>
        <v>1</v>
      </c>
      <c r="AN14">
        <f t="shared" si="4"/>
        <v>0</v>
      </c>
      <c r="AO14">
        <f t="shared" si="12"/>
        <v>3</v>
      </c>
      <c r="AP14" s="1">
        <f t="shared" si="13"/>
        <v>10.522552255225522</v>
      </c>
      <c r="AQ14">
        <f t="shared" si="14"/>
        <v>0</v>
      </c>
      <c r="AR14">
        <f t="shared" si="15"/>
        <v>0</v>
      </c>
      <c r="AS14">
        <f t="shared" si="16"/>
        <v>1</v>
      </c>
      <c r="AT14" t="str">
        <f t="shared" si="17"/>
        <v>groot</v>
      </c>
    </row>
    <row r="15" spans="1:46" customFormat="1" x14ac:dyDescent="0.25">
      <c r="A15" s="34">
        <v>3</v>
      </c>
      <c r="B15">
        <v>21</v>
      </c>
      <c r="C15">
        <v>3</v>
      </c>
      <c r="D15" t="s">
        <v>42</v>
      </c>
      <c r="E15" t="s">
        <v>29</v>
      </c>
      <c r="F15" t="s">
        <v>43</v>
      </c>
      <c r="G15" s="3">
        <v>20200</v>
      </c>
      <c r="H15" s="21"/>
      <c r="I15" t="s">
        <v>44</v>
      </c>
      <c r="J15" s="21">
        <v>0</v>
      </c>
      <c r="K15" s="21">
        <v>0</v>
      </c>
      <c r="L15">
        <v>2016</v>
      </c>
      <c r="M15">
        <v>2020</v>
      </c>
      <c r="N15">
        <v>2020</v>
      </c>
      <c r="O15">
        <v>2023</v>
      </c>
      <c r="P15">
        <v>2023</v>
      </c>
      <c r="Q15">
        <v>2027</v>
      </c>
      <c r="R15">
        <f t="shared" si="5"/>
        <v>4</v>
      </c>
      <c r="S15">
        <f t="shared" si="6"/>
        <v>3</v>
      </c>
      <c r="T15">
        <f t="shared" si="7"/>
        <v>4</v>
      </c>
      <c r="U15" s="6">
        <f t="shared" si="8"/>
        <v>11</v>
      </c>
      <c r="V15" s="6">
        <f>U15-U16</f>
        <v>2</v>
      </c>
      <c r="W15" s="2">
        <f>U15-U18</f>
        <v>3</v>
      </c>
      <c r="X15" s="2"/>
      <c r="Y15" s="19">
        <v>9.0399999999999991</v>
      </c>
      <c r="Z15" s="19">
        <v>7.7166666666666668</v>
      </c>
      <c r="AA15" s="19">
        <v>111.86222222222221</v>
      </c>
      <c r="AB15" s="2">
        <f t="shared" si="9"/>
        <v>128.61888888888888</v>
      </c>
      <c r="AC15" s="2">
        <f t="shared" si="19"/>
        <v>-3.8888888888891415E-2</v>
      </c>
      <c r="AD15" s="2">
        <f>AB15-AB18</f>
        <v>3.6764138888888738</v>
      </c>
      <c r="AE15" s="2" t="str">
        <f>IF(ISNUMBER(X15),AC15-AC19,"")</f>
        <v/>
      </c>
      <c r="AF15" s="3">
        <f>G15-G18</f>
        <v>91.829682285890158</v>
      </c>
      <c r="AG15" s="2" t="str">
        <f t="shared" si="0"/>
        <v/>
      </c>
      <c r="AH15" s="29">
        <f>((AB15)/(G15/1000))-((AB18)/(G18/1000))</f>
        <v>0.15375388711677296</v>
      </c>
      <c r="AI15" s="1" t="str">
        <f t="shared" si="1"/>
        <v/>
      </c>
      <c r="AJ15">
        <v>1</v>
      </c>
      <c r="AK15">
        <v>1</v>
      </c>
      <c r="AL15">
        <f t="shared" si="2"/>
        <v>0</v>
      </c>
      <c r="AM15">
        <f t="shared" si="3"/>
        <v>1</v>
      </c>
      <c r="AN15">
        <f t="shared" si="4"/>
        <v>0</v>
      </c>
      <c r="AO15">
        <f t="shared" si="12"/>
        <v>3</v>
      </c>
      <c r="AP15" s="1">
        <f t="shared" si="13"/>
        <v>6.3672717271727164</v>
      </c>
      <c r="AQ15">
        <f t="shared" si="14"/>
        <v>0</v>
      </c>
      <c r="AR15">
        <f t="shared" si="15"/>
        <v>0</v>
      </c>
      <c r="AS15">
        <f t="shared" si="16"/>
        <v>1</v>
      </c>
      <c r="AT15" t="str">
        <f t="shared" si="17"/>
        <v>groot</v>
      </c>
    </row>
    <row r="16" spans="1:46" customFormat="1" x14ac:dyDescent="0.25">
      <c r="A16" s="34">
        <v>3</v>
      </c>
      <c r="B16">
        <v>20</v>
      </c>
      <c r="C16">
        <v>5</v>
      </c>
      <c r="D16" t="s">
        <v>42</v>
      </c>
      <c r="E16" t="s">
        <v>29</v>
      </c>
      <c r="F16" t="s">
        <v>43</v>
      </c>
      <c r="G16" s="3">
        <v>22510</v>
      </c>
      <c r="H16" s="21">
        <v>220</v>
      </c>
      <c r="I16" t="s">
        <v>44</v>
      </c>
      <c r="J16" s="21">
        <v>0</v>
      </c>
      <c r="K16" s="21">
        <v>0</v>
      </c>
      <c r="L16">
        <v>2016</v>
      </c>
      <c r="M16">
        <v>2019</v>
      </c>
      <c r="N16">
        <v>2019</v>
      </c>
      <c r="O16">
        <v>2022</v>
      </c>
      <c r="P16">
        <v>2022</v>
      </c>
      <c r="Q16">
        <v>2025</v>
      </c>
      <c r="R16">
        <f t="shared" ref="R16:R67" si="20">M16-L16</f>
        <v>3</v>
      </c>
      <c r="S16">
        <f t="shared" ref="S16:S67" si="21">O16-N16</f>
        <v>3</v>
      </c>
      <c r="T16">
        <f t="shared" ref="T16:T67" si="22">Q16-P16</f>
        <v>3</v>
      </c>
      <c r="U16" s="6">
        <f t="shared" ref="U16:U67" si="23">SUM(R16:T16)</f>
        <v>9</v>
      </c>
      <c r="V16" s="6">
        <f>U16-U17</f>
        <v>1</v>
      </c>
      <c r="W16" s="2"/>
      <c r="X16" s="2"/>
      <c r="Y16" s="19">
        <v>9.0399999999999991</v>
      </c>
      <c r="Z16" s="19">
        <v>7.7177777777777772</v>
      </c>
      <c r="AA16" s="19">
        <v>111.9</v>
      </c>
      <c r="AB16" s="2">
        <f t="shared" si="9"/>
        <v>128.65777777777777</v>
      </c>
      <c r="AC16" s="2">
        <f t="shared" si="19"/>
        <v>3.7515067777777631</v>
      </c>
      <c r="AD16" s="2"/>
      <c r="AE16" s="2" t="str">
        <f t="shared" si="11"/>
        <v/>
      </c>
      <c r="AF16" s="3"/>
      <c r="AG16" s="2" t="str">
        <f t="shared" si="0"/>
        <v/>
      </c>
      <c r="AH16" s="29"/>
      <c r="AI16" s="1" t="str">
        <f t="shared" si="1"/>
        <v/>
      </c>
      <c r="AJ16">
        <v>1</v>
      </c>
      <c r="AK16">
        <v>1</v>
      </c>
      <c r="AL16">
        <f t="shared" si="2"/>
        <v>0</v>
      </c>
      <c r="AM16">
        <f t="shared" si="3"/>
        <v>1</v>
      </c>
      <c r="AN16">
        <f t="shared" si="4"/>
        <v>0</v>
      </c>
      <c r="AO16">
        <f t="shared" si="12"/>
        <v>2</v>
      </c>
      <c r="AP16" s="1">
        <f t="shared" si="13"/>
        <v>5.7155831975911928</v>
      </c>
      <c r="AQ16">
        <f t="shared" si="14"/>
        <v>-1</v>
      </c>
      <c r="AR16">
        <f t="shared" si="15"/>
        <v>0</v>
      </c>
      <c r="AS16">
        <f t="shared" si="16"/>
        <v>1</v>
      </c>
      <c r="AT16" t="str">
        <f t="shared" si="17"/>
        <v>groot</v>
      </c>
    </row>
    <row r="17" spans="1:46" customFormat="1" x14ac:dyDescent="0.25">
      <c r="A17" s="34">
        <v>3</v>
      </c>
      <c r="B17">
        <v>19</v>
      </c>
      <c r="C17">
        <v>4</v>
      </c>
      <c r="D17" t="s">
        <v>42</v>
      </c>
      <c r="E17" t="s">
        <v>29</v>
      </c>
      <c r="F17" t="s">
        <v>43</v>
      </c>
      <c r="G17" s="3">
        <v>22510</v>
      </c>
      <c r="H17" s="21"/>
      <c r="I17" t="s">
        <v>44</v>
      </c>
      <c r="J17" s="21">
        <v>0</v>
      </c>
      <c r="K17" s="21">
        <v>0</v>
      </c>
      <c r="L17">
        <v>2016</v>
      </c>
      <c r="M17">
        <v>2019</v>
      </c>
      <c r="N17">
        <v>2019</v>
      </c>
      <c r="O17">
        <v>2021</v>
      </c>
      <c r="P17">
        <v>2021</v>
      </c>
      <c r="Q17">
        <v>2024</v>
      </c>
      <c r="R17">
        <f t="shared" si="20"/>
        <v>3</v>
      </c>
      <c r="S17">
        <f t="shared" si="21"/>
        <v>2</v>
      </c>
      <c r="T17">
        <f t="shared" si="22"/>
        <v>3</v>
      </c>
      <c r="U17" s="6">
        <f t="shared" si="23"/>
        <v>8</v>
      </c>
      <c r="V17" s="6">
        <f>U17-U18</f>
        <v>0</v>
      </c>
      <c r="W17" s="2"/>
      <c r="X17" s="2"/>
      <c r="Y17" s="19">
        <v>5.3252709999999999</v>
      </c>
      <c r="Z17" s="19">
        <v>7.718</v>
      </c>
      <c r="AA17" s="19">
        <v>111.863</v>
      </c>
      <c r="AB17" s="2">
        <f t="shared" si="9"/>
        <v>124.906271</v>
      </c>
      <c r="AC17" s="2">
        <f t="shared" si="19"/>
        <v>-3.6203999999997905E-2</v>
      </c>
      <c r="AD17" s="2"/>
      <c r="AE17" s="2" t="str">
        <f t="shared" si="11"/>
        <v/>
      </c>
      <c r="AF17" s="3"/>
      <c r="AG17" s="2" t="str">
        <f t="shared" si="0"/>
        <v/>
      </c>
      <c r="AH17" s="29"/>
      <c r="AI17" s="1" t="str">
        <f t="shared" si="1"/>
        <v/>
      </c>
      <c r="AJ17">
        <v>1</v>
      </c>
      <c r="AK17">
        <v>1</v>
      </c>
      <c r="AL17">
        <f t="shared" si="2"/>
        <v>0</v>
      </c>
      <c r="AM17">
        <f t="shared" si="3"/>
        <v>1</v>
      </c>
      <c r="AN17">
        <f t="shared" si="4"/>
        <v>0</v>
      </c>
      <c r="AO17">
        <f t="shared" si="12"/>
        <v>1</v>
      </c>
      <c r="AP17" s="1">
        <f t="shared" si="13"/>
        <v>5.5489236339404711</v>
      </c>
      <c r="AQ17">
        <f t="shared" si="14"/>
        <v>-1</v>
      </c>
      <c r="AR17">
        <f t="shared" si="15"/>
        <v>0</v>
      </c>
      <c r="AS17">
        <f t="shared" si="16"/>
        <v>1</v>
      </c>
      <c r="AT17" t="str">
        <f t="shared" si="17"/>
        <v>groot</v>
      </c>
    </row>
    <row r="18" spans="1:46" customFormat="1" x14ac:dyDescent="0.25">
      <c r="A18" s="34">
        <v>3</v>
      </c>
      <c r="B18">
        <v>18</v>
      </c>
      <c r="C18">
        <v>5</v>
      </c>
      <c r="D18" t="s">
        <v>45</v>
      </c>
      <c r="E18" t="s">
        <v>29</v>
      </c>
      <c r="F18" t="s">
        <v>43</v>
      </c>
      <c r="G18" s="3">
        <v>20108.17031771411</v>
      </c>
      <c r="H18" s="21"/>
      <c r="I18" t="s">
        <v>44</v>
      </c>
      <c r="J18" s="21">
        <v>0</v>
      </c>
      <c r="K18" s="21">
        <v>0</v>
      </c>
      <c r="L18">
        <v>2016</v>
      </c>
      <c r="M18">
        <v>2019</v>
      </c>
      <c r="N18">
        <v>2019</v>
      </c>
      <c r="O18">
        <v>2021</v>
      </c>
      <c r="P18">
        <v>2021</v>
      </c>
      <c r="Q18">
        <v>2024</v>
      </c>
      <c r="R18">
        <f t="shared" si="20"/>
        <v>3</v>
      </c>
      <c r="S18">
        <f t="shared" si="21"/>
        <v>2</v>
      </c>
      <c r="T18">
        <f t="shared" si="22"/>
        <v>3</v>
      </c>
      <c r="U18" s="6">
        <f t="shared" si="23"/>
        <v>8</v>
      </c>
      <c r="V18" s="6">
        <f>U18-U19</f>
        <v>0</v>
      </c>
      <c r="W18" s="2"/>
      <c r="X18" s="2"/>
      <c r="Y18" s="19">
        <v>5.3252709999999999</v>
      </c>
      <c r="Z18" s="19">
        <v>7.7172040000000006</v>
      </c>
      <c r="AA18" s="19">
        <v>111.9</v>
      </c>
      <c r="AB18" s="2">
        <f t="shared" si="9"/>
        <v>124.942475</v>
      </c>
      <c r="AC18" s="2">
        <f t="shared" si="19"/>
        <v>48.342475000000007</v>
      </c>
      <c r="AD18" s="2"/>
      <c r="AE18" s="2" t="str">
        <f t="shared" si="11"/>
        <v/>
      </c>
      <c r="AF18" s="3"/>
      <c r="AG18" s="2" t="str">
        <f t="shared" si="0"/>
        <v/>
      </c>
      <c r="AH18" s="29"/>
      <c r="AI18" s="1" t="str">
        <f t="shared" si="1"/>
        <v/>
      </c>
      <c r="AJ18">
        <v>1</v>
      </c>
      <c r="AK18">
        <v>1</v>
      </c>
      <c r="AL18">
        <f t="shared" si="2"/>
        <v>0</v>
      </c>
      <c r="AM18">
        <f t="shared" si="3"/>
        <v>1</v>
      </c>
      <c r="AN18">
        <f t="shared" si="4"/>
        <v>0</v>
      </c>
      <c r="AO18">
        <f t="shared" si="12"/>
        <v>1</v>
      </c>
      <c r="AP18" s="1">
        <f t="shared" si="13"/>
        <v>6.2135178400559434</v>
      </c>
      <c r="AQ18">
        <f t="shared" si="14"/>
        <v>-1</v>
      </c>
      <c r="AR18">
        <f t="shared" si="15"/>
        <v>0</v>
      </c>
      <c r="AS18">
        <f t="shared" si="16"/>
        <v>0</v>
      </c>
      <c r="AT18" t="str">
        <f t="shared" si="17"/>
        <v>groot</v>
      </c>
    </row>
    <row r="19" spans="1:46" customFormat="1" x14ac:dyDescent="0.25">
      <c r="A19" s="34">
        <v>3</v>
      </c>
      <c r="B19">
        <v>17</v>
      </c>
      <c r="C19">
        <v>6</v>
      </c>
      <c r="D19" t="s">
        <v>42</v>
      </c>
      <c r="E19" t="s">
        <v>29</v>
      </c>
      <c r="F19" t="s">
        <v>43</v>
      </c>
      <c r="G19" s="3"/>
      <c r="H19" s="21"/>
      <c r="J19" s="21">
        <v>0</v>
      </c>
      <c r="K19" s="21">
        <v>0</v>
      </c>
      <c r="L19">
        <v>2016</v>
      </c>
      <c r="M19">
        <v>2019</v>
      </c>
      <c r="N19">
        <v>2019</v>
      </c>
      <c r="O19">
        <v>2021</v>
      </c>
      <c r="P19">
        <v>2021</v>
      </c>
      <c r="Q19">
        <v>2024</v>
      </c>
      <c r="R19">
        <f t="shared" si="20"/>
        <v>3</v>
      </c>
      <c r="S19">
        <f t="shared" si="21"/>
        <v>2</v>
      </c>
      <c r="T19">
        <f t="shared" si="22"/>
        <v>3</v>
      </c>
      <c r="U19" s="6">
        <f t="shared" si="23"/>
        <v>8</v>
      </c>
      <c r="W19" s="2"/>
      <c r="X19" s="2"/>
      <c r="Y19" s="19">
        <v>3.8</v>
      </c>
      <c r="Z19" s="19">
        <v>7.7</v>
      </c>
      <c r="AA19" s="19">
        <v>65.099999999999994</v>
      </c>
      <c r="AB19" s="2">
        <f t="shared" si="9"/>
        <v>76.599999999999994</v>
      </c>
      <c r="AC19" s="2"/>
      <c r="AD19" s="2"/>
      <c r="AE19" s="2" t="str">
        <f t="shared" si="11"/>
        <v/>
      </c>
      <c r="AF19" s="3"/>
      <c r="AG19" s="2" t="str">
        <f t="shared" si="0"/>
        <v/>
      </c>
      <c r="AH19" s="29"/>
      <c r="AI19" s="1" t="str">
        <f t="shared" si="1"/>
        <v/>
      </c>
      <c r="AJ19">
        <v>1</v>
      </c>
      <c r="AK19">
        <v>1</v>
      </c>
      <c r="AL19">
        <f t="shared" si="2"/>
        <v>0</v>
      </c>
      <c r="AM19">
        <f t="shared" si="3"/>
        <v>1</v>
      </c>
      <c r="AN19">
        <f t="shared" si="4"/>
        <v>0</v>
      </c>
      <c r="AO19">
        <f t="shared" si="12"/>
        <v>1</v>
      </c>
      <c r="AP19" s="1"/>
      <c r="AQ19">
        <f t="shared" si="14"/>
        <v>-1</v>
      </c>
      <c r="AR19">
        <f t="shared" si="15"/>
        <v>0</v>
      </c>
      <c r="AS19">
        <f t="shared" si="16"/>
        <v>0</v>
      </c>
      <c r="AT19" t="str">
        <f t="shared" si="17"/>
        <v>groot</v>
      </c>
    </row>
    <row r="20" spans="1:46" customFormat="1" x14ac:dyDescent="0.25">
      <c r="A20" s="34">
        <v>4</v>
      </c>
      <c r="B20">
        <v>22</v>
      </c>
      <c r="C20">
        <v>5</v>
      </c>
      <c r="D20" t="s">
        <v>271</v>
      </c>
      <c r="E20" t="s">
        <v>47</v>
      </c>
      <c r="F20" s="15" t="s">
        <v>272</v>
      </c>
      <c r="G20" s="3">
        <v>2246</v>
      </c>
      <c r="H20" s="21"/>
      <c r="J20" s="21">
        <v>1</v>
      </c>
      <c r="K20" s="21">
        <v>0</v>
      </c>
      <c r="L20">
        <v>2021</v>
      </c>
      <c r="M20">
        <v>2023</v>
      </c>
      <c r="N20">
        <v>2023</v>
      </c>
      <c r="O20">
        <v>2025</v>
      </c>
      <c r="P20">
        <v>2025</v>
      </c>
      <c r="Q20">
        <v>2028</v>
      </c>
      <c r="R20">
        <f t="shared" si="20"/>
        <v>2</v>
      </c>
      <c r="S20">
        <f t="shared" si="21"/>
        <v>2</v>
      </c>
      <c r="T20">
        <f t="shared" si="22"/>
        <v>3</v>
      </c>
      <c r="U20" s="6">
        <f t="shared" si="23"/>
        <v>7</v>
      </c>
      <c r="V20" s="6">
        <f>U20-U21</f>
        <v>-2</v>
      </c>
      <c r="W20" s="2"/>
      <c r="X20" s="2">
        <f>U20-U24</f>
        <v>0</v>
      </c>
      <c r="Y20" s="19">
        <f>0.6/0.9</f>
        <v>0.66666666666666663</v>
      </c>
      <c r="Z20" s="19">
        <f>0.4/0.9</f>
        <v>0.44444444444444448</v>
      </c>
      <c r="AA20" s="19">
        <f>19.2/0.9</f>
        <v>21.333333333333332</v>
      </c>
      <c r="AB20" s="2">
        <f t="shared" si="9"/>
        <v>22.444444444444443</v>
      </c>
      <c r="AC20" s="2">
        <f t="shared" ref="AC20:AC24" si="24">AB20-AB21</f>
        <v>-7.0000000000003837E-2</v>
      </c>
      <c r="AD20" s="2"/>
      <c r="AE20" s="2">
        <f t="shared" si="11"/>
        <v>-7.0000000000003837E-2</v>
      </c>
      <c r="AF20" s="3"/>
      <c r="AG20" s="2">
        <f t="shared" si="0"/>
        <v>102.30998476669174</v>
      </c>
      <c r="AH20" s="29"/>
      <c r="AI20" s="1">
        <f t="shared" si="1"/>
        <v>-1.0626288311432042</v>
      </c>
      <c r="AK20" s="6">
        <f>IF(AB20&gt;64.2061111111111,1,0)</f>
        <v>0</v>
      </c>
      <c r="AL20">
        <f t="shared" si="2"/>
        <v>0</v>
      </c>
      <c r="AM20">
        <f t="shared" si="3"/>
        <v>0</v>
      </c>
      <c r="AN20">
        <f t="shared" si="4"/>
        <v>0</v>
      </c>
      <c r="AO20">
        <f t="shared" si="12"/>
        <v>5</v>
      </c>
      <c r="AP20" s="1">
        <f t="shared" si="13"/>
        <v>9.9930741070545164</v>
      </c>
      <c r="AQ20">
        <f t="shared" si="14"/>
        <v>3</v>
      </c>
      <c r="AR20">
        <f t="shared" si="15"/>
        <v>1</v>
      </c>
      <c r="AS20">
        <f t="shared" si="16"/>
        <v>1</v>
      </c>
      <c r="AT20" t="str">
        <f t="shared" si="17"/>
        <v>klein</v>
      </c>
    </row>
    <row r="21" spans="1:46" customFormat="1" x14ac:dyDescent="0.25">
      <c r="A21" s="34">
        <v>4</v>
      </c>
      <c r="B21">
        <v>21</v>
      </c>
      <c r="C21">
        <v>5</v>
      </c>
      <c r="D21" t="s">
        <v>46</v>
      </c>
      <c r="E21" t="s">
        <v>47</v>
      </c>
      <c r="F21" t="s">
        <v>48</v>
      </c>
      <c r="G21" s="3">
        <v>2144</v>
      </c>
      <c r="H21" s="21">
        <v>3</v>
      </c>
      <c r="I21" t="s">
        <v>49</v>
      </c>
      <c r="J21" s="21">
        <v>0</v>
      </c>
      <c r="K21" s="21">
        <v>0</v>
      </c>
      <c r="L21">
        <v>2020</v>
      </c>
      <c r="M21">
        <v>2022</v>
      </c>
      <c r="N21">
        <v>2022</v>
      </c>
      <c r="O21">
        <v>2024</v>
      </c>
      <c r="P21">
        <v>2024</v>
      </c>
      <c r="Q21">
        <v>2029</v>
      </c>
      <c r="R21">
        <f t="shared" si="20"/>
        <v>2</v>
      </c>
      <c r="S21">
        <f t="shared" si="21"/>
        <v>2</v>
      </c>
      <c r="T21">
        <f t="shared" si="22"/>
        <v>5</v>
      </c>
      <c r="U21" s="6">
        <f t="shared" si="23"/>
        <v>9</v>
      </c>
      <c r="V21" s="6">
        <f>U21-U22</f>
        <v>-1</v>
      </c>
      <c r="W21" s="2">
        <f>U21-U24</f>
        <v>2</v>
      </c>
      <c r="X21" s="2"/>
      <c r="Y21" s="19">
        <v>2</v>
      </c>
      <c r="Z21" s="19">
        <v>2.37</v>
      </c>
      <c r="AA21" s="19">
        <v>18.144444444444446</v>
      </c>
      <c r="AB21" s="2">
        <f t="shared" si="9"/>
        <v>22.514444444444447</v>
      </c>
      <c r="AC21" s="2">
        <f t="shared" si="24"/>
        <v>-1.2555555555555564</v>
      </c>
      <c r="AD21" s="2">
        <f>AB21-AB24</f>
        <v>-1.1855555555555561</v>
      </c>
      <c r="AE21" s="2" t="str">
        <f t="shared" si="11"/>
        <v/>
      </c>
      <c r="AF21" s="3">
        <f>G21-G24</f>
        <v>0.30998476669174124</v>
      </c>
      <c r="AG21" s="2" t="str">
        <f t="shared" si="0"/>
        <v/>
      </c>
      <c r="AH21" s="29"/>
      <c r="AI21" s="1" t="str">
        <f t="shared" si="1"/>
        <v/>
      </c>
      <c r="AJ21">
        <v>0</v>
      </c>
      <c r="AK21">
        <v>0</v>
      </c>
      <c r="AL21">
        <f t="shared" si="2"/>
        <v>1</v>
      </c>
      <c r="AM21">
        <f t="shared" si="3"/>
        <v>0</v>
      </c>
      <c r="AN21">
        <f t="shared" si="4"/>
        <v>0</v>
      </c>
      <c r="AO21">
        <f t="shared" si="12"/>
        <v>4</v>
      </c>
      <c r="AP21" s="1">
        <f t="shared" si="13"/>
        <v>10.501140132669985</v>
      </c>
      <c r="AQ21">
        <f t="shared" si="14"/>
        <v>2</v>
      </c>
      <c r="AR21">
        <f t="shared" si="15"/>
        <v>1</v>
      </c>
      <c r="AS21">
        <f t="shared" si="16"/>
        <v>1</v>
      </c>
      <c r="AT21" t="str">
        <f t="shared" si="17"/>
        <v>klein</v>
      </c>
    </row>
    <row r="22" spans="1:46" customFormat="1" x14ac:dyDescent="0.25">
      <c r="A22" s="34">
        <v>4</v>
      </c>
      <c r="B22">
        <v>20</v>
      </c>
      <c r="C22">
        <v>9</v>
      </c>
      <c r="D22" t="s">
        <v>46</v>
      </c>
      <c r="E22" t="s">
        <v>47</v>
      </c>
      <c r="F22" t="s">
        <v>50</v>
      </c>
      <c r="G22" s="3">
        <v>2143.6900152333083</v>
      </c>
      <c r="H22" s="21">
        <v>4</v>
      </c>
      <c r="I22" t="s">
        <v>49</v>
      </c>
      <c r="J22" s="21">
        <v>0</v>
      </c>
      <c r="K22" s="21">
        <v>0</v>
      </c>
      <c r="L22">
        <v>2016</v>
      </c>
      <c r="M22">
        <v>2020</v>
      </c>
      <c r="N22">
        <v>2020</v>
      </c>
      <c r="O22">
        <v>2022</v>
      </c>
      <c r="P22">
        <v>2022</v>
      </c>
      <c r="Q22">
        <v>2026</v>
      </c>
      <c r="R22">
        <f t="shared" si="20"/>
        <v>4</v>
      </c>
      <c r="S22">
        <f t="shared" si="21"/>
        <v>2</v>
      </c>
      <c r="T22">
        <f t="shared" si="22"/>
        <v>4</v>
      </c>
      <c r="U22" s="6">
        <f t="shared" si="23"/>
        <v>10</v>
      </c>
      <c r="V22" s="6">
        <f>U22-U23</f>
        <v>3</v>
      </c>
      <c r="W22" s="2"/>
      <c r="X22" s="2"/>
      <c r="Y22" s="19">
        <v>3.5700000000000003</v>
      </c>
      <c r="Z22" s="19">
        <v>1.8</v>
      </c>
      <c r="AA22" s="19">
        <v>18.400000000000002</v>
      </c>
      <c r="AB22" s="2">
        <f t="shared" si="9"/>
        <v>23.770000000000003</v>
      </c>
      <c r="AC22" s="2">
        <f t="shared" si="24"/>
        <v>5.5000000000003268E-2</v>
      </c>
      <c r="AD22" s="2"/>
      <c r="AE22" s="2" t="str">
        <f t="shared" si="11"/>
        <v/>
      </c>
      <c r="AF22" s="3"/>
      <c r="AG22" s="2" t="str">
        <f t="shared" si="0"/>
        <v/>
      </c>
      <c r="AH22" s="29"/>
      <c r="AI22" s="1" t="str">
        <f t="shared" si="1"/>
        <v/>
      </c>
      <c r="AJ22">
        <v>0</v>
      </c>
      <c r="AK22">
        <v>0</v>
      </c>
      <c r="AL22">
        <f t="shared" si="2"/>
        <v>0</v>
      </c>
      <c r="AM22">
        <f t="shared" si="3"/>
        <v>1</v>
      </c>
      <c r="AN22">
        <f t="shared" si="4"/>
        <v>0</v>
      </c>
      <c r="AO22">
        <f t="shared" si="12"/>
        <v>2</v>
      </c>
      <c r="AP22" s="1">
        <f t="shared" si="13"/>
        <v>11.088356913120668</v>
      </c>
      <c r="AQ22">
        <f t="shared" si="14"/>
        <v>0</v>
      </c>
      <c r="AR22">
        <f t="shared" si="15"/>
        <v>0</v>
      </c>
      <c r="AS22">
        <f t="shared" si="16"/>
        <v>1</v>
      </c>
      <c r="AT22" t="str">
        <f t="shared" si="17"/>
        <v>klein</v>
      </c>
    </row>
    <row r="23" spans="1:46" customFormat="1" x14ac:dyDescent="0.25">
      <c r="A23" s="34">
        <v>4</v>
      </c>
      <c r="B23">
        <v>19</v>
      </c>
      <c r="C23">
        <v>7</v>
      </c>
      <c r="D23" t="s">
        <v>46</v>
      </c>
      <c r="E23" t="s">
        <v>47</v>
      </c>
      <c r="F23" t="s">
        <v>50</v>
      </c>
      <c r="G23" s="3">
        <v>2143.6900152333083</v>
      </c>
      <c r="H23" s="21">
        <v>3</v>
      </c>
      <c r="I23" t="s">
        <v>49</v>
      </c>
      <c r="J23" s="21">
        <v>0</v>
      </c>
      <c r="K23" s="21">
        <v>0</v>
      </c>
      <c r="L23">
        <v>2016</v>
      </c>
      <c r="M23">
        <v>2018</v>
      </c>
      <c r="N23">
        <v>2018</v>
      </c>
      <c r="O23">
        <v>2021</v>
      </c>
      <c r="P23">
        <v>2021</v>
      </c>
      <c r="Q23">
        <v>2023</v>
      </c>
      <c r="R23">
        <f t="shared" si="20"/>
        <v>2</v>
      </c>
      <c r="S23">
        <f t="shared" si="21"/>
        <v>3</v>
      </c>
      <c r="T23">
        <f t="shared" si="22"/>
        <v>2</v>
      </c>
      <c r="U23" s="6">
        <f t="shared" si="23"/>
        <v>7</v>
      </c>
      <c r="V23" s="6">
        <f>U23-U24</f>
        <v>0</v>
      </c>
      <c r="W23" s="2"/>
      <c r="X23" s="2"/>
      <c r="Y23" s="19">
        <v>1.2</v>
      </c>
      <c r="Z23" s="19">
        <v>2.37</v>
      </c>
      <c r="AA23" s="19">
        <v>20.145</v>
      </c>
      <c r="AB23" s="2">
        <f t="shared" si="9"/>
        <v>23.715</v>
      </c>
      <c r="AC23" s="2">
        <f t="shared" si="24"/>
        <v>1.4999999999997016E-2</v>
      </c>
      <c r="AD23" s="2"/>
      <c r="AE23" s="2" t="str">
        <f t="shared" si="11"/>
        <v/>
      </c>
      <c r="AF23" s="3"/>
      <c r="AG23" s="2" t="str">
        <f t="shared" si="0"/>
        <v/>
      </c>
      <c r="AH23" s="29"/>
      <c r="AI23" s="1" t="str">
        <f t="shared" si="1"/>
        <v/>
      </c>
      <c r="AJ23">
        <v>0</v>
      </c>
      <c r="AK23">
        <v>0</v>
      </c>
      <c r="AL23">
        <f t="shared" si="2"/>
        <v>0</v>
      </c>
      <c r="AM23">
        <f t="shared" si="3"/>
        <v>1</v>
      </c>
      <c r="AN23">
        <f t="shared" si="4"/>
        <v>0</v>
      </c>
      <c r="AO23">
        <f t="shared" si="12"/>
        <v>1</v>
      </c>
      <c r="AP23" s="1">
        <f t="shared" si="13"/>
        <v>11.062700218538351</v>
      </c>
      <c r="AQ23">
        <f t="shared" si="14"/>
        <v>-2</v>
      </c>
      <c r="AR23">
        <f t="shared" si="15"/>
        <v>0</v>
      </c>
      <c r="AS23">
        <f t="shared" si="16"/>
        <v>1</v>
      </c>
      <c r="AT23" t="str">
        <f t="shared" si="17"/>
        <v>klein</v>
      </c>
    </row>
    <row r="24" spans="1:46" customFormat="1" x14ac:dyDescent="0.25">
      <c r="A24" s="34">
        <v>4</v>
      </c>
      <c r="B24">
        <v>18</v>
      </c>
      <c r="C24">
        <v>10</v>
      </c>
      <c r="D24" t="s">
        <v>46</v>
      </c>
      <c r="E24" t="s">
        <v>47</v>
      </c>
      <c r="F24" t="s">
        <v>50</v>
      </c>
      <c r="G24" s="3">
        <v>2143.6900152333083</v>
      </c>
      <c r="H24" s="21">
        <v>3</v>
      </c>
      <c r="I24" t="s">
        <v>49</v>
      </c>
      <c r="J24" s="21">
        <v>0</v>
      </c>
      <c r="K24" s="21">
        <v>0</v>
      </c>
      <c r="L24">
        <v>2016</v>
      </c>
      <c r="M24">
        <v>2019</v>
      </c>
      <c r="N24">
        <v>2019</v>
      </c>
      <c r="O24">
        <v>2021</v>
      </c>
      <c r="P24">
        <v>2021</v>
      </c>
      <c r="Q24">
        <v>2023</v>
      </c>
      <c r="R24">
        <f t="shared" si="20"/>
        <v>3</v>
      </c>
      <c r="S24">
        <f t="shared" si="21"/>
        <v>2</v>
      </c>
      <c r="T24">
        <f t="shared" si="22"/>
        <v>2</v>
      </c>
      <c r="U24" s="6">
        <f t="shared" si="23"/>
        <v>7</v>
      </c>
      <c r="V24" s="6">
        <f>U24-U25</f>
        <v>0</v>
      </c>
      <c r="W24" s="2"/>
      <c r="X24" s="2"/>
      <c r="Y24" s="19">
        <v>1.2</v>
      </c>
      <c r="Z24" s="19">
        <v>2.4</v>
      </c>
      <c r="AA24" s="19">
        <v>20.100000000000001</v>
      </c>
      <c r="AB24" s="2">
        <f t="shared" si="9"/>
        <v>23.700000000000003</v>
      </c>
      <c r="AC24" s="2">
        <f t="shared" si="24"/>
        <v>0</v>
      </c>
      <c r="AD24" s="2"/>
      <c r="AE24" s="2" t="str">
        <f t="shared" si="11"/>
        <v/>
      </c>
      <c r="AF24" s="3"/>
      <c r="AG24" s="2" t="str">
        <f t="shared" si="0"/>
        <v/>
      </c>
      <c r="AH24" s="29"/>
      <c r="AI24" s="1" t="str">
        <f t="shared" si="1"/>
        <v/>
      </c>
      <c r="AJ24">
        <v>0</v>
      </c>
      <c r="AK24">
        <v>0</v>
      </c>
      <c r="AL24">
        <f t="shared" si="2"/>
        <v>0</v>
      </c>
      <c r="AM24">
        <f t="shared" si="3"/>
        <v>1</v>
      </c>
      <c r="AN24">
        <f t="shared" si="4"/>
        <v>0</v>
      </c>
      <c r="AO24">
        <f t="shared" si="12"/>
        <v>1</v>
      </c>
      <c r="AP24" s="1">
        <f t="shared" si="13"/>
        <v>11.055702938197721</v>
      </c>
      <c r="AQ24">
        <f t="shared" si="14"/>
        <v>-1</v>
      </c>
      <c r="AR24">
        <f t="shared" si="15"/>
        <v>0</v>
      </c>
      <c r="AS24">
        <f t="shared" si="16"/>
        <v>0</v>
      </c>
      <c r="AT24" t="str">
        <f t="shared" si="17"/>
        <v>klein</v>
      </c>
    </row>
    <row r="25" spans="1:46" customFormat="1" x14ac:dyDescent="0.25">
      <c r="A25" s="34">
        <v>4</v>
      </c>
      <c r="B25">
        <v>17</v>
      </c>
      <c r="C25">
        <v>9</v>
      </c>
      <c r="D25" t="s">
        <v>46</v>
      </c>
      <c r="E25" t="s">
        <v>47</v>
      </c>
      <c r="F25" t="s">
        <v>50</v>
      </c>
      <c r="G25" s="3"/>
      <c r="H25" s="21"/>
      <c r="J25" s="21">
        <v>0</v>
      </c>
      <c r="K25" s="21">
        <v>0</v>
      </c>
      <c r="L25">
        <v>2016</v>
      </c>
      <c r="M25">
        <v>2019</v>
      </c>
      <c r="N25">
        <v>2019</v>
      </c>
      <c r="O25">
        <v>2021</v>
      </c>
      <c r="P25">
        <v>2021</v>
      </c>
      <c r="Q25">
        <v>2023</v>
      </c>
      <c r="R25">
        <f t="shared" si="20"/>
        <v>3</v>
      </c>
      <c r="S25">
        <f t="shared" si="21"/>
        <v>2</v>
      </c>
      <c r="T25">
        <f t="shared" si="22"/>
        <v>2</v>
      </c>
      <c r="U25" s="6">
        <f t="shared" si="23"/>
        <v>7</v>
      </c>
      <c r="W25" s="2"/>
      <c r="X25" s="2"/>
      <c r="Y25" s="19">
        <v>1.2</v>
      </c>
      <c r="Z25" s="19">
        <v>2.4</v>
      </c>
      <c r="AA25" s="19">
        <v>20.100000000000001</v>
      </c>
      <c r="AB25" s="2">
        <f t="shared" si="9"/>
        <v>23.700000000000003</v>
      </c>
      <c r="AC25" s="2"/>
      <c r="AD25" s="2"/>
      <c r="AE25" s="2" t="str">
        <f t="shared" si="11"/>
        <v/>
      </c>
      <c r="AF25" s="3"/>
      <c r="AG25" s="2" t="str">
        <f t="shared" si="0"/>
        <v/>
      </c>
      <c r="AH25" s="29"/>
      <c r="AI25" s="1" t="str">
        <f t="shared" si="1"/>
        <v/>
      </c>
      <c r="AJ25">
        <v>0</v>
      </c>
      <c r="AK25">
        <v>0</v>
      </c>
      <c r="AL25">
        <f t="shared" si="2"/>
        <v>0</v>
      </c>
      <c r="AM25">
        <f t="shared" si="3"/>
        <v>1</v>
      </c>
      <c r="AN25">
        <f t="shared" si="4"/>
        <v>0</v>
      </c>
      <c r="AO25">
        <f t="shared" si="12"/>
        <v>1</v>
      </c>
      <c r="AP25" s="1"/>
      <c r="AQ25">
        <f t="shared" si="14"/>
        <v>-1</v>
      </c>
      <c r="AR25">
        <f t="shared" si="15"/>
        <v>0</v>
      </c>
      <c r="AS25">
        <f t="shared" si="16"/>
        <v>0</v>
      </c>
      <c r="AT25" t="str">
        <f t="shared" si="17"/>
        <v>klein</v>
      </c>
    </row>
    <row r="26" spans="1:46" customFormat="1" x14ac:dyDescent="0.25">
      <c r="A26" s="34">
        <v>5</v>
      </c>
      <c r="B26">
        <v>22</v>
      </c>
      <c r="C26">
        <v>6</v>
      </c>
      <c r="D26" t="s">
        <v>51</v>
      </c>
      <c r="E26" t="s">
        <v>29</v>
      </c>
      <c r="F26" t="s">
        <v>52</v>
      </c>
      <c r="G26" s="3">
        <v>38459</v>
      </c>
      <c r="H26" s="21"/>
      <c r="J26" s="21">
        <v>0</v>
      </c>
      <c r="K26" s="21">
        <v>0</v>
      </c>
      <c r="L26">
        <v>2019</v>
      </c>
      <c r="M26">
        <v>2021</v>
      </c>
      <c r="N26">
        <v>2021</v>
      </c>
      <c r="O26">
        <v>2025</v>
      </c>
      <c r="P26">
        <v>2025</v>
      </c>
      <c r="Q26">
        <v>2036</v>
      </c>
      <c r="R26">
        <f t="shared" si="20"/>
        <v>2</v>
      </c>
      <c r="S26">
        <f t="shared" si="21"/>
        <v>4</v>
      </c>
      <c r="T26">
        <f t="shared" si="22"/>
        <v>11</v>
      </c>
      <c r="U26" s="6">
        <f t="shared" si="23"/>
        <v>17</v>
      </c>
      <c r="V26" s="6">
        <f>U26-U27</f>
        <v>5</v>
      </c>
      <c r="W26" s="2"/>
      <c r="X26" s="2">
        <f>U26-U30</f>
        <v>8</v>
      </c>
      <c r="Y26" s="19">
        <f>12.2/0.9</f>
        <v>13.555555555555554</v>
      </c>
      <c r="Z26" s="19">
        <f>24.3/0.9</f>
        <v>27</v>
      </c>
      <c r="AA26" s="19">
        <f>159/0.9</f>
        <v>176.66666666666666</v>
      </c>
      <c r="AB26" s="2">
        <f t="shared" si="9"/>
        <v>217.22222222222223</v>
      </c>
      <c r="AC26" s="2">
        <f t="shared" ref="AC26:AC30" si="25">AB26-AB27</f>
        <v>3.9077777777777669</v>
      </c>
      <c r="AD26" s="2"/>
      <c r="AE26" s="2">
        <f t="shared" si="11"/>
        <v>-6.582222222222228</v>
      </c>
      <c r="AF26" s="3"/>
      <c r="AG26" s="2">
        <f t="shared" si="0"/>
        <v>25059.240667356971</v>
      </c>
      <c r="AH26" s="29"/>
      <c r="AI26" s="1">
        <f t="shared" si="1"/>
        <v>-0.55407166650776851</v>
      </c>
      <c r="AK26" s="6">
        <f>IF(AB26&gt;64.2061111111111,1,0)</f>
        <v>1</v>
      </c>
      <c r="AL26">
        <f t="shared" si="2"/>
        <v>1</v>
      </c>
      <c r="AM26">
        <f t="shared" si="3"/>
        <v>0</v>
      </c>
      <c r="AN26">
        <f t="shared" si="4"/>
        <v>0</v>
      </c>
      <c r="AO26">
        <f t="shared" si="12"/>
        <v>5</v>
      </c>
      <c r="AP26" s="1">
        <f t="shared" si="13"/>
        <v>5.6481505557144542</v>
      </c>
      <c r="AQ26">
        <f t="shared" si="14"/>
        <v>1</v>
      </c>
      <c r="AR26">
        <f t="shared" si="15"/>
        <v>1</v>
      </c>
      <c r="AS26">
        <f t="shared" si="16"/>
        <v>1</v>
      </c>
      <c r="AT26" t="str">
        <f t="shared" si="17"/>
        <v>groot</v>
      </c>
    </row>
    <row r="27" spans="1:46" customFormat="1" x14ac:dyDescent="0.25">
      <c r="A27" s="34">
        <v>5</v>
      </c>
      <c r="B27">
        <v>21</v>
      </c>
      <c r="C27">
        <v>6</v>
      </c>
      <c r="D27" t="s">
        <v>51</v>
      </c>
      <c r="E27" t="s">
        <v>29</v>
      </c>
      <c r="F27" t="s">
        <v>52</v>
      </c>
      <c r="G27" s="3">
        <v>38459</v>
      </c>
      <c r="H27" s="21"/>
      <c r="I27" t="s">
        <v>53</v>
      </c>
      <c r="J27" s="21">
        <v>1</v>
      </c>
      <c r="K27" s="21">
        <v>0</v>
      </c>
      <c r="L27">
        <v>2018</v>
      </c>
      <c r="M27">
        <v>2023</v>
      </c>
      <c r="N27">
        <v>2023</v>
      </c>
      <c r="O27">
        <v>2025</v>
      </c>
      <c r="P27">
        <v>2025</v>
      </c>
      <c r="Q27">
        <v>2030</v>
      </c>
      <c r="R27">
        <f t="shared" si="20"/>
        <v>5</v>
      </c>
      <c r="S27">
        <f t="shared" si="21"/>
        <v>2</v>
      </c>
      <c r="T27">
        <f t="shared" si="22"/>
        <v>5</v>
      </c>
      <c r="U27" s="6">
        <f t="shared" si="23"/>
        <v>12</v>
      </c>
      <c r="V27" s="6">
        <f>U27-U28</f>
        <v>-2</v>
      </c>
      <c r="W27" s="2">
        <f>U27-U30</f>
        <v>3</v>
      </c>
      <c r="X27" s="2"/>
      <c r="Y27" s="19">
        <v>9.3699999999999992</v>
      </c>
      <c r="Z27" s="19">
        <v>21.555555555555554</v>
      </c>
      <c r="AA27" s="19">
        <v>182.38888888888891</v>
      </c>
      <c r="AB27" s="2">
        <f t="shared" si="9"/>
        <v>213.31444444444446</v>
      </c>
      <c r="AC27" s="2">
        <f t="shared" si="25"/>
        <v>109.52555555555558</v>
      </c>
      <c r="AD27" s="2">
        <f>AB27-AB30</f>
        <v>129.58444444444444</v>
      </c>
      <c r="AE27" s="2" t="str">
        <f t="shared" si="11"/>
        <v/>
      </c>
      <c r="AF27" s="3">
        <f>G27-G30</f>
        <v>25059.240667356971</v>
      </c>
      <c r="AG27" s="2" t="str">
        <f t="shared" si="0"/>
        <v/>
      </c>
      <c r="AH27" s="29">
        <f>((AB27)/(G27/1000))-((AB30)/(G30/1000))</f>
        <v>-0.70207806215863755</v>
      </c>
      <c r="AI27" s="1" t="str">
        <f t="shared" si="1"/>
        <v/>
      </c>
      <c r="AJ27">
        <v>1</v>
      </c>
      <c r="AK27">
        <v>1</v>
      </c>
      <c r="AL27">
        <f t="shared" si="2"/>
        <v>1</v>
      </c>
      <c r="AM27">
        <f t="shared" si="3"/>
        <v>0</v>
      </c>
      <c r="AN27">
        <f t="shared" si="4"/>
        <v>0</v>
      </c>
      <c r="AO27">
        <f t="shared" si="12"/>
        <v>5</v>
      </c>
      <c r="AP27" s="1">
        <f t="shared" si="13"/>
        <v>5.5465416273029575</v>
      </c>
      <c r="AQ27">
        <f t="shared" si="14"/>
        <v>3</v>
      </c>
      <c r="AR27">
        <f t="shared" si="15"/>
        <v>1</v>
      </c>
      <c r="AS27">
        <f t="shared" si="16"/>
        <v>1</v>
      </c>
      <c r="AT27" t="str">
        <f t="shared" si="17"/>
        <v>groot</v>
      </c>
    </row>
    <row r="28" spans="1:46" customFormat="1" x14ac:dyDescent="0.25">
      <c r="A28" s="34">
        <v>5</v>
      </c>
      <c r="B28">
        <v>20</v>
      </c>
      <c r="C28">
        <v>14</v>
      </c>
      <c r="D28" t="s">
        <v>54</v>
      </c>
      <c r="E28" t="s">
        <v>29</v>
      </c>
      <c r="F28" t="s">
        <v>55</v>
      </c>
      <c r="G28" s="3">
        <v>13500</v>
      </c>
      <c r="H28" s="21">
        <v>9</v>
      </c>
      <c r="I28" t="s">
        <v>56</v>
      </c>
      <c r="J28" s="21">
        <v>0</v>
      </c>
      <c r="K28" s="21">
        <v>0</v>
      </c>
      <c r="L28">
        <v>2018</v>
      </c>
      <c r="M28">
        <v>2023</v>
      </c>
      <c r="N28">
        <v>2023</v>
      </c>
      <c r="O28">
        <v>2026</v>
      </c>
      <c r="P28">
        <v>2026</v>
      </c>
      <c r="Q28">
        <v>2032</v>
      </c>
      <c r="R28">
        <f t="shared" si="20"/>
        <v>5</v>
      </c>
      <c r="S28">
        <f t="shared" si="21"/>
        <v>3</v>
      </c>
      <c r="T28">
        <f t="shared" si="22"/>
        <v>6</v>
      </c>
      <c r="U28" s="6">
        <f t="shared" si="23"/>
        <v>14</v>
      </c>
      <c r="V28" s="6">
        <f>U28-U29</f>
        <v>5</v>
      </c>
      <c r="W28" s="2"/>
      <c r="X28" s="2"/>
      <c r="Y28" s="19">
        <v>8.3888888888888893</v>
      </c>
      <c r="Z28" s="19">
        <v>16.2</v>
      </c>
      <c r="AA28" s="19">
        <v>79.199999999999989</v>
      </c>
      <c r="AB28" s="2">
        <f t="shared" si="9"/>
        <v>103.78888888888888</v>
      </c>
      <c r="AC28" s="2">
        <f t="shared" si="25"/>
        <v>18.038888888888877</v>
      </c>
      <c r="AD28" s="2"/>
      <c r="AE28" s="2" t="str">
        <f t="shared" si="11"/>
        <v/>
      </c>
      <c r="AF28" s="3"/>
      <c r="AG28" s="2" t="str">
        <f t="shared" si="0"/>
        <v/>
      </c>
      <c r="AH28" s="29"/>
      <c r="AI28" s="1" t="str">
        <f t="shared" si="1"/>
        <v/>
      </c>
      <c r="AJ28">
        <v>1</v>
      </c>
      <c r="AK28">
        <v>1</v>
      </c>
      <c r="AL28">
        <f t="shared" si="2"/>
        <v>1</v>
      </c>
      <c r="AM28">
        <f t="shared" si="3"/>
        <v>0</v>
      </c>
      <c r="AN28">
        <f t="shared" si="4"/>
        <v>0</v>
      </c>
      <c r="AO28">
        <f t="shared" si="12"/>
        <v>6</v>
      </c>
      <c r="AP28" s="1">
        <f t="shared" si="13"/>
        <v>7.6880658436213984</v>
      </c>
      <c r="AQ28">
        <f t="shared" si="14"/>
        <v>3</v>
      </c>
      <c r="AR28">
        <f t="shared" si="15"/>
        <v>1</v>
      </c>
      <c r="AS28">
        <f t="shared" si="16"/>
        <v>1</v>
      </c>
      <c r="AT28" t="str">
        <f t="shared" si="17"/>
        <v>groot</v>
      </c>
    </row>
    <row r="29" spans="1:46" customFormat="1" x14ac:dyDescent="0.25">
      <c r="A29" s="34">
        <v>5</v>
      </c>
      <c r="B29">
        <v>19</v>
      </c>
      <c r="C29">
        <v>13</v>
      </c>
      <c r="D29" t="s">
        <v>54</v>
      </c>
      <c r="E29" t="s">
        <v>29</v>
      </c>
      <c r="F29" t="s">
        <v>57</v>
      </c>
      <c r="G29" s="3">
        <v>13500</v>
      </c>
      <c r="H29" s="21"/>
      <c r="I29" t="s">
        <v>56</v>
      </c>
      <c r="J29" s="21">
        <v>0</v>
      </c>
      <c r="K29" s="21">
        <v>0</v>
      </c>
      <c r="L29">
        <v>2018</v>
      </c>
      <c r="M29">
        <v>2022</v>
      </c>
      <c r="N29">
        <v>2022</v>
      </c>
      <c r="O29">
        <v>2024</v>
      </c>
      <c r="P29">
        <v>2024</v>
      </c>
      <c r="Q29">
        <v>2027</v>
      </c>
      <c r="R29">
        <f t="shared" si="20"/>
        <v>4</v>
      </c>
      <c r="S29">
        <f t="shared" si="21"/>
        <v>2</v>
      </c>
      <c r="T29">
        <f t="shared" si="22"/>
        <v>3</v>
      </c>
      <c r="U29" s="6">
        <f t="shared" si="23"/>
        <v>9</v>
      </c>
      <c r="V29" s="6">
        <f>U29-U30</f>
        <v>0</v>
      </c>
      <c r="W29" s="2"/>
      <c r="X29" s="2"/>
      <c r="Y29" s="19">
        <v>6.94</v>
      </c>
      <c r="Z29" s="19">
        <v>8.6</v>
      </c>
      <c r="AA29" s="19">
        <v>70.209999999999994</v>
      </c>
      <c r="AB29" s="2">
        <f t="shared" si="9"/>
        <v>85.75</v>
      </c>
      <c r="AC29" s="2">
        <f t="shared" si="25"/>
        <v>2.019999999999996</v>
      </c>
      <c r="AD29" s="2"/>
      <c r="AE29" s="2" t="str">
        <f t="shared" si="11"/>
        <v/>
      </c>
      <c r="AF29" s="3"/>
      <c r="AG29" s="2" t="str">
        <f t="shared" si="0"/>
        <v/>
      </c>
      <c r="AH29" s="29"/>
      <c r="AI29" s="1" t="str">
        <f t="shared" si="1"/>
        <v/>
      </c>
      <c r="AJ29">
        <v>1</v>
      </c>
      <c r="AK29">
        <v>1</v>
      </c>
      <c r="AL29">
        <f t="shared" si="2"/>
        <v>1</v>
      </c>
      <c r="AM29">
        <f t="shared" si="3"/>
        <v>0</v>
      </c>
      <c r="AN29">
        <f t="shared" si="4"/>
        <v>0</v>
      </c>
      <c r="AO29">
        <f t="shared" si="12"/>
        <v>4</v>
      </c>
      <c r="AP29" s="1">
        <f t="shared" si="13"/>
        <v>6.3518518518518521</v>
      </c>
      <c r="AQ29">
        <f t="shared" si="14"/>
        <v>2</v>
      </c>
      <c r="AR29">
        <f t="shared" si="15"/>
        <v>1</v>
      </c>
      <c r="AS29">
        <f t="shared" si="16"/>
        <v>1</v>
      </c>
      <c r="AT29" t="str">
        <f t="shared" si="17"/>
        <v>groot</v>
      </c>
    </row>
    <row r="30" spans="1:46" customFormat="1" x14ac:dyDescent="0.25">
      <c r="A30" s="34">
        <v>5</v>
      </c>
      <c r="B30">
        <v>18</v>
      </c>
      <c r="C30">
        <v>17</v>
      </c>
      <c r="D30" t="s">
        <v>58</v>
      </c>
      <c r="E30" t="s">
        <v>29</v>
      </c>
      <c r="F30" t="s">
        <v>57</v>
      </c>
      <c r="G30" s="3">
        <v>13399.759332643031</v>
      </c>
      <c r="H30" s="21"/>
      <c r="I30" t="s">
        <v>56</v>
      </c>
      <c r="J30" s="21">
        <v>0</v>
      </c>
      <c r="K30" s="21">
        <v>0</v>
      </c>
      <c r="L30">
        <v>2018</v>
      </c>
      <c r="M30">
        <v>2022</v>
      </c>
      <c r="N30">
        <v>2022</v>
      </c>
      <c r="O30">
        <v>2024</v>
      </c>
      <c r="P30">
        <v>2024</v>
      </c>
      <c r="Q30">
        <v>2027</v>
      </c>
      <c r="R30">
        <f t="shared" si="20"/>
        <v>4</v>
      </c>
      <c r="S30">
        <f t="shared" si="21"/>
        <v>2</v>
      </c>
      <c r="T30">
        <f t="shared" si="22"/>
        <v>3</v>
      </c>
      <c r="U30" s="6">
        <f t="shared" si="23"/>
        <v>9</v>
      </c>
      <c r="V30" s="6">
        <f>U30-U31</f>
        <v>0</v>
      </c>
      <c r="W30" s="2"/>
      <c r="X30" s="2"/>
      <c r="Y30" s="19">
        <v>4.1400000000000006</v>
      </c>
      <c r="Z30" s="19">
        <v>8.48</v>
      </c>
      <c r="AA30" s="19">
        <v>71.11</v>
      </c>
      <c r="AB30" s="2">
        <f t="shared" si="9"/>
        <v>83.73</v>
      </c>
      <c r="AC30" s="2">
        <f t="shared" si="25"/>
        <v>10.489999999999995</v>
      </c>
      <c r="AD30" s="2"/>
      <c r="AE30" s="2" t="str">
        <f t="shared" si="11"/>
        <v/>
      </c>
      <c r="AF30" s="3"/>
      <c r="AG30" s="2" t="str">
        <f t="shared" si="0"/>
        <v/>
      </c>
      <c r="AH30" s="29"/>
      <c r="AI30" s="1" t="str">
        <f t="shared" si="1"/>
        <v/>
      </c>
      <c r="AJ30">
        <v>1</v>
      </c>
      <c r="AK30">
        <v>1</v>
      </c>
      <c r="AL30">
        <f t="shared" si="2"/>
        <v>1</v>
      </c>
      <c r="AM30">
        <f t="shared" si="3"/>
        <v>0</v>
      </c>
      <c r="AN30">
        <f t="shared" si="4"/>
        <v>0</v>
      </c>
      <c r="AO30">
        <f t="shared" si="12"/>
        <v>4</v>
      </c>
      <c r="AP30" s="1">
        <f t="shared" si="13"/>
        <v>6.2486196894615951</v>
      </c>
      <c r="AQ30">
        <f t="shared" si="14"/>
        <v>2</v>
      </c>
      <c r="AR30">
        <f t="shared" si="15"/>
        <v>1</v>
      </c>
      <c r="AS30">
        <f t="shared" si="16"/>
        <v>0</v>
      </c>
      <c r="AT30" t="str">
        <f t="shared" si="17"/>
        <v>groot</v>
      </c>
    </row>
    <row r="31" spans="1:46" customFormat="1" x14ac:dyDescent="0.25">
      <c r="A31" s="34">
        <v>5</v>
      </c>
      <c r="B31">
        <v>17</v>
      </c>
      <c r="C31">
        <v>15</v>
      </c>
      <c r="D31" t="s">
        <v>59</v>
      </c>
      <c r="E31" t="s">
        <v>29</v>
      </c>
      <c r="F31" t="s">
        <v>60</v>
      </c>
      <c r="G31" s="3"/>
      <c r="H31" s="21"/>
      <c r="I31" t="s">
        <v>56</v>
      </c>
      <c r="J31" s="21">
        <v>0</v>
      </c>
      <c r="K31" s="21">
        <v>0</v>
      </c>
      <c r="L31">
        <v>2018</v>
      </c>
      <c r="M31">
        <v>2022</v>
      </c>
      <c r="N31">
        <v>2022</v>
      </c>
      <c r="O31">
        <v>2024</v>
      </c>
      <c r="P31">
        <v>2024</v>
      </c>
      <c r="Q31">
        <v>2027</v>
      </c>
      <c r="R31">
        <f t="shared" si="20"/>
        <v>4</v>
      </c>
      <c r="S31">
        <f t="shared" si="21"/>
        <v>2</v>
      </c>
      <c r="T31">
        <f t="shared" si="22"/>
        <v>3</v>
      </c>
      <c r="U31" s="6">
        <f t="shared" si="23"/>
        <v>9</v>
      </c>
      <c r="W31" s="2"/>
      <c r="X31" s="2"/>
      <c r="Y31" s="19">
        <v>3.6399999999999997</v>
      </c>
      <c r="Z31" s="19">
        <v>7.4</v>
      </c>
      <c r="AA31" s="19">
        <v>62.2</v>
      </c>
      <c r="AB31" s="2">
        <f t="shared" si="9"/>
        <v>73.240000000000009</v>
      </c>
      <c r="AC31" s="2"/>
      <c r="AD31" s="2"/>
      <c r="AE31" s="2" t="str">
        <f t="shared" si="11"/>
        <v/>
      </c>
      <c r="AF31" s="3"/>
      <c r="AG31" s="2" t="str">
        <f t="shared" si="0"/>
        <v/>
      </c>
      <c r="AH31" s="29"/>
      <c r="AI31" s="1" t="str">
        <f t="shared" si="1"/>
        <v/>
      </c>
      <c r="AJ31">
        <v>1</v>
      </c>
      <c r="AK31">
        <v>1</v>
      </c>
      <c r="AL31">
        <f t="shared" si="2"/>
        <v>1</v>
      </c>
      <c r="AM31">
        <f t="shared" si="3"/>
        <v>0</v>
      </c>
      <c r="AN31">
        <f t="shared" si="4"/>
        <v>0</v>
      </c>
      <c r="AO31">
        <f t="shared" si="12"/>
        <v>4</v>
      </c>
      <c r="AP31" s="1"/>
      <c r="AQ31">
        <f t="shared" si="14"/>
        <v>2</v>
      </c>
      <c r="AR31">
        <f t="shared" si="15"/>
        <v>1</v>
      </c>
      <c r="AS31">
        <f t="shared" si="16"/>
        <v>0</v>
      </c>
      <c r="AT31" t="str">
        <f t="shared" si="17"/>
        <v>groot</v>
      </c>
    </row>
    <row r="32" spans="1:46" customFormat="1" x14ac:dyDescent="0.25">
      <c r="A32" s="34">
        <v>6</v>
      </c>
      <c r="B32">
        <v>22</v>
      </c>
      <c r="C32">
        <v>7</v>
      </c>
      <c r="D32" t="s">
        <v>61</v>
      </c>
      <c r="E32" t="s">
        <v>29</v>
      </c>
      <c r="F32" t="s">
        <v>62</v>
      </c>
      <c r="G32" s="3">
        <v>2585</v>
      </c>
      <c r="H32" s="21"/>
      <c r="I32" t="s">
        <v>63</v>
      </c>
      <c r="J32" s="21">
        <v>0</v>
      </c>
      <c r="K32" s="21">
        <v>0</v>
      </c>
      <c r="L32">
        <v>2018</v>
      </c>
      <c r="M32">
        <v>2020</v>
      </c>
      <c r="N32">
        <v>2020</v>
      </c>
      <c r="O32">
        <v>2022</v>
      </c>
      <c r="P32">
        <v>2022</v>
      </c>
      <c r="Q32">
        <v>2025</v>
      </c>
      <c r="R32">
        <f t="shared" si="20"/>
        <v>2</v>
      </c>
      <c r="S32">
        <f t="shared" si="21"/>
        <v>2</v>
      </c>
      <c r="T32">
        <f t="shared" si="22"/>
        <v>3</v>
      </c>
      <c r="U32" s="6">
        <f t="shared" si="23"/>
        <v>7</v>
      </c>
      <c r="V32" s="6">
        <f>U32-U33</f>
        <v>0</v>
      </c>
      <c r="W32" s="2"/>
      <c r="X32" s="2">
        <f>U32-U36</f>
        <v>0</v>
      </c>
      <c r="Y32" s="19">
        <f>3.681/0.9</f>
        <v>4.09</v>
      </c>
      <c r="Z32" s="19">
        <f>5.7/0.9</f>
        <v>6.333333333333333</v>
      </c>
      <c r="AA32" s="19">
        <f>27.18/0.9</f>
        <v>30.2</v>
      </c>
      <c r="AB32" s="2">
        <f t="shared" si="9"/>
        <v>40.623333333333335</v>
      </c>
      <c r="AC32" s="2">
        <f t="shared" ref="AC32:AC36" si="26">AB32-AB33</f>
        <v>15.867777777777782</v>
      </c>
      <c r="AD32" s="2"/>
      <c r="AE32" s="2">
        <f t="shared" si="11"/>
        <v>17.367777777777778</v>
      </c>
      <c r="AF32" s="3"/>
      <c r="AG32" s="2">
        <f t="shared" si="0"/>
        <v>-110.94996646869367</v>
      </c>
      <c r="AH32" s="29"/>
      <c r="AI32" s="1">
        <f t="shared" si="1"/>
        <v>1.9928003438641735</v>
      </c>
      <c r="AK32" s="6">
        <f>IF(AB32&gt;64.2061111111111,1,0)</f>
        <v>0</v>
      </c>
      <c r="AL32">
        <f t="shared" si="2"/>
        <v>0</v>
      </c>
      <c r="AM32">
        <f t="shared" si="3"/>
        <v>1</v>
      </c>
      <c r="AN32">
        <f t="shared" si="4"/>
        <v>0</v>
      </c>
      <c r="AO32">
        <f t="shared" si="12"/>
        <v>2</v>
      </c>
      <c r="AP32" s="1">
        <f t="shared" si="13"/>
        <v>15.715022566086397</v>
      </c>
      <c r="AQ32">
        <f t="shared" si="14"/>
        <v>0</v>
      </c>
      <c r="AR32">
        <f t="shared" si="15"/>
        <v>0</v>
      </c>
      <c r="AS32">
        <f t="shared" si="16"/>
        <v>1</v>
      </c>
      <c r="AT32" t="str">
        <f t="shared" si="17"/>
        <v>klein</v>
      </c>
    </row>
    <row r="33" spans="1:46" customFormat="1" x14ac:dyDescent="0.25">
      <c r="A33" s="34">
        <v>6</v>
      </c>
      <c r="B33">
        <v>21</v>
      </c>
      <c r="C33">
        <v>7</v>
      </c>
      <c r="D33" t="s">
        <v>61</v>
      </c>
      <c r="E33" t="s">
        <v>29</v>
      </c>
      <c r="F33" t="s">
        <v>62</v>
      </c>
      <c r="G33" s="3">
        <v>2585</v>
      </c>
      <c r="H33" s="21"/>
      <c r="I33" t="s">
        <v>63</v>
      </c>
      <c r="J33" s="21">
        <v>0</v>
      </c>
      <c r="K33" s="21">
        <v>0</v>
      </c>
      <c r="L33">
        <v>2018</v>
      </c>
      <c r="M33">
        <v>2020</v>
      </c>
      <c r="N33">
        <v>2020</v>
      </c>
      <c r="O33">
        <v>2022</v>
      </c>
      <c r="P33">
        <v>2022</v>
      </c>
      <c r="Q33">
        <v>2025</v>
      </c>
      <c r="R33">
        <f t="shared" si="20"/>
        <v>2</v>
      </c>
      <c r="S33">
        <f t="shared" si="21"/>
        <v>2</v>
      </c>
      <c r="T33">
        <f t="shared" si="22"/>
        <v>3</v>
      </c>
      <c r="U33" s="6">
        <f t="shared" si="23"/>
        <v>7</v>
      </c>
      <c r="V33" s="6">
        <f>U33-U34</f>
        <v>1</v>
      </c>
      <c r="W33" s="2">
        <f>U33-U36</f>
        <v>0</v>
      </c>
      <c r="X33" s="2"/>
      <c r="Y33" s="19">
        <v>4.09</v>
      </c>
      <c r="Z33" s="19">
        <v>5.583333333333333</v>
      </c>
      <c r="AA33" s="19">
        <v>15.082222222222223</v>
      </c>
      <c r="AB33" s="2">
        <f t="shared" si="9"/>
        <v>24.755555555555553</v>
      </c>
      <c r="AC33" s="2">
        <f t="shared" si="26"/>
        <v>-41.912222222222219</v>
      </c>
      <c r="AD33" s="2">
        <f>AB33-AB36</f>
        <v>5.5555555555550029E-2</v>
      </c>
      <c r="AE33" s="2" t="str">
        <f t="shared" si="11"/>
        <v/>
      </c>
      <c r="AF33" s="3">
        <f>G33-G36</f>
        <v>-110.94996646869367</v>
      </c>
      <c r="AG33" s="2" t="str">
        <f t="shared" si="0"/>
        <v/>
      </c>
      <c r="AH33" s="29">
        <f>((AB33)/(G33/1000))-((AB36)/(G36/1000))</f>
        <v>0.41472613761414046</v>
      </c>
      <c r="AI33" s="1" t="str">
        <f t="shared" si="1"/>
        <v/>
      </c>
      <c r="AJ33">
        <v>0</v>
      </c>
      <c r="AK33">
        <v>0</v>
      </c>
      <c r="AL33">
        <f t="shared" si="2"/>
        <v>0</v>
      </c>
      <c r="AM33">
        <f t="shared" si="3"/>
        <v>1</v>
      </c>
      <c r="AN33">
        <f t="shared" si="4"/>
        <v>0</v>
      </c>
      <c r="AO33">
        <f t="shared" si="12"/>
        <v>2</v>
      </c>
      <c r="AP33" s="1">
        <f t="shared" si="13"/>
        <v>9.5766172361917032</v>
      </c>
      <c r="AQ33">
        <f t="shared" si="14"/>
        <v>0</v>
      </c>
      <c r="AR33">
        <f t="shared" si="15"/>
        <v>0</v>
      </c>
      <c r="AS33">
        <f t="shared" si="16"/>
        <v>1</v>
      </c>
      <c r="AT33" t="str">
        <f t="shared" si="17"/>
        <v>klein</v>
      </c>
    </row>
    <row r="34" spans="1:46" customFormat="1" x14ac:dyDescent="0.25">
      <c r="A34" s="34">
        <v>6</v>
      </c>
      <c r="B34">
        <v>20</v>
      </c>
      <c r="C34">
        <v>17</v>
      </c>
      <c r="D34" t="s">
        <v>61</v>
      </c>
      <c r="E34" t="s">
        <v>29</v>
      </c>
      <c r="F34" t="s">
        <v>64</v>
      </c>
      <c r="G34" s="3">
        <v>2585</v>
      </c>
      <c r="H34" s="21">
        <v>20</v>
      </c>
      <c r="I34" t="s">
        <v>63</v>
      </c>
      <c r="J34" s="21">
        <v>0</v>
      </c>
      <c r="K34" s="21">
        <v>0</v>
      </c>
      <c r="L34">
        <v>2018</v>
      </c>
      <c r="M34">
        <v>2020</v>
      </c>
      <c r="N34">
        <v>2020</v>
      </c>
      <c r="O34">
        <v>2022</v>
      </c>
      <c r="P34">
        <v>2022</v>
      </c>
      <c r="Q34">
        <v>2024</v>
      </c>
      <c r="R34">
        <f t="shared" si="20"/>
        <v>2</v>
      </c>
      <c r="S34">
        <f t="shared" si="21"/>
        <v>2</v>
      </c>
      <c r="T34">
        <f t="shared" si="22"/>
        <v>2</v>
      </c>
      <c r="U34" s="6">
        <f t="shared" si="23"/>
        <v>6</v>
      </c>
      <c r="V34" s="6">
        <f>U34-U35</f>
        <v>0</v>
      </c>
      <c r="W34" s="2"/>
      <c r="X34" s="2"/>
      <c r="Y34" s="19">
        <v>4.6377777777777771</v>
      </c>
      <c r="Z34" s="19">
        <v>5.03</v>
      </c>
      <c r="AA34" s="19">
        <v>57</v>
      </c>
      <c r="AB34" s="2">
        <f t="shared" si="9"/>
        <v>66.667777777777772</v>
      </c>
      <c r="AC34" s="2">
        <f t="shared" si="26"/>
        <v>40.867777777777775</v>
      </c>
      <c r="AD34" s="2"/>
      <c r="AE34" s="2" t="str">
        <f t="shared" si="11"/>
        <v/>
      </c>
      <c r="AF34" s="3"/>
      <c r="AG34" s="2" t="str">
        <f t="shared" si="0"/>
        <v/>
      </c>
      <c r="AH34" s="29"/>
      <c r="AI34" s="1" t="str">
        <f t="shared" si="1"/>
        <v/>
      </c>
      <c r="AJ34">
        <v>0</v>
      </c>
      <c r="AK34">
        <v>0</v>
      </c>
      <c r="AL34">
        <f t="shared" si="2"/>
        <v>0</v>
      </c>
      <c r="AM34">
        <f t="shared" si="3"/>
        <v>1</v>
      </c>
      <c r="AN34">
        <f t="shared" si="4"/>
        <v>0</v>
      </c>
      <c r="AO34">
        <f t="shared" si="12"/>
        <v>2</v>
      </c>
      <c r="AP34" s="1">
        <f t="shared" si="13"/>
        <v>25.790242854072641</v>
      </c>
      <c r="AQ34">
        <f t="shared" si="14"/>
        <v>0</v>
      </c>
      <c r="AR34">
        <f t="shared" si="15"/>
        <v>0</v>
      </c>
      <c r="AS34">
        <f t="shared" si="16"/>
        <v>1</v>
      </c>
      <c r="AT34" t="str">
        <f t="shared" si="17"/>
        <v>klein</v>
      </c>
    </row>
    <row r="35" spans="1:46" customFormat="1" x14ac:dyDescent="0.25">
      <c r="A35" s="34">
        <v>6</v>
      </c>
      <c r="B35">
        <v>19</v>
      </c>
      <c r="C35">
        <v>14</v>
      </c>
      <c r="D35" t="s">
        <v>61</v>
      </c>
      <c r="E35" t="s">
        <v>29</v>
      </c>
      <c r="F35" t="s">
        <v>64</v>
      </c>
      <c r="G35" s="3">
        <v>1800</v>
      </c>
      <c r="H35" s="21"/>
      <c r="I35" t="s">
        <v>63</v>
      </c>
      <c r="J35" s="21">
        <v>0</v>
      </c>
      <c r="K35" s="21">
        <v>0</v>
      </c>
      <c r="L35">
        <v>2018</v>
      </c>
      <c r="M35">
        <v>2020</v>
      </c>
      <c r="N35">
        <v>2020</v>
      </c>
      <c r="O35">
        <v>2022</v>
      </c>
      <c r="P35">
        <v>2022</v>
      </c>
      <c r="Q35">
        <v>2024</v>
      </c>
      <c r="R35">
        <f t="shared" si="20"/>
        <v>2</v>
      </c>
      <c r="S35">
        <f t="shared" si="21"/>
        <v>2</v>
      </c>
      <c r="T35">
        <f t="shared" si="22"/>
        <v>2</v>
      </c>
      <c r="U35" s="6">
        <f t="shared" si="23"/>
        <v>6</v>
      </c>
      <c r="V35" s="6">
        <f>U35-U36</f>
        <v>-1</v>
      </c>
      <c r="W35" s="2"/>
      <c r="X35" s="2"/>
      <c r="Y35" s="19">
        <v>2.2999999999999998</v>
      </c>
      <c r="Z35" s="19">
        <v>2.4</v>
      </c>
      <c r="AA35" s="19">
        <v>21.1</v>
      </c>
      <c r="AB35" s="2">
        <f t="shared" si="9"/>
        <v>25.8</v>
      </c>
      <c r="AC35" s="2">
        <f t="shared" si="26"/>
        <v>1.0999999999999979</v>
      </c>
      <c r="AD35" s="2"/>
      <c r="AE35" s="2" t="str">
        <f t="shared" si="11"/>
        <v/>
      </c>
      <c r="AF35" s="3"/>
      <c r="AG35" s="2" t="str">
        <f t="shared" si="0"/>
        <v/>
      </c>
      <c r="AH35" s="29"/>
      <c r="AI35" s="1" t="str">
        <f t="shared" si="1"/>
        <v/>
      </c>
      <c r="AJ35">
        <v>0</v>
      </c>
      <c r="AK35">
        <v>0</v>
      </c>
      <c r="AL35">
        <f t="shared" si="2"/>
        <v>0</v>
      </c>
      <c r="AM35">
        <f t="shared" si="3"/>
        <v>1</v>
      </c>
      <c r="AN35">
        <f t="shared" si="4"/>
        <v>0</v>
      </c>
      <c r="AO35">
        <f t="shared" si="12"/>
        <v>2</v>
      </c>
      <c r="AP35" s="1">
        <f t="shared" si="13"/>
        <v>14.333333333333334</v>
      </c>
      <c r="AQ35">
        <f t="shared" si="14"/>
        <v>0</v>
      </c>
      <c r="AR35">
        <f t="shared" si="15"/>
        <v>0</v>
      </c>
      <c r="AS35">
        <f t="shared" si="16"/>
        <v>1</v>
      </c>
      <c r="AT35" t="str">
        <f t="shared" si="17"/>
        <v>klein</v>
      </c>
    </row>
    <row r="36" spans="1:46" customFormat="1" x14ac:dyDescent="0.25">
      <c r="A36" s="34">
        <v>6</v>
      </c>
      <c r="B36">
        <v>18</v>
      </c>
      <c r="C36">
        <v>23</v>
      </c>
      <c r="D36" t="s">
        <v>61</v>
      </c>
      <c r="E36" t="s">
        <v>29</v>
      </c>
      <c r="F36" t="s">
        <v>64</v>
      </c>
      <c r="G36" s="3">
        <v>2695.9499664686937</v>
      </c>
      <c r="H36" s="21"/>
      <c r="I36" t="s">
        <v>63</v>
      </c>
      <c r="J36" s="21">
        <v>0</v>
      </c>
      <c r="K36" s="21">
        <v>0</v>
      </c>
      <c r="L36">
        <v>2018</v>
      </c>
      <c r="M36">
        <v>2020</v>
      </c>
      <c r="N36">
        <v>2020</v>
      </c>
      <c r="O36">
        <v>2022</v>
      </c>
      <c r="P36">
        <v>2022</v>
      </c>
      <c r="Q36">
        <v>2025</v>
      </c>
      <c r="R36">
        <f t="shared" si="20"/>
        <v>2</v>
      </c>
      <c r="S36">
        <f t="shared" si="21"/>
        <v>2</v>
      </c>
      <c r="T36">
        <f t="shared" si="22"/>
        <v>3</v>
      </c>
      <c r="U36" s="6">
        <f t="shared" si="23"/>
        <v>7</v>
      </c>
      <c r="V36" s="6">
        <f>U36-U37</f>
        <v>-1</v>
      </c>
      <c r="W36" s="2"/>
      <c r="X36" s="2"/>
      <c r="Y36" s="19">
        <v>1.2</v>
      </c>
      <c r="Z36" s="19">
        <v>2.4</v>
      </c>
      <c r="AA36" s="19">
        <v>21.1</v>
      </c>
      <c r="AB36" s="2">
        <f t="shared" si="9"/>
        <v>24.700000000000003</v>
      </c>
      <c r="AC36" s="2">
        <f t="shared" si="26"/>
        <v>-1.4999999999999964</v>
      </c>
      <c r="AD36" s="2"/>
      <c r="AE36" s="2" t="str">
        <f t="shared" si="11"/>
        <v/>
      </c>
      <c r="AF36" s="3"/>
      <c r="AG36" s="2" t="str">
        <f t="shared" si="0"/>
        <v/>
      </c>
      <c r="AH36" s="29"/>
      <c r="AI36" s="1" t="str">
        <f t="shared" si="1"/>
        <v/>
      </c>
      <c r="AJ36">
        <v>0</v>
      </c>
      <c r="AK36">
        <v>0</v>
      </c>
      <c r="AL36">
        <f t="shared" si="2"/>
        <v>0</v>
      </c>
      <c r="AM36">
        <f t="shared" si="3"/>
        <v>1</v>
      </c>
      <c r="AN36">
        <f t="shared" si="4"/>
        <v>0</v>
      </c>
      <c r="AO36">
        <f t="shared" si="12"/>
        <v>2</v>
      </c>
      <c r="AP36" s="1">
        <f t="shared" si="13"/>
        <v>9.1618910985775628</v>
      </c>
      <c r="AQ36">
        <f t="shared" si="14"/>
        <v>0</v>
      </c>
      <c r="AR36">
        <f t="shared" si="15"/>
        <v>0</v>
      </c>
      <c r="AS36">
        <f t="shared" si="16"/>
        <v>0</v>
      </c>
      <c r="AT36" t="str">
        <f t="shared" si="17"/>
        <v>klein</v>
      </c>
    </row>
    <row r="37" spans="1:46" customFormat="1" x14ac:dyDescent="0.25">
      <c r="A37" s="34">
        <v>6</v>
      </c>
      <c r="B37">
        <v>17</v>
      </c>
      <c r="C37">
        <v>16</v>
      </c>
      <c r="D37" t="s">
        <v>61</v>
      </c>
      <c r="E37" t="s">
        <v>29</v>
      </c>
      <c r="F37" t="s">
        <v>64</v>
      </c>
      <c r="G37" s="3"/>
      <c r="H37" s="21"/>
      <c r="J37" s="21">
        <v>0</v>
      </c>
      <c r="K37" s="21">
        <v>0</v>
      </c>
      <c r="L37">
        <v>2016</v>
      </c>
      <c r="M37">
        <v>2020</v>
      </c>
      <c r="N37">
        <v>2020</v>
      </c>
      <c r="O37">
        <v>2022</v>
      </c>
      <c r="P37">
        <v>2022</v>
      </c>
      <c r="Q37">
        <v>2024</v>
      </c>
      <c r="R37">
        <f t="shared" si="20"/>
        <v>4</v>
      </c>
      <c r="S37">
        <f t="shared" si="21"/>
        <v>2</v>
      </c>
      <c r="T37">
        <f t="shared" si="22"/>
        <v>2</v>
      </c>
      <c r="U37" s="6">
        <f t="shared" si="23"/>
        <v>8</v>
      </c>
      <c r="V37" s="6"/>
      <c r="W37" s="2"/>
      <c r="X37" s="2"/>
      <c r="Y37" s="19">
        <v>2.5999999999999996</v>
      </c>
      <c r="Z37" s="19">
        <v>2.4</v>
      </c>
      <c r="AA37" s="19">
        <v>21.2</v>
      </c>
      <c r="AB37" s="2">
        <f t="shared" si="9"/>
        <v>26.2</v>
      </c>
      <c r="AC37" s="2"/>
      <c r="AD37" s="2"/>
      <c r="AE37" s="2" t="str">
        <f t="shared" si="11"/>
        <v/>
      </c>
      <c r="AF37" s="3"/>
      <c r="AG37" s="2" t="str">
        <f t="shared" si="0"/>
        <v/>
      </c>
      <c r="AH37" s="29"/>
      <c r="AI37" s="1" t="str">
        <f t="shared" si="1"/>
        <v/>
      </c>
      <c r="AJ37">
        <v>0</v>
      </c>
      <c r="AK37">
        <v>0</v>
      </c>
      <c r="AL37">
        <f t="shared" si="2"/>
        <v>0</v>
      </c>
      <c r="AM37">
        <f t="shared" si="3"/>
        <v>1</v>
      </c>
      <c r="AN37">
        <f t="shared" si="4"/>
        <v>0</v>
      </c>
      <c r="AO37">
        <f t="shared" si="12"/>
        <v>2</v>
      </c>
      <c r="AP37" s="1"/>
      <c r="AQ37">
        <f t="shared" si="14"/>
        <v>0</v>
      </c>
      <c r="AR37">
        <f t="shared" si="15"/>
        <v>0</v>
      </c>
      <c r="AS37">
        <f t="shared" si="16"/>
        <v>0</v>
      </c>
      <c r="AT37" t="str">
        <f t="shared" si="17"/>
        <v>klein</v>
      </c>
    </row>
    <row r="38" spans="1:46" customFormat="1" x14ac:dyDescent="0.25">
      <c r="A38" s="34">
        <v>7</v>
      </c>
      <c r="B38">
        <v>22</v>
      </c>
      <c r="C38">
        <v>8</v>
      </c>
      <c r="D38" t="s">
        <v>65</v>
      </c>
      <c r="E38" t="s">
        <v>66</v>
      </c>
      <c r="F38" t="s">
        <v>67</v>
      </c>
      <c r="G38" s="3">
        <v>6050</v>
      </c>
      <c r="H38" s="21"/>
      <c r="J38" s="21">
        <v>0</v>
      </c>
      <c r="K38" s="21">
        <v>0</v>
      </c>
      <c r="N38">
        <v>2020</v>
      </c>
      <c r="O38">
        <v>2022</v>
      </c>
      <c r="P38">
        <v>2022</v>
      </c>
      <c r="Q38">
        <v>2025</v>
      </c>
      <c r="R38">
        <f t="shared" si="20"/>
        <v>0</v>
      </c>
      <c r="S38">
        <f t="shared" si="21"/>
        <v>2</v>
      </c>
      <c r="T38">
        <f t="shared" si="22"/>
        <v>3</v>
      </c>
      <c r="U38" s="6">
        <f t="shared" si="23"/>
        <v>5</v>
      </c>
      <c r="V38" s="6">
        <f>U38-U39</f>
        <v>3</v>
      </c>
      <c r="W38" s="2"/>
      <c r="X38" s="2">
        <f>U38-U42</f>
        <v>-2</v>
      </c>
      <c r="Y38" s="19">
        <f>3.6/0.9</f>
        <v>4</v>
      </c>
      <c r="Z38" s="19"/>
      <c r="AA38" s="19">
        <f>32.9/0.9</f>
        <v>36.55555555555555</v>
      </c>
      <c r="AB38" s="2">
        <f t="shared" si="9"/>
        <v>40.55555555555555</v>
      </c>
      <c r="AC38" s="2">
        <f t="shared" ref="AC38:AC41" si="27">AB38-AB39</f>
        <v>0.55555555555555003</v>
      </c>
      <c r="AD38" s="2"/>
      <c r="AE38" s="2">
        <f t="shared" si="11"/>
        <v>0.55555555555555003</v>
      </c>
      <c r="AF38" s="3"/>
      <c r="AG38" s="2">
        <f t="shared" si="0"/>
        <v>-323.86885018160046</v>
      </c>
      <c r="AH38" s="29"/>
      <c r="AI38" s="1">
        <f t="shared" si="1"/>
        <v>-0.96855189720475998</v>
      </c>
      <c r="AK38" s="6">
        <f>IF(AB38&gt;64.2061111111111,1,0)</f>
        <v>0</v>
      </c>
      <c r="AL38">
        <f t="shared" si="2"/>
        <v>0</v>
      </c>
      <c r="AM38">
        <f t="shared" si="3"/>
        <v>1</v>
      </c>
      <c r="AN38">
        <f t="shared" si="4"/>
        <v>0</v>
      </c>
      <c r="AO38">
        <f t="shared" si="12"/>
        <v>2</v>
      </c>
      <c r="AP38" s="1">
        <f t="shared" si="13"/>
        <v>6.7033976124885211</v>
      </c>
      <c r="AQ38">
        <f t="shared" si="14"/>
        <v>0</v>
      </c>
      <c r="AR38">
        <f t="shared" si="15"/>
        <v>0</v>
      </c>
      <c r="AS38">
        <f t="shared" si="16"/>
        <v>1</v>
      </c>
      <c r="AT38" t="str">
        <f t="shared" si="17"/>
        <v>klein</v>
      </c>
    </row>
    <row r="39" spans="1:46" customFormat="1" x14ac:dyDescent="0.25">
      <c r="A39" s="34">
        <v>7</v>
      </c>
      <c r="B39">
        <v>21</v>
      </c>
      <c r="C39">
        <v>8</v>
      </c>
      <c r="D39" t="s">
        <v>65</v>
      </c>
      <c r="E39" t="s">
        <v>66</v>
      </c>
      <c r="F39" t="s">
        <v>67</v>
      </c>
      <c r="G39" s="3">
        <v>6374</v>
      </c>
      <c r="H39" s="21"/>
      <c r="I39" t="s">
        <v>68</v>
      </c>
      <c r="J39" s="21">
        <v>0</v>
      </c>
      <c r="K39" s="21">
        <v>0</v>
      </c>
      <c r="P39">
        <v>2022</v>
      </c>
      <c r="Q39">
        <v>2024</v>
      </c>
      <c r="T39">
        <f t="shared" ref="T39" si="28">Q39-P39</f>
        <v>2</v>
      </c>
      <c r="U39" s="6">
        <f t="shared" si="23"/>
        <v>2</v>
      </c>
      <c r="V39" s="6">
        <f>U39-U40</f>
        <v>-6</v>
      </c>
      <c r="W39" s="2">
        <f>U39-U42</f>
        <v>-5</v>
      </c>
      <c r="X39" s="2"/>
      <c r="Y39" s="19"/>
      <c r="Z39" s="19"/>
      <c r="AA39" s="19">
        <v>40</v>
      </c>
      <c r="AB39" s="2">
        <f t="shared" si="9"/>
        <v>40</v>
      </c>
      <c r="AC39" s="2">
        <f t="shared" si="27"/>
        <v>-13.033333333333339</v>
      </c>
      <c r="AD39" s="2">
        <f>AB39-AB42</f>
        <v>-8.9000000000000057</v>
      </c>
      <c r="AE39" s="2" t="str">
        <f t="shared" si="11"/>
        <v/>
      </c>
      <c r="AF39" s="3">
        <f>G39-G42</f>
        <v>0.13114981839953543</v>
      </c>
      <c r="AG39" s="2" t="str">
        <f t="shared" si="0"/>
        <v/>
      </c>
      <c r="AH39" s="29">
        <f>((AB39)/(G39/1000))-((AB42)/(G42/1000))</f>
        <v>-1.3964553145254115</v>
      </c>
      <c r="AI39" s="1" t="str">
        <f t="shared" si="1"/>
        <v/>
      </c>
      <c r="AJ39">
        <v>0</v>
      </c>
      <c r="AK39">
        <v>0</v>
      </c>
      <c r="AL39">
        <f t="shared" si="2"/>
        <v>0</v>
      </c>
      <c r="AM39">
        <f t="shared" si="3"/>
        <v>0</v>
      </c>
      <c r="AN39">
        <f t="shared" si="4"/>
        <v>0</v>
      </c>
      <c r="AO39">
        <f t="shared" si="12"/>
        <v>2</v>
      </c>
      <c r="AP39" s="1">
        <f t="shared" si="13"/>
        <v>6.2754941951678695</v>
      </c>
      <c r="AS39">
        <f t="shared" si="16"/>
        <v>0</v>
      </c>
    </row>
    <row r="40" spans="1:46" customFormat="1" x14ac:dyDescent="0.25">
      <c r="A40" s="34">
        <v>7</v>
      </c>
      <c r="B40">
        <v>20</v>
      </c>
      <c r="C40">
        <v>23</v>
      </c>
      <c r="D40" t="s">
        <v>65</v>
      </c>
      <c r="E40" t="s">
        <v>66</v>
      </c>
      <c r="F40" t="s">
        <v>67</v>
      </c>
      <c r="G40" s="3">
        <v>6373.8688501816005</v>
      </c>
      <c r="H40" s="21">
        <v>30</v>
      </c>
      <c r="I40" t="s">
        <v>68</v>
      </c>
      <c r="J40" s="21">
        <v>0</v>
      </c>
      <c r="K40" s="21">
        <v>0</v>
      </c>
      <c r="L40">
        <v>2017</v>
      </c>
      <c r="M40">
        <v>2020</v>
      </c>
      <c r="N40">
        <v>2020</v>
      </c>
      <c r="O40">
        <v>2023</v>
      </c>
      <c r="P40">
        <v>2023</v>
      </c>
      <c r="Q40">
        <v>2025</v>
      </c>
      <c r="R40">
        <f t="shared" si="20"/>
        <v>3</v>
      </c>
      <c r="S40">
        <f t="shared" si="21"/>
        <v>3</v>
      </c>
      <c r="T40">
        <f t="shared" si="22"/>
        <v>2</v>
      </c>
      <c r="U40" s="6">
        <f t="shared" si="23"/>
        <v>8</v>
      </c>
      <c r="V40" s="6">
        <f>U40-U41</f>
        <v>1</v>
      </c>
      <c r="W40" s="2"/>
      <c r="X40" s="2"/>
      <c r="Y40" s="19">
        <v>8.6055555555555561</v>
      </c>
      <c r="Z40" s="19">
        <v>4.8888888888888893</v>
      </c>
      <c r="AA40" s="19">
        <v>39.538888888888891</v>
      </c>
      <c r="AB40" s="2">
        <f t="shared" si="9"/>
        <v>53.033333333333339</v>
      </c>
      <c r="AC40" s="2">
        <f t="shared" si="27"/>
        <v>4.4333333333334224E-2</v>
      </c>
      <c r="AD40" s="2"/>
      <c r="AE40" s="2" t="str">
        <f t="shared" si="11"/>
        <v/>
      </c>
      <c r="AF40" s="3"/>
      <c r="AG40" s="2" t="str">
        <f t="shared" si="0"/>
        <v/>
      </c>
      <c r="AH40" s="29"/>
      <c r="AI40" s="1" t="str">
        <f t="shared" si="1"/>
        <v/>
      </c>
      <c r="AJ40">
        <v>0</v>
      </c>
      <c r="AK40">
        <v>0</v>
      </c>
      <c r="AL40">
        <f t="shared" si="2"/>
        <v>0</v>
      </c>
      <c r="AM40">
        <f t="shared" si="3"/>
        <v>1</v>
      </c>
      <c r="AN40">
        <f t="shared" si="4"/>
        <v>0</v>
      </c>
      <c r="AO40">
        <f t="shared" si="12"/>
        <v>3</v>
      </c>
      <c r="AP40" s="1">
        <f t="shared" si="13"/>
        <v>8.3204305861772383</v>
      </c>
      <c r="AQ40">
        <f t="shared" si="14"/>
        <v>0</v>
      </c>
      <c r="AR40">
        <f t="shared" si="15"/>
        <v>0</v>
      </c>
      <c r="AS40">
        <f t="shared" si="16"/>
        <v>1</v>
      </c>
      <c r="AT40" t="str">
        <f t="shared" si="17"/>
        <v>klein</v>
      </c>
    </row>
    <row r="41" spans="1:46" customFormat="1" x14ac:dyDescent="0.25">
      <c r="A41" s="34">
        <v>7</v>
      </c>
      <c r="B41">
        <v>19</v>
      </c>
      <c r="C41">
        <v>21</v>
      </c>
      <c r="D41" t="s">
        <v>65</v>
      </c>
      <c r="E41" t="s">
        <v>66</v>
      </c>
      <c r="F41" t="s">
        <v>67</v>
      </c>
      <c r="G41" s="3">
        <v>6373.8688501816005</v>
      </c>
      <c r="H41" s="21"/>
      <c r="I41" t="s">
        <v>68</v>
      </c>
      <c r="J41" s="21">
        <v>0</v>
      </c>
      <c r="K41" s="21">
        <v>0</v>
      </c>
      <c r="L41">
        <v>2017</v>
      </c>
      <c r="M41">
        <v>2020</v>
      </c>
      <c r="N41">
        <v>2020</v>
      </c>
      <c r="O41">
        <v>2022</v>
      </c>
      <c r="P41">
        <v>2022</v>
      </c>
      <c r="Q41">
        <v>2024</v>
      </c>
      <c r="R41">
        <f t="shared" si="20"/>
        <v>3</v>
      </c>
      <c r="S41">
        <f t="shared" si="21"/>
        <v>2</v>
      </c>
      <c r="T41">
        <f t="shared" si="22"/>
        <v>2</v>
      </c>
      <c r="U41" s="6">
        <f t="shared" si="23"/>
        <v>7</v>
      </c>
      <c r="V41" s="6">
        <f>U41-U42</f>
        <v>0</v>
      </c>
      <c r="W41" s="2"/>
      <c r="X41" s="2"/>
      <c r="Y41" s="19">
        <v>6.5</v>
      </c>
      <c r="Z41" s="19">
        <v>4.8890000000000002</v>
      </c>
      <c r="AA41" s="19">
        <v>41.6</v>
      </c>
      <c r="AB41" s="2">
        <f t="shared" si="9"/>
        <v>52.989000000000004</v>
      </c>
      <c r="AC41" s="2">
        <f t="shared" si="27"/>
        <v>4.0889999999999986</v>
      </c>
      <c r="AD41" s="2"/>
      <c r="AE41" s="2" t="str">
        <f t="shared" si="11"/>
        <v/>
      </c>
      <c r="AF41" s="3"/>
      <c r="AG41" s="2" t="str">
        <f t="shared" si="0"/>
        <v/>
      </c>
      <c r="AH41" s="29"/>
      <c r="AI41" s="1" t="str">
        <f t="shared" si="1"/>
        <v/>
      </c>
      <c r="AJ41">
        <v>0</v>
      </c>
      <c r="AK41">
        <v>0</v>
      </c>
      <c r="AL41">
        <f t="shared" si="2"/>
        <v>0</v>
      </c>
      <c r="AM41">
        <f t="shared" si="3"/>
        <v>1</v>
      </c>
      <c r="AN41">
        <f t="shared" si="4"/>
        <v>0</v>
      </c>
      <c r="AO41">
        <f t="shared" si="12"/>
        <v>2</v>
      </c>
      <c r="AP41" s="1">
        <f t="shared" si="13"/>
        <v>8.3134751036633379</v>
      </c>
      <c r="AQ41">
        <f t="shared" si="14"/>
        <v>0</v>
      </c>
      <c r="AR41">
        <f t="shared" si="15"/>
        <v>0</v>
      </c>
      <c r="AS41">
        <f t="shared" si="16"/>
        <v>1</v>
      </c>
      <c r="AT41" t="str">
        <f t="shared" si="17"/>
        <v>klein</v>
      </c>
    </row>
    <row r="42" spans="1:46" customFormat="1" x14ac:dyDescent="0.25">
      <c r="A42" s="34">
        <v>7</v>
      </c>
      <c r="B42">
        <v>18</v>
      </c>
      <c r="C42">
        <v>29</v>
      </c>
      <c r="D42" t="s">
        <v>65</v>
      </c>
      <c r="E42" t="s">
        <v>66</v>
      </c>
      <c r="F42" t="s">
        <v>67</v>
      </c>
      <c r="G42" s="3">
        <v>6373.8688501816005</v>
      </c>
      <c r="H42" s="21"/>
      <c r="I42" t="s">
        <v>69</v>
      </c>
      <c r="J42" s="21">
        <v>0</v>
      </c>
      <c r="K42" s="21">
        <v>0</v>
      </c>
      <c r="L42">
        <v>2017</v>
      </c>
      <c r="M42">
        <v>2020</v>
      </c>
      <c r="N42">
        <v>2020</v>
      </c>
      <c r="O42">
        <v>2022</v>
      </c>
      <c r="P42">
        <v>2022</v>
      </c>
      <c r="Q42">
        <v>2024</v>
      </c>
      <c r="R42">
        <f t="shared" si="20"/>
        <v>3</v>
      </c>
      <c r="S42">
        <f t="shared" si="21"/>
        <v>2</v>
      </c>
      <c r="T42">
        <f t="shared" si="22"/>
        <v>2</v>
      </c>
      <c r="U42" s="6">
        <f t="shared" si="23"/>
        <v>7</v>
      </c>
      <c r="V42" s="6">
        <f>U42-U43</f>
        <v>7</v>
      </c>
      <c r="W42" s="2"/>
      <c r="X42" s="2"/>
      <c r="Y42" s="19">
        <v>2.4</v>
      </c>
      <c r="Z42" s="19">
        <v>4.9000000000000004</v>
      </c>
      <c r="AA42" s="19">
        <v>41.6</v>
      </c>
      <c r="AB42" s="2">
        <f t="shared" si="9"/>
        <v>48.900000000000006</v>
      </c>
      <c r="AC42" s="2"/>
      <c r="AD42" s="2"/>
      <c r="AE42" s="2" t="str">
        <f t="shared" si="11"/>
        <v/>
      </c>
      <c r="AF42" s="3"/>
      <c r="AG42" s="2" t="str">
        <f t="shared" si="0"/>
        <v/>
      </c>
      <c r="AH42" s="29"/>
      <c r="AI42" s="1" t="str">
        <f t="shared" si="1"/>
        <v/>
      </c>
      <c r="AJ42">
        <v>0</v>
      </c>
      <c r="AK42">
        <v>0</v>
      </c>
      <c r="AL42">
        <f t="shared" si="2"/>
        <v>0</v>
      </c>
      <c r="AM42">
        <f t="shared" si="3"/>
        <v>1</v>
      </c>
      <c r="AN42">
        <f t="shared" si="4"/>
        <v>0</v>
      </c>
      <c r="AO42">
        <f t="shared" si="12"/>
        <v>2</v>
      </c>
      <c r="AP42" s="1">
        <f t="shared" si="13"/>
        <v>7.671949509693281</v>
      </c>
      <c r="AQ42">
        <f t="shared" si="14"/>
        <v>0</v>
      </c>
      <c r="AR42">
        <f t="shared" si="15"/>
        <v>0</v>
      </c>
      <c r="AS42">
        <f t="shared" si="16"/>
        <v>0</v>
      </c>
      <c r="AT42" t="str">
        <f t="shared" si="17"/>
        <v>klein</v>
      </c>
    </row>
    <row r="43" spans="1:46" customFormat="1" x14ac:dyDescent="0.25">
      <c r="A43" s="34">
        <v>7</v>
      </c>
      <c r="B43">
        <v>17</v>
      </c>
      <c r="C43">
        <v>12</v>
      </c>
      <c r="D43" t="s">
        <v>70</v>
      </c>
      <c r="E43" t="s">
        <v>71</v>
      </c>
      <c r="F43" t="s">
        <v>72</v>
      </c>
      <c r="G43" s="3">
        <v>26552</v>
      </c>
      <c r="H43" s="21"/>
      <c r="I43" t="s">
        <v>73</v>
      </c>
      <c r="J43" s="21"/>
      <c r="K43" s="21"/>
      <c r="R43">
        <f t="shared" si="20"/>
        <v>0</v>
      </c>
      <c r="S43">
        <f t="shared" si="21"/>
        <v>0</v>
      </c>
      <c r="T43">
        <f t="shared" si="22"/>
        <v>0</v>
      </c>
      <c r="U43" s="6">
        <f t="shared" si="23"/>
        <v>0</v>
      </c>
      <c r="W43" s="2"/>
      <c r="X43" s="2"/>
      <c r="Y43" s="19"/>
      <c r="Z43" s="19"/>
      <c r="AA43" s="19"/>
      <c r="AB43" s="2"/>
      <c r="AC43" s="2"/>
      <c r="AD43" s="2"/>
      <c r="AE43" s="2" t="str">
        <f t="shared" si="11"/>
        <v/>
      </c>
      <c r="AF43" s="3"/>
      <c r="AG43" s="2" t="str">
        <f t="shared" si="0"/>
        <v/>
      </c>
      <c r="AH43" s="29"/>
      <c r="AI43" s="1" t="str">
        <f t="shared" si="1"/>
        <v/>
      </c>
      <c r="AJ43">
        <v>0</v>
      </c>
      <c r="AK43">
        <v>0</v>
      </c>
      <c r="AL43">
        <f t="shared" si="2"/>
        <v>0</v>
      </c>
      <c r="AM43">
        <f t="shared" si="3"/>
        <v>0</v>
      </c>
      <c r="AN43">
        <f t="shared" si="4"/>
        <v>0</v>
      </c>
      <c r="AP43" s="1">
        <f t="shared" si="13"/>
        <v>0</v>
      </c>
      <c r="AS43">
        <f t="shared" si="16"/>
        <v>0</v>
      </c>
    </row>
    <row r="44" spans="1:46" customFormat="1" x14ac:dyDescent="0.25">
      <c r="A44" s="34">
        <v>8</v>
      </c>
      <c r="B44">
        <v>22</v>
      </c>
      <c r="C44">
        <v>12</v>
      </c>
      <c r="D44" t="s">
        <v>70</v>
      </c>
      <c r="E44" t="s">
        <v>71</v>
      </c>
      <c r="F44" t="s">
        <v>72</v>
      </c>
      <c r="G44" s="3">
        <v>26552</v>
      </c>
      <c r="H44" s="21"/>
      <c r="I44" t="s">
        <v>73</v>
      </c>
      <c r="J44" s="21">
        <v>0</v>
      </c>
      <c r="K44" s="21">
        <v>0</v>
      </c>
      <c r="L44">
        <v>2017</v>
      </c>
      <c r="M44">
        <v>2020</v>
      </c>
      <c r="N44">
        <v>2020</v>
      </c>
      <c r="O44">
        <v>2023</v>
      </c>
      <c r="P44">
        <v>2023</v>
      </c>
      <c r="Q44">
        <v>2026</v>
      </c>
      <c r="R44">
        <f t="shared" si="20"/>
        <v>3</v>
      </c>
      <c r="S44">
        <f t="shared" si="21"/>
        <v>3</v>
      </c>
      <c r="T44">
        <f t="shared" si="22"/>
        <v>3</v>
      </c>
      <c r="U44" s="6">
        <f t="shared" si="23"/>
        <v>9</v>
      </c>
      <c r="V44" s="6">
        <f>U44-U45</f>
        <v>1</v>
      </c>
      <c r="W44" s="2"/>
      <c r="X44" s="2">
        <f>U44-U48</f>
        <v>0</v>
      </c>
      <c r="Y44" s="19">
        <f>5.9/0.9</f>
        <v>6.5555555555555554</v>
      </c>
      <c r="Z44" s="19">
        <f>12.4/0.9</f>
        <v>13.777777777777779</v>
      </c>
      <c r="AA44" s="19">
        <f>107/0.9</f>
        <v>118.88888888888889</v>
      </c>
      <c r="AB44" s="2">
        <f t="shared" si="9"/>
        <v>139.22222222222223</v>
      </c>
      <c r="AC44" s="2">
        <f t="shared" ref="AC44:AC54" si="29">AB44-AB45</f>
        <v>2.7777777777777715</v>
      </c>
      <c r="AD44" s="2"/>
      <c r="AE44" s="2">
        <f t="shared" si="11"/>
        <v>2.8142277777777736</v>
      </c>
      <c r="AF44" s="3"/>
      <c r="AG44" s="2">
        <f t="shared" si="0"/>
        <v>2375.3769354652104</v>
      </c>
      <c r="AH44" s="29"/>
      <c r="AI44" s="1">
        <f t="shared" si="1"/>
        <v>-0.47288578502653067</v>
      </c>
      <c r="AK44" s="6">
        <f>IF(AB44&gt;64.2061111111111,1,0)</f>
        <v>1</v>
      </c>
      <c r="AL44">
        <f t="shared" si="2"/>
        <v>0</v>
      </c>
      <c r="AM44">
        <f t="shared" si="3"/>
        <v>1</v>
      </c>
      <c r="AN44">
        <f t="shared" si="4"/>
        <v>0</v>
      </c>
      <c r="AO44">
        <f t="shared" si="12"/>
        <v>3</v>
      </c>
      <c r="AP44" s="1">
        <f t="shared" si="13"/>
        <v>5.243379866760403</v>
      </c>
      <c r="AQ44">
        <f t="shared" si="14"/>
        <v>0</v>
      </c>
      <c r="AR44">
        <f t="shared" si="15"/>
        <v>0</v>
      </c>
      <c r="AS44">
        <f t="shared" si="16"/>
        <v>1</v>
      </c>
      <c r="AT44" t="str">
        <f t="shared" si="17"/>
        <v>groot</v>
      </c>
    </row>
    <row r="45" spans="1:46" customFormat="1" x14ac:dyDescent="0.25">
      <c r="A45" s="34">
        <v>8</v>
      </c>
      <c r="B45">
        <v>21</v>
      </c>
      <c r="C45">
        <v>12</v>
      </c>
      <c r="D45" t="s">
        <v>70</v>
      </c>
      <c r="E45" t="s">
        <v>71</v>
      </c>
      <c r="F45" t="s">
        <v>72</v>
      </c>
      <c r="G45" s="3">
        <v>26552</v>
      </c>
      <c r="H45" s="21"/>
      <c r="I45" t="s">
        <v>73</v>
      </c>
      <c r="J45" s="21">
        <v>0</v>
      </c>
      <c r="K45" s="21">
        <v>0</v>
      </c>
      <c r="L45">
        <v>2017</v>
      </c>
      <c r="M45">
        <v>2020</v>
      </c>
      <c r="N45">
        <v>2020</v>
      </c>
      <c r="O45">
        <v>2022</v>
      </c>
      <c r="P45">
        <v>2022</v>
      </c>
      <c r="Q45">
        <v>2025</v>
      </c>
      <c r="R45">
        <f t="shared" si="20"/>
        <v>3</v>
      </c>
      <c r="S45">
        <f t="shared" si="21"/>
        <v>2</v>
      </c>
      <c r="T45">
        <f t="shared" si="22"/>
        <v>3</v>
      </c>
      <c r="U45" s="6">
        <f t="shared" si="23"/>
        <v>8</v>
      </c>
      <c r="V45" s="6">
        <f>U45-U46</f>
        <v>-1</v>
      </c>
      <c r="W45" s="2">
        <f>U45-U48</f>
        <v>-1</v>
      </c>
      <c r="X45" s="2"/>
      <c r="Y45" s="19">
        <f>5.9/0.9</f>
        <v>6.5555555555555554</v>
      </c>
      <c r="Z45" s="19">
        <f>12.4/0.9</f>
        <v>13.777777777777779</v>
      </c>
      <c r="AA45" s="19">
        <v>116.11111111111111</v>
      </c>
      <c r="AB45" s="2">
        <f t="shared" si="9"/>
        <v>136.44444444444446</v>
      </c>
      <c r="AC45" s="2">
        <f t="shared" si="29"/>
        <v>-6.5788888888888835</v>
      </c>
      <c r="AD45" s="2">
        <f>AB45-AB48</f>
        <v>-1.7555555555555316</v>
      </c>
      <c r="AE45" s="2" t="str">
        <f t="shared" si="11"/>
        <v/>
      </c>
      <c r="AF45" s="3">
        <f>G45-G48</f>
        <v>2375.3769354652104</v>
      </c>
      <c r="AG45" s="2" t="str">
        <f t="shared" si="0"/>
        <v/>
      </c>
      <c r="AH45" s="29">
        <f>((AB45)/(G45/1000))-((AB48)/(G48/1000))</f>
        <v>-0.57750230271927538</v>
      </c>
      <c r="AI45" s="1" t="str">
        <f t="shared" si="1"/>
        <v/>
      </c>
      <c r="AJ45">
        <v>0</v>
      </c>
      <c r="AK45">
        <v>1</v>
      </c>
      <c r="AL45">
        <f t="shared" si="2"/>
        <v>0</v>
      </c>
      <c r="AM45">
        <f t="shared" si="3"/>
        <v>1</v>
      </c>
      <c r="AN45">
        <f t="shared" si="4"/>
        <v>0</v>
      </c>
      <c r="AO45">
        <f t="shared" si="12"/>
        <v>2</v>
      </c>
      <c r="AP45" s="1">
        <f t="shared" si="13"/>
        <v>5.1387633490676583</v>
      </c>
      <c r="AQ45">
        <f t="shared" si="14"/>
        <v>0</v>
      </c>
      <c r="AR45">
        <f t="shared" si="15"/>
        <v>0</v>
      </c>
      <c r="AS45">
        <f t="shared" si="16"/>
        <v>1</v>
      </c>
      <c r="AT45" t="str">
        <f t="shared" si="17"/>
        <v>groot</v>
      </c>
    </row>
    <row r="46" spans="1:46" customFormat="1" x14ac:dyDescent="0.25">
      <c r="A46" s="34">
        <v>8</v>
      </c>
      <c r="B46">
        <v>20</v>
      </c>
      <c r="C46">
        <v>29</v>
      </c>
      <c r="D46" t="s">
        <v>74</v>
      </c>
      <c r="E46" t="s">
        <v>71</v>
      </c>
      <c r="F46" t="s">
        <v>72</v>
      </c>
      <c r="G46" s="3">
        <v>26552</v>
      </c>
      <c r="H46" s="21">
        <v>1</v>
      </c>
      <c r="I46" t="s">
        <v>73</v>
      </c>
      <c r="J46" s="21">
        <v>0</v>
      </c>
      <c r="K46" s="21">
        <v>0</v>
      </c>
      <c r="L46">
        <v>2017</v>
      </c>
      <c r="M46">
        <v>2020</v>
      </c>
      <c r="N46">
        <v>2020</v>
      </c>
      <c r="O46">
        <v>2022</v>
      </c>
      <c r="P46">
        <v>2022</v>
      </c>
      <c r="Q46">
        <v>2026</v>
      </c>
      <c r="R46">
        <f t="shared" si="20"/>
        <v>3</v>
      </c>
      <c r="S46">
        <f t="shared" si="21"/>
        <v>2</v>
      </c>
      <c r="T46">
        <f t="shared" si="22"/>
        <v>4</v>
      </c>
      <c r="U46" s="6">
        <f t="shared" si="23"/>
        <v>9</v>
      </c>
      <c r="V46" s="6">
        <f>U46-U47</f>
        <v>0</v>
      </c>
      <c r="W46" s="2"/>
      <c r="X46" s="2"/>
      <c r="Y46" s="19">
        <v>12.823333333333334</v>
      </c>
      <c r="Z46" s="19">
        <v>13.8</v>
      </c>
      <c r="AA46" s="19">
        <v>116.4</v>
      </c>
      <c r="AB46" s="2">
        <f t="shared" si="9"/>
        <v>143.02333333333334</v>
      </c>
      <c r="AC46" s="2">
        <f t="shared" si="29"/>
        <v>4.7233333333333292</v>
      </c>
      <c r="AD46" s="2"/>
      <c r="AE46" s="2" t="str">
        <f t="shared" si="11"/>
        <v/>
      </c>
      <c r="AF46" s="3"/>
      <c r="AG46" s="2" t="str">
        <f t="shared" si="0"/>
        <v/>
      </c>
      <c r="AH46" s="29"/>
      <c r="AI46" s="1" t="str">
        <f t="shared" si="1"/>
        <v/>
      </c>
      <c r="AJ46">
        <v>0</v>
      </c>
      <c r="AK46">
        <v>1</v>
      </c>
      <c r="AL46">
        <f t="shared" si="2"/>
        <v>0</v>
      </c>
      <c r="AM46">
        <f t="shared" si="3"/>
        <v>1</v>
      </c>
      <c r="AN46">
        <f t="shared" si="4"/>
        <v>0</v>
      </c>
      <c r="AO46">
        <f t="shared" si="12"/>
        <v>2</v>
      </c>
      <c r="AP46" s="1">
        <f t="shared" si="13"/>
        <v>5.3865371095711563</v>
      </c>
      <c r="AQ46">
        <f t="shared" si="14"/>
        <v>0</v>
      </c>
      <c r="AR46">
        <f t="shared" si="15"/>
        <v>0</v>
      </c>
      <c r="AS46">
        <f t="shared" si="16"/>
        <v>1</v>
      </c>
      <c r="AT46" t="str">
        <f t="shared" si="17"/>
        <v>groot</v>
      </c>
    </row>
    <row r="47" spans="1:46" customFormat="1" x14ac:dyDescent="0.25">
      <c r="A47" s="34">
        <v>8</v>
      </c>
      <c r="B47">
        <v>19</v>
      </c>
      <c r="C47">
        <v>27</v>
      </c>
      <c r="D47" t="s">
        <v>74</v>
      </c>
      <c r="E47" t="s">
        <v>71</v>
      </c>
      <c r="F47" t="s">
        <v>72</v>
      </c>
      <c r="G47" s="3">
        <v>24176.62306453479</v>
      </c>
      <c r="H47" s="21"/>
      <c r="I47" t="s">
        <v>73</v>
      </c>
      <c r="J47" s="21">
        <v>0</v>
      </c>
      <c r="K47" s="21">
        <v>0</v>
      </c>
      <c r="L47">
        <v>2017</v>
      </c>
      <c r="M47">
        <v>2020</v>
      </c>
      <c r="N47">
        <v>2020</v>
      </c>
      <c r="O47">
        <v>2022</v>
      </c>
      <c r="P47">
        <v>2022</v>
      </c>
      <c r="Q47">
        <v>2026</v>
      </c>
      <c r="R47">
        <f t="shared" si="20"/>
        <v>3</v>
      </c>
      <c r="S47">
        <f t="shared" si="21"/>
        <v>2</v>
      </c>
      <c r="T47">
        <f t="shared" si="22"/>
        <v>4</v>
      </c>
      <c r="U47" s="6">
        <f t="shared" si="23"/>
        <v>9</v>
      </c>
      <c r="V47" s="6">
        <f>U47-U48</f>
        <v>0</v>
      </c>
      <c r="W47" s="2"/>
      <c r="X47" s="2"/>
      <c r="Y47" s="19">
        <v>8.3000000000000007</v>
      </c>
      <c r="Z47" s="19">
        <v>13.8</v>
      </c>
      <c r="AA47" s="19">
        <v>116.2</v>
      </c>
      <c r="AB47" s="2">
        <f t="shared" si="9"/>
        <v>138.30000000000001</v>
      </c>
      <c r="AC47" s="2">
        <f t="shared" si="29"/>
        <v>0.10000000000002274</v>
      </c>
      <c r="AD47" s="2"/>
      <c r="AE47" s="2" t="str">
        <f t="shared" si="11"/>
        <v/>
      </c>
      <c r="AF47" s="3"/>
      <c r="AG47" s="2" t="str">
        <f t="shared" si="0"/>
        <v/>
      </c>
      <c r="AH47" s="29"/>
      <c r="AI47" s="1" t="str">
        <f t="shared" si="1"/>
        <v/>
      </c>
      <c r="AJ47">
        <v>0</v>
      </c>
      <c r="AK47">
        <v>1</v>
      </c>
      <c r="AL47">
        <f t="shared" si="2"/>
        <v>0</v>
      </c>
      <c r="AM47">
        <f t="shared" si="3"/>
        <v>1</v>
      </c>
      <c r="AN47">
        <f t="shared" si="4"/>
        <v>0</v>
      </c>
      <c r="AO47">
        <f t="shared" si="12"/>
        <v>2</v>
      </c>
      <c r="AP47" s="1">
        <f t="shared" si="13"/>
        <v>5.7204018787419182</v>
      </c>
      <c r="AQ47">
        <f t="shared" si="14"/>
        <v>0</v>
      </c>
      <c r="AR47">
        <f t="shared" si="15"/>
        <v>0</v>
      </c>
      <c r="AS47">
        <f t="shared" si="16"/>
        <v>1</v>
      </c>
      <c r="AT47" t="str">
        <f t="shared" si="17"/>
        <v>groot</v>
      </c>
    </row>
    <row r="48" spans="1:46" customFormat="1" x14ac:dyDescent="0.25">
      <c r="A48" s="34">
        <v>8</v>
      </c>
      <c r="B48">
        <v>18</v>
      </c>
      <c r="C48">
        <v>34</v>
      </c>
      <c r="D48" t="s">
        <v>75</v>
      </c>
      <c r="E48" t="s">
        <v>71</v>
      </c>
      <c r="F48" t="s">
        <v>72</v>
      </c>
      <c r="G48" s="3">
        <v>24176.62306453479</v>
      </c>
      <c r="H48" s="21"/>
      <c r="I48" t="s">
        <v>73</v>
      </c>
      <c r="J48" s="21">
        <v>0</v>
      </c>
      <c r="K48" s="21">
        <v>0</v>
      </c>
      <c r="L48">
        <v>2017</v>
      </c>
      <c r="M48">
        <v>2020</v>
      </c>
      <c r="N48">
        <v>2020</v>
      </c>
      <c r="O48">
        <v>2023</v>
      </c>
      <c r="P48">
        <v>2023</v>
      </c>
      <c r="Q48">
        <v>2026</v>
      </c>
      <c r="R48">
        <f t="shared" si="20"/>
        <v>3</v>
      </c>
      <c r="S48">
        <f t="shared" si="21"/>
        <v>3</v>
      </c>
      <c r="T48">
        <f t="shared" si="22"/>
        <v>3</v>
      </c>
      <c r="U48" s="6">
        <f t="shared" si="23"/>
        <v>9</v>
      </c>
      <c r="V48" s="6">
        <f>U48-U49</f>
        <v>0</v>
      </c>
      <c r="W48" s="2"/>
      <c r="X48" s="2"/>
      <c r="Y48" s="19">
        <v>6.9</v>
      </c>
      <c r="Z48" s="19">
        <v>13.8</v>
      </c>
      <c r="AA48" s="19">
        <v>117.5</v>
      </c>
      <c r="AB48" s="2">
        <f t="shared" si="9"/>
        <v>138.19999999999999</v>
      </c>
      <c r="AC48" s="2">
        <f t="shared" si="29"/>
        <v>-3.6450000000002092E-2</v>
      </c>
      <c r="AD48" s="2"/>
      <c r="AE48" s="2" t="str">
        <f t="shared" si="11"/>
        <v/>
      </c>
      <c r="AF48" s="3"/>
      <c r="AG48" s="2" t="str">
        <f t="shared" si="0"/>
        <v/>
      </c>
      <c r="AH48" s="29"/>
      <c r="AI48" s="1" t="str">
        <f t="shared" si="1"/>
        <v/>
      </c>
      <c r="AJ48">
        <v>0</v>
      </c>
      <c r="AK48">
        <v>1</v>
      </c>
      <c r="AL48">
        <f t="shared" si="2"/>
        <v>0</v>
      </c>
      <c r="AM48">
        <f t="shared" si="3"/>
        <v>1</v>
      </c>
      <c r="AN48">
        <f t="shared" si="4"/>
        <v>0</v>
      </c>
      <c r="AO48">
        <f t="shared" si="12"/>
        <v>3</v>
      </c>
      <c r="AP48" s="1">
        <f t="shared" si="13"/>
        <v>5.7162656517869337</v>
      </c>
      <c r="AQ48">
        <f t="shared" si="14"/>
        <v>0</v>
      </c>
      <c r="AR48">
        <f t="shared" si="15"/>
        <v>0</v>
      </c>
      <c r="AS48">
        <f t="shared" si="16"/>
        <v>0</v>
      </c>
      <c r="AT48" t="str">
        <f t="shared" si="17"/>
        <v>groot</v>
      </c>
    </row>
    <row r="49" spans="1:46" customFormat="1" x14ac:dyDescent="0.25">
      <c r="A49" s="34">
        <v>8</v>
      </c>
      <c r="B49">
        <v>17</v>
      </c>
      <c r="C49">
        <v>24</v>
      </c>
      <c r="D49" t="s">
        <v>76</v>
      </c>
      <c r="E49" t="s">
        <v>71</v>
      </c>
      <c r="F49" t="s">
        <v>77</v>
      </c>
      <c r="G49" s="3"/>
      <c r="H49" s="21"/>
      <c r="I49" t="s">
        <v>78</v>
      </c>
      <c r="J49" s="21">
        <v>0</v>
      </c>
      <c r="K49" s="21">
        <v>0</v>
      </c>
      <c r="L49">
        <v>2017</v>
      </c>
      <c r="M49">
        <v>2020</v>
      </c>
      <c r="N49">
        <v>2020</v>
      </c>
      <c r="O49">
        <v>2023</v>
      </c>
      <c r="P49">
        <v>2023</v>
      </c>
      <c r="Q49">
        <v>2026</v>
      </c>
      <c r="R49">
        <f t="shared" si="20"/>
        <v>3</v>
      </c>
      <c r="S49">
        <f t="shared" si="21"/>
        <v>3</v>
      </c>
      <c r="T49">
        <f t="shared" si="22"/>
        <v>3</v>
      </c>
      <c r="U49" s="6">
        <f t="shared" si="23"/>
        <v>9</v>
      </c>
      <c r="W49" s="2"/>
      <c r="X49" s="2"/>
      <c r="Y49" s="19">
        <v>6.9121499999999996</v>
      </c>
      <c r="Z49" s="19">
        <v>13.824300000000001</v>
      </c>
      <c r="AA49" s="19">
        <v>117.5</v>
      </c>
      <c r="AB49" s="2">
        <f t="shared" si="9"/>
        <v>138.23644999999999</v>
      </c>
      <c r="AC49" s="2"/>
      <c r="AD49" s="2"/>
      <c r="AE49" s="2" t="str">
        <f t="shared" si="11"/>
        <v/>
      </c>
      <c r="AF49" s="3"/>
      <c r="AG49" s="2" t="str">
        <f t="shared" si="0"/>
        <v/>
      </c>
      <c r="AH49" s="29"/>
      <c r="AI49" s="1" t="str">
        <f t="shared" si="1"/>
        <v/>
      </c>
      <c r="AJ49">
        <v>0</v>
      </c>
      <c r="AK49">
        <v>1</v>
      </c>
      <c r="AL49">
        <f t="shared" si="2"/>
        <v>0</v>
      </c>
      <c r="AM49">
        <f t="shared" si="3"/>
        <v>1</v>
      </c>
      <c r="AN49">
        <f t="shared" si="4"/>
        <v>0</v>
      </c>
      <c r="AO49">
        <f t="shared" si="12"/>
        <v>3</v>
      </c>
      <c r="AP49" s="1"/>
      <c r="AQ49">
        <f t="shared" si="14"/>
        <v>0</v>
      </c>
      <c r="AR49">
        <f t="shared" si="15"/>
        <v>0</v>
      </c>
      <c r="AS49">
        <f t="shared" si="16"/>
        <v>0</v>
      </c>
      <c r="AT49" t="str">
        <f t="shared" si="17"/>
        <v>groot</v>
      </c>
    </row>
    <row r="50" spans="1:46" customFormat="1" x14ac:dyDescent="0.25">
      <c r="A50" s="34">
        <v>9</v>
      </c>
      <c r="B50">
        <v>22</v>
      </c>
      <c r="C50">
        <v>14</v>
      </c>
      <c r="D50" t="s">
        <v>79</v>
      </c>
      <c r="E50" t="s">
        <v>80</v>
      </c>
      <c r="F50" t="s">
        <v>81</v>
      </c>
      <c r="G50" s="3">
        <v>10472</v>
      </c>
      <c r="H50" s="21"/>
      <c r="I50" t="s">
        <v>82</v>
      </c>
      <c r="J50" s="21">
        <v>0</v>
      </c>
      <c r="K50" s="21">
        <v>0</v>
      </c>
      <c r="L50">
        <v>2016</v>
      </c>
      <c r="M50">
        <v>2020</v>
      </c>
      <c r="N50">
        <v>2020</v>
      </c>
      <c r="O50">
        <v>2022</v>
      </c>
      <c r="P50">
        <v>2022</v>
      </c>
      <c r="Q50">
        <v>2029</v>
      </c>
      <c r="R50">
        <f t="shared" si="20"/>
        <v>4</v>
      </c>
      <c r="S50">
        <f t="shared" si="21"/>
        <v>2</v>
      </c>
      <c r="T50">
        <f t="shared" si="22"/>
        <v>7</v>
      </c>
      <c r="U50" s="6">
        <f t="shared" si="23"/>
        <v>13</v>
      </c>
      <c r="V50" s="6">
        <f>U50-U51</f>
        <v>2</v>
      </c>
      <c r="W50" s="2"/>
      <c r="X50" s="2">
        <f>U50-U54</f>
        <v>3</v>
      </c>
      <c r="Y50" s="19">
        <f>14.6/0.9</f>
        <v>16.222222222222221</v>
      </c>
      <c r="Z50" s="19">
        <f>21.6/0.9</f>
        <v>24</v>
      </c>
      <c r="AA50" s="19">
        <f>163.6/0.9</f>
        <v>181.77777777777777</v>
      </c>
      <c r="AB50" s="2">
        <f t="shared" si="9"/>
        <v>222</v>
      </c>
      <c r="AC50" s="2">
        <f t="shared" si="29"/>
        <v>-9.5555555555563387E-2</v>
      </c>
      <c r="AD50" s="2"/>
      <c r="AE50" s="2">
        <f t="shared" si="11"/>
        <v>20.304444444444442</v>
      </c>
      <c r="AF50" s="3"/>
      <c r="AG50" s="2">
        <f t="shared" si="0"/>
        <v>362.70746169521408</v>
      </c>
      <c r="AH50" s="29"/>
      <c r="AI50" s="1">
        <f t="shared" si="1"/>
        <v>1.704762488760263</v>
      </c>
      <c r="AK50" s="6">
        <f>IF(AB50&gt;64.2061111111111,1,0)</f>
        <v>1</v>
      </c>
      <c r="AL50">
        <f t="shared" si="2"/>
        <v>0</v>
      </c>
      <c r="AM50">
        <f t="shared" si="3"/>
        <v>1</v>
      </c>
      <c r="AN50">
        <f t="shared" si="4"/>
        <v>0</v>
      </c>
      <c r="AO50">
        <f t="shared" si="12"/>
        <v>2</v>
      </c>
      <c r="AP50" s="1">
        <f t="shared" si="13"/>
        <v>21.199388846447672</v>
      </c>
      <c r="AQ50">
        <f t="shared" si="14"/>
        <v>0</v>
      </c>
      <c r="AR50">
        <f t="shared" si="15"/>
        <v>0</v>
      </c>
      <c r="AS50">
        <f t="shared" si="16"/>
        <v>1</v>
      </c>
      <c r="AT50" t="str">
        <f t="shared" si="17"/>
        <v>groot</v>
      </c>
    </row>
    <row r="51" spans="1:46" customFormat="1" x14ac:dyDescent="0.25">
      <c r="A51" s="34">
        <v>9</v>
      </c>
      <c r="B51">
        <v>21</v>
      </c>
      <c r="C51">
        <v>14</v>
      </c>
      <c r="D51" t="s">
        <v>79</v>
      </c>
      <c r="E51" t="s">
        <v>80</v>
      </c>
      <c r="F51" t="s">
        <v>81</v>
      </c>
      <c r="G51" s="3">
        <v>10510</v>
      </c>
      <c r="H51" s="21"/>
      <c r="I51" t="s">
        <v>82</v>
      </c>
      <c r="J51" s="21">
        <v>0</v>
      </c>
      <c r="K51" s="21">
        <v>0</v>
      </c>
      <c r="L51">
        <v>2016</v>
      </c>
      <c r="M51">
        <v>2019</v>
      </c>
      <c r="N51">
        <v>2019</v>
      </c>
      <c r="O51">
        <v>2022</v>
      </c>
      <c r="P51">
        <v>2022</v>
      </c>
      <c r="Q51">
        <v>2027</v>
      </c>
      <c r="R51">
        <f t="shared" si="20"/>
        <v>3</v>
      </c>
      <c r="S51">
        <f t="shared" si="21"/>
        <v>3</v>
      </c>
      <c r="T51">
        <f t="shared" si="22"/>
        <v>5</v>
      </c>
      <c r="U51" s="6">
        <f t="shared" si="23"/>
        <v>11</v>
      </c>
      <c r="V51" s="6">
        <f>U51-U52</f>
        <v>1</v>
      </c>
      <c r="W51" s="2">
        <f>U51-U54</f>
        <v>1</v>
      </c>
      <c r="X51" s="2"/>
      <c r="Y51" s="19">
        <v>16.267777777777777</v>
      </c>
      <c r="Z51" s="19">
        <v>24</v>
      </c>
      <c r="AA51" s="19">
        <v>181.82777777777778</v>
      </c>
      <c r="AB51" s="2">
        <f t="shared" si="9"/>
        <v>222.09555555555556</v>
      </c>
      <c r="AC51" s="2">
        <f t="shared" si="29"/>
        <v>0.92777777777780557</v>
      </c>
      <c r="AD51" s="2">
        <f>AB51-AB54</f>
        <v>18.195555555555558</v>
      </c>
      <c r="AE51" s="2" t="str">
        <f t="shared" si="11"/>
        <v/>
      </c>
      <c r="AF51" s="3">
        <f>G51-G54</f>
        <v>400.70746169521408</v>
      </c>
      <c r="AG51" s="2" t="str">
        <f t="shared" si="0"/>
        <v/>
      </c>
      <c r="AH51" s="29">
        <f>((AB51)/(G51/1000))-((AB54)/(G54/1000))</f>
        <v>0.9622703774669823</v>
      </c>
      <c r="AI51" s="1" t="str">
        <f t="shared" si="1"/>
        <v/>
      </c>
      <c r="AJ51">
        <v>1</v>
      </c>
      <c r="AK51">
        <v>1</v>
      </c>
      <c r="AL51">
        <f t="shared" si="2"/>
        <v>0</v>
      </c>
      <c r="AM51">
        <f t="shared" si="3"/>
        <v>1</v>
      </c>
      <c r="AN51">
        <f t="shared" si="4"/>
        <v>0</v>
      </c>
      <c r="AO51">
        <f t="shared" si="12"/>
        <v>2</v>
      </c>
      <c r="AP51" s="1">
        <f t="shared" si="13"/>
        <v>21.131832117559998</v>
      </c>
      <c r="AQ51">
        <f t="shared" si="14"/>
        <v>-1</v>
      </c>
      <c r="AR51">
        <f t="shared" si="15"/>
        <v>0</v>
      </c>
      <c r="AS51">
        <f t="shared" si="16"/>
        <v>1</v>
      </c>
      <c r="AT51" t="str">
        <f t="shared" si="17"/>
        <v>groot</v>
      </c>
    </row>
    <row r="52" spans="1:46" customFormat="1" x14ac:dyDescent="0.25">
      <c r="A52" s="34">
        <v>9</v>
      </c>
      <c r="B52">
        <v>20</v>
      </c>
      <c r="C52">
        <v>36</v>
      </c>
      <c r="D52" t="s">
        <v>83</v>
      </c>
      <c r="E52" t="s">
        <v>80</v>
      </c>
      <c r="F52" t="s">
        <v>81</v>
      </c>
      <c r="G52" s="3">
        <v>10472</v>
      </c>
      <c r="H52" s="21">
        <v>39</v>
      </c>
      <c r="I52" t="s">
        <v>82</v>
      </c>
      <c r="J52" s="21">
        <v>0</v>
      </c>
      <c r="K52" s="21">
        <v>0</v>
      </c>
      <c r="L52">
        <v>2017</v>
      </c>
      <c r="M52">
        <v>2019</v>
      </c>
      <c r="N52">
        <v>2019</v>
      </c>
      <c r="O52">
        <v>2022</v>
      </c>
      <c r="P52">
        <v>2022</v>
      </c>
      <c r="Q52">
        <v>2027</v>
      </c>
      <c r="R52">
        <f t="shared" si="20"/>
        <v>2</v>
      </c>
      <c r="S52">
        <f t="shared" si="21"/>
        <v>3</v>
      </c>
      <c r="T52">
        <f t="shared" si="22"/>
        <v>5</v>
      </c>
      <c r="U52" s="6">
        <f t="shared" si="23"/>
        <v>10</v>
      </c>
      <c r="V52" s="6">
        <f>U52-U53</f>
        <v>1</v>
      </c>
      <c r="W52" s="2"/>
      <c r="X52" s="2"/>
      <c r="Y52" s="19">
        <v>16.267777777777777</v>
      </c>
      <c r="Z52" s="19">
        <v>22.9</v>
      </c>
      <c r="AA52" s="19">
        <v>182</v>
      </c>
      <c r="AB52" s="2">
        <f t="shared" si="9"/>
        <v>221.16777777777776</v>
      </c>
      <c r="AC52" s="2">
        <f t="shared" si="29"/>
        <v>17.167777777777758</v>
      </c>
      <c r="AD52" s="2"/>
      <c r="AE52" s="2" t="str">
        <f t="shared" si="11"/>
        <v/>
      </c>
      <c r="AF52" s="3"/>
      <c r="AG52" s="2" t="str">
        <f t="shared" si="0"/>
        <v/>
      </c>
      <c r="AH52" s="29"/>
      <c r="AI52" s="1" t="str">
        <f t="shared" si="1"/>
        <v/>
      </c>
      <c r="AJ52">
        <v>1</v>
      </c>
      <c r="AK52">
        <v>1</v>
      </c>
      <c r="AL52">
        <f t="shared" si="2"/>
        <v>0</v>
      </c>
      <c r="AM52">
        <f t="shared" si="3"/>
        <v>1</v>
      </c>
      <c r="AN52">
        <f t="shared" si="4"/>
        <v>0</v>
      </c>
      <c r="AO52">
        <f t="shared" si="12"/>
        <v>2</v>
      </c>
      <c r="AP52" s="1">
        <f t="shared" si="13"/>
        <v>21.119917664035309</v>
      </c>
      <c r="AQ52">
        <f t="shared" si="14"/>
        <v>-1</v>
      </c>
      <c r="AR52">
        <f t="shared" si="15"/>
        <v>0</v>
      </c>
      <c r="AS52">
        <f t="shared" si="16"/>
        <v>1</v>
      </c>
      <c r="AT52" t="str">
        <f t="shared" si="17"/>
        <v>groot</v>
      </c>
    </row>
    <row r="53" spans="1:46" customFormat="1" x14ac:dyDescent="0.25">
      <c r="A53" s="34">
        <v>9</v>
      </c>
      <c r="B53">
        <v>19</v>
      </c>
      <c r="C53">
        <v>32</v>
      </c>
      <c r="D53" t="s">
        <v>84</v>
      </c>
      <c r="E53" t="s">
        <v>80</v>
      </c>
      <c r="F53" t="s">
        <v>81</v>
      </c>
      <c r="G53" s="3">
        <v>10459.2925383048</v>
      </c>
      <c r="H53" s="21"/>
      <c r="I53" t="s">
        <v>82</v>
      </c>
      <c r="J53" s="21">
        <v>0</v>
      </c>
      <c r="K53" s="21">
        <v>0</v>
      </c>
      <c r="L53">
        <v>2017</v>
      </c>
      <c r="M53">
        <v>2019</v>
      </c>
      <c r="N53">
        <v>2019</v>
      </c>
      <c r="O53">
        <v>2021</v>
      </c>
      <c r="P53">
        <v>2021</v>
      </c>
      <c r="Q53">
        <v>2026</v>
      </c>
      <c r="R53">
        <f t="shared" si="20"/>
        <v>2</v>
      </c>
      <c r="S53">
        <f t="shared" si="21"/>
        <v>2</v>
      </c>
      <c r="T53">
        <f t="shared" si="22"/>
        <v>5</v>
      </c>
      <c r="U53" s="6">
        <f t="shared" si="23"/>
        <v>9</v>
      </c>
      <c r="V53" s="6">
        <f>U53-U54</f>
        <v>-1</v>
      </c>
      <c r="W53" s="2"/>
      <c r="X53" s="2"/>
      <c r="Y53" s="19">
        <v>0</v>
      </c>
      <c r="Z53" s="19">
        <v>20.5</v>
      </c>
      <c r="AA53" s="19">
        <v>183.5</v>
      </c>
      <c r="AB53" s="2">
        <f t="shared" si="9"/>
        <v>204</v>
      </c>
      <c r="AC53" s="2">
        <f t="shared" si="29"/>
        <v>9.9999999999994316E-2</v>
      </c>
      <c r="AD53" s="2"/>
      <c r="AE53" s="2" t="str">
        <f t="shared" si="11"/>
        <v/>
      </c>
      <c r="AF53" s="3"/>
      <c r="AG53" s="2" t="str">
        <f t="shared" si="0"/>
        <v/>
      </c>
      <c r="AH53" s="29"/>
      <c r="AI53" s="1" t="str">
        <f t="shared" si="1"/>
        <v/>
      </c>
      <c r="AJ53">
        <v>1</v>
      </c>
      <c r="AK53">
        <v>1</v>
      </c>
      <c r="AL53">
        <f t="shared" si="2"/>
        <v>0</v>
      </c>
      <c r="AM53">
        <f t="shared" si="3"/>
        <v>1</v>
      </c>
      <c r="AN53">
        <f t="shared" si="4"/>
        <v>0</v>
      </c>
      <c r="AO53">
        <f t="shared" si="12"/>
        <v>1</v>
      </c>
      <c r="AP53" s="1">
        <f t="shared" si="13"/>
        <v>19.5041872337824</v>
      </c>
      <c r="AQ53">
        <f t="shared" si="14"/>
        <v>-1</v>
      </c>
      <c r="AR53">
        <f t="shared" si="15"/>
        <v>0</v>
      </c>
      <c r="AS53">
        <f t="shared" si="16"/>
        <v>1</v>
      </c>
      <c r="AT53" t="str">
        <f t="shared" si="17"/>
        <v>groot</v>
      </c>
    </row>
    <row r="54" spans="1:46" customFormat="1" x14ac:dyDescent="0.25">
      <c r="A54" s="34">
        <v>9</v>
      </c>
      <c r="B54">
        <v>18</v>
      </c>
      <c r="C54">
        <v>42</v>
      </c>
      <c r="D54" t="s">
        <v>79</v>
      </c>
      <c r="E54" t="s">
        <v>80</v>
      </c>
      <c r="F54" t="s">
        <v>81</v>
      </c>
      <c r="G54" s="3">
        <v>10109.292538304786</v>
      </c>
      <c r="H54" s="21"/>
      <c r="I54" t="s">
        <v>82</v>
      </c>
      <c r="J54" s="21">
        <v>0</v>
      </c>
      <c r="K54" s="21">
        <v>0</v>
      </c>
      <c r="L54">
        <v>2017</v>
      </c>
      <c r="M54">
        <v>2019</v>
      </c>
      <c r="N54">
        <v>2019</v>
      </c>
      <c r="O54">
        <v>2022</v>
      </c>
      <c r="P54">
        <v>2022</v>
      </c>
      <c r="Q54">
        <v>2027</v>
      </c>
      <c r="R54">
        <f t="shared" si="20"/>
        <v>2</v>
      </c>
      <c r="S54">
        <f t="shared" si="21"/>
        <v>3</v>
      </c>
      <c r="T54">
        <f t="shared" si="22"/>
        <v>5</v>
      </c>
      <c r="U54" s="6">
        <f t="shared" si="23"/>
        <v>10</v>
      </c>
      <c r="V54" s="6">
        <f>U54-U55</f>
        <v>0</v>
      </c>
      <c r="W54" s="2"/>
      <c r="X54" s="2"/>
      <c r="Y54" s="19">
        <v>0</v>
      </c>
      <c r="Z54" s="19">
        <v>20.399999999999999</v>
      </c>
      <c r="AA54" s="19">
        <v>183.5</v>
      </c>
      <c r="AB54" s="2">
        <f t="shared" si="9"/>
        <v>203.9</v>
      </c>
      <c r="AC54" s="2">
        <f t="shared" si="29"/>
        <v>-20.400000000000006</v>
      </c>
      <c r="AD54" s="2"/>
      <c r="AE54" s="2" t="str">
        <f t="shared" si="11"/>
        <v/>
      </c>
      <c r="AF54" s="3"/>
      <c r="AG54" s="2" t="str">
        <f t="shared" si="0"/>
        <v/>
      </c>
      <c r="AH54" s="29"/>
      <c r="AI54" s="1" t="str">
        <f t="shared" si="1"/>
        <v/>
      </c>
      <c r="AJ54">
        <v>1</v>
      </c>
      <c r="AK54">
        <v>1</v>
      </c>
      <c r="AL54">
        <f t="shared" si="2"/>
        <v>0</v>
      </c>
      <c r="AM54">
        <f t="shared" si="3"/>
        <v>1</v>
      </c>
      <c r="AN54">
        <f t="shared" si="4"/>
        <v>0</v>
      </c>
      <c r="AO54">
        <f t="shared" si="12"/>
        <v>2</v>
      </c>
      <c r="AP54" s="1">
        <f t="shared" si="13"/>
        <v>20.169561740093016</v>
      </c>
      <c r="AQ54">
        <f t="shared" si="14"/>
        <v>-1</v>
      </c>
      <c r="AR54">
        <f t="shared" si="15"/>
        <v>0</v>
      </c>
      <c r="AS54">
        <f t="shared" si="16"/>
        <v>0</v>
      </c>
      <c r="AT54" t="str">
        <f t="shared" si="17"/>
        <v>groot</v>
      </c>
    </row>
    <row r="55" spans="1:46" customFormat="1" x14ac:dyDescent="0.25">
      <c r="A55" s="34">
        <v>9</v>
      </c>
      <c r="B55">
        <v>17</v>
      </c>
      <c r="C55">
        <v>32</v>
      </c>
      <c r="D55" t="s">
        <v>79</v>
      </c>
      <c r="E55" t="s">
        <v>80</v>
      </c>
      <c r="F55" t="s">
        <v>81</v>
      </c>
      <c r="G55" s="3"/>
      <c r="H55" s="21"/>
      <c r="J55" s="21">
        <v>0</v>
      </c>
      <c r="K55" s="21">
        <v>0</v>
      </c>
      <c r="L55">
        <v>2017</v>
      </c>
      <c r="M55">
        <v>2019</v>
      </c>
      <c r="N55">
        <v>2019</v>
      </c>
      <c r="O55">
        <v>2022</v>
      </c>
      <c r="P55">
        <v>2022</v>
      </c>
      <c r="Q55">
        <v>2027</v>
      </c>
      <c r="R55">
        <f t="shared" ref="R55:R62" si="30">M55-L55</f>
        <v>2</v>
      </c>
      <c r="S55">
        <f t="shared" ref="S55:S62" si="31">O55-N55</f>
        <v>3</v>
      </c>
      <c r="T55">
        <f t="shared" ref="T55:T62" si="32">Q55-P55</f>
        <v>5</v>
      </c>
      <c r="U55" s="6">
        <f t="shared" ref="U55:U62" si="33">SUM(R55:T55)</f>
        <v>10</v>
      </c>
      <c r="W55" s="2"/>
      <c r="X55" s="2"/>
      <c r="Y55" s="19">
        <v>20.399999999999999</v>
      </c>
      <c r="Z55" s="19">
        <v>20.399999999999999</v>
      </c>
      <c r="AA55" s="19">
        <v>183.5</v>
      </c>
      <c r="AB55" s="2">
        <f t="shared" si="9"/>
        <v>224.3</v>
      </c>
      <c r="AC55" s="2"/>
      <c r="AD55" s="2"/>
      <c r="AE55" s="2" t="str">
        <f t="shared" si="11"/>
        <v/>
      </c>
      <c r="AF55" s="3"/>
      <c r="AG55" s="2" t="str">
        <f t="shared" si="0"/>
        <v/>
      </c>
      <c r="AH55" s="29"/>
      <c r="AI55" s="1" t="str">
        <f t="shared" si="1"/>
        <v/>
      </c>
      <c r="AJ55">
        <v>1</v>
      </c>
      <c r="AK55">
        <v>1</v>
      </c>
      <c r="AL55">
        <f t="shared" si="2"/>
        <v>0</v>
      </c>
      <c r="AM55">
        <f t="shared" si="3"/>
        <v>1</v>
      </c>
      <c r="AN55">
        <f t="shared" si="4"/>
        <v>0</v>
      </c>
      <c r="AO55">
        <f t="shared" si="12"/>
        <v>2</v>
      </c>
      <c r="AP55" s="1"/>
      <c r="AQ55">
        <f t="shared" si="14"/>
        <v>-1</v>
      </c>
      <c r="AR55">
        <f t="shared" si="15"/>
        <v>0</v>
      </c>
      <c r="AS55">
        <f t="shared" si="16"/>
        <v>0</v>
      </c>
      <c r="AT55" t="str">
        <f t="shared" si="17"/>
        <v>groot</v>
      </c>
    </row>
    <row r="56" spans="1:46" customFormat="1" x14ac:dyDescent="0.25">
      <c r="A56" s="34">
        <v>10</v>
      </c>
      <c r="B56">
        <v>22</v>
      </c>
      <c r="C56">
        <v>23</v>
      </c>
      <c r="D56" t="s">
        <v>85</v>
      </c>
      <c r="E56" t="s">
        <v>86</v>
      </c>
      <c r="F56" t="s">
        <v>87</v>
      </c>
      <c r="G56" s="3">
        <v>28880</v>
      </c>
      <c r="H56" s="21">
        <v>5</v>
      </c>
      <c r="I56" t="s">
        <v>88</v>
      </c>
      <c r="J56" s="21">
        <v>0</v>
      </c>
      <c r="K56" s="21">
        <v>0</v>
      </c>
      <c r="L56">
        <v>2016</v>
      </c>
      <c r="M56">
        <v>2021</v>
      </c>
      <c r="N56">
        <v>2021</v>
      </c>
      <c r="O56">
        <v>2023</v>
      </c>
      <c r="P56">
        <v>2023</v>
      </c>
      <c r="Q56">
        <v>2027</v>
      </c>
      <c r="R56">
        <f t="shared" si="30"/>
        <v>5</v>
      </c>
      <c r="S56">
        <f t="shared" si="31"/>
        <v>2</v>
      </c>
      <c r="T56">
        <f t="shared" si="32"/>
        <v>4</v>
      </c>
      <c r="U56" s="6">
        <f t="shared" si="33"/>
        <v>11</v>
      </c>
      <c r="W56" s="2"/>
      <c r="X56" s="2">
        <f>U56-U60</f>
        <v>0</v>
      </c>
      <c r="Y56" s="19">
        <f>11/0.9</f>
        <v>12.222222222222221</v>
      </c>
      <c r="Z56" s="19">
        <f>24.8/0.9</f>
        <v>27.555555555555557</v>
      </c>
      <c r="AA56" s="19">
        <f>200/0.9</f>
        <v>222.22222222222223</v>
      </c>
      <c r="AB56" s="2">
        <f t="shared" si="9"/>
        <v>262</v>
      </c>
      <c r="AC56" s="2">
        <f t="shared" ref="AC56:AC60" si="34">AB56-AB57</f>
        <v>68.472222222222257</v>
      </c>
      <c r="AD56" s="2"/>
      <c r="AE56" s="2">
        <f t="shared" si="11"/>
        <v>15.872222222222263</v>
      </c>
      <c r="AF56" s="3"/>
      <c r="AG56" s="2">
        <f t="shared" si="0"/>
        <v>4017.7749777699282</v>
      </c>
      <c r="AH56" s="29"/>
      <c r="AI56" s="1">
        <f t="shared" si="1"/>
        <v>2.3550046833199643</v>
      </c>
      <c r="AK56" s="6">
        <f>IF(AB56&gt;64.2061111111111,1,0)</f>
        <v>1</v>
      </c>
      <c r="AL56">
        <f t="shared" si="2"/>
        <v>1</v>
      </c>
      <c r="AM56">
        <f t="shared" si="3"/>
        <v>0</v>
      </c>
      <c r="AN56">
        <f t="shared" si="4"/>
        <v>0</v>
      </c>
      <c r="AO56">
        <f t="shared" si="12"/>
        <v>3</v>
      </c>
      <c r="AP56" s="1">
        <f t="shared" si="13"/>
        <v>9.0720221606648206</v>
      </c>
      <c r="AQ56">
        <f t="shared" si="14"/>
        <v>1</v>
      </c>
      <c r="AR56">
        <f t="shared" si="15"/>
        <v>1</v>
      </c>
      <c r="AS56">
        <f t="shared" si="16"/>
        <v>1</v>
      </c>
      <c r="AT56" t="str">
        <f t="shared" si="17"/>
        <v>groot</v>
      </c>
    </row>
    <row r="57" spans="1:46" customFormat="1" x14ac:dyDescent="0.25">
      <c r="A57" s="34">
        <v>10</v>
      </c>
      <c r="B57">
        <v>21</v>
      </c>
      <c r="C57">
        <v>23</v>
      </c>
      <c r="D57" t="s">
        <v>85</v>
      </c>
      <c r="E57" t="s">
        <v>86</v>
      </c>
      <c r="F57" t="s">
        <v>87</v>
      </c>
      <c r="G57" s="3">
        <v>28880</v>
      </c>
      <c r="H57" s="21">
        <v>5</v>
      </c>
      <c r="I57" t="s">
        <v>88</v>
      </c>
      <c r="J57" s="21">
        <v>0</v>
      </c>
      <c r="K57" s="21">
        <v>0</v>
      </c>
      <c r="L57">
        <v>2016</v>
      </c>
      <c r="M57">
        <v>2020</v>
      </c>
      <c r="N57">
        <v>2020</v>
      </c>
      <c r="O57">
        <v>2023</v>
      </c>
      <c r="P57">
        <v>2023</v>
      </c>
      <c r="Q57">
        <v>2027</v>
      </c>
      <c r="R57">
        <f t="shared" si="30"/>
        <v>4</v>
      </c>
      <c r="S57">
        <f t="shared" si="31"/>
        <v>3</v>
      </c>
      <c r="T57">
        <f t="shared" si="32"/>
        <v>4</v>
      </c>
      <c r="U57" s="6">
        <f t="shared" si="33"/>
        <v>11</v>
      </c>
      <c r="V57" s="6">
        <f>U57-U58</f>
        <v>0</v>
      </c>
      <c r="W57" s="2">
        <f>U57-U61</f>
        <v>2</v>
      </c>
      <c r="X57" s="2"/>
      <c r="Y57" s="19">
        <v>12.272222222222222</v>
      </c>
      <c r="Z57" s="19">
        <v>19.100000000000001</v>
      </c>
      <c r="AA57" s="19">
        <v>162.15555555555551</v>
      </c>
      <c r="AB57" s="2">
        <f t="shared" si="9"/>
        <v>193.52777777777774</v>
      </c>
      <c r="AC57" s="2">
        <f t="shared" si="34"/>
        <v>-8.4444444444471856E-2</v>
      </c>
      <c r="AD57" s="2">
        <f>AB57-AB60</f>
        <v>26.527777777777743</v>
      </c>
      <c r="AE57" s="2" t="str">
        <f t="shared" si="11"/>
        <v/>
      </c>
      <c r="AF57" s="3">
        <f>G57-G60</f>
        <v>4017.7749777699282</v>
      </c>
      <c r="AG57" s="2" t="str">
        <f t="shared" si="0"/>
        <v/>
      </c>
      <c r="AH57" s="29">
        <f>((AB57)/(G57/1000))-((AB60)/(G60/1000))</f>
        <v>-1.591713877914458E-2</v>
      </c>
      <c r="AI57" s="1" t="str">
        <f t="shared" si="1"/>
        <v/>
      </c>
      <c r="AJ57">
        <v>1</v>
      </c>
      <c r="AK57">
        <v>1</v>
      </c>
      <c r="AL57">
        <f t="shared" si="2"/>
        <v>0</v>
      </c>
      <c r="AM57">
        <f t="shared" si="3"/>
        <v>1</v>
      </c>
      <c r="AN57">
        <f t="shared" si="4"/>
        <v>0</v>
      </c>
      <c r="AO57">
        <f t="shared" si="12"/>
        <v>3</v>
      </c>
      <c r="AP57" s="1">
        <f t="shared" si="13"/>
        <v>6.7011003385657117</v>
      </c>
      <c r="AQ57">
        <f t="shared" si="14"/>
        <v>0</v>
      </c>
      <c r="AR57">
        <f t="shared" si="15"/>
        <v>0</v>
      </c>
      <c r="AS57">
        <f t="shared" si="16"/>
        <v>1</v>
      </c>
      <c r="AT57" t="str">
        <f t="shared" si="17"/>
        <v>groot</v>
      </c>
    </row>
    <row r="58" spans="1:46" customFormat="1" x14ac:dyDescent="0.25">
      <c r="A58" s="34">
        <v>10</v>
      </c>
      <c r="B58">
        <v>20</v>
      </c>
      <c r="C58">
        <v>53</v>
      </c>
      <c r="D58" t="s">
        <v>85</v>
      </c>
      <c r="E58" t="s">
        <v>86</v>
      </c>
      <c r="F58" t="s">
        <v>87</v>
      </c>
      <c r="G58" s="3">
        <v>28880</v>
      </c>
      <c r="H58" s="21">
        <v>11</v>
      </c>
      <c r="I58" t="s">
        <v>88</v>
      </c>
      <c r="J58" s="21">
        <v>0</v>
      </c>
      <c r="K58" s="21">
        <v>0</v>
      </c>
      <c r="L58">
        <v>2016</v>
      </c>
      <c r="M58">
        <v>2020</v>
      </c>
      <c r="N58">
        <v>2020</v>
      </c>
      <c r="O58">
        <v>2023</v>
      </c>
      <c r="P58">
        <v>2023</v>
      </c>
      <c r="Q58">
        <v>2027</v>
      </c>
      <c r="R58">
        <f t="shared" si="30"/>
        <v>4</v>
      </c>
      <c r="S58">
        <f t="shared" si="31"/>
        <v>3</v>
      </c>
      <c r="T58">
        <f t="shared" si="32"/>
        <v>4</v>
      </c>
      <c r="U58" s="6">
        <f t="shared" si="33"/>
        <v>11</v>
      </c>
      <c r="V58" s="6">
        <f>U58-U59</f>
        <v>-1</v>
      </c>
      <c r="W58" s="2"/>
      <c r="X58" s="2"/>
      <c r="Y58" s="19">
        <v>12.273333333333333</v>
      </c>
      <c r="Z58" s="19">
        <v>19.100000000000001</v>
      </c>
      <c r="AA58" s="19">
        <v>162.23888888888888</v>
      </c>
      <c r="AB58" s="2">
        <f t="shared" si="9"/>
        <v>193.61222222222221</v>
      </c>
      <c r="AC58" s="2">
        <f t="shared" si="34"/>
        <v>3.0442222222222028</v>
      </c>
      <c r="AD58" s="2"/>
      <c r="AE58" s="2" t="str">
        <f t="shared" si="11"/>
        <v/>
      </c>
      <c r="AF58" s="3"/>
      <c r="AG58" s="2" t="str">
        <f t="shared" si="0"/>
        <v/>
      </c>
      <c r="AH58" s="29"/>
      <c r="AI58" s="1" t="str">
        <f t="shared" si="1"/>
        <v/>
      </c>
      <c r="AJ58">
        <v>1</v>
      </c>
      <c r="AK58">
        <v>1</v>
      </c>
      <c r="AL58">
        <f t="shared" si="2"/>
        <v>0</v>
      </c>
      <c r="AM58">
        <f t="shared" si="3"/>
        <v>1</v>
      </c>
      <c r="AN58">
        <f t="shared" si="4"/>
        <v>0</v>
      </c>
      <c r="AO58">
        <f t="shared" si="12"/>
        <v>3</v>
      </c>
      <c r="AP58" s="1">
        <f t="shared" si="13"/>
        <v>6.7040243151738999</v>
      </c>
      <c r="AQ58">
        <f t="shared" si="14"/>
        <v>0</v>
      </c>
      <c r="AR58">
        <f t="shared" si="15"/>
        <v>0</v>
      </c>
      <c r="AS58">
        <f t="shared" si="16"/>
        <v>1</v>
      </c>
      <c r="AT58" t="str">
        <f t="shared" si="17"/>
        <v>groot</v>
      </c>
    </row>
    <row r="59" spans="1:46" customFormat="1" x14ac:dyDescent="0.25">
      <c r="A59" s="34">
        <v>10</v>
      </c>
      <c r="B59">
        <v>19</v>
      </c>
      <c r="C59">
        <v>51</v>
      </c>
      <c r="D59" t="s">
        <v>85</v>
      </c>
      <c r="E59" t="s">
        <v>86</v>
      </c>
      <c r="F59" t="s">
        <v>87</v>
      </c>
      <c r="G59" s="3">
        <v>24862.225022230072</v>
      </c>
      <c r="H59" s="21">
        <v>2</v>
      </c>
      <c r="I59" t="s">
        <v>88</v>
      </c>
      <c r="J59" s="21">
        <v>0</v>
      </c>
      <c r="K59" s="21">
        <v>0</v>
      </c>
      <c r="L59">
        <v>2016</v>
      </c>
      <c r="M59">
        <v>2020</v>
      </c>
      <c r="N59">
        <v>2020</v>
      </c>
      <c r="O59">
        <v>2023</v>
      </c>
      <c r="P59">
        <v>2023</v>
      </c>
      <c r="Q59">
        <v>2028</v>
      </c>
      <c r="R59">
        <f t="shared" si="30"/>
        <v>4</v>
      </c>
      <c r="S59">
        <f t="shared" si="31"/>
        <v>3</v>
      </c>
      <c r="T59">
        <f t="shared" si="32"/>
        <v>5</v>
      </c>
      <c r="U59" s="6">
        <f t="shared" si="33"/>
        <v>12</v>
      </c>
      <c r="V59" s="6">
        <f>U59-U60</f>
        <v>1</v>
      </c>
      <c r="W59" s="2"/>
      <c r="X59" s="2"/>
      <c r="Y59" s="19">
        <v>9.3000000000000007</v>
      </c>
      <c r="Z59" s="19">
        <v>19.100000000000001</v>
      </c>
      <c r="AA59" s="19">
        <v>162.16800000000001</v>
      </c>
      <c r="AB59" s="2">
        <f t="shared" si="9"/>
        <v>190.56800000000001</v>
      </c>
      <c r="AC59" s="2">
        <f t="shared" si="34"/>
        <v>23.568000000000012</v>
      </c>
      <c r="AD59" s="2"/>
      <c r="AE59" s="2" t="str">
        <f t="shared" si="11"/>
        <v/>
      </c>
      <c r="AF59" s="3"/>
      <c r="AG59" s="2" t="str">
        <f t="shared" si="0"/>
        <v/>
      </c>
      <c r="AH59" s="29"/>
      <c r="AI59" s="1" t="str">
        <f t="shared" si="1"/>
        <v/>
      </c>
      <c r="AJ59">
        <v>1</v>
      </c>
      <c r="AK59">
        <v>1</v>
      </c>
      <c r="AL59">
        <f t="shared" si="2"/>
        <v>0</v>
      </c>
      <c r="AM59">
        <f t="shared" si="3"/>
        <v>1</v>
      </c>
      <c r="AN59">
        <f t="shared" si="4"/>
        <v>0</v>
      </c>
      <c r="AO59">
        <f t="shared" si="12"/>
        <v>3</v>
      </c>
      <c r="AP59" s="1">
        <f t="shared" si="13"/>
        <v>7.6649615965428426</v>
      </c>
      <c r="AQ59">
        <f t="shared" si="14"/>
        <v>0</v>
      </c>
      <c r="AR59">
        <f t="shared" si="15"/>
        <v>0</v>
      </c>
      <c r="AS59">
        <f t="shared" si="16"/>
        <v>1</v>
      </c>
      <c r="AT59" t="str">
        <f t="shared" si="17"/>
        <v>groot</v>
      </c>
    </row>
    <row r="60" spans="1:46" customFormat="1" x14ac:dyDescent="0.25">
      <c r="A60" s="34">
        <v>10</v>
      </c>
      <c r="B60">
        <v>18</v>
      </c>
      <c r="C60">
        <v>52</v>
      </c>
      <c r="D60" t="s">
        <v>89</v>
      </c>
      <c r="E60" t="s">
        <v>86</v>
      </c>
      <c r="F60" t="s">
        <v>87</v>
      </c>
      <c r="G60" s="3">
        <v>24862.225022230072</v>
      </c>
      <c r="H60" s="21">
        <v>2</v>
      </c>
      <c r="I60" t="s">
        <v>90</v>
      </c>
      <c r="J60" s="21">
        <v>0</v>
      </c>
      <c r="K60" s="21">
        <v>0</v>
      </c>
      <c r="L60">
        <v>2016</v>
      </c>
      <c r="M60">
        <v>2020</v>
      </c>
      <c r="N60">
        <v>2020</v>
      </c>
      <c r="O60">
        <v>2023</v>
      </c>
      <c r="P60">
        <v>2023</v>
      </c>
      <c r="Q60">
        <v>2027</v>
      </c>
      <c r="R60">
        <f t="shared" si="30"/>
        <v>4</v>
      </c>
      <c r="S60">
        <f t="shared" si="31"/>
        <v>3</v>
      </c>
      <c r="T60">
        <f t="shared" si="32"/>
        <v>4</v>
      </c>
      <c r="U60" s="6">
        <f t="shared" si="33"/>
        <v>11</v>
      </c>
      <c r="V60" s="6">
        <f>U60-U61</f>
        <v>2</v>
      </c>
      <c r="W60" s="2"/>
      <c r="X60" s="2"/>
      <c r="Y60" s="19">
        <v>9.3000000000000007</v>
      </c>
      <c r="Z60" s="19">
        <v>16.600000000000001</v>
      </c>
      <c r="AA60" s="19">
        <v>141.1</v>
      </c>
      <c r="AB60" s="2">
        <f t="shared" si="9"/>
        <v>167</v>
      </c>
      <c r="AC60" s="2">
        <f t="shared" si="34"/>
        <v>52.599999999999994</v>
      </c>
      <c r="AD60" s="2"/>
      <c r="AE60" s="2" t="str">
        <f t="shared" si="11"/>
        <v/>
      </c>
      <c r="AF60" s="3"/>
      <c r="AG60" s="2" t="str">
        <f t="shared" si="0"/>
        <v/>
      </c>
      <c r="AH60" s="29"/>
      <c r="AI60" s="1" t="str">
        <f t="shared" si="1"/>
        <v/>
      </c>
      <c r="AJ60">
        <v>1</v>
      </c>
      <c r="AK60">
        <v>1</v>
      </c>
      <c r="AL60">
        <f t="shared" si="2"/>
        <v>0</v>
      </c>
      <c r="AM60">
        <f t="shared" si="3"/>
        <v>1</v>
      </c>
      <c r="AN60">
        <f t="shared" si="4"/>
        <v>0</v>
      </c>
      <c r="AO60">
        <f t="shared" si="12"/>
        <v>3</v>
      </c>
      <c r="AP60" s="1">
        <f t="shared" si="13"/>
        <v>6.7170174773448563</v>
      </c>
      <c r="AQ60">
        <f t="shared" si="14"/>
        <v>0</v>
      </c>
      <c r="AR60">
        <f t="shared" si="15"/>
        <v>0</v>
      </c>
      <c r="AS60">
        <f t="shared" si="16"/>
        <v>0</v>
      </c>
      <c r="AT60" t="str">
        <f t="shared" si="17"/>
        <v>groot</v>
      </c>
    </row>
    <row r="61" spans="1:46" customFormat="1" x14ac:dyDescent="0.25">
      <c r="A61" s="34">
        <v>10</v>
      </c>
      <c r="B61">
        <v>17</v>
      </c>
      <c r="C61">
        <v>40</v>
      </c>
      <c r="D61" t="s">
        <v>89</v>
      </c>
      <c r="E61" t="s">
        <v>86</v>
      </c>
      <c r="F61" t="s">
        <v>87</v>
      </c>
      <c r="G61" s="3"/>
      <c r="H61" s="21"/>
      <c r="J61" s="21">
        <v>0</v>
      </c>
      <c r="K61" s="21">
        <v>0</v>
      </c>
      <c r="L61">
        <v>2016</v>
      </c>
      <c r="M61">
        <v>2020</v>
      </c>
      <c r="N61">
        <v>2020</v>
      </c>
      <c r="O61">
        <v>2023</v>
      </c>
      <c r="P61">
        <v>2023</v>
      </c>
      <c r="Q61">
        <v>2025</v>
      </c>
      <c r="R61">
        <f t="shared" si="30"/>
        <v>4</v>
      </c>
      <c r="S61">
        <f t="shared" si="31"/>
        <v>3</v>
      </c>
      <c r="T61">
        <f t="shared" si="32"/>
        <v>2</v>
      </c>
      <c r="U61" s="6">
        <f t="shared" si="33"/>
        <v>9</v>
      </c>
      <c r="W61" s="2"/>
      <c r="X61" s="2"/>
      <c r="Y61" s="19">
        <v>18.3</v>
      </c>
      <c r="Z61" s="19">
        <v>40</v>
      </c>
      <c r="AA61" s="19">
        <v>56.1</v>
      </c>
      <c r="AB61" s="2">
        <f t="shared" si="9"/>
        <v>114.4</v>
      </c>
      <c r="AC61" s="2"/>
      <c r="AD61" s="2"/>
      <c r="AE61" s="2" t="str">
        <f t="shared" si="11"/>
        <v/>
      </c>
      <c r="AF61" s="3"/>
      <c r="AG61" s="2" t="str">
        <f t="shared" si="0"/>
        <v/>
      </c>
      <c r="AH61" s="29"/>
      <c r="AI61" s="1" t="str">
        <f t="shared" si="1"/>
        <v/>
      </c>
      <c r="AJ61">
        <v>1</v>
      </c>
      <c r="AK61">
        <v>1</v>
      </c>
      <c r="AL61">
        <f t="shared" si="2"/>
        <v>0</v>
      </c>
      <c r="AM61">
        <f t="shared" si="3"/>
        <v>1</v>
      </c>
      <c r="AN61">
        <f t="shared" si="4"/>
        <v>0</v>
      </c>
      <c r="AO61">
        <f t="shared" si="12"/>
        <v>3</v>
      </c>
      <c r="AP61" s="1"/>
      <c r="AQ61">
        <f t="shared" si="14"/>
        <v>0</v>
      </c>
      <c r="AR61">
        <f t="shared" si="15"/>
        <v>0</v>
      </c>
      <c r="AS61">
        <f t="shared" si="16"/>
        <v>0</v>
      </c>
      <c r="AT61" t="str">
        <f t="shared" si="17"/>
        <v>groot</v>
      </c>
    </row>
    <row r="62" spans="1:46" customFormat="1" x14ac:dyDescent="0.25">
      <c r="A62" s="13">
        <v>11</v>
      </c>
      <c r="B62">
        <v>22</v>
      </c>
      <c r="C62">
        <v>25</v>
      </c>
      <c r="D62" t="s">
        <v>91</v>
      </c>
      <c r="E62" t="s">
        <v>86</v>
      </c>
      <c r="F62" t="s">
        <v>92</v>
      </c>
      <c r="G62" s="3">
        <v>7651</v>
      </c>
      <c r="H62" s="21">
        <v>5</v>
      </c>
      <c r="I62" t="s">
        <v>90</v>
      </c>
      <c r="J62" s="21">
        <v>0</v>
      </c>
      <c r="K62" s="21">
        <v>0</v>
      </c>
      <c r="L62">
        <v>2014</v>
      </c>
      <c r="M62">
        <v>2020</v>
      </c>
      <c r="N62">
        <v>2020</v>
      </c>
      <c r="O62">
        <v>2022</v>
      </c>
      <c r="P62">
        <v>2022</v>
      </c>
      <c r="Q62">
        <v>2025</v>
      </c>
      <c r="R62">
        <f t="shared" si="30"/>
        <v>6</v>
      </c>
      <c r="S62">
        <f t="shared" si="31"/>
        <v>2</v>
      </c>
      <c r="T62">
        <f t="shared" si="32"/>
        <v>3</v>
      </c>
      <c r="U62" s="6">
        <f t="shared" si="33"/>
        <v>11</v>
      </c>
      <c r="V62" s="6">
        <f>U62-U63</f>
        <v>0</v>
      </c>
      <c r="W62" s="2"/>
      <c r="X62" s="2">
        <f>U62-U66</f>
        <v>3</v>
      </c>
      <c r="Y62" s="19">
        <f>6/0.9</f>
        <v>6.6666666666666661</v>
      </c>
      <c r="Z62" s="19">
        <f>27/0.9</f>
        <v>30</v>
      </c>
      <c r="AA62" s="19">
        <f>(3*24)/0.9</f>
        <v>80</v>
      </c>
      <c r="AB62" s="2">
        <f t="shared" si="9"/>
        <v>116.66666666666666</v>
      </c>
      <c r="AC62" s="2">
        <f t="shared" ref="AC62:AC87" si="35">AB62-AB63</f>
        <v>18.556666666666658</v>
      </c>
      <c r="AD62" s="2"/>
      <c r="AE62" s="2">
        <f t="shared" si="11"/>
        <v>61.956666666666635</v>
      </c>
      <c r="AF62" s="3"/>
      <c r="AG62" s="2">
        <f t="shared" si="0"/>
        <v>-355.34961436817048</v>
      </c>
      <c r="AH62" s="29"/>
      <c r="AI62" s="1">
        <f t="shared" si="1"/>
        <v>1.884158730073203</v>
      </c>
      <c r="AK62" s="6">
        <f>IF(AB62&gt;64.2061111111111,1,0)</f>
        <v>1</v>
      </c>
      <c r="AL62">
        <f t="shared" si="2"/>
        <v>0</v>
      </c>
      <c r="AM62">
        <f t="shared" si="3"/>
        <v>1</v>
      </c>
      <c r="AN62">
        <f t="shared" si="4"/>
        <v>0</v>
      </c>
      <c r="AO62">
        <f t="shared" si="12"/>
        <v>2</v>
      </c>
      <c r="AP62" s="1">
        <f t="shared" si="13"/>
        <v>15.248551387618175</v>
      </c>
      <c r="AQ62">
        <f t="shared" si="14"/>
        <v>0</v>
      </c>
      <c r="AR62">
        <f t="shared" si="15"/>
        <v>0</v>
      </c>
      <c r="AS62">
        <f t="shared" si="16"/>
        <v>1</v>
      </c>
      <c r="AT62" t="str">
        <f t="shared" si="17"/>
        <v>groot</v>
      </c>
    </row>
    <row r="63" spans="1:46" customFormat="1" x14ac:dyDescent="0.25">
      <c r="A63" s="13">
        <v>11</v>
      </c>
      <c r="B63">
        <v>21</v>
      </c>
      <c r="C63">
        <v>25</v>
      </c>
      <c r="D63" t="s">
        <v>91</v>
      </c>
      <c r="E63" t="s">
        <v>86</v>
      </c>
      <c r="F63" t="s">
        <v>92</v>
      </c>
      <c r="G63" s="3">
        <v>7651</v>
      </c>
      <c r="H63" s="21">
        <v>5</v>
      </c>
      <c r="I63" t="s">
        <v>90</v>
      </c>
      <c r="J63" s="21">
        <v>0</v>
      </c>
      <c r="K63" s="21">
        <v>0</v>
      </c>
      <c r="L63">
        <v>2014</v>
      </c>
      <c r="M63">
        <v>2020</v>
      </c>
      <c r="N63">
        <v>2020</v>
      </c>
      <c r="O63">
        <v>2022</v>
      </c>
      <c r="P63">
        <v>2022</v>
      </c>
      <c r="Q63">
        <v>2025</v>
      </c>
      <c r="R63">
        <f t="shared" si="20"/>
        <v>6</v>
      </c>
      <c r="S63">
        <f t="shared" si="21"/>
        <v>2</v>
      </c>
      <c r="T63">
        <f t="shared" si="22"/>
        <v>3</v>
      </c>
      <c r="U63" s="6">
        <f t="shared" si="23"/>
        <v>11</v>
      </c>
      <c r="V63" s="6">
        <f>U63-U64</f>
        <v>2</v>
      </c>
      <c r="W63" s="2">
        <f>U63-U66</f>
        <v>3</v>
      </c>
      <c r="X63" s="2"/>
      <c r="Y63" s="19">
        <v>6.61</v>
      </c>
      <c r="Z63" s="19">
        <v>30</v>
      </c>
      <c r="AA63" s="19">
        <v>61.5</v>
      </c>
      <c r="AB63" s="2">
        <f t="shared" si="9"/>
        <v>98.11</v>
      </c>
      <c r="AC63" s="2">
        <f t="shared" si="35"/>
        <v>25.101111111111109</v>
      </c>
      <c r="AD63" s="2">
        <f>AB63-AB66</f>
        <v>-8.89</v>
      </c>
      <c r="AE63" s="2" t="str">
        <f t="shared" si="11"/>
        <v/>
      </c>
      <c r="AF63" s="3">
        <f>G63-G66</f>
        <v>-355.34961436817048</v>
      </c>
      <c r="AG63" s="2" t="str">
        <f t="shared" si="0"/>
        <v/>
      </c>
      <c r="AH63" s="29">
        <f>((AB63)/(G63/1000))-((AB66)/(G66/1000))</f>
        <v>-0.54123228635166321</v>
      </c>
      <c r="AI63" s="1" t="str">
        <f t="shared" si="1"/>
        <v/>
      </c>
      <c r="AJ63">
        <v>1</v>
      </c>
      <c r="AK63">
        <v>1</v>
      </c>
      <c r="AL63">
        <f t="shared" si="2"/>
        <v>0</v>
      </c>
      <c r="AM63">
        <f t="shared" si="3"/>
        <v>1</v>
      </c>
      <c r="AN63">
        <f t="shared" si="4"/>
        <v>0</v>
      </c>
      <c r="AO63">
        <f t="shared" si="12"/>
        <v>2</v>
      </c>
      <c r="AP63" s="1">
        <f t="shared" si="13"/>
        <v>12.823160371193309</v>
      </c>
      <c r="AQ63">
        <f t="shared" si="14"/>
        <v>0</v>
      </c>
      <c r="AR63">
        <f t="shared" si="15"/>
        <v>0</v>
      </c>
      <c r="AS63">
        <f t="shared" si="16"/>
        <v>1</v>
      </c>
      <c r="AT63" t="str">
        <f t="shared" si="17"/>
        <v>groot</v>
      </c>
    </row>
    <row r="64" spans="1:46" customFormat="1" x14ac:dyDescent="0.25">
      <c r="A64" s="13">
        <v>11</v>
      </c>
      <c r="B64">
        <v>20</v>
      </c>
      <c r="C64">
        <v>55</v>
      </c>
      <c r="D64" t="s">
        <v>91</v>
      </c>
      <c r="E64" t="s">
        <v>86</v>
      </c>
      <c r="F64" t="s">
        <v>93</v>
      </c>
      <c r="G64" s="3">
        <v>7641</v>
      </c>
      <c r="H64" s="21">
        <v>11</v>
      </c>
      <c r="I64" t="s">
        <v>90</v>
      </c>
      <c r="J64" s="21">
        <v>0</v>
      </c>
      <c r="K64" s="21">
        <v>0</v>
      </c>
      <c r="L64">
        <v>2016</v>
      </c>
      <c r="M64">
        <v>2018</v>
      </c>
      <c r="N64">
        <v>2018</v>
      </c>
      <c r="O64">
        <v>2021</v>
      </c>
      <c r="P64">
        <v>2021</v>
      </c>
      <c r="Q64">
        <v>2025</v>
      </c>
      <c r="R64">
        <f t="shared" si="20"/>
        <v>2</v>
      </c>
      <c r="S64">
        <f t="shared" si="21"/>
        <v>3</v>
      </c>
      <c r="T64">
        <f t="shared" si="22"/>
        <v>4</v>
      </c>
      <c r="U64" s="6">
        <f t="shared" si="23"/>
        <v>9</v>
      </c>
      <c r="V64" s="6">
        <f>U64-U65</f>
        <v>0</v>
      </c>
      <c r="W64" s="2"/>
      <c r="X64" s="2"/>
      <c r="Y64" s="19">
        <v>6.6088888888888899</v>
      </c>
      <c r="Z64" s="19">
        <v>9.6000000000000014</v>
      </c>
      <c r="AA64" s="19">
        <v>56.8</v>
      </c>
      <c r="AB64" s="2">
        <f t="shared" si="9"/>
        <v>73.00888888888889</v>
      </c>
      <c r="AC64" s="2">
        <f t="shared" si="35"/>
        <v>-4.6911111111110984</v>
      </c>
      <c r="AD64" s="2"/>
      <c r="AE64" s="2" t="str">
        <f t="shared" si="11"/>
        <v/>
      </c>
      <c r="AF64" s="3"/>
      <c r="AG64" s="2" t="str">
        <f t="shared" si="0"/>
        <v/>
      </c>
      <c r="AH64" s="29"/>
      <c r="AI64" s="1" t="str">
        <f t="shared" si="1"/>
        <v/>
      </c>
      <c r="AJ64">
        <v>1</v>
      </c>
      <c r="AK64">
        <v>1</v>
      </c>
      <c r="AL64">
        <f t="shared" si="2"/>
        <v>0</v>
      </c>
      <c r="AM64">
        <f t="shared" si="3"/>
        <v>1</v>
      </c>
      <c r="AN64">
        <f t="shared" si="4"/>
        <v>0</v>
      </c>
      <c r="AO64">
        <f t="shared" si="12"/>
        <v>1</v>
      </c>
      <c r="AP64" s="1">
        <f t="shared" si="13"/>
        <v>9.5548866495077718</v>
      </c>
      <c r="AQ64">
        <f t="shared" si="14"/>
        <v>-2</v>
      </c>
      <c r="AR64">
        <f t="shared" si="15"/>
        <v>0</v>
      </c>
      <c r="AS64">
        <f t="shared" si="16"/>
        <v>1</v>
      </c>
      <c r="AT64" t="str">
        <f t="shared" si="17"/>
        <v>groot</v>
      </c>
    </row>
    <row r="65" spans="1:46" customFormat="1" x14ac:dyDescent="0.25">
      <c r="A65" s="13">
        <v>11</v>
      </c>
      <c r="B65">
        <v>19</v>
      </c>
      <c r="C65">
        <v>54</v>
      </c>
      <c r="D65" t="s">
        <v>91</v>
      </c>
      <c r="E65" t="s">
        <v>86</v>
      </c>
      <c r="F65" t="s">
        <v>93</v>
      </c>
      <c r="G65" s="3">
        <v>8006.3496143681705</v>
      </c>
      <c r="H65" s="21">
        <v>5</v>
      </c>
      <c r="I65" t="s">
        <v>90</v>
      </c>
      <c r="J65" s="21">
        <v>0</v>
      </c>
      <c r="K65" s="21">
        <v>0</v>
      </c>
      <c r="L65">
        <v>2016</v>
      </c>
      <c r="M65">
        <v>2018</v>
      </c>
      <c r="N65">
        <v>2018</v>
      </c>
      <c r="O65">
        <v>2021</v>
      </c>
      <c r="P65">
        <v>2021</v>
      </c>
      <c r="Q65">
        <v>2025</v>
      </c>
      <c r="R65">
        <f t="shared" si="20"/>
        <v>2</v>
      </c>
      <c r="S65">
        <f t="shared" si="21"/>
        <v>3</v>
      </c>
      <c r="T65">
        <f t="shared" si="22"/>
        <v>4</v>
      </c>
      <c r="U65" s="6">
        <f t="shared" si="23"/>
        <v>9</v>
      </c>
      <c r="V65" s="6">
        <f>U65-U66</f>
        <v>1</v>
      </c>
      <c r="W65" s="2"/>
      <c r="X65" s="2"/>
      <c r="Y65" s="19">
        <v>6.6</v>
      </c>
      <c r="Z65" s="19">
        <v>9.5</v>
      </c>
      <c r="AA65" s="19">
        <v>61.599999999999994</v>
      </c>
      <c r="AB65" s="2">
        <f t="shared" si="9"/>
        <v>77.699999999999989</v>
      </c>
      <c r="AC65" s="2">
        <f t="shared" si="35"/>
        <v>-29.300000000000011</v>
      </c>
      <c r="AD65" s="2"/>
      <c r="AE65" s="2" t="str">
        <f t="shared" si="11"/>
        <v/>
      </c>
      <c r="AF65" s="3"/>
      <c r="AG65" s="2" t="str">
        <f t="shared" si="0"/>
        <v/>
      </c>
      <c r="AH65" s="29"/>
      <c r="AI65" s="1" t="str">
        <f t="shared" si="1"/>
        <v/>
      </c>
      <c r="AJ65">
        <v>1</v>
      </c>
      <c r="AK65">
        <v>1</v>
      </c>
      <c r="AL65">
        <f t="shared" si="2"/>
        <v>0</v>
      </c>
      <c r="AM65">
        <f t="shared" si="3"/>
        <v>1</v>
      </c>
      <c r="AN65">
        <f t="shared" si="4"/>
        <v>0</v>
      </c>
      <c r="AO65">
        <f t="shared" si="12"/>
        <v>1</v>
      </c>
      <c r="AP65" s="1">
        <f t="shared" si="13"/>
        <v>9.7047972849648989</v>
      </c>
      <c r="AQ65">
        <f t="shared" si="14"/>
        <v>-2</v>
      </c>
      <c r="AR65">
        <f t="shared" si="15"/>
        <v>0</v>
      </c>
      <c r="AS65">
        <f t="shared" si="16"/>
        <v>1</v>
      </c>
      <c r="AT65" t="str">
        <f t="shared" si="17"/>
        <v>groot</v>
      </c>
    </row>
    <row r="66" spans="1:46" customFormat="1" x14ac:dyDescent="0.25">
      <c r="A66" s="13">
        <v>11</v>
      </c>
      <c r="B66">
        <v>18</v>
      </c>
      <c r="C66">
        <v>56</v>
      </c>
      <c r="D66" t="s">
        <v>94</v>
      </c>
      <c r="E66" t="s">
        <v>86</v>
      </c>
      <c r="F66" t="s">
        <v>93</v>
      </c>
      <c r="G66" s="3">
        <v>8006.3496143681705</v>
      </c>
      <c r="H66" s="21">
        <v>5</v>
      </c>
      <c r="I66" t="s">
        <v>90</v>
      </c>
      <c r="J66" s="21">
        <v>0</v>
      </c>
      <c r="K66" s="21">
        <v>0</v>
      </c>
      <c r="L66">
        <v>2016</v>
      </c>
      <c r="M66">
        <v>2018</v>
      </c>
      <c r="N66">
        <v>2018</v>
      </c>
      <c r="O66">
        <v>2021</v>
      </c>
      <c r="P66">
        <v>2021</v>
      </c>
      <c r="Q66">
        <v>2024</v>
      </c>
      <c r="R66">
        <f t="shared" si="20"/>
        <v>2</v>
      </c>
      <c r="S66">
        <f t="shared" si="21"/>
        <v>3</v>
      </c>
      <c r="T66">
        <f t="shared" si="22"/>
        <v>3</v>
      </c>
      <c r="U66" s="6">
        <f t="shared" si="23"/>
        <v>8</v>
      </c>
      <c r="V66" s="6">
        <f>U66-U67</f>
        <v>-1</v>
      </c>
      <c r="W66" s="2"/>
      <c r="X66" s="2"/>
      <c r="Y66" s="19">
        <v>6.6</v>
      </c>
      <c r="Z66" s="19">
        <v>4.5</v>
      </c>
      <c r="AA66" s="19">
        <v>95.9</v>
      </c>
      <c r="AB66" s="2">
        <f t="shared" si="9"/>
        <v>107</v>
      </c>
      <c r="AC66" s="2">
        <f t="shared" si="35"/>
        <v>-43.399999999999977</v>
      </c>
      <c r="AD66" s="2"/>
      <c r="AE66" s="2" t="str">
        <f t="shared" si="11"/>
        <v/>
      </c>
      <c r="AF66" s="3"/>
      <c r="AG66" s="2" t="str">
        <f t="shared" ref="AG66:AG129" si="36">IF(ISNUMBER(X66),G66-G70,"")</f>
        <v/>
      </c>
      <c r="AH66" s="29"/>
      <c r="AI66" s="1" t="str">
        <f t="shared" ref="AI66:AI129" si="37">IF(ISNUMBER(X66),((AB66)/(G66/1000))-((AB70)/(G69/1000)),"")</f>
        <v/>
      </c>
      <c r="AJ66">
        <v>1</v>
      </c>
      <c r="AK66">
        <v>1</v>
      </c>
      <c r="AL66">
        <f t="shared" ref="AL66:AL129" si="38">IF(AND(L66&lt;=2020,2020&lt;M66),1,0)</f>
        <v>0</v>
      </c>
      <c r="AM66">
        <f t="shared" ref="AM66:AM129" si="39">IF(AND(N66&lt;=2020,2020&lt;O66),1,0)</f>
        <v>1</v>
      </c>
      <c r="AN66">
        <f t="shared" ref="AN66:AN129" si="40">IF(AND(P66&lt;=2020,2020&lt;Q66),1,0)</f>
        <v>0</v>
      </c>
      <c r="AO66">
        <f t="shared" si="12"/>
        <v>1</v>
      </c>
      <c r="AP66" s="1">
        <f t="shared" si="13"/>
        <v>13.364392657544972</v>
      </c>
      <c r="AQ66">
        <f t="shared" si="14"/>
        <v>-2</v>
      </c>
      <c r="AR66">
        <f t="shared" si="15"/>
        <v>0</v>
      </c>
      <c r="AS66">
        <f t="shared" si="16"/>
        <v>0</v>
      </c>
      <c r="AT66" t="str">
        <f t="shared" si="17"/>
        <v>groot</v>
      </c>
    </row>
    <row r="67" spans="1:46" customFormat="1" x14ac:dyDescent="0.25">
      <c r="A67" s="13">
        <v>11</v>
      </c>
      <c r="B67">
        <v>17</v>
      </c>
      <c r="C67">
        <v>43</v>
      </c>
      <c r="D67" t="s">
        <v>94</v>
      </c>
      <c r="E67" t="s">
        <v>86</v>
      </c>
      <c r="F67" t="s">
        <v>93</v>
      </c>
      <c r="G67" s="3"/>
      <c r="H67" s="21"/>
      <c r="J67" s="21">
        <v>0</v>
      </c>
      <c r="K67" s="21">
        <v>0</v>
      </c>
      <c r="L67">
        <v>2016</v>
      </c>
      <c r="M67">
        <v>2018</v>
      </c>
      <c r="N67">
        <v>2018</v>
      </c>
      <c r="O67">
        <v>2021</v>
      </c>
      <c r="P67">
        <v>2021</v>
      </c>
      <c r="Q67">
        <v>2025</v>
      </c>
      <c r="R67">
        <f t="shared" si="20"/>
        <v>2</v>
      </c>
      <c r="S67">
        <f t="shared" si="21"/>
        <v>3</v>
      </c>
      <c r="T67">
        <f t="shared" si="22"/>
        <v>4</v>
      </c>
      <c r="U67" s="6">
        <f t="shared" si="23"/>
        <v>9</v>
      </c>
      <c r="W67" s="2"/>
      <c r="X67" s="2"/>
      <c r="Y67" s="19">
        <v>0</v>
      </c>
      <c r="Z67" s="19">
        <v>11.7</v>
      </c>
      <c r="AA67" s="19">
        <v>138.69999999999999</v>
      </c>
      <c r="AB67" s="2">
        <f t="shared" ref="AB67:AB74" si="41">SUM(Y67:AA67)</f>
        <v>150.39999999999998</v>
      </c>
      <c r="AC67" s="2"/>
      <c r="AD67" s="2"/>
      <c r="AE67" s="2" t="str">
        <f t="shared" ref="AE67:AE130" si="42">IF(ISNUMBER(X67),AC67-AC71,"")</f>
        <v/>
      </c>
      <c r="AF67" s="3"/>
      <c r="AG67" s="2" t="str">
        <f t="shared" si="36"/>
        <v/>
      </c>
      <c r="AH67" s="29"/>
      <c r="AI67" s="1" t="str">
        <f t="shared" si="37"/>
        <v/>
      </c>
      <c r="AJ67">
        <v>1</v>
      </c>
      <c r="AK67">
        <v>1</v>
      </c>
      <c r="AL67">
        <f t="shared" si="38"/>
        <v>0</v>
      </c>
      <c r="AM67">
        <f t="shared" si="39"/>
        <v>1</v>
      </c>
      <c r="AN67">
        <f t="shared" si="40"/>
        <v>0</v>
      </c>
      <c r="AO67">
        <f t="shared" ref="AO67:AO130" si="43">P67-2020</f>
        <v>1</v>
      </c>
      <c r="AP67" s="1"/>
      <c r="AQ67">
        <f t="shared" ref="AQ67:AQ130" si="44">N67-2020</f>
        <v>-2</v>
      </c>
      <c r="AR67">
        <f t="shared" ref="AR67:AR130" si="45">IF(N67&gt;2020,1,0)</f>
        <v>0</v>
      </c>
      <c r="AS67">
        <f t="shared" ref="AS67:AS130" si="46">IF(AND(B67=22,N67&gt;2019),1,IF(AND(B67=21,N67&gt;2018),1,IF(AND(B67=20,N67&gt;2017),1,IF(AND(B67=19,N67&gt;2016),1,IF(AND(B67=18,B67&gt;2015),1,0)))))</f>
        <v>0</v>
      </c>
      <c r="AT67" t="str">
        <f t="shared" ref="AT67:AT95" si="47">IF(AK67=1,"groot","klein")</f>
        <v>groot</v>
      </c>
    </row>
    <row r="68" spans="1:46" customFormat="1" x14ac:dyDescent="0.25">
      <c r="A68" s="13">
        <v>12</v>
      </c>
      <c r="B68">
        <v>22</v>
      </c>
      <c r="C68">
        <v>77</v>
      </c>
      <c r="D68" t="s">
        <v>96</v>
      </c>
      <c r="E68" t="s">
        <v>97</v>
      </c>
      <c r="F68" t="s">
        <v>98</v>
      </c>
      <c r="G68" s="3">
        <v>9018</v>
      </c>
      <c r="H68" s="21"/>
      <c r="J68" s="22">
        <v>0</v>
      </c>
      <c r="K68" s="22">
        <v>0</v>
      </c>
      <c r="L68" s="16">
        <v>2016</v>
      </c>
      <c r="M68" s="16">
        <v>2020</v>
      </c>
      <c r="N68" s="16">
        <v>2020</v>
      </c>
      <c r="O68" s="16">
        <v>2022</v>
      </c>
      <c r="P68" s="16">
        <v>2022</v>
      </c>
      <c r="Q68" s="16">
        <v>2027</v>
      </c>
      <c r="R68">
        <f t="shared" ref="R68:R95" si="48">M68-L68</f>
        <v>4</v>
      </c>
      <c r="S68">
        <f t="shared" ref="S68:S95" si="49">O68-N68</f>
        <v>2</v>
      </c>
      <c r="T68">
        <f t="shared" ref="T68:T95" si="50">Q68-P68</f>
        <v>5</v>
      </c>
      <c r="U68" s="6">
        <f t="shared" ref="U68:U95" si="51">SUM(R68:T68)</f>
        <v>11</v>
      </c>
      <c r="V68" s="6">
        <f>U68-U69</f>
        <v>0</v>
      </c>
      <c r="W68" s="17"/>
      <c r="X68" s="2">
        <f>U68-U72</f>
        <v>5</v>
      </c>
      <c r="Y68" s="23">
        <f>7.6/0.9</f>
        <v>8.4444444444444446</v>
      </c>
      <c r="Z68" s="26">
        <f>5.5/0.9</f>
        <v>6.1111111111111107</v>
      </c>
      <c r="AA68" s="26">
        <f>46.2/0.9</f>
        <v>51.333333333333336</v>
      </c>
      <c r="AB68" s="2">
        <f t="shared" si="41"/>
        <v>65.888888888888886</v>
      </c>
      <c r="AC68" s="2">
        <f t="shared" si="35"/>
        <v>-0.16888888888888687</v>
      </c>
      <c r="AD68" s="17"/>
      <c r="AE68" s="2">
        <f t="shared" si="42"/>
        <v>2.6311111111111174</v>
      </c>
      <c r="AF68" s="18"/>
      <c r="AG68" s="2">
        <f t="shared" si="36"/>
        <v>1155.9687590998346</v>
      </c>
      <c r="AH68" s="30"/>
      <c r="AI68" s="1">
        <f t="shared" si="37"/>
        <v>0.55755294451608695</v>
      </c>
      <c r="AJ68" s="16"/>
      <c r="AK68" s="6">
        <f>IF(AB68&gt;64.2061111111111,1,0)</f>
        <v>1</v>
      </c>
      <c r="AL68">
        <f t="shared" si="38"/>
        <v>0</v>
      </c>
      <c r="AM68">
        <f t="shared" si="39"/>
        <v>1</v>
      </c>
      <c r="AN68">
        <f t="shared" si="40"/>
        <v>0</v>
      </c>
      <c r="AO68">
        <f t="shared" si="43"/>
        <v>2</v>
      </c>
      <c r="AP68" s="1">
        <f t="shared" ref="AP68:AP130" si="52">AB68/(G68/1000)</f>
        <v>7.306374904511963</v>
      </c>
      <c r="AQ68">
        <f t="shared" si="44"/>
        <v>0</v>
      </c>
      <c r="AR68">
        <f t="shared" si="45"/>
        <v>0</v>
      </c>
      <c r="AS68">
        <f t="shared" si="46"/>
        <v>1</v>
      </c>
      <c r="AT68" t="str">
        <f t="shared" si="47"/>
        <v>groot</v>
      </c>
    </row>
    <row r="69" spans="1:46" customFormat="1" x14ac:dyDescent="0.25">
      <c r="A69" s="13">
        <v>12</v>
      </c>
      <c r="B69">
        <v>21</v>
      </c>
      <c r="C69">
        <v>77</v>
      </c>
      <c r="D69" t="s">
        <v>96</v>
      </c>
      <c r="E69" t="s">
        <v>97</v>
      </c>
      <c r="F69" t="s">
        <v>98</v>
      </c>
      <c r="G69" s="3">
        <v>8100</v>
      </c>
      <c r="H69" s="21"/>
      <c r="I69" t="s">
        <v>99</v>
      </c>
      <c r="J69" s="21">
        <v>0</v>
      </c>
      <c r="K69" s="21">
        <v>0</v>
      </c>
      <c r="L69">
        <v>2016</v>
      </c>
      <c r="M69">
        <v>2021</v>
      </c>
      <c r="N69">
        <v>2021</v>
      </c>
      <c r="O69">
        <v>2023</v>
      </c>
      <c r="P69">
        <v>2023</v>
      </c>
      <c r="Q69">
        <v>2027</v>
      </c>
      <c r="R69">
        <f t="shared" si="48"/>
        <v>5</v>
      </c>
      <c r="S69">
        <f t="shared" si="49"/>
        <v>2</v>
      </c>
      <c r="T69">
        <f t="shared" si="50"/>
        <v>4</v>
      </c>
      <c r="U69" s="6">
        <f t="shared" si="51"/>
        <v>11</v>
      </c>
      <c r="V69" s="6">
        <f>U69-U70</f>
        <v>2</v>
      </c>
      <c r="W69" s="2">
        <f>U69-U72</f>
        <v>5</v>
      </c>
      <c r="X69" s="2"/>
      <c r="Y69" s="19">
        <v>8.4577777777777765</v>
      </c>
      <c r="Z69" s="19">
        <v>6.2</v>
      </c>
      <c r="AA69" s="19">
        <v>51.4</v>
      </c>
      <c r="AB69" s="2">
        <f t="shared" si="41"/>
        <v>66.057777777777773</v>
      </c>
      <c r="AC69" s="2">
        <f t="shared" si="35"/>
        <v>3.6943122222222229</v>
      </c>
      <c r="AD69" s="2">
        <f>AB69-AB72</f>
        <v>11.857777777777777</v>
      </c>
      <c r="AE69" s="2" t="str">
        <f t="shared" si="42"/>
        <v/>
      </c>
      <c r="AF69" s="3">
        <f>G69-G72</f>
        <v>237.96875909983464</v>
      </c>
      <c r="AG69" s="2" t="str">
        <f t="shared" si="36"/>
        <v/>
      </c>
      <c r="AH69" s="29">
        <f>((AB69)/(G69/1000))-((AB72)/(G72/1000))</f>
        <v>1.2613884789995646</v>
      </c>
      <c r="AI69" s="1" t="str">
        <f t="shared" si="37"/>
        <v/>
      </c>
      <c r="AJ69">
        <v>1</v>
      </c>
      <c r="AK69">
        <v>1</v>
      </c>
      <c r="AL69">
        <f t="shared" si="38"/>
        <v>1</v>
      </c>
      <c r="AM69">
        <f t="shared" si="39"/>
        <v>0</v>
      </c>
      <c r="AN69">
        <f t="shared" si="40"/>
        <v>0</v>
      </c>
      <c r="AO69">
        <f t="shared" si="43"/>
        <v>3</v>
      </c>
      <c r="AP69" s="1">
        <f t="shared" si="52"/>
        <v>8.1552812071330578</v>
      </c>
      <c r="AQ69">
        <f t="shared" si="44"/>
        <v>1</v>
      </c>
      <c r="AR69">
        <f t="shared" si="45"/>
        <v>1</v>
      </c>
      <c r="AS69">
        <f t="shared" si="46"/>
        <v>1</v>
      </c>
      <c r="AT69" t="str">
        <f t="shared" si="47"/>
        <v>groot</v>
      </c>
    </row>
    <row r="70" spans="1:46" customFormat="1" x14ac:dyDescent="0.25">
      <c r="A70" s="13">
        <v>12</v>
      </c>
      <c r="B70">
        <v>20</v>
      </c>
      <c r="C70">
        <v>124</v>
      </c>
      <c r="D70" t="s">
        <v>96</v>
      </c>
      <c r="E70" t="s">
        <v>97</v>
      </c>
      <c r="F70" t="s">
        <v>98</v>
      </c>
      <c r="G70" s="3">
        <v>8768</v>
      </c>
      <c r="H70" s="21">
        <v>1</v>
      </c>
      <c r="I70" t="s">
        <v>99</v>
      </c>
      <c r="J70" s="21">
        <v>0</v>
      </c>
      <c r="K70" s="21">
        <v>0</v>
      </c>
      <c r="L70">
        <v>2017</v>
      </c>
      <c r="M70">
        <v>2020</v>
      </c>
      <c r="N70">
        <v>2020</v>
      </c>
      <c r="O70">
        <v>2022</v>
      </c>
      <c r="P70">
        <v>2022</v>
      </c>
      <c r="Q70">
        <v>2026</v>
      </c>
      <c r="R70">
        <f t="shared" si="48"/>
        <v>3</v>
      </c>
      <c r="S70">
        <f t="shared" si="49"/>
        <v>2</v>
      </c>
      <c r="T70">
        <f t="shared" si="50"/>
        <v>4</v>
      </c>
      <c r="U70" s="6">
        <f t="shared" si="51"/>
        <v>9</v>
      </c>
      <c r="V70" s="6">
        <f>U70-U71</f>
        <v>0</v>
      </c>
      <c r="W70" s="2"/>
      <c r="X70" s="2"/>
      <c r="Y70" s="19">
        <v>4.8134655555555552</v>
      </c>
      <c r="Z70" s="19">
        <v>6.2</v>
      </c>
      <c r="AA70" s="19">
        <v>51.349999999999994</v>
      </c>
      <c r="AB70" s="2">
        <f t="shared" si="41"/>
        <v>62.36346555555555</v>
      </c>
      <c r="AC70" s="2">
        <f t="shared" si="35"/>
        <v>2.8634655555555497</v>
      </c>
      <c r="AD70" s="2"/>
      <c r="AE70" s="2" t="str">
        <f t="shared" si="42"/>
        <v/>
      </c>
      <c r="AF70" s="3"/>
      <c r="AG70" s="2" t="str">
        <f t="shared" si="36"/>
        <v/>
      </c>
      <c r="AH70" s="29"/>
      <c r="AI70" s="1" t="str">
        <f t="shared" si="37"/>
        <v/>
      </c>
      <c r="AJ70">
        <v>1</v>
      </c>
      <c r="AK70">
        <v>1</v>
      </c>
      <c r="AL70">
        <f t="shared" si="38"/>
        <v>0</v>
      </c>
      <c r="AM70">
        <f t="shared" si="39"/>
        <v>1</v>
      </c>
      <c r="AN70">
        <f t="shared" si="40"/>
        <v>0</v>
      </c>
      <c r="AO70">
        <f t="shared" si="43"/>
        <v>2</v>
      </c>
      <c r="AP70" s="1">
        <f t="shared" si="52"/>
        <v>7.1126215277777769</v>
      </c>
      <c r="AQ70">
        <f t="shared" si="44"/>
        <v>0</v>
      </c>
      <c r="AR70">
        <f t="shared" si="45"/>
        <v>0</v>
      </c>
      <c r="AS70">
        <f t="shared" si="46"/>
        <v>1</v>
      </c>
      <c r="AT70" t="str">
        <f t="shared" si="47"/>
        <v>groot</v>
      </c>
    </row>
    <row r="71" spans="1:46" customFormat="1" x14ac:dyDescent="0.25">
      <c r="A71" s="13">
        <v>12</v>
      </c>
      <c r="B71">
        <v>19</v>
      </c>
      <c r="C71">
        <v>122</v>
      </c>
      <c r="D71" t="s">
        <v>96</v>
      </c>
      <c r="E71" t="s">
        <v>97</v>
      </c>
      <c r="F71" t="s">
        <v>98</v>
      </c>
      <c r="G71" s="3">
        <v>8031.0312409001699</v>
      </c>
      <c r="H71" s="21" t="s">
        <v>99</v>
      </c>
      <c r="J71" s="21">
        <v>0</v>
      </c>
      <c r="K71" s="21">
        <v>0</v>
      </c>
      <c r="L71">
        <v>2017</v>
      </c>
      <c r="M71">
        <v>2020</v>
      </c>
      <c r="N71">
        <v>2020</v>
      </c>
      <c r="O71">
        <v>2022</v>
      </c>
      <c r="P71">
        <v>2022</v>
      </c>
      <c r="Q71">
        <v>2026</v>
      </c>
      <c r="R71">
        <f t="shared" si="48"/>
        <v>3</v>
      </c>
      <c r="S71">
        <f t="shared" si="49"/>
        <v>2</v>
      </c>
      <c r="T71">
        <f t="shared" si="50"/>
        <v>4</v>
      </c>
      <c r="U71" s="6">
        <f t="shared" si="51"/>
        <v>9</v>
      </c>
      <c r="V71" s="6">
        <f>U71-U72</f>
        <v>3</v>
      </c>
      <c r="W71" s="2"/>
      <c r="X71" s="2"/>
      <c r="Y71" s="19">
        <v>1.9</v>
      </c>
      <c r="Z71" s="19">
        <v>6.2</v>
      </c>
      <c r="AA71" s="19">
        <v>51.4</v>
      </c>
      <c r="AB71" s="2">
        <f t="shared" si="41"/>
        <v>59.5</v>
      </c>
      <c r="AC71" s="2">
        <f t="shared" si="35"/>
        <v>5.3000000000000043</v>
      </c>
      <c r="AD71" s="2"/>
      <c r="AE71" s="2" t="str">
        <f t="shared" si="42"/>
        <v/>
      </c>
      <c r="AF71" s="3"/>
      <c r="AG71" s="2" t="str">
        <f t="shared" si="36"/>
        <v/>
      </c>
      <c r="AH71" s="29"/>
      <c r="AI71" s="1" t="str">
        <f t="shared" si="37"/>
        <v/>
      </c>
      <c r="AJ71">
        <v>1</v>
      </c>
      <c r="AK71">
        <v>1</v>
      </c>
      <c r="AL71">
        <f t="shared" si="38"/>
        <v>0</v>
      </c>
      <c r="AM71">
        <f t="shared" si="39"/>
        <v>1</v>
      </c>
      <c r="AN71">
        <f t="shared" si="40"/>
        <v>0</v>
      </c>
      <c r="AO71">
        <f t="shared" si="43"/>
        <v>2</v>
      </c>
      <c r="AP71" s="1">
        <f t="shared" si="52"/>
        <v>7.4087621147556213</v>
      </c>
      <c r="AQ71">
        <f t="shared" si="44"/>
        <v>0</v>
      </c>
      <c r="AR71">
        <f t="shared" si="45"/>
        <v>0</v>
      </c>
      <c r="AS71">
        <f t="shared" si="46"/>
        <v>1</v>
      </c>
      <c r="AT71" t="str">
        <f t="shared" si="47"/>
        <v>groot</v>
      </c>
    </row>
    <row r="72" spans="1:46" customFormat="1" x14ac:dyDescent="0.25">
      <c r="A72" s="13">
        <v>12</v>
      </c>
      <c r="B72">
        <v>18</v>
      </c>
      <c r="C72">
        <v>106</v>
      </c>
      <c r="D72" t="s">
        <v>96</v>
      </c>
      <c r="E72" t="s">
        <v>97</v>
      </c>
      <c r="F72" t="s">
        <v>98</v>
      </c>
      <c r="G72" s="3">
        <v>7862.0312409001654</v>
      </c>
      <c r="H72" s="21"/>
      <c r="J72" s="21">
        <v>0</v>
      </c>
      <c r="K72" s="21">
        <v>0</v>
      </c>
      <c r="L72">
        <v>2017</v>
      </c>
      <c r="M72">
        <v>2019</v>
      </c>
      <c r="N72">
        <v>2019</v>
      </c>
      <c r="O72">
        <v>2021</v>
      </c>
      <c r="P72">
        <v>2021</v>
      </c>
      <c r="Q72">
        <v>2023</v>
      </c>
      <c r="R72">
        <f t="shared" si="48"/>
        <v>2</v>
      </c>
      <c r="S72">
        <f t="shared" si="49"/>
        <v>2</v>
      </c>
      <c r="T72">
        <f t="shared" si="50"/>
        <v>2</v>
      </c>
      <c r="U72" s="6">
        <f t="shared" si="51"/>
        <v>6</v>
      </c>
      <c r="V72" s="6">
        <f>U72-U73</f>
        <v>-1</v>
      </c>
      <c r="W72" s="2"/>
      <c r="X72" s="2"/>
      <c r="Y72" s="19">
        <v>1.9</v>
      </c>
      <c r="Z72" s="19">
        <v>5.5</v>
      </c>
      <c r="AA72" s="19">
        <v>46.8</v>
      </c>
      <c r="AB72" s="2">
        <f t="shared" si="41"/>
        <v>54.199999999999996</v>
      </c>
      <c r="AC72" s="2">
        <f t="shared" si="35"/>
        <v>-2.8000000000000043</v>
      </c>
      <c r="AD72" s="2"/>
      <c r="AE72" s="2" t="str">
        <f t="shared" si="42"/>
        <v/>
      </c>
      <c r="AF72" s="3"/>
      <c r="AG72" s="2" t="str">
        <f t="shared" si="36"/>
        <v/>
      </c>
      <c r="AH72" s="29"/>
      <c r="AI72" s="1" t="str">
        <f t="shared" si="37"/>
        <v/>
      </c>
      <c r="AJ72">
        <v>1</v>
      </c>
      <c r="AK72">
        <v>1</v>
      </c>
      <c r="AL72">
        <f t="shared" si="38"/>
        <v>0</v>
      </c>
      <c r="AM72">
        <f t="shared" si="39"/>
        <v>1</v>
      </c>
      <c r="AN72">
        <f t="shared" si="40"/>
        <v>0</v>
      </c>
      <c r="AO72">
        <f t="shared" si="43"/>
        <v>1</v>
      </c>
      <c r="AP72" s="1">
        <f t="shared" si="52"/>
        <v>6.8938927281334932</v>
      </c>
      <c r="AQ72">
        <f t="shared" si="44"/>
        <v>-1</v>
      </c>
      <c r="AR72">
        <f t="shared" si="45"/>
        <v>0</v>
      </c>
      <c r="AS72">
        <f t="shared" si="46"/>
        <v>0</v>
      </c>
      <c r="AT72" t="str">
        <f t="shared" si="47"/>
        <v>groot</v>
      </c>
    </row>
    <row r="73" spans="1:46" customFormat="1" x14ac:dyDescent="0.25">
      <c r="A73" s="13">
        <v>12</v>
      </c>
      <c r="B73">
        <v>17</v>
      </c>
      <c r="C73">
        <v>99</v>
      </c>
      <c r="D73" t="s">
        <v>96</v>
      </c>
      <c r="E73" t="s">
        <v>97</v>
      </c>
      <c r="F73" t="s">
        <v>98</v>
      </c>
      <c r="G73" s="3"/>
      <c r="H73" s="21"/>
      <c r="J73" s="21">
        <v>0</v>
      </c>
      <c r="K73" s="21">
        <v>0</v>
      </c>
      <c r="L73">
        <v>2017</v>
      </c>
      <c r="M73">
        <v>2020</v>
      </c>
      <c r="N73">
        <v>2020</v>
      </c>
      <c r="O73">
        <v>2022</v>
      </c>
      <c r="P73">
        <v>2024</v>
      </c>
      <c r="Q73">
        <v>2026</v>
      </c>
      <c r="R73">
        <f t="shared" si="48"/>
        <v>3</v>
      </c>
      <c r="S73">
        <f t="shared" si="49"/>
        <v>2</v>
      </c>
      <c r="T73">
        <f t="shared" si="50"/>
        <v>2</v>
      </c>
      <c r="U73" s="6">
        <f t="shared" si="51"/>
        <v>7</v>
      </c>
      <c r="W73" s="2"/>
      <c r="X73" s="2"/>
      <c r="Y73" s="19">
        <v>4.6999999999999993</v>
      </c>
      <c r="Z73" s="19">
        <v>5.5</v>
      </c>
      <c r="AA73" s="19">
        <v>46.8</v>
      </c>
      <c r="AB73" s="2">
        <f t="shared" si="41"/>
        <v>57</v>
      </c>
      <c r="AC73" s="2"/>
      <c r="AD73" s="2"/>
      <c r="AE73" s="2" t="str">
        <f t="shared" si="42"/>
        <v/>
      </c>
      <c r="AF73" s="3"/>
      <c r="AG73" s="2" t="str">
        <f t="shared" si="36"/>
        <v/>
      </c>
      <c r="AH73" s="29"/>
      <c r="AI73" s="1" t="str">
        <f t="shared" si="37"/>
        <v/>
      </c>
      <c r="AJ73">
        <v>1</v>
      </c>
      <c r="AK73">
        <v>1</v>
      </c>
      <c r="AL73">
        <f t="shared" si="38"/>
        <v>0</v>
      </c>
      <c r="AM73">
        <f t="shared" si="39"/>
        <v>1</v>
      </c>
      <c r="AN73">
        <f t="shared" si="40"/>
        <v>0</v>
      </c>
      <c r="AO73">
        <f t="shared" si="43"/>
        <v>4</v>
      </c>
      <c r="AP73" s="1"/>
      <c r="AQ73">
        <f t="shared" si="44"/>
        <v>0</v>
      </c>
      <c r="AR73">
        <f t="shared" si="45"/>
        <v>0</v>
      </c>
      <c r="AS73">
        <f t="shared" si="46"/>
        <v>0</v>
      </c>
      <c r="AT73" t="str">
        <f t="shared" si="47"/>
        <v>groot</v>
      </c>
    </row>
    <row r="74" spans="1:46" customFormat="1" x14ac:dyDescent="0.25">
      <c r="A74" s="13">
        <v>13</v>
      </c>
      <c r="B74">
        <v>22</v>
      </c>
      <c r="C74">
        <v>58</v>
      </c>
      <c r="D74" t="s">
        <v>100</v>
      </c>
      <c r="E74" t="s">
        <v>101</v>
      </c>
      <c r="F74" t="s">
        <v>102</v>
      </c>
      <c r="G74" s="3">
        <v>6000</v>
      </c>
      <c r="H74" s="21">
        <v>3</v>
      </c>
      <c r="I74" t="s">
        <v>103</v>
      </c>
      <c r="J74" s="21"/>
      <c r="K74" s="21"/>
      <c r="L74">
        <v>2016</v>
      </c>
      <c r="M74">
        <v>2021</v>
      </c>
      <c r="N74">
        <v>2021</v>
      </c>
      <c r="O74">
        <v>2023</v>
      </c>
      <c r="P74">
        <v>2023</v>
      </c>
      <c r="Q74">
        <v>2026</v>
      </c>
      <c r="R74">
        <f t="shared" si="48"/>
        <v>5</v>
      </c>
      <c r="S74">
        <f t="shared" si="49"/>
        <v>2</v>
      </c>
      <c r="T74">
        <f t="shared" si="50"/>
        <v>3</v>
      </c>
      <c r="U74" s="6">
        <f t="shared" si="51"/>
        <v>10</v>
      </c>
      <c r="V74" s="6">
        <f>U74-U75</f>
        <v>-1</v>
      </c>
      <c r="W74" s="2"/>
      <c r="X74" s="2">
        <f>U74-U78</f>
        <v>1</v>
      </c>
      <c r="Y74" s="19">
        <f>3.8/0.9</f>
        <v>4.2222222222222223</v>
      </c>
      <c r="Z74" s="19">
        <f>4.8/0.9</f>
        <v>5.333333333333333</v>
      </c>
      <c r="AA74" s="19">
        <f>49.1/0.9</f>
        <v>54.555555555555557</v>
      </c>
      <c r="AB74" s="2">
        <f t="shared" si="41"/>
        <v>64.111111111111114</v>
      </c>
      <c r="AC74" s="2">
        <f t="shared" si="35"/>
        <v>-0.18999999999999773</v>
      </c>
      <c r="AD74" s="2"/>
      <c r="AE74" s="2">
        <f t="shared" si="42"/>
        <v>2.0099999999999909</v>
      </c>
      <c r="AF74" s="3"/>
      <c r="AG74" s="2">
        <f t="shared" si="36"/>
        <v>-27282.272231718722</v>
      </c>
      <c r="AH74" s="29"/>
      <c r="AI74" s="1">
        <f t="shared" si="37"/>
        <v>7.644527405108672</v>
      </c>
      <c r="AK74" s="6">
        <f>IF(AB74&gt;64.2061111111111,1,0)</f>
        <v>0</v>
      </c>
      <c r="AL74">
        <f t="shared" si="38"/>
        <v>1</v>
      </c>
      <c r="AM74">
        <f t="shared" si="39"/>
        <v>0</v>
      </c>
      <c r="AN74">
        <f t="shared" si="40"/>
        <v>0</v>
      </c>
      <c r="AO74">
        <f t="shared" si="43"/>
        <v>3</v>
      </c>
      <c r="AP74" s="1">
        <f t="shared" si="52"/>
        <v>10.685185185185185</v>
      </c>
      <c r="AQ74">
        <f t="shared" si="44"/>
        <v>1</v>
      </c>
      <c r="AR74">
        <f t="shared" si="45"/>
        <v>1</v>
      </c>
      <c r="AS74">
        <f t="shared" si="46"/>
        <v>1</v>
      </c>
      <c r="AT74" t="str">
        <f t="shared" si="47"/>
        <v>klein</v>
      </c>
    </row>
    <row r="75" spans="1:46" customFormat="1" x14ac:dyDescent="0.25">
      <c r="A75" s="13">
        <v>13</v>
      </c>
      <c r="B75">
        <v>21</v>
      </c>
      <c r="C75">
        <v>58</v>
      </c>
      <c r="D75" t="s">
        <v>100</v>
      </c>
      <c r="E75" t="s">
        <v>101</v>
      </c>
      <c r="F75" t="s">
        <v>102</v>
      </c>
      <c r="G75" s="3">
        <v>6000</v>
      </c>
      <c r="H75" s="21">
        <v>3</v>
      </c>
      <c r="I75" t="s">
        <v>103</v>
      </c>
      <c r="J75" s="21">
        <v>0</v>
      </c>
      <c r="K75" s="21">
        <v>0</v>
      </c>
      <c r="L75">
        <v>2016</v>
      </c>
      <c r="M75">
        <v>2020</v>
      </c>
      <c r="N75">
        <v>2020</v>
      </c>
      <c r="O75">
        <v>2023</v>
      </c>
      <c r="P75">
        <v>2023</v>
      </c>
      <c r="Q75">
        <v>2027</v>
      </c>
      <c r="R75">
        <f t="shared" si="48"/>
        <v>4</v>
      </c>
      <c r="S75">
        <f t="shared" si="49"/>
        <v>3</v>
      </c>
      <c r="T75">
        <f t="shared" si="50"/>
        <v>4</v>
      </c>
      <c r="U75" s="6">
        <f t="shared" si="51"/>
        <v>11</v>
      </c>
      <c r="V75" s="6">
        <f>U75-U76</f>
        <v>1</v>
      </c>
      <c r="W75" s="2">
        <f>U75-U78</f>
        <v>2</v>
      </c>
      <c r="X75" s="2"/>
      <c r="Y75" s="19">
        <v>4.2866666666666662</v>
      </c>
      <c r="Z75" s="19">
        <v>5.3577777777777778</v>
      </c>
      <c r="AA75" s="19">
        <v>54.656666666666673</v>
      </c>
      <c r="AB75" s="2">
        <f t="shared" ref="AB75:AB95" si="53">SUM(Y75:AA75)</f>
        <v>64.301111111111112</v>
      </c>
      <c r="AC75" s="2">
        <f t="shared" si="35"/>
        <v>2.2222222222154642E-3</v>
      </c>
      <c r="AD75" s="2">
        <f>AB75-AB78</f>
        <v>-36.898888888888891</v>
      </c>
      <c r="AE75" s="2" t="str">
        <f t="shared" si="42"/>
        <v/>
      </c>
      <c r="AF75" s="3">
        <f>G75-G78</f>
        <v>-27282.272231718722</v>
      </c>
      <c r="AG75" s="2" t="str">
        <f t="shared" si="36"/>
        <v/>
      </c>
      <c r="AH75" s="29">
        <f>((AB75)/(G75/1000))-((AB78)/(G78/1000))</f>
        <v>7.6761940717753383</v>
      </c>
      <c r="AI75" s="1" t="str">
        <f t="shared" si="37"/>
        <v/>
      </c>
      <c r="AJ75">
        <v>0</v>
      </c>
      <c r="AK75">
        <v>0</v>
      </c>
      <c r="AL75">
        <f t="shared" si="38"/>
        <v>0</v>
      </c>
      <c r="AM75">
        <f t="shared" si="39"/>
        <v>1</v>
      </c>
      <c r="AN75">
        <f t="shared" si="40"/>
        <v>0</v>
      </c>
      <c r="AO75">
        <f t="shared" si="43"/>
        <v>3</v>
      </c>
      <c r="AP75" s="1">
        <f t="shared" si="52"/>
        <v>10.716851851851851</v>
      </c>
      <c r="AQ75">
        <f t="shared" si="44"/>
        <v>0</v>
      </c>
      <c r="AR75">
        <f t="shared" si="45"/>
        <v>0</v>
      </c>
      <c r="AS75">
        <f t="shared" si="46"/>
        <v>1</v>
      </c>
      <c r="AT75" t="str">
        <f t="shared" si="47"/>
        <v>klein</v>
      </c>
    </row>
    <row r="76" spans="1:46" customFormat="1" x14ac:dyDescent="0.25">
      <c r="A76" s="13">
        <v>13</v>
      </c>
      <c r="B76">
        <v>20</v>
      </c>
      <c r="C76" t="s">
        <v>103</v>
      </c>
      <c r="D76" t="s">
        <v>100</v>
      </c>
      <c r="E76" t="s">
        <v>101</v>
      </c>
      <c r="F76" t="s">
        <v>104</v>
      </c>
      <c r="G76" s="3">
        <v>5985</v>
      </c>
      <c r="H76" s="21">
        <v>5</v>
      </c>
      <c r="J76" s="21">
        <v>0</v>
      </c>
      <c r="K76" s="21">
        <v>0</v>
      </c>
      <c r="L76">
        <v>2017</v>
      </c>
      <c r="M76">
        <v>2021</v>
      </c>
      <c r="N76">
        <v>2021</v>
      </c>
      <c r="O76">
        <v>2023</v>
      </c>
      <c r="P76">
        <v>2023</v>
      </c>
      <c r="Q76">
        <v>2027</v>
      </c>
      <c r="R76">
        <f t="shared" si="48"/>
        <v>4</v>
      </c>
      <c r="S76">
        <f t="shared" si="49"/>
        <v>2</v>
      </c>
      <c r="T76">
        <f t="shared" si="50"/>
        <v>4</v>
      </c>
      <c r="U76" s="6">
        <f t="shared" si="51"/>
        <v>10</v>
      </c>
      <c r="V76" s="6">
        <f>U76-U77</f>
        <v>1</v>
      </c>
      <c r="W76" s="2"/>
      <c r="X76" s="2"/>
      <c r="Y76" s="19">
        <v>4.3055555555555562</v>
      </c>
      <c r="Z76" s="19">
        <v>5.34</v>
      </c>
      <c r="AA76" s="19">
        <v>54.653333333333336</v>
      </c>
      <c r="AB76" s="2">
        <f t="shared" si="53"/>
        <v>64.298888888888897</v>
      </c>
      <c r="AC76" s="2">
        <f t="shared" si="35"/>
        <v>-36.901111111111106</v>
      </c>
      <c r="AD76" s="2"/>
      <c r="AE76" s="2" t="str">
        <f t="shared" si="42"/>
        <v/>
      </c>
      <c r="AF76" s="3"/>
      <c r="AG76" s="2" t="str">
        <f t="shared" si="36"/>
        <v/>
      </c>
      <c r="AH76" s="29"/>
      <c r="AI76" s="1" t="str">
        <f t="shared" si="37"/>
        <v/>
      </c>
      <c r="AJ76">
        <v>0</v>
      </c>
      <c r="AK76">
        <v>0</v>
      </c>
      <c r="AL76">
        <f t="shared" si="38"/>
        <v>1</v>
      </c>
      <c r="AM76">
        <f t="shared" si="39"/>
        <v>0</v>
      </c>
      <c r="AN76">
        <f t="shared" si="40"/>
        <v>0</v>
      </c>
      <c r="AO76">
        <f t="shared" si="43"/>
        <v>3</v>
      </c>
      <c r="AP76" s="1">
        <f t="shared" si="52"/>
        <v>10.74333983105913</v>
      </c>
      <c r="AQ76">
        <f t="shared" si="44"/>
        <v>1</v>
      </c>
      <c r="AR76">
        <f t="shared" si="45"/>
        <v>1</v>
      </c>
      <c r="AS76">
        <f t="shared" si="46"/>
        <v>1</v>
      </c>
      <c r="AT76" t="str">
        <f t="shared" si="47"/>
        <v>klein</v>
      </c>
    </row>
    <row r="77" spans="1:46" customFormat="1" x14ac:dyDescent="0.25">
      <c r="A77" s="13">
        <v>13</v>
      </c>
      <c r="B77">
        <v>19</v>
      </c>
      <c r="C77" t="s">
        <v>103</v>
      </c>
      <c r="D77" t="s">
        <v>100</v>
      </c>
      <c r="E77" t="s">
        <v>101</v>
      </c>
      <c r="F77" t="s">
        <v>104</v>
      </c>
      <c r="G77" s="3">
        <v>33282.272231718722</v>
      </c>
      <c r="H77" s="21" t="s">
        <v>105</v>
      </c>
      <c r="I77">
        <v>12</v>
      </c>
      <c r="J77" s="21">
        <v>0</v>
      </c>
      <c r="K77" s="21">
        <v>0</v>
      </c>
      <c r="L77">
        <v>2018</v>
      </c>
      <c r="M77">
        <v>2020</v>
      </c>
      <c r="N77">
        <v>2020</v>
      </c>
      <c r="O77">
        <v>2023</v>
      </c>
      <c r="P77">
        <v>2023</v>
      </c>
      <c r="Q77">
        <v>2027</v>
      </c>
      <c r="R77">
        <f t="shared" si="48"/>
        <v>2</v>
      </c>
      <c r="S77">
        <f t="shared" si="49"/>
        <v>3</v>
      </c>
      <c r="T77">
        <f t="shared" si="50"/>
        <v>4</v>
      </c>
      <c r="U77" s="6">
        <f t="shared" si="51"/>
        <v>9</v>
      </c>
      <c r="V77" s="6">
        <f>U77-U78</f>
        <v>0</v>
      </c>
      <c r="W77" s="2"/>
      <c r="X77" s="2"/>
      <c r="Y77" s="19">
        <v>2.59</v>
      </c>
      <c r="Z77" s="19">
        <v>10.38</v>
      </c>
      <c r="AA77" s="19">
        <v>88.23</v>
      </c>
      <c r="AB77" s="2">
        <f t="shared" si="53"/>
        <v>101.2</v>
      </c>
      <c r="AC77" s="2">
        <f t="shared" si="35"/>
        <v>0</v>
      </c>
      <c r="AD77" s="2"/>
      <c r="AE77" s="2" t="str">
        <f t="shared" si="42"/>
        <v/>
      </c>
      <c r="AF77" s="3"/>
      <c r="AG77" s="2" t="str">
        <f t="shared" si="36"/>
        <v/>
      </c>
      <c r="AH77" s="29"/>
      <c r="AI77" s="1" t="str">
        <f t="shared" si="37"/>
        <v/>
      </c>
      <c r="AJ77">
        <v>0</v>
      </c>
      <c r="AK77">
        <v>0</v>
      </c>
      <c r="AL77">
        <f t="shared" si="38"/>
        <v>0</v>
      </c>
      <c r="AM77">
        <f t="shared" si="39"/>
        <v>1</v>
      </c>
      <c r="AN77">
        <f t="shared" si="40"/>
        <v>0</v>
      </c>
      <c r="AO77">
        <f t="shared" si="43"/>
        <v>3</v>
      </c>
      <c r="AP77" s="1">
        <f t="shared" si="52"/>
        <v>3.0406577800765127</v>
      </c>
      <c r="AQ77">
        <f t="shared" si="44"/>
        <v>0</v>
      </c>
      <c r="AR77">
        <f t="shared" si="45"/>
        <v>0</v>
      </c>
      <c r="AS77">
        <f t="shared" si="46"/>
        <v>1</v>
      </c>
      <c r="AT77" t="str">
        <f t="shared" si="47"/>
        <v>klein</v>
      </c>
    </row>
    <row r="78" spans="1:46" customFormat="1" x14ac:dyDescent="0.25">
      <c r="A78" s="13">
        <v>13</v>
      </c>
      <c r="B78">
        <v>18</v>
      </c>
      <c r="D78" t="s">
        <v>100</v>
      </c>
      <c r="E78" t="s">
        <v>101</v>
      </c>
      <c r="F78" t="s">
        <v>104</v>
      </c>
      <c r="G78" s="3">
        <v>33282.272231718722</v>
      </c>
      <c r="H78" s="21">
        <v>12</v>
      </c>
      <c r="J78" s="21">
        <v>0</v>
      </c>
      <c r="K78" s="21">
        <v>0</v>
      </c>
      <c r="L78">
        <v>2018</v>
      </c>
      <c r="M78">
        <v>2020</v>
      </c>
      <c r="N78">
        <v>2020</v>
      </c>
      <c r="O78">
        <v>2023</v>
      </c>
      <c r="P78">
        <v>2023</v>
      </c>
      <c r="Q78">
        <v>2027</v>
      </c>
      <c r="R78">
        <f t="shared" si="48"/>
        <v>2</v>
      </c>
      <c r="S78">
        <f t="shared" si="49"/>
        <v>3</v>
      </c>
      <c r="T78">
        <f t="shared" si="50"/>
        <v>4</v>
      </c>
      <c r="U78" s="6">
        <f t="shared" si="51"/>
        <v>9</v>
      </c>
      <c r="V78" s="6">
        <f>U78-U79</f>
        <v>-2</v>
      </c>
      <c r="W78" s="2"/>
      <c r="X78" s="2"/>
      <c r="Y78" s="19">
        <v>2.6</v>
      </c>
      <c r="Z78" s="19">
        <v>10.4</v>
      </c>
      <c r="AA78" s="19">
        <v>88.2</v>
      </c>
      <c r="AB78" s="2">
        <f t="shared" si="53"/>
        <v>101.2</v>
      </c>
      <c r="AC78" s="2">
        <f t="shared" si="35"/>
        <v>-2.1999999999999886</v>
      </c>
      <c r="AD78" s="2"/>
      <c r="AE78" s="2" t="str">
        <f t="shared" si="42"/>
        <v/>
      </c>
      <c r="AF78" s="3"/>
      <c r="AG78" s="2" t="str">
        <f t="shared" si="36"/>
        <v/>
      </c>
      <c r="AH78" s="29"/>
      <c r="AI78" s="1" t="str">
        <f t="shared" si="37"/>
        <v/>
      </c>
      <c r="AJ78">
        <v>0</v>
      </c>
      <c r="AK78">
        <v>0</v>
      </c>
      <c r="AL78">
        <f t="shared" si="38"/>
        <v>0</v>
      </c>
      <c r="AM78">
        <f t="shared" si="39"/>
        <v>1</v>
      </c>
      <c r="AN78">
        <f t="shared" si="40"/>
        <v>0</v>
      </c>
      <c r="AO78">
        <f t="shared" si="43"/>
        <v>3</v>
      </c>
      <c r="AP78" s="1">
        <f t="shared" si="52"/>
        <v>3.0406577800765127</v>
      </c>
      <c r="AQ78">
        <f t="shared" si="44"/>
        <v>0</v>
      </c>
      <c r="AR78">
        <f t="shared" si="45"/>
        <v>0</v>
      </c>
      <c r="AS78">
        <f t="shared" si="46"/>
        <v>0</v>
      </c>
      <c r="AT78" t="str">
        <f t="shared" si="47"/>
        <v>klein</v>
      </c>
    </row>
    <row r="79" spans="1:46" customFormat="1" x14ac:dyDescent="0.25">
      <c r="A79" s="13">
        <v>13</v>
      </c>
      <c r="B79">
        <v>17</v>
      </c>
      <c r="C79" t="s">
        <v>103</v>
      </c>
      <c r="D79" t="s">
        <v>100</v>
      </c>
      <c r="E79" t="s">
        <v>101</v>
      </c>
      <c r="F79" t="s">
        <v>106</v>
      </c>
      <c r="G79" s="3"/>
      <c r="H79" s="21"/>
      <c r="J79" s="21">
        <v>0</v>
      </c>
      <c r="K79" s="21">
        <v>0</v>
      </c>
      <c r="L79">
        <v>2016</v>
      </c>
      <c r="M79">
        <v>2020</v>
      </c>
      <c r="N79">
        <v>2020</v>
      </c>
      <c r="O79">
        <v>2023</v>
      </c>
      <c r="P79">
        <v>2023</v>
      </c>
      <c r="Q79">
        <v>2027</v>
      </c>
      <c r="R79">
        <f t="shared" si="48"/>
        <v>4</v>
      </c>
      <c r="S79">
        <f t="shared" si="49"/>
        <v>3</v>
      </c>
      <c r="T79">
        <f t="shared" si="50"/>
        <v>4</v>
      </c>
      <c r="U79" s="6">
        <f t="shared" si="51"/>
        <v>11</v>
      </c>
      <c r="W79" s="2"/>
      <c r="X79" s="2"/>
      <c r="Y79" s="19">
        <v>4.8</v>
      </c>
      <c r="Z79" s="19">
        <v>10.4</v>
      </c>
      <c r="AA79" s="19">
        <v>88.199999999999989</v>
      </c>
      <c r="AB79" s="2">
        <f t="shared" si="53"/>
        <v>103.39999999999999</v>
      </c>
      <c r="AC79" s="2"/>
      <c r="AD79" s="2"/>
      <c r="AE79" s="2" t="str">
        <f t="shared" si="42"/>
        <v/>
      </c>
      <c r="AF79" s="3"/>
      <c r="AG79" s="2" t="str">
        <f t="shared" si="36"/>
        <v/>
      </c>
      <c r="AH79" s="29"/>
      <c r="AI79" s="1" t="str">
        <f t="shared" si="37"/>
        <v/>
      </c>
      <c r="AJ79">
        <v>0</v>
      </c>
      <c r="AK79">
        <v>0</v>
      </c>
      <c r="AL79">
        <f t="shared" si="38"/>
        <v>0</v>
      </c>
      <c r="AM79">
        <f t="shared" si="39"/>
        <v>1</v>
      </c>
      <c r="AN79">
        <f t="shared" si="40"/>
        <v>0</v>
      </c>
      <c r="AO79">
        <f t="shared" si="43"/>
        <v>3</v>
      </c>
      <c r="AP79" s="1"/>
      <c r="AQ79">
        <f t="shared" si="44"/>
        <v>0</v>
      </c>
      <c r="AR79">
        <f t="shared" si="45"/>
        <v>0</v>
      </c>
      <c r="AS79">
        <f t="shared" si="46"/>
        <v>0</v>
      </c>
      <c r="AT79" t="str">
        <f t="shared" si="47"/>
        <v>klein</v>
      </c>
    </row>
    <row r="80" spans="1:46" customFormat="1" x14ac:dyDescent="0.25">
      <c r="A80" s="14">
        <v>14</v>
      </c>
      <c r="B80">
        <v>22</v>
      </c>
      <c r="C80">
        <v>148</v>
      </c>
      <c r="D80" t="s">
        <v>107</v>
      </c>
      <c r="E80" t="s">
        <v>36</v>
      </c>
      <c r="F80" t="s">
        <v>108</v>
      </c>
      <c r="G80" s="3">
        <v>977</v>
      </c>
      <c r="H80" s="21">
        <v>10</v>
      </c>
      <c r="I80" t="s">
        <v>109</v>
      </c>
      <c r="J80" s="21">
        <v>0</v>
      </c>
      <c r="K80" s="21">
        <v>0</v>
      </c>
      <c r="L80">
        <v>2014</v>
      </c>
      <c r="M80">
        <v>2017</v>
      </c>
      <c r="N80">
        <v>2017</v>
      </c>
      <c r="O80">
        <v>2021</v>
      </c>
      <c r="P80">
        <v>2021</v>
      </c>
      <c r="Q80">
        <v>2024</v>
      </c>
      <c r="R80">
        <f t="shared" si="48"/>
        <v>3</v>
      </c>
      <c r="S80">
        <f t="shared" si="49"/>
        <v>4</v>
      </c>
      <c r="T80">
        <f t="shared" si="50"/>
        <v>3</v>
      </c>
      <c r="U80" s="6">
        <f t="shared" si="51"/>
        <v>10</v>
      </c>
      <c r="V80" s="6">
        <f>U80-U81</f>
        <v>0</v>
      </c>
      <c r="W80" s="2"/>
      <c r="X80" s="2">
        <f>U80-U84</f>
        <v>4</v>
      </c>
      <c r="Y80" s="19">
        <f>2.557/0.9</f>
        <v>2.8411111111111111</v>
      </c>
      <c r="Z80" s="19">
        <f>2/0.9</f>
        <v>2.2222222222222223</v>
      </c>
      <c r="AA80" s="19">
        <f>3.2/0.9</f>
        <v>3.5555555555555558</v>
      </c>
      <c r="AB80" s="2">
        <f t="shared" si="53"/>
        <v>8.6188888888888897</v>
      </c>
      <c r="AC80" s="2">
        <f t="shared" si="35"/>
        <v>-1.629999999999999</v>
      </c>
      <c r="AD80" s="2"/>
      <c r="AE80" s="2">
        <f t="shared" si="42"/>
        <v>-1.629999999999999</v>
      </c>
      <c r="AF80" s="3"/>
      <c r="AG80" s="2">
        <f t="shared" si="36"/>
        <v>-11632.249444803267</v>
      </c>
      <c r="AH80" s="29"/>
      <c r="AI80" s="1">
        <f t="shared" si="37"/>
        <v>6.4425842137001013</v>
      </c>
      <c r="AK80" s="6">
        <f>IF(AB80&gt;64.2061111111111,1,0)</f>
        <v>0</v>
      </c>
      <c r="AL80">
        <f t="shared" si="38"/>
        <v>0</v>
      </c>
      <c r="AM80">
        <f t="shared" si="39"/>
        <v>1</v>
      </c>
      <c r="AN80">
        <f t="shared" si="40"/>
        <v>0</v>
      </c>
      <c r="AO80">
        <f t="shared" si="43"/>
        <v>1</v>
      </c>
      <c r="AP80" s="1">
        <f t="shared" si="52"/>
        <v>8.8217900602752195</v>
      </c>
      <c r="AQ80">
        <f t="shared" si="44"/>
        <v>-3</v>
      </c>
      <c r="AR80">
        <f t="shared" si="45"/>
        <v>0</v>
      </c>
      <c r="AS80">
        <f t="shared" si="46"/>
        <v>0</v>
      </c>
      <c r="AT80" t="str">
        <f t="shared" si="47"/>
        <v>klein</v>
      </c>
    </row>
    <row r="81" spans="1:46" customFormat="1" x14ac:dyDescent="0.25">
      <c r="A81" s="14">
        <v>14</v>
      </c>
      <c r="B81">
        <v>21</v>
      </c>
      <c r="C81">
        <v>148</v>
      </c>
      <c r="D81" t="s">
        <v>107</v>
      </c>
      <c r="E81" t="s">
        <v>36</v>
      </c>
      <c r="F81" t="s">
        <v>108</v>
      </c>
      <c r="G81" s="3">
        <v>1040</v>
      </c>
      <c r="H81" s="21">
        <v>10</v>
      </c>
      <c r="I81" t="s">
        <v>109</v>
      </c>
      <c r="J81" s="21">
        <v>0</v>
      </c>
      <c r="K81" s="21">
        <v>1</v>
      </c>
      <c r="L81">
        <v>2014</v>
      </c>
      <c r="M81">
        <v>2019</v>
      </c>
      <c r="N81">
        <v>2019</v>
      </c>
      <c r="O81">
        <v>2021</v>
      </c>
      <c r="P81">
        <v>2021</v>
      </c>
      <c r="Q81">
        <v>2024</v>
      </c>
      <c r="R81">
        <f t="shared" si="48"/>
        <v>5</v>
      </c>
      <c r="S81">
        <f t="shared" si="49"/>
        <v>2</v>
      </c>
      <c r="T81">
        <f t="shared" si="50"/>
        <v>3</v>
      </c>
      <c r="U81" s="6">
        <f t="shared" si="51"/>
        <v>10</v>
      </c>
      <c r="V81" s="6">
        <f>U81-U82</f>
        <v>3</v>
      </c>
      <c r="W81" s="2">
        <f>U81-U84</f>
        <v>4</v>
      </c>
      <c r="X81" s="2"/>
      <c r="Y81" s="19">
        <v>3.4477777777777776</v>
      </c>
      <c r="Z81" s="19">
        <v>1.7288888888888889</v>
      </c>
      <c r="AA81" s="19">
        <v>5.0722222222222229</v>
      </c>
      <c r="AB81" s="2">
        <f t="shared" si="53"/>
        <v>10.248888888888889</v>
      </c>
      <c r="AC81" s="2">
        <f t="shared" si="35"/>
        <v>-0.25888888888889028</v>
      </c>
      <c r="AD81" s="2">
        <f>AB81-AB84</f>
        <v>-19.751111111111111</v>
      </c>
      <c r="AE81" s="2" t="str">
        <f t="shared" si="42"/>
        <v/>
      </c>
      <c r="AF81" s="3">
        <f>G81-G84</f>
        <v>-11569.249444803267</v>
      </c>
      <c r="AG81" s="2" t="str">
        <f t="shared" si="36"/>
        <v/>
      </c>
      <c r="AH81" s="29">
        <f>((AB81)/(G81/1000))-((AB84)/(G84/1000))</f>
        <v>7.4754950081257352</v>
      </c>
      <c r="AI81" s="1" t="str">
        <f t="shared" si="37"/>
        <v/>
      </c>
      <c r="AJ81">
        <v>0</v>
      </c>
      <c r="AK81">
        <v>0</v>
      </c>
      <c r="AL81">
        <f t="shared" si="38"/>
        <v>0</v>
      </c>
      <c r="AM81">
        <f t="shared" si="39"/>
        <v>1</v>
      </c>
      <c r="AN81">
        <f t="shared" si="40"/>
        <v>0</v>
      </c>
      <c r="AO81">
        <f t="shared" si="43"/>
        <v>1</v>
      </c>
      <c r="AP81" s="1">
        <f t="shared" si="52"/>
        <v>9.8547008547008534</v>
      </c>
      <c r="AQ81">
        <f t="shared" si="44"/>
        <v>-1</v>
      </c>
      <c r="AR81">
        <f t="shared" si="45"/>
        <v>0</v>
      </c>
      <c r="AS81">
        <f t="shared" si="46"/>
        <v>1</v>
      </c>
      <c r="AT81" t="str">
        <f t="shared" si="47"/>
        <v>klein</v>
      </c>
    </row>
    <row r="82" spans="1:46" customFormat="1" x14ac:dyDescent="0.25">
      <c r="A82" s="14">
        <v>14</v>
      </c>
      <c r="B82">
        <v>20</v>
      </c>
      <c r="C82">
        <v>175</v>
      </c>
      <c r="D82" t="s">
        <v>107</v>
      </c>
      <c r="E82" t="s">
        <v>36</v>
      </c>
      <c r="F82" t="s">
        <v>110</v>
      </c>
      <c r="G82" s="3">
        <v>12941</v>
      </c>
      <c r="H82" s="21">
        <v>1</v>
      </c>
      <c r="I82" t="s">
        <v>109</v>
      </c>
      <c r="J82" s="21">
        <v>0</v>
      </c>
      <c r="K82" s="21">
        <v>0</v>
      </c>
      <c r="L82">
        <v>2017</v>
      </c>
      <c r="M82">
        <v>2018</v>
      </c>
      <c r="N82">
        <v>2018</v>
      </c>
      <c r="O82">
        <v>2021</v>
      </c>
      <c r="P82">
        <v>2021</v>
      </c>
      <c r="Q82">
        <v>2024</v>
      </c>
      <c r="R82">
        <f t="shared" si="48"/>
        <v>1</v>
      </c>
      <c r="S82">
        <f t="shared" si="49"/>
        <v>3</v>
      </c>
      <c r="T82">
        <f t="shared" si="50"/>
        <v>3</v>
      </c>
      <c r="U82" s="6">
        <f t="shared" si="51"/>
        <v>7</v>
      </c>
      <c r="V82" s="6">
        <f>U82-U83</f>
        <v>0</v>
      </c>
      <c r="W82" s="2"/>
      <c r="X82" s="2"/>
      <c r="Y82" s="19">
        <v>2.8411111111111111</v>
      </c>
      <c r="Z82" s="19">
        <v>1.6666666666666667</v>
      </c>
      <c r="AA82" s="19">
        <v>6</v>
      </c>
      <c r="AB82" s="2">
        <f t="shared" si="53"/>
        <v>10.507777777777779</v>
      </c>
      <c r="AC82" s="2">
        <f t="shared" si="35"/>
        <v>-27.351222222222223</v>
      </c>
      <c r="AD82" s="2"/>
      <c r="AE82" s="2" t="str">
        <f t="shared" si="42"/>
        <v/>
      </c>
      <c r="AF82" s="3"/>
      <c r="AG82" s="2" t="str">
        <f t="shared" si="36"/>
        <v/>
      </c>
      <c r="AH82" s="29"/>
      <c r="AI82" s="1" t="str">
        <f t="shared" si="37"/>
        <v/>
      </c>
      <c r="AJ82">
        <v>0</v>
      </c>
      <c r="AK82">
        <v>0</v>
      </c>
      <c r="AL82">
        <f t="shared" si="38"/>
        <v>0</v>
      </c>
      <c r="AM82">
        <f t="shared" si="39"/>
        <v>1</v>
      </c>
      <c r="AN82">
        <f t="shared" si="40"/>
        <v>0</v>
      </c>
      <c r="AO82">
        <f t="shared" si="43"/>
        <v>1</v>
      </c>
      <c r="AP82" s="1">
        <f t="shared" si="52"/>
        <v>0.81197571886081277</v>
      </c>
      <c r="AQ82">
        <f t="shared" si="44"/>
        <v>-2</v>
      </c>
      <c r="AR82">
        <f t="shared" si="45"/>
        <v>0</v>
      </c>
      <c r="AS82">
        <f t="shared" si="46"/>
        <v>1</v>
      </c>
      <c r="AT82" t="str">
        <f t="shared" si="47"/>
        <v>klein</v>
      </c>
    </row>
    <row r="83" spans="1:46" customFormat="1" x14ac:dyDescent="0.25">
      <c r="A83" s="14">
        <v>14</v>
      </c>
      <c r="B83">
        <v>19</v>
      </c>
      <c r="C83">
        <v>172</v>
      </c>
      <c r="D83" t="s">
        <v>107</v>
      </c>
      <c r="E83" t="s">
        <v>36</v>
      </c>
      <c r="F83" t="s">
        <v>110</v>
      </c>
      <c r="G83" s="3">
        <v>12609.249444803267</v>
      </c>
      <c r="H83" s="21" t="s">
        <v>109</v>
      </c>
      <c r="I83">
        <v>5</v>
      </c>
      <c r="J83" s="21">
        <v>0</v>
      </c>
      <c r="K83" s="21">
        <v>0</v>
      </c>
      <c r="L83">
        <v>2017</v>
      </c>
      <c r="M83">
        <v>2018</v>
      </c>
      <c r="N83">
        <v>2018</v>
      </c>
      <c r="O83">
        <v>2021</v>
      </c>
      <c r="P83">
        <v>2021</v>
      </c>
      <c r="Q83">
        <v>2024</v>
      </c>
      <c r="R83">
        <f t="shared" si="48"/>
        <v>1</v>
      </c>
      <c r="S83">
        <f t="shared" si="49"/>
        <v>3</v>
      </c>
      <c r="T83">
        <f t="shared" si="50"/>
        <v>3</v>
      </c>
      <c r="U83" s="6">
        <f t="shared" si="51"/>
        <v>7</v>
      </c>
      <c r="V83" s="6">
        <f>U83-U84</f>
        <v>1</v>
      </c>
      <c r="W83" s="2"/>
      <c r="X83" s="2"/>
      <c r="Y83" s="19">
        <v>1.5</v>
      </c>
      <c r="Z83" s="19">
        <v>2.3620000000000001</v>
      </c>
      <c r="AA83" s="19">
        <v>33.997</v>
      </c>
      <c r="AB83" s="2">
        <f t="shared" si="53"/>
        <v>37.859000000000002</v>
      </c>
      <c r="AC83" s="2">
        <f t="shared" si="35"/>
        <v>7.8590000000000018</v>
      </c>
      <c r="AD83" s="2"/>
      <c r="AE83" s="2" t="str">
        <f t="shared" si="42"/>
        <v/>
      </c>
      <c r="AF83" s="3"/>
      <c r="AG83" s="2" t="str">
        <f t="shared" si="36"/>
        <v/>
      </c>
      <c r="AH83" s="29"/>
      <c r="AI83" s="1" t="str">
        <f t="shared" si="37"/>
        <v/>
      </c>
      <c r="AJ83">
        <v>0</v>
      </c>
      <c r="AK83">
        <v>0</v>
      </c>
      <c r="AL83">
        <f t="shared" si="38"/>
        <v>0</v>
      </c>
      <c r="AM83">
        <f t="shared" si="39"/>
        <v>1</v>
      </c>
      <c r="AN83">
        <f t="shared" si="40"/>
        <v>0</v>
      </c>
      <c r="AO83">
        <f t="shared" si="43"/>
        <v>1</v>
      </c>
      <c r="AP83" s="1">
        <f t="shared" si="52"/>
        <v>3.0024784715162474</v>
      </c>
      <c r="AQ83">
        <f t="shared" si="44"/>
        <v>-2</v>
      </c>
      <c r="AR83">
        <f t="shared" si="45"/>
        <v>0</v>
      </c>
      <c r="AS83">
        <f t="shared" si="46"/>
        <v>1</v>
      </c>
      <c r="AT83" t="str">
        <f t="shared" si="47"/>
        <v>klein</v>
      </c>
    </row>
    <row r="84" spans="1:46" customFormat="1" x14ac:dyDescent="0.25">
      <c r="A84" s="14">
        <v>14</v>
      </c>
      <c r="B84">
        <v>18</v>
      </c>
      <c r="D84" t="s">
        <v>107</v>
      </c>
      <c r="E84" t="s">
        <v>36</v>
      </c>
      <c r="F84" t="s">
        <v>110</v>
      </c>
      <c r="G84" s="3">
        <v>12609.249444803267</v>
      </c>
      <c r="H84" s="21">
        <v>6</v>
      </c>
      <c r="I84" t="s">
        <v>111</v>
      </c>
      <c r="J84" s="21">
        <v>0</v>
      </c>
      <c r="K84" s="21">
        <v>0</v>
      </c>
      <c r="L84">
        <v>2017</v>
      </c>
      <c r="M84">
        <v>2018</v>
      </c>
      <c r="N84">
        <v>2018</v>
      </c>
      <c r="O84">
        <v>2021</v>
      </c>
      <c r="P84">
        <v>2021</v>
      </c>
      <c r="Q84">
        <v>2023</v>
      </c>
      <c r="R84">
        <f t="shared" si="48"/>
        <v>1</v>
      </c>
      <c r="S84">
        <f t="shared" si="49"/>
        <v>3</v>
      </c>
      <c r="T84">
        <f t="shared" si="50"/>
        <v>2</v>
      </c>
      <c r="U84" s="6">
        <f t="shared" si="51"/>
        <v>6</v>
      </c>
      <c r="V84" s="6">
        <f>U84-U85</f>
        <v>0</v>
      </c>
      <c r="W84" s="2"/>
      <c r="X84" s="2"/>
      <c r="Y84" s="19">
        <v>1.5</v>
      </c>
      <c r="Z84" s="19">
        <v>3</v>
      </c>
      <c r="AA84" s="19">
        <v>25.5</v>
      </c>
      <c r="AB84" s="2">
        <f t="shared" si="53"/>
        <v>30</v>
      </c>
      <c r="AC84" s="2">
        <f t="shared" si="35"/>
        <v>0</v>
      </c>
      <c r="AD84" s="2"/>
      <c r="AE84" s="2" t="str">
        <f t="shared" si="42"/>
        <v/>
      </c>
      <c r="AF84" s="3"/>
      <c r="AG84" s="2" t="str">
        <f t="shared" si="36"/>
        <v/>
      </c>
      <c r="AH84" s="29"/>
      <c r="AI84" s="1" t="str">
        <f t="shared" si="37"/>
        <v/>
      </c>
      <c r="AJ84">
        <v>0</v>
      </c>
      <c r="AK84">
        <v>0</v>
      </c>
      <c r="AL84">
        <f t="shared" si="38"/>
        <v>0</v>
      </c>
      <c r="AM84">
        <f t="shared" si="39"/>
        <v>1</v>
      </c>
      <c r="AN84">
        <f t="shared" si="40"/>
        <v>0</v>
      </c>
      <c r="AO84">
        <f t="shared" si="43"/>
        <v>1</v>
      </c>
      <c r="AP84" s="1">
        <f t="shared" si="52"/>
        <v>2.3792058465751187</v>
      </c>
      <c r="AQ84">
        <f t="shared" si="44"/>
        <v>-2</v>
      </c>
      <c r="AR84">
        <f t="shared" si="45"/>
        <v>0</v>
      </c>
      <c r="AS84">
        <f t="shared" si="46"/>
        <v>0</v>
      </c>
      <c r="AT84" t="str">
        <f t="shared" si="47"/>
        <v>klein</v>
      </c>
    </row>
    <row r="85" spans="1:46" customFormat="1" x14ac:dyDescent="0.25">
      <c r="A85" s="14">
        <v>14</v>
      </c>
      <c r="B85">
        <v>17</v>
      </c>
      <c r="C85" t="s">
        <v>103</v>
      </c>
      <c r="D85" t="s">
        <v>107</v>
      </c>
      <c r="E85" t="s">
        <v>36</v>
      </c>
      <c r="F85" t="s">
        <v>110</v>
      </c>
      <c r="G85" s="3"/>
      <c r="H85" s="21"/>
      <c r="J85" s="21">
        <v>0</v>
      </c>
      <c r="K85" s="21">
        <v>0</v>
      </c>
      <c r="L85">
        <v>2017</v>
      </c>
      <c r="M85">
        <v>2018</v>
      </c>
      <c r="N85">
        <v>2018</v>
      </c>
      <c r="O85">
        <v>2021</v>
      </c>
      <c r="P85">
        <v>2021</v>
      </c>
      <c r="Q85">
        <v>2023</v>
      </c>
      <c r="R85">
        <f t="shared" si="48"/>
        <v>1</v>
      </c>
      <c r="S85">
        <f t="shared" si="49"/>
        <v>3</v>
      </c>
      <c r="T85">
        <f t="shared" si="50"/>
        <v>2</v>
      </c>
      <c r="U85" s="6">
        <f t="shared" si="51"/>
        <v>6</v>
      </c>
      <c r="W85" s="2"/>
      <c r="X85" s="2"/>
      <c r="Y85" s="19">
        <v>1.5</v>
      </c>
      <c r="Z85" s="19">
        <v>3</v>
      </c>
      <c r="AA85" s="19">
        <v>25.5</v>
      </c>
      <c r="AB85" s="2">
        <f t="shared" si="53"/>
        <v>30</v>
      </c>
      <c r="AC85" s="2"/>
      <c r="AD85" s="2"/>
      <c r="AE85" s="2" t="str">
        <f t="shared" si="42"/>
        <v/>
      </c>
      <c r="AF85" s="3"/>
      <c r="AG85" s="2" t="str">
        <f t="shared" si="36"/>
        <v/>
      </c>
      <c r="AH85" s="29"/>
      <c r="AI85" s="1" t="str">
        <f t="shared" si="37"/>
        <v/>
      </c>
      <c r="AJ85">
        <v>0</v>
      </c>
      <c r="AK85">
        <v>0</v>
      </c>
      <c r="AL85">
        <f t="shared" si="38"/>
        <v>0</v>
      </c>
      <c r="AM85">
        <f t="shared" si="39"/>
        <v>1</v>
      </c>
      <c r="AN85">
        <f t="shared" si="40"/>
        <v>0</v>
      </c>
      <c r="AO85">
        <f t="shared" si="43"/>
        <v>1</v>
      </c>
      <c r="AP85" s="1"/>
      <c r="AQ85">
        <f t="shared" si="44"/>
        <v>-2</v>
      </c>
      <c r="AR85">
        <f t="shared" si="45"/>
        <v>0</v>
      </c>
      <c r="AS85">
        <f t="shared" si="46"/>
        <v>0</v>
      </c>
      <c r="AT85" t="str">
        <f t="shared" si="47"/>
        <v>klein</v>
      </c>
    </row>
    <row r="86" spans="1:46" customFormat="1" x14ac:dyDescent="0.25">
      <c r="A86" s="13">
        <v>15</v>
      </c>
      <c r="B86">
        <v>22</v>
      </c>
      <c r="C86" t="s">
        <v>103</v>
      </c>
      <c r="D86" t="s">
        <v>112</v>
      </c>
      <c r="E86" t="s">
        <v>101</v>
      </c>
      <c r="F86" t="s">
        <v>113</v>
      </c>
      <c r="G86" s="3">
        <v>3680</v>
      </c>
      <c r="H86" s="21">
        <v>23</v>
      </c>
      <c r="I86" t="s">
        <v>103</v>
      </c>
      <c r="J86" s="21">
        <v>0</v>
      </c>
      <c r="K86" s="21">
        <v>0</v>
      </c>
      <c r="L86">
        <v>2015</v>
      </c>
      <c r="M86">
        <v>2020</v>
      </c>
      <c r="N86">
        <v>2020</v>
      </c>
      <c r="O86">
        <v>2022</v>
      </c>
      <c r="P86">
        <v>2022</v>
      </c>
      <c r="Q86">
        <v>2027</v>
      </c>
      <c r="R86">
        <f t="shared" si="48"/>
        <v>5</v>
      </c>
      <c r="S86">
        <f t="shared" si="49"/>
        <v>2</v>
      </c>
      <c r="T86">
        <f t="shared" si="50"/>
        <v>5</v>
      </c>
      <c r="U86" s="6">
        <f t="shared" si="51"/>
        <v>12</v>
      </c>
      <c r="V86" s="6">
        <f>U86-U87</f>
        <v>3</v>
      </c>
      <c r="W86" s="2"/>
      <c r="X86" s="2">
        <f>U86-U90</f>
        <v>4</v>
      </c>
      <c r="Y86" s="19">
        <f>5.78/0.9</f>
        <v>6.4222222222222225</v>
      </c>
      <c r="Z86" s="19">
        <f>1.9/0.9</f>
        <v>2.1111111111111112</v>
      </c>
      <c r="AA86" s="19">
        <f>13/0.9</f>
        <v>14.444444444444445</v>
      </c>
      <c r="AB86" s="2">
        <f t="shared" si="53"/>
        <v>22.977777777777778</v>
      </c>
      <c r="AC86" s="2">
        <f t="shared" si="35"/>
        <v>-19.457844444444444</v>
      </c>
      <c r="AD86" s="2"/>
      <c r="AE86" s="2">
        <f t="shared" si="42"/>
        <v>-19.457844444444444</v>
      </c>
      <c r="AF86" s="3"/>
      <c r="AG86" s="2">
        <f t="shared" si="36"/>
        <v>-24320</v>
      </c>
      <c r="AH86" s="29"/>
      <c r="AI86" s="1">
        <f t="shared" si="37"/>
        <v>4.6131395324034798</v>
      </c>
      <c r="AK86" s="6">
        <f>IF(AB86&gt;64.2061111111111,1,0)</f>
        <v>0</v>
      </c>
      <c r="AL86">
        <f t="shared" si="38"/>
        <v>0</v>
      </c>
      <c r="AM86">
        <f t="shared" si="39"/>
        <v>1</v>
      </c>
      <c r="AN86">
        <f t="shared" si="40"/>
        <v>0</v>
      </c>
      <c r="AO86">
        <f t="shared" si="43"/>
        <v>2</v>
      </c>
      <c r="AP86" s="1">
        <f t="shared" si="52"/>
        <v>6.2439613526570046</v>
      </c>
      <c r="AQ86">
        <f t="shared" si="44"/>
        <v>0</v>
      </c>
      <c r="AR86">
        <f t="shared" si="45"/>
        <v>0</v>
      </c>
      <c r="AS86">
        <f t="shared" si="46"/>
        <v>1</v>
      </c>
      <c r="AT86" t="str">
        <f t="shared" si="47"/>
        <v>klein</v>
      </c>
    </row>
    <row r="87" spans="1:46" customFormat="1" x14ac:dyDescent="0.25">
      <c r="A87" s="13">
        <v>15</v>
      </c>
      <c r="B87">
        <v>21</v>
      </c>
      <c r="C87" t="s">
        <v>103</v>
      </c>
      <c r="D87" t="s">
        <v>112</v>
      </c>
      <c r="E87" t="s">
        <v>101</v>
      </c>
      <c r="F87" t="s">
        <v>113</v>
      </c>
      <c r="G87" s="3">
        <v>28070</v>
      </c>
      <c r="H87" s="21">
        <v>23</v>
      </c>
      <c r="I87" t="s">
        <v>103</v>
      </c>
      <c r="J87" s="21">
        <v>0</v>
      </c>
      <c r="K87" s="21">
        <v>0</v>
      </c>
      <c r="L87">
        <v>2015</v>
      </c>
      <c r="M87">
        <v>2021</v>
      </c>
      <c r="N87">
        <v>2021</v>
      </c>
      <c r="O87">
        <v>2023</v>
      </c>
      <c r="P87">
        <v>2023</v>
      </c>
      <c r="Q87">
        <v>2024</v>
      </c>
      <c r="R87">
        <f t="shared" si="48"/>
        <v>6</v>
      </c>
      <c r="S87">
        <f t="shared" si="49"/>
        <v>2</v>
      </c>
      <c r="T87">
        <f t="shared" si="50"/>
        <v>1</v>
      </c>
      <c r="U87" s="6">
        <f t="shared" si="51"/>
        <v>9</v>
      </c>
      <c r="V87" s="6">
        <f>U87-U88</f>
        <v>1</v>
      </c>
      <c r="W87" s="2">
        <f>U87-U90</f>
        <v>1</v>
      </c>
      <c r="X87" s="2"/>
      <c r="Y87" s="19">
        <v>6.4222888888888887</v>
      </c>
      <c r="Z87" s="19">
        <v>4.2711111111111117</v>
      </c>
      <c r="AA87" s="19">
        <v>31.742222222222221</v>
      </c>
      <c r="AB87" s="2">
        <f t="shared" si="53"/>
        <v>42.435622222222221</v>
      </c>
      <c r="AC87" s="2">
        <f t="shared" si="35"/>
        <v>1.3400000000004297E-2</v>
      </c>
      <c r="AD87" s="2">
        <f>AB87-AB90</f>
        <v>-3.3643777777777757</v>
      </c>
      <c r="AE87" s="2" t="str">
        <f t="shared" si="42"/>
        <v/>
      </c>
      <c r="AF87" s="3">
        <f>G87-G90</f>
        <v>70</v>
      </c>
      <c r="AG87" s="2" t="str">
        <f t="shared" si="36"/>
        <v/>
      </c>
      <c r="AH87" s="29">
        <f>((AB87)/(G87/1000))-((AB90)/(G90/1000))</f>
        <v>-0.1239357954320548</v>
      </c>
      <c r="AI87" s="1" t="str">
        <f t="shared" si="37"/>
        <v/>
      </c>
      <c r="AJ87">
        <v>0</v>
      </c>
      <c r="AK87">
        <v>0</v>
      </c>
      <c r="AL87">
        <f t="shared" si="38"/>
        <v>1</v>
      </c>
      <c r="AM87">
        <f t="shared" si="39"/>
        <v>0</v>
      </c>
      <c r="AN87">
        <f t="shared" si="40"/>
        <v>0</v>
      </c>
      <c r="AO87">
        <f t="shared" si="43"/>
        <v>3</v>
      </c>
      <c r="AP87" s="1">
        <f t="shared" si="52"/>
        <v>1.5117784902822309</v>
      </c>
      <c r="AQ87">
        <f t="shared" si="44"/>
        <v>1</v>
      </c>
      <c r="AR87">
        <f t="shared" si="45"/>
        <v>1</v>
      </c>
      <c r="AS87">
        <f t="shared" si="46"/>
        <v>1</v>
      </c>
      <c r="AT87" t="str">
        <f t="shared" si="47"/>
        <v>klein</v>
      </c>
    </row>
    <row r="88" spans="1:46" customFormat="1" x14ac:dyDescent="0.25">
      <c r="A88" s="13">
        <v>15</v>
      </c>
      <c r="B88">
        <v>20</v>
      </c>
      <c r="C88" t="s">
        <v>103</v>
      </c>
      <c r="D88" t="s">
        <v>112</v>
      </c>
      <c r="E88" t="s">
        <v>101</v>
      </c>
      <c r="F88" t="s">
        <v>113</v>
      </c>
      <c r="G88" s="3">
        <v>28070</v>
      </c>
      <c r="H88" s="21">
        <v>30</v>
      </c>
      <c r="J88" s="21">
        <v>0</v>
      </c>
      <c r="K88" s="21">
        <v>0</v>
      </c>
      <c r="L88">
        <v>2016</v>
      </c>
      <c r="M88">
        <v>2018</v>
      </c>
      <c r="N88">
        <v>2018</v>
      </c>
      <c r="O88">
        <v>2021</v>
      </c>
      <c r="P88">
        <v>2021</v>
      </c>
      <c r="Q88">
        <v>2024</v>
      </c>
      <c r="R88">
        <f t="shared" si="48"/>
        <v>2</v>
      </c>
      <c r="S88">
        <f t="shared" si="49"/>
        <v>3</v>
      </c>
      <c r="T88">
        <f t="shared" si="50"/>
        <v>3</v>
      </c>
      <c r="U88" s="6">
        <f t="shared" si="51"/>
        <v>8</v>
      </c>
      <c r="V88" s="6">
        <f>U88-U89</f>
        <v>1</v>
      </c>
      <c r="W88" s="2"/>
      <c r="X88" s="2"/>
      <c r="Y88" s="19">
        <v>6.4222222222222225</v>
      </c>
      <c r="Z88" s="19">
        <v>4.3</v>
      </c>
      <c r="AA88" s="19">
        <v>31.7</v>
      </c>
      <c r="AB88" s="2">
        <f t="shared" si="53"/>
        <v>42.422222222222217</v>
      </c>
      <c r="AC88" s="2">
        <f t="shared" ref="AC88:AC106" si="54">AB88-AB89</f>
        <v>12.822222222222219</v>
      </c>
      <c r="AD88" s="2"/>
      <c r="AE88" s="2" t="str">
        <f t="shared" si="42"/>
        <v/>
      </c>
      <c r="AF88" s="3"/>
      <c r="AG88" s="2" t="str">
        <f t="shared" si="36"/>
        <v/>
      </c>
      <c r="AH88" s="29"/>
      <c r="AI88" s="1" t="str">
        <f t="shared" si="37"/>
        <v/>
      </c>
      <c r="AJ88">
        <v>0</v>
      </c>
      <c r="AK88">
        <v>0</v>
      </c>
      <c r="AL88">
        <f t="shared" si="38"/>
        <v>0</v>
      </c>
      <c r="AM88">
        <f t="shared" si="39"/>
        <v>1</v>
      </c>
      <c r="AN88">
        <f t="shared" si="40"/>
        <v>0</v>
      </c>
      <c r="AO88">
        <f t="shared" si="43"/>
        <v>1</v>
      </c>
      <c r="AP88" s="1">
        <f t="shared" si="52"/>
        <v>1.5113011122986184</v>
      </c>
      <c r="AQ88">
        <f t="shared" si="44"/>
        <v>-2</v>
      </c>
      <c r="AR88">
        <f t="shared" si="45"/>
        <v>0</v>
      </c>
      <c r="AS88">
        <f t="shared" si="46"/>
        <v>1</v>
      </c>
      <c r="AT88" t="str">
        <f t="shared" si="47"/>
        <v>klein</v>
      </c>
    </row>
    <row r="89" spans="1:46" customFormat="1" x14ac:dyDescent="0.25">
      <c r="A89" s="13">
        <v>15</v>
      </c>
      <c r="B89">
        <v>19</v>
      </c>
      <c r="C89" t="s">
        <v>103</v>
      </c>
      <c r="D89" t="s">
        <v>112</v>
      </c>
      <c r="E89" t="s">
        <v>101</v>
      </c>
      <c r="F89" t="s">
        <v>113</v>
      </c>
      <c r="G89" s="3">
        <v>28084</v>
      </c>
      <c r="H89" s="21">
        <v>21</v>
      </c>
      <c r="J89" s="21">
        <v>0</v>
      </c>
      <c r="K89" s="21">
        <v>0</v>
      </c>
      <c r="L89">
        <v>2016</v>
      </c>
      <c r="M89">
        <v>2018</v>
      </c>
      <c r="N89">
        <v>2018</v>
      </c>
      <c r="O89">
        <v>2021</v>
      </c>
      <c r="P89">
        <v>2021</v>
      </c>
      <c r="Q89">
        <v>2023</v>
      </c>
      <c r="R89">
        <f t="shared" si="48"/>
        <v>2</v>
      </c>
      <c r="S89">
        <f t="shared" si="49"/>
        <v>3</v>
      </c>
      <c r="T89">
        <f t="shared" si="50"/>
        <v>2</v>
      </c>
      <c r="U89" s="6">
        <f t="shared" si="51"/>
        <v>7</v>
      </c>
      <c r="V89" s="6">
        <f>U89-U90</f>
        <v>-1</v>
      </c>
      <c r="W89" s="2"/>
      <c r="X89" s="2"/>
      <c r="Y89" s="19">
        <v>2.2999999999999998</v>
      </c>
      <c r="Z89" s="19">
        <v>2.9</v>
      </c>
      <c r="AA89" s="19">
        <v>24.4</v>
      </c>
      <c r="AB89" s="2">
        <f t="shared" si="53"/>
        <v>29.599999999999998</v>
      </c>
      <c r="AC89" s="2">
        <f t="shared" si="54"/>
        <v>-16.2</v>
      </c>
      <c r="AD89" s="2"/>
      <c r="AE89" s="2" t="str">
        <f t="shared" si="42"/>
        <v/>
      </c>
      <c r="AF89" s="3"/>
      <c r="AG89" s="2" t="str">
        <f t="shared" si="36"/>
        <v/>
      </c>
      <c r="AH89" s="29"/>
      <c r="AI89" s="1" t="str">
        <f t="shared" si="37"/>
        <v/>
      </c>
      <c r="AJ89">
        <v>0</v>
      </c>
      <c r="AK89">
        <v>0</v>
      </c>
      <c r="AL89">
        <f t="shared" si="38"/>
        <v>0</v>
      </c>
      <c r="AM89">
        <f t="shared" si="39"/>
        <v>1</v>
      </c>
      <c r="AN89">
        <f t="shared" si="40"/>
        <v>0</v>
      </c>
      <c r="AO89">
        <f t="shared" si="43"/>
        <v>1</v>
      </c>
      <c r="AP89" s="1">
        <f t="shared" si="52"/>
        <v>1.0539809143996581</v>
      </c>
      <c r="AQ89">
        <f t="shared" si="44"/>
        <v>-2</v>
      </c>
      <c r="AR89">
        <f t="shared" si="45"/>
        <v>0</v>
      </c>
      <c r="AS89">
        <f t="shared" si="46"/>
        <v>1</v>
      </c>
      <c r="AT89" t="str">
        <f t="shared" si="47"/>
        <v>klein</v>
      </c>
    </row>
    <row r="90" spans="1:46" customFormat="1" x14ac:dyDescent="0.25">
      <c r="A90" s="13">
        <v>15</v>
      </c>
      <c r="B90">
        <v>18</v>
      </c>
      <c r="D90" t="s">
        <v>112</v>
      </c>
      <c r="E90" t="s">
        <v>101</v>
      </c>
      <c r="F90" t="s">
        <v>113</v>
      </c>
      <c r="G90" s="3">
        <v>28000</v>
      </c>
      <c r="H90" s="21"/>
      <c r="J90" s="21">
        <v>0</v>
      </c>
      <c r="K90" s="21">
        <v>0</v>
      </c>
      <c r="L90">
        <v>2016</v>
      </c>
      <c r="M90">
        <v>2018</v>
      </c>
      <c r="N90">
        <v>2018</v>
      </c>
      <c r="O90">
        <v>2021</v>
      </c>
      <c r="P90">
        <v>2021</v>
      </c>
      <c r="Q90">
        <v>2024</v>
      </c>
      <c r="R90">
        <f t="shared" si="48"/>
        <v>2</v>
      </c>
      <c r="S90">
        <f t="shared" si="49"/>
        <v>3</v>
      </c>
      <c r="T90">
        <f t="shared" si="50"/>
        <v>3</v>
      </c>
      <c r="U90" s="6">
        <f t="shared" si="51"/>
        <v>8</v>
      </c>
      <c r="V90" s="6">
        <f>U90-U91</f>
        <v>-3</v>
      </c>
      <c r="W90" s="2"/>
      <c r="X90" s="2"/>
      <c r="Y90" s="19">
        <v>2.2999999999999998</v>
      </c>
      <c r="Z90" s="19">
        <v>4.5999999999999996</v>
      </c>
      <c r="AA90" s="19">
        <v>38.9</v>
      </c>
      <c r="AB90" s="2">
        <f t="shared" si="53"/>
        <v>45.8</v>
      </c>
      <c r="AC90" s="2"/>
      <c r="AD90" s="2"/>
      <c r="AE90" s="2" t="str">
        <f t="shared" si="42"/>
        <v/>
      </c>
      <c r="AF90" s="3"/>
      <c r="AG90" s="2" t="str">
        <f t="shared" si="36"/>
        <v/>
      </c>
      <c r="AH90" s="29"/>
      <c r="AI90" s="1" t="str">
        <f t="shared" si="37"/>
        <v/>
      </c>
      <c r="AJ90">
        <v>0</v>
      </c>
      <c r="AK90">
        <v>0</v>
      </c>
      <c r="AL90">
        <f t="shared" si="38"/>
        <v>0</v>
      </c>
      <c r="AM90">
        <f t="shared" si="39"/>
        <v>1</v>
      </c>
      <c r="AN90">
        <f t="shared" si="40"/>
        <v>0</v>
      </c>
      <c r="AO90">
        <f t="shared" si="43"/>
        <v>1</v>
      </c>
      <c r="AP90" s="1">
        <f t="shared" si="52"/>
        <v>1.6357142857142857</v>
      </c>
      <c r="AQ90">
        <f t="shared" si="44"/>
        <v>-2</v>
      </c>
      <c r="AR90">
        <f t="shared" si="45"/>
        <v>0</v>
      </c>
      <c r="AS90">
        <f t="shared" si="46"/>
        <v>0</v>
      </c>
      <c r="AT90" t="str">
        <f t="shared" si="47"/>
        <v>klein</v>
      </c>
    </row>
    <row r="91" spans="1:46" customFormat="1" x14ac:dyDescent="0.25">
      <c r="A91" s="13">
        <v>15</v>
      </c>
      <c r="B91">
        <v>17</v>
      </c>
      <c r="C91" t="s">
        <v>103</v>
      </c>
      <c r="D91" t="s">
        <v>112</v>
      </c>
      <c r="E91" t="s">
        <v>101</v>
      </c>
      <c r="F91" t="s">
        <v>113</v>
      </c>
      <c r="G91" s="3"/>
      <c r="H91" s="21"/>
      <c r="J91" s="21">
        <v>0</v>
      </c>
      <c r="K91" s="21">
        <v>0</v>
      </c>
      <c r="L91">
        <v>2016</v>
      </c>
      <c r="M91">
        <v>2019</v>
      </c>
      <c r="N91">
        <v>2019</v>
      </c>
      <c r="O91">
        <v>2022</v>
      </c>
      <c r="P91">
        <v>2022</v>
      </c>
      <c r="Q91">
        <v>2027</v>
      </c>
      <c r="R91">
        <f t="shared" si="48"/>
        <v>3</v>
      </c>
      <c r="S91">
        <f t="shared" si="49"/>
        <v>3</v>
      </c>
      <c r="T91">
        <f t="shared" si="50"/>
        <v>5</v>
      </c>
      <c r="U91" s="6">
        <f t="shared" si="51"/>
        <v>11</v>
      </c>
      <c r="W91" s="2"/>
      <c r="X91" s="2"/>
      <c r="Y91" s="19">
        <v>7.1630000000000003</v>
      </c>
      <c r="Z91" s="19">
        <v>23.49</v>
      </c>
      <c r="AA91" s="19">
        <v>199.8</v>
      </c>
      <c r="AB91" s="2">
        <f t="shared" si="53"/>
        <v>230.453</v>
      </c>
      <c r="AC91" s="2"/>
      <c r="AD91" s="2"/>
      <c r="AE91" s="2" t="str">
        <f t="shared" si="42"/>
        <v/>
      </c>
      <c r="AF91" s="3"/>
      <c r="AG91" s="2" t="str">
        <f t="shared" si="36"/>
        <v/>
      </c>
      <c r="AH91" s="29"/>
      <c r="AI91" s="1" t="str">
        <f t="shared" si="37"/>
        <v/>
      </c>
      <c r="AJ91">
        <v>0</v>
      </c>
      <c r="AK91">
        <v>0</v>
      </c>
      <c r="AL91">
        <f t="shared" si="38"/>
        <v>0</v>
      </c>
      <c r="AM91">
        <f t="shared" si="39"/>
        <v>1</v>
      </c>
      <c r="AN91">
        <f t="shared" si="40"/>
        <v>0</v>
      </c>
      <c r="AO91">
        <f t="shared" si="43"/>
        <v>2</v>
      </c>
      <c r="AP91" s="1"/>
      <c r="AQ91">
        <f t="shared" si="44"/>
        <v>-1</v>
      </c>
      <c r="AR91">
        <f t="shared" si="45"/>
        <v>0</v>
      </c>
      <c r="AS91">
        <f t="shared" si="46"/>
        <v>0</v>
      </c>
      <c r="AT91" t="str">
        <f t="shared" si="47"/>
        <v>klein</v>
      </c>
    </row>
    <row r="92" spans="1:46" customFormat="1" x14ac:dyDescent="0.25">
      <c r="A92" s="13">
        <v>16</v>
      </c>
      <c r="B92">
        <v>22</v>
      </c>
      <c r="C92">
        <v>10</v>
      </c>
      <c r="D92" t="s">
        <v>114</v>
      </c>
      <c r="E92" t="s">
        <v>115</v>
      </c>
      <c r="F92" t="s">
        <v>116</v>
      </c>
      <c r="G92" s="3">
        <v>9800</v>
      </c>
      <c r="H92" s="21">
        <v>2</v>
      </c>
      <c r="I92" t="s">
        <v>117</v>
      </c>
      <c r="J92" s="21">
        <v>0</v>
      </c>
      <c r="K92" s="21">
        <v>0</v>
      </c>
      <c r="L92">
        <v>2017</v>
      </c>
      <c r="M92">
        <v>2021</v>
      </c>
      <c r="N92">
        <v>2021</v>
      </c>
      <c r="O92">
        <v>2023</v>
      </c>
      <c r="P92">
        <v>2023</v>
      </c>
      <c r="Q92">
        <v>2027</v>
      </c>
      <c r="R92">
        <f t="shared" si="48"/>
        <v>4</v>
      </c>
      <c r="S92">
        <f t="shared" si="49"/>
        <v>2</v>
      </c>
      <c r="T92">
        <f t="shared" si="50"/>
        <v>4</v>
      </c>
      <c r="U92" s="6">
        <f t="shared" si="51"/>
        <v>10</v>
      </c>
      <c r="V92" s="6">
        <f>U92-U93</f>
        <v>0</v>
      </c>
      <c r="W92" s="2"/>
      <c r="X92" s="2">
        <f>U92-U96</f>
        <v>10</v>
      </c>
      <c r="Y92" s="19">
        <f>6.49/0.9</f>
        <v>7.2111111111111112</v>
      </c>
      <c r="Z92" s="19">
        <f>13.2/0.9</f>
        <v>14.666666666666666</v>
      </c>
      <c r="AA92" s="19">
        <f>35.4/0.9</f>
        <v>39.333333333333329</v>
      </c>
      <c r="AB92" s="2">
        <f t="shared" si="53"/>
        <v>61.211111111111109</v>
      </c>
      <c r="AC92" s="2">
        <f t="shared" si="54"/>
        <v>-19.5</v>
      </c>
      <c r="AD92" s="2"/>
      <c r="AE92" s="2">
        <f t="shared" si="42"/>
        <v>-19.5</v>
      </c>
      <c r="AF92" s="3"/>
      <c r="AG92" s="2">
        <f t="shared" si="36"/>
        <v>9800</v>
      </c>
      <c r="AH92" s="29"/>
      <c r="AI92" s="1">
        <f t="shared" si="37"/>
        <v>6.2460317460317452</v>
      </c>
      <c r="AK92" s="6">
        <f>IF(AB92&gt;64.2061111111111,1,0)</f>
        <v>0</v>
      </c>
      <c r="AL92">
        <f t="shared" si="38"/>
        <v>1</v>
      </c>
      <c r="AM92">
        <f t="shared" si="39"/>
        <v>0</v>
      </c>
      <c r="AN92">
        <f t="shared" si="40"/>
        <v>0</v>
      </c>
      <c r="AO92">
        <f t="shared" si="43"/>
        <v>3</v>
      </c>
      <c r="AP92" s="1">
        <f t="shared" si="52"/>
        <v>6.2460317460317452</v>
      </c>
      <c r="AQ92">
        <f t="shared" si="44"/>
        <v>1</v>
      </c>
      <c r="AR92">
        <f t="shared" si="45"/>
        <v>1</v>
      </c>
      <c r="AS92">
        <f t="shared" si="46"/>
        <v>1</v>
      </c>
      <c r="AT92" t="str">
        <f t="shared" si="47"/>
        <v>klein</v>
      </c>
    </row>
    <row r="93" spans="1:46" customFormat="1" x14ac:dyDescent="0.25">
      <c r="A93" s="13">
        <v>16</v>
      </c>
      <c r="B93">
        <v>21</v>
      </c>
      <c r="C93">
        <v>10</v>
      </c>
      <c r="D93" t="s">
        <v>114</v>
      </c>
      <c r="E93" t="s">
        <v>115</v>
      </c>
      <c r="F93" t="s">
        <v>116</v>
      </c>
      <c r="G93" s="3">
        <v>9800</v>
      </c>
      <c r="H93" s="21">
        <v>2</v>
      </c>
      <c r="I93" t="s">
        <v>117</v>
      </c>
      <c r="J93" s="21">
        <v>0</v>
      </c>
      <c r="K93" s="21">
        <v>0</v>
      </c>
      <c r="L93">
        <v>2017</v>
      </c>
      <c r="M93">
        <v>2021</v>
      </c>
      <c r="N93">
        <v>2021</v>
      </c>
      <c r="O93">
        <v>2023</v>
      </c>
      <c r="P93">
        <v>2023</v>
      </c>
      <c r="Q93">
        <v>2027</v>
      </c>
      <c r="R93">
        <f t="shared" si="48"/>
        <v>4</v>
      </c>
      <c r="S93">
        <f t="shared" si="49"/>
        <v>2</v>
      </c>
      <c r="T93">
        <f t="shared" si="50"/>
        <v>4</v>
      </c>
      <c r="U93" s="6">
        <f t="shared" si="51"/>
        <v>10</v>
      </c>
      <c r="V93" s="6">
        <f>U93-U94</f>
        <v>0</v>
      </c>
      <c r="W93" s="2">
        <f>U93-U96</f>
        <v>10</v>
      </c>
      <c r="X93" s="2"/>
      <c r="Y93" s="19">
        <v>7.2111111111111112</v>
      </c>
      <c r="Z93" s="19">
        <v>14.7</v>
      </c>
      <c r="AA93" s="19">
        <v>58.8</v>
      </c>
      <c r="AB93" s="2">
        <f t="shared" si="53"/>
        <v>80.711111111111109</v>
      </c>
      <c r="AC93" s="2">
        <f t="shared" si="54"/>
        <v>30.68888888888889</v>
      </c>
      <c r="AD93" s="2">
        <f>AB93-AB96</f>
        <v>80.711111111111109</v>
      </c>
      <c r="AE93" s="2" t="str">
        <f t="shared" si="42"/>
        <v/>
      </c>
      <c r="AF93" s="3">
        <f>G93-G96</f>
        <v>9800</v>
      </c>
      <c r="AG93" s="2" t="str">
        <f t="shared" si="36"/>
        <v/>
      </c>
      <c r="AH93" s="29"/>
      <c r="AI93" s="1" t="str">
        <f t="shared" si="37"/>
        <v/>
      </c>
      <c r="AJ93">
        <v>1</v>
      </c>
      <c r="AK93">
        <v>0</v>
      </c>
      <c r="AL93">
        <f t="shared" si="38"/>
        <v>1</v>
      </c>
      <c r="AM93">
        <f t="shared" si="39"/>
        <v>0</v>
      </c>
      <c r="AN93">
        <f t="shared" si="40"/>
        <v>0</v>
      </c>
      <c r="AO93">
        <f t="shared" si="43"/>
        <v>3</v>
      </c>
      <c r="AP93" s="1">
        <f t="shared" si="52"/>
        <v>8.2358276643990926</v>
      </c>
      <c r="AQ93">
        <f t="shared" si="44"/>
        <v>1</v>
      </c>
      <c r="AR93">
        <f t="shared" si="45"/>
        <v>1</v>
      </c>
      <c r="AS93">
        <f t="shared" si="46"/>
        <v>1</v>
      </c>
      <c r="AT93" t="str">
        <f t="shared" si="47"/>
        <v>klein</v>
      </c>
    </row>
    <row r="94" spans="1:46" customFormat="1" x14ac:dyDescent="0.25">
      <c r="A94" s="13">
        <v>16</v>
      </c>
      <c r="B94">
        <v>20</v>
      </c>
      <c r="C94">
        <v>25</v>
      </c>
      <c r="D94" t="s">
        <v>118</v>
      </c>
      <c r="E94" t="s">
        <v>115</v>
      </c>
      <c r="F94" t="s">
        <v>119</v>
      </c>
      <c r="G94" s="3">
        <v>11007</v>
      </c>
      <c r="H94" s="21">
        <v>1</v>
      </c>
      <c r="I94" t="s">
        <v>117</v>
      </c>
      <c r="J94" s="21">
        <v>0</v>
      </c>
      <c r="K94" s="21">
        <v>0</v>
      </c>
      <c r="L94">
        <v>2017</v>
      </c>
      <c r="M94">
        <v>2018</v>
      </c>
      <c r="N94">
        <v>2018</v>
      </c>
      <c r="O94">
        <v>2020</v>
      </c>
      <c r="P94">
        <v>2020</v>
      </c>
      <c r="Q94">
        <v>2027</v>
      </c>
      <c r="R94">
        <f t="shared" si="48"/>
        <v>1</v>
      </c>
      <c r="S94">
        <f t="shared" si="49"/>
        <v>2</v>
      </c>
      <c r="T94">
        <f t="shared" si="50"/>
        <v>7</v>
      </c>
      <c r="U94" s="6">
        <f t="shared" si="51"/>
        <v>10</v>
      </c>
      <c r="V94" s="6">
        <f>U94-U95</f>
        <v>1</v>
      </c>
      <c r="W94" s="2"/>
      <c r="X94" s="2"/>
      <c r="Y94" s="19">
        <v>7.2111111111111112</v>
      </c>
      <c r="Z94" s="19">
        <v>0</v>
      </c>
      <c r="AA94" s="19">
        <v>42.81111111111111</v>
      </c>
      <c r="AB94" s="2">
        <f t="shared" si="53"/>
        <v>50.022222222222219</v>
      </c>
      <c r="AC94" s="2">
        <f t="shared" si="54"/>
        <v>7.4222222222222172</v>
      </c>
      <c r="AD94" s="2"/>
      <c r="AE94" s="2" t="str">
        <f t="shared" si="42"/>
        <v/>
      </c>
      <c r="AF94" s="3"/>
      <c r="AG94" s="2" t="str">
        <f t="shared" si="36"/>
        <v/>
      </c>
      <c r="AH94" s="29"/>
      <c r="AI94" s="1" t="str">
        <f t="shared" si="37"/>
        <v/>
      </c>
      <c r="AJ94">
        <v>1</v>
      </c>
      <c r="AK94">
        <v>0</v>
      </c>
      <c r="AL94">
        <f t="shared" si="38"/>
        <v>0</v>
      </c>
      <c r="AM94">
        <f t="shared" si="39"/>
        <v>0</v>
      </c>
      <c r="AN94">
        <f t="shared" si="40"/>
        <v>1</v>
      </c>
      <c r="AO94">
        <f t="shared" si="43"/>
        <v>0</v>
      </c>
      <c r="AP94" s="1">
        <f t="shared" si="52"/>
        <v>4.5445827402763896</v>
      </c>
      <c r="AQ94">
        <f t="shared" si="44"/>
        <v>-2</v>
      </c>
      <c r="AR94">
        <f t="shared" si="45"/>
        <v>0</v>
      </c>
      <c r="AS94">
        <f t="shared" si="46"/>
        <v>1</v>
      </c>
      <c r="AT94" t="str">
        <f t="shared" si="47"/>
        <v>klein</v>
      </c>
    </row>
    <row r="95" spans="1:46" customFormat="1" x14ac:dyDescent="0.25">
      <c r="A95" s="13">
        <v>16</v>
      </c>
      <c r="B95">
        <v>19</v>
      </c>
      <c r="C95">
        <v>23</v>
      </c>
      <c r="D95" t="s">
        <v>118</v>
      </c>
      <c r="E95" t="s">
        <v>115</v>
      </c>
      <c r="F95" t="s">
        <v>119</v>
      </c>
      <c r="G95" s="3">
        <v>11007</v>
      </c>
      <c r="H95" s="21"/>
      <c r="I95" t="s">
        <v>117</v>
      </c>
      <c r="J95" s="21">
        <v>0</v>
      </c>
      <c r="K95" s="21">
        <v>0</v>
      </c>
      <c r="L95">
        <v>2017</v>
      </c>
      <c r="M95">
        <v>2018</v>
      </c>
      <c r="N95">
        <v>2018</v>
      </c>
      <c r="O95">
        <v>2020</v>
      </c>
      <c r="P95">
        <v>2020</v>
      </c>
      <c r="Q95">
        <v>2026</v>
      </c>
      <c r="R95">
        <f t="shared" si="48"/>
        <v>1</v>
      </c>
      <c r="S95">
        <f t="shared" si="49"/>
        <v>2</v>
      </c>
      <c r="T95">
        <f t="shared" si="50"/>
        <v>6</v>
      </c>
      <c r="U95" s="6">
        <f t="shared" si="51"/>
        <v>9</v>
      </c>
      <c r="V95" s="6"/>
      <c r="W95" s="2"/>
      <c r="X95" s="2"/>
      <c r="Y95" s="19">
        <v>0</v>
      </c>
      <c r="Z95" s="19">
        <v>0</v>
      </c>
      <c r="AA95" s="19">
        <v>42.6</v>
      </c>
      <c r="AB95" s="2">
        <f t="shared" si="53"/>
        <v>42.6</v>
      </c>
      <c r="AC95" s="2"/>
      <c r="AD95" s="2"/>
      <c r="AE95" s="2" t="str">
        <f t="shared" si="42"/>
        <v/>
      </c>
      <c r="AF95" s="3"/>
      <c r="AG95" s="2" t="str">
        <f t="shared" si="36"/>
        <v/>
      </c>
      <c r="AH95" s="29"/>
      <c r="AI95" s="1" t="str">
        <f t="shared" si="37"/>
        <v/>
      </c>
      <c r="AJ95">
        <v>1</v>
      </c>
      <c r="AK95">
        <v>0</v>
      </c>
      <c r="AL95">
        <f t="shared" si="38"/>
        <v>0</v>
      </c>
      <c r="AM95">
        <f t="shared" si="39"/>
        <v>0</v>
      </c>
      <c r="AN95">
        <f t="shared" si="40"/>
        <v>1</v>
      </c>
      <c r="AO95">
        <f t="shared" si="43"/>
        <v>0</v>
      </c>
      <c r="AP95" s="1">
        <f t="shared" si="52"/>
        <v>3.8702643772145002</v>
      </c>
      <c r="AQ95">
        <f t="shared" si="44"/>
        <v>-2</v>
      </c>
      <c r="AR95">
        <f t="shared" si="45"/>
        <v>0</v>
      </c>
      <c r="AS95">
        <f t="shared" si="46"/>
        <v>1</v>
      </c>
      <c r="AT95" t="str">
        <f t="shared" si="47"/>
        <v>klein</v>
      </c>
    </row>
    <row r="96" spans="1:46" customFormat="1" x14ac:dyDescent="0.25">
      <c r="A96" s="13">
        <v>16</v>
      </c>
      <c r="B96">
        <v>18</v>
      </c>
      <c r="E96" t="s">
        <v>115</v>
      </c>
      <c r="F96" t="s">
        <v>251</v>
      </c>
      <c r="G96" s="3"/>
      <c r="H96" s="21"/>
      <c r="J96" s="21"/>
      <c r="K96" s="21"/>
      <c r="U96" s="6"/>
      <c r="V96" s="6"/>
      <c r="W96" s="2"/>
      <c r="X96" s="2"/>
      <c r="Y96" s="19"/>
      <c r="Z96" s="19"/>
      <c r="AA96" s="19"/>
      <c r="AB96" s="2"/>
      <c r="AC96" s="2"/>
      <c r="AD96" s="2"/>
      <c r="AE96" s="2" t="str">
        <f t="shared" si="42"/>
        <v/>
      </c>
      <c r="AF96" s="3"/>
      <c r="AG96" s="2" t="str">
        <f t="shared" si="36"/>
        <v/>
      </c>
      <c r="AH96" s="29"/>
      <c r="AI96" s="1" t="str">
        <f t="shared" si="37"/>
        <v/>
      </c>
      <c r="AJ96">
        <v>1</v>
      </c>
      <c r="AK96"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P96" s="1"/>
      <c r="AS96">
        <f t="shared" si="46"/>
        <v>0</v>
      </c>
    </row>
    <row r="97" spans="1:46" customFormat="1" x14ac:dyDescent="0.25">
      <c r="A97" s="13">
        <v>16</v>
      </c>
      <c r="B97">
        <v>17</v>
      </c>
      <c r="E97" t="s">
        <v>115</v>
      </c>
      <c r="G97" s="3"/>
      <c r="H97" s="21"/>
      <c r="J97" s="21"/>
      <c r="K97" s="21"/>
      <c r="U97" s="6"/>
      <c r="W97" s="2"/>
      <c r="X97" s="2"/>
      <c r="Y97" s="19"/>
      <c r="Z97" s="19"/>
      <c r="AA97" s="19"/>
      <c r="AB97" s="2"/>
      <c r="AC97" s="2"/>
      <c r="AD97" s="2"/>
      <c r="AE97" s="2" t="str">
        <f t="shared" si="42"/>
        <v/>
      </c>
      <c r="AF97" s="3"/>
      <c r="AG97" s="2" t="str">
        <f t="shared" si="36"/>
        <v/>
      </c>
      <c r="AH97" s="29"/>
      <c r="AI97" s="1" t="str">
        <f t="shared" si="37"/>
        <v/>
      </c>
      <c r="AJ97">
        <v>1</v>
      </c>
      <c r="AK97"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P97" s="1"/>
      <c r="AS97">
        <f t="shared" si="46"/>
        <v>0</v>
      </c>
    </row>
    <row r="98" spans="1:46" customFormat="1" x14ac:dyDescent="0.25">
      <c r="A98" s="13">
        <v>17</v>
      </c>
      <c r="B98">
        <v>22</v>
      </c>
      <c r="C98">
        <v>25</v>
      </c>
      <c r="D98" t="s">
        <v>125</v>
      </c>
      <c r="E98" t="s">
        <v>86</v>
      </c>
      <c r="F98" t="s">
        <v>126</v>
      </c>
      <c r="G98" s="3">
        <v>32000</v>
      </c>
      <c r="H98" s="21"/>
      <c r="J98" s="21">
        <v>0</v>
      </c>
      <c r="K98" s="21">
        <v>0</v>
      </c>
      <c r="L98">
        <v>2019</v>
      </c>
      <c r="M98">
        <v>2023</v>
      </c>
      <c r="N98">
        <v>2023</v>
      </c>
      <c r="O98">
        <v>2026</v>
      </c>
      <c r="P98">
        <v>2026</v>
      </c>
      <c r="Q98">
        <v>2029</v>
      </c>
      <c r="R98">
        <f t="shared" ref="R98:R102" si="55">M98-L98</f>
        <v>4</v>
      </c>
      <c r="S98">
        <f t="shared" ref="S98:S102" si="56">O98-N98</f>
        <v>3</v>
      </c>
      <c r="T98">
        <f t="shared" ref="T98:T102" si="57">Q98-P98</f>
        <v>3</v>
      </c>
      <c r="U98" s="6">
        <f t="shared" ref="U98:U102" si="58">SUM(R98:T98)</f>
        <v>10</v>
      </c>
      <c r="V98" s="6">
        <f>U98-U99</f>
        <v>-2</v>
      </c>
      <c r="W98" s="2"/>
      <c r="X98" s="2">
        <f>U98-U102</f>
        <v>0</v>
      </c>
      <c r="Y98" s="19">
        <f>10.5/0.9</f>
        <v>11.666666666666666</v>
      </c>
      <c r="Z98" s="19">
        <f>11/0.9</f>
        <v>12.222222222222221</v>
      </c>
      <c r="AA98" s="19">
        <f>73.4/0.9</f>
        <v>81.555555555555557</v>
      </c>
      <c r="AB98" s="2">
        <f t="shared" ref="AB98:AB156" si="59">SUM(Y98:AA98)</f>
        <v>105.44444444444444</v>
      </c>
      <c r="AC98" s="2">
        <f t="shared" si="54"/>
        <v>-0.12444444444444969</v>
      </c>
      <c r="AD98" s="2"/>
      <c r="AE98" s="2">
        <f t="shared" si="42"/>
        <v>14.37555555555555</v>
      </c>
      <c r="AF98" s="3"/>
      <c r="AG98" s="2">
        <f t="shared" si="36"/>
        <v>16306.394517841267</v>
      </c>
      <c r="AH98" s="29"/>
      <c r="AI98" s="1">
        <f t="shared" si="37"/>
        <v>0.92954749103942635</v>
      </c>
      <c r="AK98" s="6">
        <f>IF(AB98&gt;64.2061111111111,1,0)</f>
        <v>1</v>
      </c>
      <c r="AL98">
        <f t="shared" si="38"/>
        <v>1</v>
      </c>
      <c r="AM98">
        <f t="shared" si="39"/>
        <v>0</v>
      </c>
      <c r="AN98">
        <f t="shared" si="40"/>
        <v>0</v>
      </c>
      <c r="AO98">
        <f t="shared" si="43"/>
        <v>6</v>
      </c>
      <c r="AP98" s="1">
        <f t="shared" si="52"/>
        <v>3.2951388888888888</v>
      </c>
      <c r="AQ98">
        <f t="shared" si="44"/>
        <v>3</v>
      </c>
      <c r="AR98">
        <f t="shared" si="45"/>
        <v>1</v>
      </c>
      <c r="AS98">
        <f t="shared" si="46"/>
        <v>1</v>
      </c>
      <c r="AT98" t="str">
        <f t="shared" ref="AT98:AT107" si="60">IF(AK98=1,"groot","klein")</f>
        <v>groot</v>
      </c>
    </row>
    <row r="99" spans="1:46" customFormat="1" x14ac:dyDescent="0.25">
      <c r="A99" s="13">
        <v>17</v>
      </c>
      <c r="B99">
        <v>21</v>
      </c>
      <c r="D99" t="s">
        <v>125</v>
      </c>
      <c r="E99" t="s">
        <v>86</v>
      </c>
      <c r="F99" t="s">
        <v>126</v>
      </c>
      <c r="G99" s="3">
        <v>33335</v>
      </c>
      <c r="H99" s="21">
        <v>3</v>
      </c>
      <c r="I99" t="s">
        <v>90</v>
      </c>
      <c r="J99" s="21">
        <v>1</v>
      </c>
      <c r="K99" s="21">
        <v>0</v>
      </c>
      <c r="L99">
        <v>2019</v>
      </c>
      <c r="M99">
        <v>2024</v>
      </c>
      <c r="N99">
        <v>2024</v>
      </c>
      <c r="O99">
        <v>2027</v>
      </c>
      <c r="P99">
        <v>2027</v>
      </c>
      <c r="Q99">
        <v>2031</v>
      </c>
      <c r="R99">
        <f t="shared" si="55"/>
        <v>5</v>
      </c>
      <c r="S99">
        <f t="shared" si="56"/>
        <v>3</v>
      </c>
      <c r="T99">
        <f t="shared" si="57"/>
        <v>4</v>
      </c>
      <c r="U99" s="6">
        <f t="shared" si="58"/>
        <v>12</v>
      </c>
      <c r="V99" s="6">
        <f>U99-U100</f>
        <v>3</v>
      </c>
      <c r="W99" s="2">
        <f>U99-U102</f>
        <v>2</v>
      </c>
      <c r="X99" s="2"/>
      <c r="Y99" s="19">
        <v>11.672222222222222</v>
      </c>
      <c r="Z99" s="19">
        <v>12.247777777777777</v>
      </c>
      <c r="AA99" s="19">
        <v>81.648888888888891</v>
      </c>
      <c r="AB99" s="2">
        <f t="shared" si="59"/>
        <v>105.56888888888889</v>
      </c>
      <c r="AC99" s="2">
        <f t="shared" si="54"/>
        <v>58.36888888888889</v>
      </c>
      <c r="AD99" s="2">
        <f>AB99-AB102</f>
        <v>67.068888888888893</v>
      </c>
      <c r="AE99" s="2" t="str">
        <f t="shared" si="42"/>
        <v/>
      </c>
      <c r="AF99" s="3">
        <f>G99-G102</f>
        <v>17641.394517841269</v>
      </c>
      <c r="AG99" s="2" t="str">
        <f t="shared" si="36"/>
        <v/>
      </c>
      <c r="AH99" s="29">
        <f>((AB99)/(G99/1000))-((AB102)/(G102/1000))</f>
        <v>0.71367983632604659</v>
      </c>
      <c r="AI99" s="1" t="str">
        <f t="shared" si="37"/>
        <v/>
      </c>
      <c r="AJ99">
        <v>1</v>
      </c>
      <c r="AK99">
        <v>1</v>
      </c>
      <c r="AL99">
        <f t="shared" si="38"/>
        <v>1</v>
      </c>
      <c r="AM99">
        <f t="shared" si="39"/>
        <v>0</v>
      </c>
      <c r="AN99">
        <f t="shared" si="40"/>
        <v>0</v>
      </c>
      <c r="AO99">
        <f t="shared" si="43"/>
        <v>7</v>
      </c>
      <c r="AP99" s="1">
        <f t="shared" si="52"/>
        <v>3.1669083212506042</v>
      </c>
      <c r="AQ99">
        <f t="shared" si="44"/>
        <v>4</v>
      </c>
      <c r="AR99">
        <f t="shared" si="45"/>
        <v>1</v>
      </c>
      <c r="AS99">
        <f t="shared" si="46"/>
        <v>1</v>
      </c>
      <c r="AT99" t="str">
        <f t="shared" si="60"/>
        <v>groot</v>
      </c>
    </row>
    <row r="100" spans="1:46" customFormat="1" x14ac:dyDescent="0.25">
      <c r="A100" s="13">
        <v>17</v>
      </c>
      <c r="B100">
        <v>20</v>
      </c>
      <c r="C100">
        <v>82</v>
      </c>
      <c r="D100" t="s">
        <v>127</v>
      </c>
      <c r="E100" t="s">
        <v>86</v>
      </c>
      <c r="F100" t="s">
        <v>128</v>
      </c>
      <c r="G100" s="3">
        <v>16275</v>
      </c>
      <c r="H100" s="21">
        <v>12</v>
      </c>
      <c r="I100" t="s">
        <v>129</v>
      </c>
      <c r="J100" s="21">
        <v>0</v>
      </c>
      <c r="K100" s="21">
        <v>0</v>
      </c>
      <c r="L100">
        <v>2017</v>
      </c>
      <c r="M100">
        <v>2022</v>
      </c>
      <c r="N100">
        <v>2022</v>
      </c>
      <c r="O100">
        <v>2024</v>
      </c>
      <c r="P100">
        <v>2024</v>
      </c>
      <c r="Q100">
        <v>2026</v>
      </c>
      <c r="R100">
        <f t="shared" si="55"/>
        <v>5</v>
      </c>
      <c r="S100">
        <f t="shared" si="56"/>
        <v>2</v>
      </c>
      <c r="T100">
        <f t="shared" si="57"/>
        <v>2</v>
      </c>
      <c r="U100" s="6">
        <f t="shared" si="58"/>
        <v>9</v>
      </c>
      <c r="V100" s="6">
        <f>U100-U101</f>
        <v>-1</v>
      </c>
      <c r="W100" s="2"/>
      <c r="X100" s="2"/>
      <c r="Y100" s="19">
        <v>4.5</v>
      </c>
      <c r="Z100" s="19">
        <v>4.5</v>
      </c>
      <c r="AA100" s="19">
        <v>38.200000000000003</v>
      </c>
      <c r="AB100" s="2">
        <f t="shared" si="59"/>
        <v>47.2</v>
      </c>
      <c r="AC100" s="2">
        <f t="shared" si="54"/>
        <v>19.3</v>
      </c>
      <c r="AD100" s="2"/>
      <c r="AE100" s="2" t="str">
        <f t="shared" si="42"/>
        <v/>
      </c>
      <c r="AF100" s="3"/>
      <c r="AG100" s="2" t="str">
        <f t="shared" si="36"/>
        <v/>
      </c>
      <c r="AH100" s="29"/>
      <c r="AI100" s="1" t="str">
        <f t="shared" si="37"/>
        <v/>
      </c>
      <c r="AJ100">
        <v>1</v>
      </c>
      <c r="AK100">
        <v>1</v>
      </c>
      <c r="AL100">
        <f t="shared" si="38"/>
        <v>1</v>
      </c>
      <c r="AM100">
        <f t="shared" si="39"/>
        <v>0</v>
      </c>
      <c r="AN100">
        <f t="shared" si="40"/>
        <v>0</v>
      </c>
      <c r="AO100">
        <f t="shared" si="43"/>
        <v>4</v>
      </c>
      <c r="AP100" s="1">
        <f t="shared" si="52"/>
        <v>2.9001536098310297</v>
      </c>
      <c r="AQ100">
        <f t="shared" si="44"/>
        <v>2</v>
      </c>
      <c r="AR100">
        <f t="shared" si="45"/>
        <v>1</v>
      </c>
      <c r="AS100">
        <f t="shared" si="46"/>
        <v>1</v>
      </c>
      <c r="AT100" t="str">
        <f t="shared" si="60"/>
        <v>groot</v>
      </c>
    </row>
    <row r="101" spans="1:46" customFormat="1" x14ac:dyDescent="0.25">
      <c r="A101" s="13">
        <v>17</v>
      </c>
      <c r="B101">
        <v>19</v>
      </c>
      <c r="C101">
        <v>56</v>
      </c>
      <c r="D101" t="s">
        <v>127</v>
      </c>
      <c r="E101" t="s">
        <v>86</v>
      </c>
      <c r="F101" t="s">
        <v>130</v>
      </c>
      <c r="G101" s="3">
        <v>16275</v>
      </c>
      <c r="H101" s="21"/>
      <c r="I101" t="s">
        <v>129</v>
      </c>
      <c r="J101" s="21">
        <v>0</v>
      </c>
      <c r="K101" s="21">
        <v>0</v>
      </c>
      <c r="L101">
        <v>2018</v>
      </c>
      <c r="M101">
        <v>2022</v>
      </c>
      <c r="N101">
        <v>2022</v>
      </c>
      <c r="O101">
        <v>2025</v>
      </c>
      <c r="P101">
        <v>2025</v>
      </c>
      <c r="Q101">
        <v>2028</v>
      </c>
      <c r="R101">
        <f t="shared" si="55"/>
        <v>4</v>
      </c>
      <c r="S101">
        <f t="shared" si="56"/>
        <v>3</v>
      </c>
      <c r="T101">
        <f t="shared" si="57"/>
        <v>3</v>
      </c>
      <c r="U101" s="6">
        <f t="shared" si="58"/>
        <v>10</v>
      </c>
      <c r="V101" s="6">
        <f>U101-U102</f>
        <v>0</v>
      </c>
      <c r="W101" s="2"/>
      <c r="X101" s="2"/>
      <c r="Y101" s="19">
        <v>1.4259999999999999</v>
      </c>
      <c r="Z101" s="19">
        <v>2.79</v>
      </c>
      <c r="AA101" s="19">
        <v>23.684000000000001</v>
      </c>
      <c r="AB101" s="2">
        <f t="shared" si="59"/>
        <v>27.900000000000002</v>
      </c>
      <c r="AC101" s="2">
        <f t="shared" si="54"/>
        <v>-10.599999999999998</v>
      </c>
      <c r="AD101" s="2"/>
      <c r="AE101" s="2" t="str">
        <f t="shared" si="42"/>
        <v/>
      </c>
      <c r="AF101" s="3"/>
      <c r="AG101" s="2" t="str">
        <f t="shared" si="36"/>
        <v/>
      </c>
      <c r="AH101" s="29"/>
      <c r="AI101" s="1" t="str">
        <f t="shared" si="37"/>
        <v/>
      </c>
      <c r="AJ101">
        <v>1</v>
      </c>
      <c r="AK101">
        <v>1</v>
      </c>
      <c r="AL101">
        <f t="shared" si="38"/>
        <v>1</v>
      </c>
      <c r="AM101">
        <f t="shared" si="39"/>
        <v>0</v>
      </c>
      <c r="AN101">
        <f t="shared" si="40"/>
        <v>0</v>
      </c>
      <c r="AO101">
        <f t="shared" si="43"/>
        <v>5</v>
      </c>
      <c r="AP101" s="1">
        <f t="shared" si="52"/>
        <v>1.7142857142857146</v>
      </c>
      <c r="AQ101">
        <f t="shared" si="44"/>
        <v>2</v>
      </c>
      <c r="AR101">
        <f t="shared" si="45"/>
        <v>1</v>
      </c>
      <c r="AS101">
        <f t="shared" si="46"/>
        <v>1</v>
      </c>
      <c r="AT101" t="str">
        <f t="shared" si="60"/>
        <v>groot</v>
      </c>
    </row>
    <row r="102" spans="1:46" customFormat="1" x14ac:dyDescent="0.25">
      <c r="A102" s="13">
        <v>17</v>
      </c>
      <c r="B102">
        <v>18</v>
      </c>
      <c r="C102">
        <v>58</v>
      </c>
      <c r="D102" t="s">
        <v>125</v>
      </c>
      <c r="E102" t="s">
        <v>86</v>
      </c>
      <c r="F102" t="s">
        <v>131</v>
      </c>
      <c r="G102" s="3">
        <v>15693.605482158733</v>
      </c>
      <c r="H102" s="21">
        <v>2</v>
      </c>
      <c r="I102" t="s">
        <v>90</v>
      </c>
      <c r="J102" s="21">
        <v>0</v>
      </c>
      <c r="K102" s="21">
        <v>0</v>
      </c>
      <c r="L102">
        <v>2018</v>
      </c>
      <c r="M102">
        <v>2022</v>
      </c>
      <c r="N102">
        <v>2022</v>
      </c>
      <c r="O102">
        <v>2025</v>
      </c>
      <c r="P102">
        <v>2025</v>
      </c>
      <c r="Q102">
        <v>2028</v>
      </c>
      <c r="R102">
        <f t="shared" si="55"/>
        <v>4</v>
      </c>
      <c r="S102">
        <f t="shared" si="56"/>
        <v>3</v>
      </c>
      <c r="T102">
        <f t="shared" si="57"/>
        <v>3</v>
      </c>
      <c r="U102" s="6">
        <f t="shared" si="58"/>
        <v>10</v>
      </c>
      <c r="V102" s="6">
        <f>U102-U103</f>
        <v>-2</v>
      </c>
      <c r="W102" s="2"/>
      <c r="X102" s="2"/>
      <c r="Y102" s="19">
        <v>1.6</v>
      </c>
      <c r="Z102" s="19">
        <v>3.9</v>
      </c>
      <c r="AA102" s="19">
        <v>33</v>
      </c>
      <c r="AB102" s="2">
        <f t="shared" si="59"/>
        <v>38.5</v>
      </c>
      <c r="AC102" s="2">
        <f t="shared" si="54"/>
        <v>-14.5</v>
      </c>
      <c r="AD102" s="2"/>
      <c r="AE102" s="2" t="str">
        <f t="shared" si="42"/>
        <v/>
      </c>
      <c r="AF102" s="3"/>
      <c r="AG102" s="2" t="str">
        <f t="shared" si="36"/>
        <v/>
      </c>
      <c r="AH102" s="29"/>
      <c r="AI102" s="1" t="str">
        <f t="shared" si="37"/>
        <v/>
      </c>
      <c r="AJ102">
        <v>1</v>
      </c>
      <c r="AK102">
        <v>1</v>
      </c>
      <c r="AL102">
        <f t="shared" si="38"/>
        <v>1</v>
      </c>
      <c r="AM102">
        <f t="shared" si="39"/>
        <v>0</v>
      </c>
      <c r="AN102">
        <f t="shared" si="40"/>
        <v>0</v>
      </c>
      <c r="AO102">
        <f t="shared" si="43"/>
        <v>5</v>
      </c>
      <c r="AP102" s="1">
        <f t="shared" si="52"/>
        <v>2.4532284849245576</v>
      </c>
      <c r="AQ102">
        <f t="shared" si="44"/>
        <v>2</v>
      </c>
      <c r="AR102">
        <f t="shared" si="45"/>
        <v>1</v>
      </c>
      <c r="AS102">
        <f t="shared" si="46"/>
        <v>0</v>
      </c>
      <c r="AT102" t="str">
        <f t="shared" si="60"/>
        <v>groot</v>
      </c>
    </row>
    <row r="103" spans="1:46" customFormat="1" x14ac:dyDescent="0.25">
      <c r="A103" s="13">
        <v>17</v>
      </c>
      <c r="B103">
        <v>17</v>
      </c>
      <c r="C103">
        <v>45</v>
      </c>
      <c r="D103" t="s">
        <v>125</v>
      </c>
      <c r="E103" t="s">
        <v>86</v>
      </c>
      <c r="F103" t="s">
        <v>131</v>
      </c>
      <c r="G103" s="3"/>
      <c r="H103" s="21"/>
      <c r="J103" s="21">
        <v>0</v>
      </c>
      <c r="K103" s="21">
        <v>0</v>
      </c>
      <c r="L103">
        <v>2017</v>
      </c>
      <c r="M103">
        <v>2024</v>
      </c>
      <c r="N103">
        <v>2024</v>
      </c>
      <c r="O103">
        <v>2027</v>
      </c>
      <c r="P103">
        <v>2027</v>
      </c>
      <c r="Q103">
        <v>2029</v>
      </c>
      <c r="R103">
        <f t="shared" ref="R103:R107" si="61">M103-L103</f>
        <v>7</v>
      </c>
      <c r="S103">
        <f t="shared" ref="S103:S107" si="62">O103-N103</f>
        <v>3</v>
      </c>
      <c r="T103">
        <f t="shared" ref="T103:T107" si="63">Q103-P103</f>
        <v>2</v>
      </c>
      <c r="U103" s="6">
        <f t="shared" ref="U103:U107" si="64">SUM(R103:T103)</f>
        <v>12</v>
      </c>
      <c r="W103" s="2"/>
      <c r="X103" s="2"/>
      <c r="Y103" s="19">
        <v>4.0999999999999996</v>
      </c>
      <c r="Z103" s="19">
        <v>5.0999999999999996</v>
      </c>
      <c r="AA103" s="19">
        <v>43.8</v>
      </c>
      <c r="AB103" s="2">
        <f t="shared" si="59"/>
        <v>53</v>
      </c>
      <c r="AC103" s="2"/>
      <c r="AD103" s="2"/>
      <c r="AE103" s="2" t="str">
        <f t="shared" si="42"/>
        <v/>
      </c>
      <c r="AF103" s="3"/>
      <c r="AG103" s="2" t="str">
        <f t="shared" si="36"/>
        <v/>
      </c>
      <c r="AH103" s="29"/>
      <c r="AI103" s="1" t="str">
        <f t="shared" si="37"/>
        <v/>
      </c>
      <c r="AJ103">
        <v>1</v>
      </c>
      <c r="AK103">
        <v>1</v>
      </c>
      <c r="AL103">
        <f t="shared" si="38"/>
        <v>1</v>
      </c>
      <c r="AM103">
        <f t="shared" si="39"/>
        <v>0</v>
      </c>
      <c r="AN103">
        <f t="shared" si="40"/>
        <v>0</v>
      </c>
      <c r="AO103">
        <f t="shared" si="43"/>
        <v>7</v>
      </c>
      <c r="AP103" s="1"/>
      <c r="AQ103">
        <f t="shared" si="44"/>
        <v>4</v>
      </c>
      <c r="AR103">
        <f t="shared" si="45"/>
        <v>1</v>
      </c>
      <c r="AS103">
        <f t="shared" si="46"/>
        <v>0</v>
      </c>
      <c r="AT103" t="str">
        <f t="shared" si="60"/>
        <v>groot</v>
      </c>
    </row>
    <row r="104" spans="1:46" customFormat="1" x14ac:dyDescent="0.25">
      <c r="A104" s="13">
        <v>18</v>
      </c>
      <c r="B104">
        <v>22</v>
      </c>
      <c r="C104" t="s">
        <v>103</v>
      </c>
      <c r="D104" t="s">
        <v>132</v>
      </c>
      <c r="E104" t="s">
        <v>115</v>
      </c>
      <c r="F104" t="s">
        <v>133</v>
      </c>
      <c r="G104" s="3">
        <v>10800</v>
      </c>
      <c r="H104" s="21"/>
      <c r="J104" s="21">
        <v>0</v>
      </c>
      <c r="K104" s="21">
        <v>0</v>
      </c>
      <c r="L104">
        <v>2019</v>
      </c>
      <c r="M104">
        <v>2022</v>
      </c>
      <c r="N104">
        <v>2022</v>
      </c>
      <c r="O104">
        <v>2024</v>
      </c>
      <c r="P104">
        <v>2024</v>
      </c>
      <c r="Q104">
        <v>2028</v>
      </c>
      <c r="R104">
        <f t="shared" si="61"/>
        <v>3</v>
      </c>
      <c r="S104">
        <f t="shared" si="62"/>
        <v>2</v>
      </c>
      <c r="T104">
        <f t="shared" si="63"/>
        <v>4</v>
      </c>
      <c r="U104" s="6">
        <f t="shared" si="64"/>
        <v>9</v>
      </c>
      <c r="V104" s="6">
        <f>U104-U105</f>
        <v>1</v>
      </c>
      <c r="W104" s="2"/>
      <c r="X104" s="2"/>
      <c r="Y104" s="19">
        <f>5.1/0.9</f>
        <v>5.6666666666666661</v>
      </c>
      <c r="Z104" s="19">
        <f>6.8/0.9</f>
        <v>7.5555555555555554</v>
      </c>
      <c r="AA104" s="19">
        <f>56/0.9</f>
        <v>62.222222222222221</v>
      </c>
      <c r="AB104" s="2">
        <f t="shared" si="59"/>
        <v>75.444444444444443</v>
      </c>
      <c r="AC104" s="2">
        <f t="shared" si="54"/>
        <v>-8.5555555555555571</v>
      </c>
      <c r="AD104" s="2"/>
      <c r="AE104" s="2" t="str">
        <f t="shared" si="42"/>
        <v/>
      </c>
      <c r="AF104" s="3"/>
      <c r="AG104" s="2" t="str">
        <f t="shared" si="36"/>
        <v/>
      </c>
      <c r="AH104" s="29"/>
      <c r="AI104" s="1" t="str">
        <f t="shared" si="37"/>
        <v/>
      </c>
      <c r="AK104" s="6">
        <f>IF(AB104&gt;64.2061111111111,1,0)</f>
        <v>1</v>
      </c>
      <c r="AL104">
        <f t="shared" si="38"/>
        <v>1</v>
      </c>
      <c r="AM104">
        <f t="shared" si="39"/>
        <v>0</v>
      </c>
      <c r="AN104">
        <f t="shared" si="40"/>
        <v>0</v>
      </c>
      <c r="AO104">
        <f t="shared" si="43"/>
        <v>4</v>
      </c>
      <c r="AP104" s="1">
        <f t="shared" si="52"/>
        <v>6.9855967078189298</v>
      </c>
      <c r="AQ104">
        <f t="shared" si="44"/>
        <v>2</v>
      </c>
      <c r="AR104">
        <f t="shared" si="45"/>
        <v>1</v>
      </c>
      <c r="AS104">
        <f t="shared" si="46"/>
        <v>1</v>
      </c>
      <c r="AT104" t="str">
        <f t="shared" si="60"/>
        <v>groot</v>
      </c>
    </row>
    <row r="105" spans="1:46" customFormat="1" x14ac:dyDescent="0.25">
      <c r="A105" s="13">
        <v>18</v>
      </c>
      <c r="B105">
        <v>21</v>
      </c>
      <c r="C105" t="s">
        <v>103</v>
      </c>
      <c r="D105" t="s">
        <v>132</v>
      </c>
      <c r="E105" t="s">
        <v>115</v>
      </c>
      <c r="F105" t="s">
        <v>133</v>
      </c>
      <c r="G105" s="3">
        <v>12376</v>
      </c>
      <c r="H105" s="21">
        <v>49</v>
      </c>
      <c r="I105" t="s">
        <v>103</v>
      </c>
      <c r="J105" s="21">
        <v>0</v>
      </c>
      <c r="K105" s="21">
        <v>1</v>
      </c>
      <c r="L105">
        <v>2020</v>
      </c>
      <c r="M105">
        <v>2022</v>
      </c>
      <c r="N105">
        <v>2022</v>
      </c>
      <c r="O105">
        <v>2024</v>
      </c>
      <c r="P105">
        <v>2024</v>
      </c>
      <c r="Q105">
        <v>2028</v>
      </c>
      <c r="R105">
        <f t="shared" si="61"/>
        <v>2</v>
      </c>
      <c r="S105">
        <f t="shared" si="62"/>
        <v>2</v>
      </c>
      <c r="T105">
        <f t="shared" si="63"/>
        <v>4</v>
      </c>
      <c r="U105" s="6">
        <f t="shared" si="64"/>
        <v>8</v>
      </c>
      <c r="V105" s="6">
        <f>U105-U106</f>
        <v>-3</v>
      </c>
      <c r="W105" s="2"/>
      <c r="X105" s="2"/>
      <c r="Y105" s="19">
        <v>4.2</v>
      </c>
      <c r="Z105" s="19">
        <v>8.4</v>
      </c>
      <c r="AA105" s="19">
        <v>71.400000000000006</v>
      </c>
      <c r="AB105" s="2">
        <f t="shared" si="59"/>
        <v>84</v>
      </c>
      <c r="AC105" s="2">
        <f t="shared" si="54"/>
        <v>-4.1499999999999915</v>
      </c>
      <c r="AD105" s="2">
        <f>AB105-AB108</f>
        <v>84</v>
      </c>
      <c r="AE105" s="2" t="str">
        <f t="shared" si="42"/>
        <v/>
      </c>
      <c r="AF105" s="3">
        <f>G105-G108</f>
        <v>12376</v>
      </c>
      <c r="AG105" s="2" t="str">
        <f t="shared" si="36"/>
        <v/>
      </c>
      <c r="AH105" s="29"/>
      <c r="AI105" s="1" t="str">
        <f t="shared" si="37"/>
        <v/>
      </c>
      <c r="AJ105">
        <v>1</v>
      </c>
      <c r="AK105">
        <v>1</v>
      </c>
      <c r="AL105">
        <f t="shared" si="38"/>
        <v>1</v>
      </c>
      <c r="AM105">
        <f t="shared" si="39"/>
        <v>0</v>
      </c>
      <c r="AN105">
        <f t="shared" si="40"/>
        <v>0</v>
      </c>
      <c r="AO105">
        <f t="shared" si="43"/>
        <v>4</v>
      </c>
      <c r="AP105" s="1">
        <f t="shared" si="52"/>
        <v>6.7873303167420813</v>
      </c>
      <c r="AQ105">
        <f t="shared" si="44"/>
        <v>2</v>
      </c>
      <c r="AR105">
        <f t="shared" si="45"/>
        <v>1</v>
      </c>
      <c r="AS105">
        <f t="shared" si="46"/>
        <v>1</v>
      </c>
      <c r="AT105" t="str">
        <f t="shared" si="60"/>
        <v>groot</v>
      </c>
    </row>
    <row r="106" spans="1:46" customFormat="1" x14ac:dyDescent="0.25">
      <c r="A106" s="13">
        <v>18</v>
      </c>
      <c r="B106">
        <v>20</v>
      </c>
      <c r="C106" t="s">
        <v>103</v>
      </c>
      <c r="D106" t="s">
        <v>132</v>
      </c>
      <c r="E106" t="s">
        <v>115</v>
      </c>
      <c r="F106" t="s">
        <v>134</v>
      </c>
      <c r="G106" s="3">
        <v>12376</v>
      </c>
      <c r="H106" s="21">
        <v>54</v>
      </c>
      <c r="I106" t="s">
        <v>105</v>
      </c>
      <c r="J106" s="21">
        <v>0</v>
      </c>
      <c r="K106" s="21">
        <v>1</v>
      </c>
      <c r="L106">
        <v>2017</v>
      </c>
      <c r="M106">
        <v>2022</v>
      </c>
      <c r="N106">
        <v>2022</v>
      </c>
      <c r="O106">
        <v>2024</v>
      </c>
      <c r="P106">
        <v>2024</v>
      </c>
      <c r="Q106">
        <v>2028</v>
      </c>
      <c r="R106">
        <f t="shared" si="61"/>
        <v>5</v>
      </c>
      <c r="S106">
        <f t="shared" si="62"/>
        <v>2</v>
      </c>
      <c r="T106">
        <f t="shared" si="63"/>
        <v>4</v>
      </c>
      <c r="U106" s="6">
        <f t="shared" si="64"/>
        <v>11</v>
      </c>
      <c r="V106" s="6">
        <f>U106-U107</f>
        <v>0</v>
      </c>
      <c r="W106" s="2"/>
      <c r="X106" s="2"/>
      <c r="Y106" s="19">
        <v>8.3999999999999986</v>
      </c>
      <c r="Z106" s="19">
        <v>8.4</v>
      </c>
      <c r="AA106" s="19">
        <v>71.349999999999994</v>
      </c>
      <c r="AB106" s="2">
        <f t="shared" si="59"/>
        <v>88.149999999999991</v>
      </c>
      <c r="AC106" s="2">
        <f t="shared" si="54"/>
        <v>-4.3500000000000085</v>
      </c>
      <c r="AD106" s="2"/>
      <c r="AE106" s="2" t="str">
        <f t="shared" si="42"/>
        <v/>
      </c>
      <c r="AF106" s="3"/>
      <c r="AG106" s="2" t="str">
        <f t="shared" si="36"/>
        <v/>
      </c>
      <c r="AH106" s="29"/>
      <c r="AI106" s="1" t="str">
        <f t="shared" si="37"/>
        <v/>
      </c>
      <c r="AJ106">
        <v>1</v>
      </c>
      <c r="AK106">
        <v>1</v>
      </c>
      <c r="AL106">
        <f t="shared" si="38"/>
        <v>1</v>
      </c>
      <c r="AM106">
        <f t="shared" si="39"/>
        <v>0</v>
      </c>
      <c r="AN106">
        <f t="shared" si="40"/>
        <v>0</v>
      </c>
      <c r="AO106">
        <f t="shared" si="43"/>
        <v>4</v>
      </c>
      <c r="AP106" s="1">
        <f t="shared" si="52"/>
        <v>7.1226567550096958</v>
      </c>
      <c r="AQ106">
        <f t="shared" si="44"/>
        <v>2</v>
      </c>
      <c r="AR106">
        <f t="shared" si="45"/>
        <v>1</v>
      </c>
      <c r="AS106">
        <f t="shared" si="46"/>
        <v>1</v>
      </c>
      <c r="AT106" t="str">
        <f t="shared" si="60"/>
        <v>groot</v>
      </c>
    </row>
    <row r="107" spans="1:46" customFormat="1" x14ac:dyDescent="0.25">
      <c r="A107" s="13">
        <v>18</v>
      </c>
      <c r="B107">
        <v>19</v>
      </c>
      <c r="C107" t="s">
        <v>103</v>
      </c>
      <c r="D107" t="s">
        <v>132</v>
      </c>
      <c r="E107" t="s">
        <v>115</v>
      </c>
      <c r="F107" t="s">
        <v>134</v>
      </c>
      <c r="G107" s="3">
        <v>12376</v>
      </c>
      <c r="H107" s="21"/>
      <c r="J107" s="21">
        <v>0</v>
      </c>
      <c r="K107" s="21">
        <v>1</v>
      </c>
      <c r="L107">
        <v>2017</v>
      </c>
      <c r="M107">
        <v>2022</v>
      </c>
      <c r="N107">
        <v>2022</v>
      </c>
      <c r="O107">
        <v>2024</v>
      </c>
      <c r="P107">
        <v>2024</v>
      </c>
      <c r="Q107">
        <v>2028</v>
      </c>
      <c r="R107">
        <f t="shared" si="61"/>
        <v>5</v>
      </c>
      <c r="S107">
        <f t="shared" si="62"/>
        <v>2</v>
      </c>
      <c r="T107">
        <f t="shared" si="63"/>
        <v>4</v>
      </c>
      <c r="U107" s="6">
        <f t="shared" si="64"/>
        <v>11</v>
      </c>
      <c r="V107" s="6">
        <f>U107-U108</f>
        <v>11</v>
      </c>
      <c r="W107" s="2"/>
      <c r="X107" s="2"/>
      <c r="Y107" s="19">
        <v>12.7</v>
      </c>
      <c r="Z107" s="19">
        <v>8.4</v>
      </c>
      <c r="AA107" s="19">
        <v>71.400000000000006</v>
      </c>
      <c r="AB107" s="2">
        <f t="shared" si="59"/>
        <v>92.5</v>
      </c>
      <c r="AC107" s="2"/>
      <c r="AD107" s="2"/>
      <c r="AE107" s="2" t="str">
        <f t="shared" si="42"/>
        <v/>
      </c>
      <c r="AF107" s="3"/>
      <c r="AG107" s="2" t="str">
        <f t="shared" si="36"/>
        <v/>
      </c>
      <c r="AH107" s="29"/>
      <c r="AI107" s="1" t="str">
        <f t="shared" si="37"/>
        <v/>
      </c>
      <c r="AJ107">
        <v>1</v>
      </c>
      <c r="AK107">
        <v>1</v>
      </c>
      <c r="AL107">
        <f t="shared" si="38"/>
        <v>1</v>
      </c>
      <c r="AM107">
        <f t="shared" si="39"/>
        <v>0</v>
      </c>
      <c r="AN107">
        <f t="shared" si="40"/>
        <v>0</v>
      </c>
      <c r="AO107">
        <f t="shared" si="43"/>
        <v>4</v>
      </c>
      <c r="AP107" s="1">
        <f t="shared" si="52"/>
        <v>7.4741435035552684</v>
      </c>
      <c r="AQ107">
        <f t="shared" si="44"/>
        <v>2</v>
      </c>
      <c r="AR107">
        <f t="shared" si="45"/>
        <v>1</v>
      </c>
      <c r="AS107">
        <f t="shared" si="46"/>
        <v>1</v>
      </c>
      <c r="AT107" t="str">
        <f t="shared" si="60"/>
        <v>groot</v>
      </c>
    </row>
    <row r="108" spans="1:46" customFormat="1" x14ac:dyDescent="0.25">
      <c r="A108" s="13">
        <v>18</v>
      </c>
      <c r="B108">
        <v>18</v>
      </c>
      <c r="G108" s="3"/>
      <c r="H108" s="21"/>
      <c r="J108" s="21"/>
      <c r="K108" s="21"/>
      <c r="V108" s="6"/>
      <c r="W108" s="2"/>
      <c r="X108" s="2"/>
      <c r="Y108" s="19"/>
      <c r="Z108" s="19"/>
      <c r="AA108" s="19"/>
      <c r="AB108" s="2"/>
      <c r="AC108" s="2"/>
      <c r="AD108" s="2"/>
      <c r="AE108" s="2" t="str">
        <f t="shared" si="42"/>
        <v/>
      </c>
      <c r="AF108" s="3"/>
      <c r="AG108" s="2" t="str">
        <f t="shared" si="36"/>
        <v/>
      </c>
      <c r="AH108" s="29"/>
      <c r="AI108" s="1" t="str">
        <f t="shared" si="37"/>
        <v/>
      </c>
      <c r="AJ108">
        <v>1</v>
      </c>
      <c r="AK108">
        <v>1</v>
      </c>
      <c r="AL108">
        <f t="shared" si="38"/>
        <v>0</v>
      </c>
      <c r="AM108">
        <f t="shared" si="39"/>
        <v>0</v>
      </c>
      <c r="AN108">
        <f t="shared" si="40"/>
        <v>0</v>
      </c>
      <c r="AP108" s="1"/>
      <c r="AS108">
        <f t="shared" si="46"/>
        <v>0</v>
      </c>
    </row>
    <row r="109" spans="1:46" customFormat="1" x14ac:dyDescent="0.25">
      <c r="A109" s="13">
        <v>18</v>
      </c>
      <c r="B109">
        <v>17</v>
      </c>
      <c r="G109" s="3"/>
      <c r="H109" s="21"/>
      <c r="J109" s="21"/>
      <c r="K109" s="21"/>
      <c r="W109" s="2"/>
      <c r="X109" s="2"/>
      <c r="Y109" s="19"/>
      <c r="Z109" s="19"/>
      <c r="AA109" s="19"/>
      <c r="AB109" s="2"/>
      <c r="AC109" s="2"/>
      <c r="AD109" s="2"/>
      <c r="AE109" s="2" t="str">
        <f t="shared" si="42"/>
        <v/>
      </c>
      <c r="AF109" s="3"/>
      <c r="AG109" s="2" t="str">
        <f t="shared" si="36"/>
        <v/>
      </c>
      <c r="AH109" s="29"/>
      <c r="AI109" s="1" t="str">
        <f t="shared" si="37"/>
        <v/>
      </c>
      <c r="AJ109">
        <v>1</v>
      </c>
      <c r="AK109">
        <v>1</v>
      </c>
      <c r="AL109">
        <f t="shared" si="38"/>
        <v>0</v>
      </c>
      <c r="AM109">
        <f t="shared" si="39"/>
        <v>0</v>
      </c>
      <c r="AN109">
        <f t="shared" si="40"/>
        <v>0</v>
      </c>
      <c r="AP109" s="1"/>
      <c r="AS109">
        <f t="shared" si="46"/>
        <v>0</v>
      </c>
    </row>
    <row r="110" spans="1:46" customFormat="1" x14ac:dyDescent="0.25">
      <c r="A110" s="13">
        <v>19</v>
      </c>
      <c r="B110">
        <v>22</v>
      </c>
      <c r="C110">
        <v>1</v>
      </c>
      <c r="D110" t="s">
        <v>135</v>
      </c>
      <c r="E110" t="s">
        <v>29</v>
      </c>
      <c r="F110" t="s">
        <v>136</v>
      </c>
      <c r="G110" s="3">
        <v>1195</v>
      </c>
      <c r="H110" s="21"/>
      <c r="J110" s="21">
        <v>0</v>
      </c>
      <c r="K110" s="21">
        <v>0</v>
      </c>
      <c r="L110">
        <v>2016</v>
      </c>
      <c r="M110">
        <v>2018</v>
      </c>
      <c r="N110">
        <v>2018</v>
      </c>
      <c r="O110">
        <v>2020</v>
      </c>
      <c r="P110">
        <v>2020</v>
      </c>
      <c r="Q110">
        <v>2022</v>
      </c>
      <c r="R110">
        <f t="shared" ref="R110:R129" si="65">M110-L110</f>
        <v>2</v>
      </c>
      <c r="S110">
        <f t="shared" ref="S110:S129" si="66">O110-N110</f>
        <v>2</v>
      </c>
      <c r="T110">
        <f t="shared" ref="T110:T129" si="67">Q110-P110</f>
        <v>2</v>
      </c>
      <c r="U110" s="6">
        <f t="shared" ref="U110:U129" si="68">SUM(R110:T110)</f>
        <v>6</v>
      </c>
      <c r="V110" s="6">
        <f>U110-U111</f>
        <v>0</v>
      </c>
      <c r="W110" s="2"/>
      <c r="X110" s="2">
        <f>U110-U114</f>
        <v>2</v>
      </c>
      <c r="Y110" s="19">
        <f>0.9/0.9</f>
        <v>1</v>
      </c>
      <c r="Z110" s="19">
        <f>1.2/0.9</f>
        <v>1.3333333333333333</v>
      </c>
      <c r="AA110" s="19">
        <f>8.6/0.9</f>
        <v>9.5555555555555554</v>
      </c>
      <c r="AB110" s="2">
        <f t="shared" si="59"/>
        <v>11.888888888888889</v>
      </c>
      <c r="AC110" s="2">
        <f t="shared" ref="AC110:AC114" si="69">AB110-AB111</f>
        <v>-2.1322222222222216</v>
      </c>
      <c r="AD110" s="2"/>
      <c r="AE110" s="2">
        <f t="shared" si="42"/>
        <v>-5.7470902851316863</v>
      </c>
      <c r="AF110" s="3"/>
      <c r="AG110" s="2">
        <f t="shared" si="36"/>
        <v>75.086287778749011</v>
      </c>
      <c r="AH110" s="29"/>
      <c r="AI110" s="1">
        <f t="shared" si="37"/>
        <v>2.0778366769268661</v>
      </c>
      <c r="AK110" s="6">
        <f>IF(AB110&gt;64.2061111111111,1,0)</f>
        <v>0</v>
      </c>
      <c r="AL110">
        <f t="shared" si="38"/>
        <v>0</v>
      </c>
      <c r="AM110">
        <f t="shared" si="39"/>
        <v>0</v>
      </c>
      <c r="AN110">
        <f t="shared" si="40"/>
        <v>1</v>
      </c>
      <c r="AO110">
        <f t="shared" si="43"/>
        <v>0</v>
      </c>
      <c r="AP110" s="1">
        <f t="shared" si="52"/>
        <v>9.9488609948860987</v>
      </c>
      <c r="AQ110">
        <f t="shared" si="44"/>
        <v>-2</v>
      </c>
      <c r="AR110">
        <f t="shared" si="45"/>
        <v>0</v>
      </c>
      <c r="AS110">
        <f t="shared" si="46"/>
        <v>0</v>
      </c>
      <c r="AT110" t="str">
        <f t="shared" ref="AT110:AT156" si="70">IF(AK110=1,"groot","klein")</f>
        <v>klein</v>
      </c>
    </row>
    <row r="111" spans="1:46" customFormat="1" x14ac:dyDescent="0.25">
      <c r="A111" s="13">
        <v>19</v>
      </c>
      <c r="B111">
        <v>21</v>
      </c>
      <c r="C111">
        <v>1</v>
      </c>
      <c r="D111" t="s">
        <v>135</v>
      </c>
      <c r="E111" t="s">
        <v>29</v>
      </c>
      <c r="F111" t="s">
        <v>136</v>
      </c>
      <c r="G111" s="3">
        <v>1195</v>
      </c>
      <c r="H111" s="21"/>
      <c r="I111" t="s">
        <v>33</v>
      </c>
      <c r="J111" s="21">
        <v>0</v>
      </c>
      <c r="K111" s="21">
        <v>0</v>
      </c>
      <c r="L111">
        <v>2016</v>
      </c>
      <c r="M111">
        <v>2018</v>
      </c>
      <c r="N111">
        <v>2018</v>
      </c>
      <c r="O111">
        <v>2020</v>
      </c>
      <c r="P111">
        <v>2020</v>
      </c>
      <c r="Q111">
        <v>2022</v>
      </c>
      <c r="R111">
        <f t="shared" si="65"/>
        <v>2</v>
      </c>
      <c r="S111">
        <f t="shared" si="66"/>
        <v>2</v>
      </c>
      <c r="T111">
        <f t="shared" si="67"/>
        <v>2</v>
      </c>
      <c r="U111" s="6">
        <f t="shared" si="68"/>
        <v>6</v>
      </c>
      <c r="V111" s="6">
        <f>U111-U112</f>
        <v>0</v>
      </c>
      <c r="W111" s="2">
        <f>U111-U114</f>
        <v>2</v>
      </c>
      <c r="X111" s="2"/>
      <c r="Y111" s="19">
        <v>0.99222222222222212</v>
      </c>
      <c r="Z111" s="19">
        <v>1.4622222222222221</v>
      </c>
      <c r="AA111" s="19">
        <v>11.566666666666666</v>
      </c>
      <c r="AB111" s="2">
        <f t="shared" si="59"/>
        <v>14.021111111111111</v>
      </c>
      <c r="AC111" s="2">
        <f t="shared" si="69"/>
        <v>2.5</v>
      </c>
      <c r="AD111" s="2">
        <f>AB111-AB114</f>
        <v>5.206243048201646</v>
      </c>
      <c r="AE111" s="2" t="str">
        <f t="shared" si="42"/>
        <v/>
      </c>
      <c r="AF111" s="3">
        <f>G111-G114</f>
        <v>75.086287778749011</v>
      </c>
      <c r="AG111" s="2" t="str">
        <f t="shared" si="36"/>
        <v/>
      </c>
      <c r="AH111" s="29">
        <f>((AB111)/(G111/1000))-((AB114)/(G114/1000))</f>
        <v>3.8621230553555037</v>
      </c>
      <c r="AI111" s="1" t="str">
        <f t="shared" si="37"/>
        <v/>
      </c>
      <c r="AJ111">
        <v>0</v>
      </c>
      <c r="AK111">
        <v>0</v>
      </c>
      <c r="AL111">
        <f t="shared" si="38"/>
        <v>0</v>
      </c>
      <c r="AM111">
        <f t="shared" si="39"/>
        <v>0</v>
      </c>
      <c r="AN111">
        <f t="shared" si="40"/>
        <v>1</v>
      </c>
      <c r="AO111">
        <f t="shared" si="43"/>
        <v>0</v>
      </c>
      <c r="AP111" s="1">
        <f t="shared" si="52"/>
        <v>11.733147373314736</v>
      </c>
      <c r="AQ111">
        <f t="shared" si="44"/>
        <v>-2</v>
      </c>
      <c r="AR111">
        <f t="shared" si="45"/>
        <v>0</v>
      </c>
      <c r="AS111">
        <f t="shared" si="46"/>
        <v>0</v>
      </c>
      <c r="AT111" t="str">
        <f t="shared" si="70"/>
        <v>klein</v>
      </c>
    </row>
    <row r="112" spans="1:46" customFormat="1" x14ac:dyDescent="0.25">
      <c r="A112" s="13">
        <v>19</v>
      </c>
      <c r="B112">
        <v>20</v>
      </c>
      <c r="C112">
        <v>3</v>
      </c>
      <c r="D112" t="s">
        <v>135</v>
      </c>
      <c r="E112" t="s">
        <v>29</v>
      </c>
      <c r="F112" t="s">
        <v>136</v>
      </c>
      <c r="G112" s="3">
        <v>1119.913712221251</v>
      </c>
      <c r="H112" s="21">
        <v>3</v>
      </c>
      <c r="I112" t="s">
        <v>33</v>
      </c>
      <c r="J112" s="21">
        <v>0</v>
      </c>
      <c r="K112" s="21">
        <v>0</v>
      </c>
      <c r="L112">
        <v>2016</v>
      </c>
      <c r="M112">
        <v>2018</v>
      </c>
      <c r="N112">
        <v>2018</v>
      </c>
      <c r="O112">
        <v>2020</v>
      </c>
      <c r="P112">
        <v>2020</v>
      </c>
      <c r="Q112">
        <v>2022</v>
      </c>
      <c r="R112">
        <f t="shared" si="65"/>
        <v>2</v>
      </c>
      <c r="S112">
        <f t="shared" si="66"/>
        <v>2</v>
      </c>
      <c r="T112">
        <f t="shared" si="67"/>
        <v>2</v>
      </c>
      <c r="U112" s="6">
        <f t="shared" si="68"/>
        <v>6</v>
      </c>
      <c r="V112" s="6">
        <f>U112-U113</f>
        <v>1</v>
      </c>
      <c r="W112" s="2"/>
      <c r="X112" s="2"/>
      <c r="Y112" s="19">
        <v>0.99222222222222234</v>
      </c>
      <c r="Z112" s="19">
        <v>1.4622222222222221</v>
      </c>
      <c r="AA112" s="19">
        <v>9.0666666666666664</v>
      </c>
      <c r="AB112" s="2">
        <f t="shared" si="59"/>
        <v>11.521111111111111</v>
      </c>
      <c r="AC112" s="2">
        <f t="shared" si="69"/>
        <v>1.8811622222222226</v>
      </c>
      <c r="AD112" s="2"/>
      <c r="AE112" s="2" t="str">
        <f t="shared" si="42"/>
        <v/>
      </c>
      <c r="AF112" s="3"/>
      <c r="AG112" s="2" t="str">
        <f t="shared" si="36"/>
        <v/>
      </c>
      <c r="AH112" s="29"/>
      <c r="AI112" s="1" t="str">
        <f t="shared" si="37"/>
        <v/>
      </c>
      <c r="AJ112">
        <v>0</v>
      </c>
      <c r="AK112">
        <v>0</v>
      </c>
      <c r="AL112">
        <f t="shared" si="38"/>
        <v>0</v>
      </c>
      <c r="AM112">
        <f t="shared" si="39"/>
        <v>0</v>
      </c>
      <c r="AN112">
        <f t="shared" si="40"/>
        <v>1</v>
      </c>
      <c r="AO112">
        <f t="shared" si="43"/>
        <v>0</v>
      </c>
      <c r="AP112" s="1">
        <f t="shared" si="52"/>
        <v>10.287498925484172</v>
      </c>
      <c r="AQ112">
        <f t="shared" si="44"/>
        <v>-2</v>
      </c>
      <c r="AR112">
        <f t="shared" si="45"/>
        <v>0</v>
      </c>
      <c r="AS112">
        <f t="shared" si="46"/>
        <v>1</v>
      </c>
      <c r="AT112" t="str">
        <f t="shared" si="70"/>
        <v>klein</v>
      </c>
    </row>
    <row r="113" spans="1:46" customFormat="1" x14ac:dyDescent="0.25">
      <c r="A113" s="13">
        <v>19</v>
      </c>
      <c r="B113">
        <v>19</v>
      </c>
      <c r="C113">
        <v>2</v>
      </c>
      <c r="D113" t="s">
        <v>135</v>
      </c>
      <c r="E113" t="s">
        <v>29</v>
      </c>
      <c r="F113" t="s">
        <v>136</v>
      </c>
      <c r="G113" s="3">
        <v>1119.913712221251</v>
      </c>
      <c r="H113" s="21"/>
      <c r="I113" t="s">
        <v>33</v>
      </c>
      <c r="J113" s="21">
        <v>0</v>
      </c>
      <c r="K113" s="21">
        <v>0</v>
      </c>
      <c r="L113">
        <v>2016</v>
      </c>
      <c r="M113">
        <v>2018</v>
      </c>
      <c r="N113">
        <v>2018</v>
      </c>
      <c r="O113">
        <v>2019</v>
      </c>
      <c r="P113">
        <v>2019</v>
      </c>
      <c r="Q113">
        <v>2021</v>
      </c>
      <c r="R113">
        <f t="shared" si="65"/>
        <v>2</v>
      </c>
      <c r="S113">
        <f t="shared" si="66"/>
        <v>1</v>
      </c>
      <c r="T113">
        <f t="shared" si="67"/>
        <v>2</v>
      </c>
      <c r="U113" s="6">
        <f t="shared" si="68"/>
        <v>5</v>
      </c>
      <c r="V113" s="6">
        <f>U113-U114</f>
        <v>1</v>
      </c>
      <c r="W113" s="2"/>
      <c r="X113" s="2"/>
      <c r="Y113" s="19">
        <v>3.9</v>
      </c>
      <c r="Z113" s="19">
        <v>1.3399488888888889</v>
      </c>
      <c r="AA113" s="19">
        <v>4.4000000000000004</v>
      </c>
      <c r="AB113" s="2">
        <f t="shared" si="59"/>
        <v>9.6399488888888882</v>
      </c>
      <c r="AC113" s="2">
        <f t="shared" si="69"/>
        <v>0.82508082597942334</v>
      </c>
      <c r="AD113" s="2"/>
      <c r="AE113" s="2" t="str">
        <f t="shared" si="42"/>
        <v/>
      </c>
      <c r="AF113" s="3"/>
      <c r="AG113" s="2" t="str">
        <f t="shared" si="36"/>
        <v/>
      </c>
      <c r="AH113" s="29"/>
      <c r="AI113" s="1" t="str">
        <f t="shared" si="37"/>
        <v/>
      </c>
      <c r="AJ113">
        <v>0</v>
      </c>
      <c r="AK113">
        <v>0</v>
      </c>
      <c r="AL113">
        <f t="shared" si="38"/>
        <v>0</v>
      </c>
      <c r="AM113">
        <f t="shared" si="39"/>
        <v>0</v>
      </c>
      <c r="AN113">
        <f t="shared" si="40"/>
        <v>1</v>
      </c>
      <c r="AO113">
        <f t="shared" si="43"/>
        <v>-1</v>
      </c>
      <c r="AP113" s="1">
        <f t="shared" si="52"/>
        <v>8.6077603869756114</v>
      </c>
      <c r="AQ113">
        <f t="shared" si="44"/>
        <v>-2</v>
      </c>
      <c r="AR113">
        <f t="shared" si="45"/>
        <v>0</v>
      </c>
      <c r="AS113">
        <f t="shared" si="46"/>
        <v>1</v>
      </c>
      <c r="AT113" t="str">
        <f t="shared" si="70"/>
        <v>klein</v>
      </c>
    </row>
    <row r="114" spans="1:46" customFormat="1" x14ac:dyDescent="0.25">
      <c r="A114" s="13">
        <v>19</v>
      </c>
      <c r="B114">
        <v>18</v>
      </c>
      <c r="C114">
        <v>2</v>
      </c>
      <c r="D114" t="s">
        <v>135</v>
      </c>
      <c r="E114" t="s">
        <v>29</v>
      </c>
      <c r="F114" t="s">
        <v>136</v>
      </c>
      <c r="G114" s="3">
        <v>1119.913712221251</v>
      </c>
      <c r="H114" s="21">
        <v>3</v>
      </c>
      <c r="I114" t="s">
        <v>33</v>
      </c>
      <c r="J114" s="21">
        <v>0</v>
      </c>
      <c r="K114" s="21">
        <v>0</v>
      </c>
      <c r="L114">
        <v>2016</v>
      </c>
      <c r="M114">
        <v>2018</v>
      </c>
      <c r="N114">
        <v>2018</v>
      </c>
      <c r="O114">
        <v>2019</v>
      </c>
      <c r="P114">
        <v>2019</v>
      </c>
      <c r="Q114">
        <v>2020</v>
      </c>
      <c r="R114">
        <f t="shared" si="65"/>
        <v>2</v>
      </c>
      <c r="S114">
        <f t="shared" si="66"/>
        <v>1</v>
      </c>
      <c r="T114">
        <f t="shared" si="67"/>
        <v>1</v>
      </c>
      <c r="U114" s="6">
        <f t="shared" si="68"/>
        <v>4</v>
      </c>
      <c r="V114" s="6">
        <f>U114-U115</f>
        <v>0</v>
      </c>
      <c r="W114" s="2"/>
      <c r="X114" s="2"/>
      <c r="Y114" s="19">
        <v>3.9</v>
      </c>
      <c r="Z114" s="19">
        <v>0.51735453293783862</v>
      </c>
      <c r="AA114" s="19">
        <v>4.3975135299716275</v>
      </c>
      <c r="AB114" s="2">
        <f t="shared" si="59"/>
        <v>8.8148680629094649</v>
      </c>
      <c r="AC114" s="2">
        <f t="shared" si="69"/>
        <v>3.6148680629094647</v>
      </c>
      <c r="AD114" s="2"/>
      <c r="AE114" s="2" t="str">
        <f t="shared" si="42"/>
        <v/>
      </c>
      <c r="AF114" s="3"/>
      <c r="AG114" s="2" t="str">
        <f t="shared" si="36"/>
        <v/>
      </c>
      <c r="AH114" s="29"/>
      <c r="AI114" s="1" t="str">
        <f t="shared" si="37"/>
        <v/>
      </c>
      <c r="AJ114">
        <v>0</v>
      </c>
      <c r="AK114"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3"/>
        <v>-1</v>
      </c>
      <c r="AP114" s="1">
        <f t="shared" si="52"/>
        <v>7.8710243179592325</v>
      </c>
      <c r="AQ114">
        <f t="shared" si="44"/>
        <v>-2</v>
      </c>
      <c r="AR114">
        <f t="shared" si="45"/>
        <v>0</v>
      </c>
      <c r="AS114">
        <f t="shared" si="46"/>
        <v>0</v>
      </c>
      <c r="AT114" t="str">
        <f t="shared" si="70"/>
        <v>klein</v>
      </c>
    </row>
    <row r="115" spans="1:46" customFormat="1" x14ac:dyDescent="0.25">
      <c r="A115" s="13">
        <v>19</v>
      </c>
      <c r="B115">
        <v>17</v>
      </c>
      <c r="C115">
        <v>1</v>
      </c>
      <c r="D115" t="s">
        <v>135</v>
      </c>
      <c r="E115" t="s">
        <v>29</v>
      </c>
      <c r="F115" t="s">
        <v>136</v>
      </c>
      <c r="G115" s="3"/>
      <c r="H115" s="21"/>
      <c r="J115" s="21">
        <v>0</v>
      </c>
      <c r="K115" s="21">
        <v>0</v>
      </c>
      <c r="L115">
        <v>2016</v>
      </c>
      <c r="M115">
        <v>2018</v>
      </c>
      <c r="N115">
        <v>2018</v>
      </c>
      <c r="O115">
        <v>2019</v>
      </c>
      <c r="P115">
        <v>2019</v>
      </c>
      <c r="Q115">
        <v>2020</v>
      </c>
      <c r="R115">
        <f t="shared" si="65"/>
        <v>2</v>
      </c>
      <c r="S115">
        <f t="shared" si="66"/>
        <v>1</v>
      </c>
      <c r="T115">
        <f t="shared" si="67"/>
        <v>1</v>
      </c>
      <c r="U115" s="6">
        <f t="shared" si="68"/>
        <v>4</v>
      </c>
      <c r="W115" s="2"/>
      <c r="X115" s="2"/>
      <c r="Y115" s="19">
        <v>0.3</v>
      </c>
      <c r="Z115" s="19">
        <v>0.5</v>
      </c>
      <c r="AA115" s="19">
        <v>4.4000000000000004</v>
      </c>
      <c r="AB115" s="2">
        <f t="shared" si="59"/>
        <v>5.2</v>
      </c>
      <c r="AC115" s="2"/>
      <c r="AD115" s="2"/>
      <c r="AE115" s="2" t="str">
        <f t="shared" si="42"/>
        <v/>
      </c>
      <c r="AF115" s="3"/>
      <c r="AG115" s="2" t="str">
        <f t="shared" si="36"/>
        <v/>
      </c>
      <c r="AH115" s="29"/>
      <c r="AI115" s="1" t="str">
        <f t="shared" si="37"/>
        <v/>
      </c>
      <c r="AJ115">
        <v>0</v>
      </c>
      <c r="AK115"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3"/>
        <v>-1</v>
      </c>
      <c r="AP115" s="1"/>
      <c r="AQ115">
        <f t="shared" si="44"/>
        <v>-2</v>
      </c>
      <c r="AR115">
        <f t="shared" si="45"/>
        <v>0</v>
      </c>
      <c r="AS115">
        <f t="shared" si="46"/>
        <v>0</v>
      </c>
      <c r="AT115" t="str">
        <f t="shared" si="70"/>
        <v>klein</v>
      </c>
    </row>
    <row r="116" spans="1:46" customFormat="1" x14ac:dyDescent="0.25">
      <c r="A116" s="13">
        <v>20</v>
      </c>
      <c r="B116">
        <v>22</v>
      </c>
      <c r="C116">
        <v>6</v>
      </c>
      <c r="D116" t="s">
        <v>137</v>
      </c>
      <c r="E116" t="s">
        <v>29</v>
      </c>
      <c r="F116" t="s">
        <v>273</v>
      </c>
      <c r="G116" s="3">
        <v>13175</v>
      </c>
      <c r="H116" s="21"/>
      <c r="I116" t="s">
        <v>56</v>
      </c>
      <c r="J116" s="21">
        <v>0</v>
      </c>
      <c r="K116" s="21">
        <v>0</v>
      </c>
      <c r="L116">
        <v>2016</v>
      </c>
      <c r="M116">
        <v>2020</v>
      </c>
      <c r="N116">
        <v>2020</v>
      </c>
      <c r="O116">
        <v>2022</v>
      </c>
      <c r="P116">
        <v>2022</v>
      </c>
      <c r="Q116">
        <v>2026</v>
      </c>
      <c r="R116">
        <f t="shared" si="65"/>
        <v>4</v>
      </c>
      <c r="S116">
        <f t="shared" si="66"/>
        <v>2</v>
      </c>
      <c r="T116">
        <f t="shared" si="67"/>
        <v>4</v>
      </c>
      <c r="U116" s="6">
        <f t="shared" si="68"/>
        <v>10</v>
      </c>
      <c r="V116" s="6">
        <f>U116-U117</f>
        <v>0</v>
      </c>
      <c r="W116" s="2"/>
      <c r="X116" s="2">
        <f>U116-U120</f>
        <v>3</v>
      </c>
      <c r="Y116" s="19">
        <f>6.7/0.9</f>
        <v>7.4444444444444446</v>
      </c>
      <c r="Z116" s="19">
        <f>13.4/0.9</f>
        <v>14.888888888888889</v>
      </c>
      <c r="AA116" s="19">
        <f>102.5/0.9</f>
        <v>113.88888888888889</v>
      </c>
      <c r="AB116" s="2">
        <f t="shared" si="59"/>
        <v>136.22222222222223</v>
      </c>
      <c r="AC116" s="2">
        <f t="shared" ref="AC116:AC120" si="71">AB116-AB117</f>
        <v>-8.6666666666644687E-2</v>
      </c>
      <c r="AD116" s="2"/>
      <c r="AE116" s="2">
        <f t="shared" si="42"/>
        <v>-34.286666666666648</v>
      </c>
      <c r="AF116" s="3"/>
      <c r="AG116" s="2">
        <f t="shared" si="36"/>
        <v>-2340</v>
      </c>
      <c r="AH116" s="29"/>
      <c r="AI116" s="1">
        <f t="shared" si="37"/>
        <v>5.5941645881318642</v>
      </c>
      <c r="AK116" s="6">
        <f>IF(AB116&gt;64.2061111111111,1,0)</f>
        <v>1</v>
      </c>
      <c r="AL116">
        <f t="shared" si="38"/>
        <v>0</v>
      </c>
      <c r="AM116">
        <f t="shared" si="39"/>
        <v>1</v>
      </c>
      <c r="AN116">
        <f t="shared" si="40"/>
        <v>0</v>
      </c>
      <c r="AO116">
        <f t="shared" si="43"/>
        <v>2</v>
      </c>
      <c r="AP116" s="1">
        <f t="shared" si="52"/>
        <v>10.339447606999789</v>
      </c>
      <c r="AQ116">
        <f t="shared" si="44"/>
        <v>0</v>
      </c>
      <c r="AR116">
        <f t="shared" si="45"/>
        <v>0</v>
      </c>
      <c r="AS116">
        <f t="shared" si="46"/>
        <v>1</v>
      </c>
      <c r="AT116" t="str">
        <f t="shared" si="70"/>
        <v>groot</v>
      </c>
    </row>
    <row r="117" spans="1:46" customFormat="1" x14ac:dyDescent="0.25">
      <c r="A117" s="13">
        <v>20</v>
      </c>
      <c r="B117">
        <v>21</v>
      </c>
      <c r="C117">
        <v>6</v>
      </c>
      <c r="D117" t="s">
        <v>137</v>
      </c>
      <c r="E117" t="s">
        <v>29</v>
      </c>
      <c r="F117" t="s">
        <v>138</v>
      </c>
      <c r="G117" s="3">
        <v>13300</v>
      </c>
      <c r="H117" s="21"/>
      <c r="I117" t="s">
        <v>56</v>
      </c>
      <c r="J117" s="21">
        <v>0</v>
      </c>
      <c r="K117" s="21">
        <v>0</v>
      </c>
      <c r="L117">
        <v>2016</v>
      </c>
      <c r="M117">
        <v>2020</v>
      </c>
      <c r="N117">
        <v>2020</v>
      </c>
      <c r="O117">
        <v>2022</v>
      </c>
      <c r="P117">
        <v>2022</v>
      </c>
      <c r="Q117">
        <v>2026</v>
      </c>
      <c r="R117">
        <f t="shared" si="65"/>
        <v>4</v>
      </c>
      <c r="S117">
        <f t="shared" si="66"/>
        <v>2</v>
      </c>
      <c r="T117">
        <f t="shared" si="67"/>
        <v>4</v>
      </c>
      <c r="U117" s="6">
        <f t="shared" si="68"/>
        <v>10</v>
      </c>
      <c r="V117" s="6">
        <f>U117-U118</f>
        <v>2</v>
      </c>
      <c r="W117" s="2">
        <f>U117-U120</f>
        <v>3</v>
      </c>
      <c r="X117" s="2"/>
      <c r="Y117" s="19">
        <v>7.477777777777777</v>
      </c>
      <c r="Z117" s="19">
        <v>14.92</v>
      </c>
      <c r="AA117" s="19">
        <v>113.91111111111111</v>
      </c>
      <c r="AB117" s="2">
        <f t="shared" si="59"/>
        <v>136.30888888888887</v>
      </c>
      <c r="AC117" s="2">
        <f t="shared" si="71"/>
        <v>27.504444444444431</v>
      </c>
      <c r="AD117" s="2">
        <f>AB117-AB120</f>
        <v>86.008888888888862</v>
      </c>
      <c r="AE117" s="2" t="str">
        <f t="shared" si="42"/>
        <v/>
      </c>
      <c r="AF117" s="3">
        <f>G117-G120</f>
        <v>-2215</v>
      </c>
      <c r="AG117" s="2" t="str">
        <f t="shared" si="36"/>
        <v/>
      </c>
      <c r="AH117" s="29">
        <f>((AB117)/(G117/1000))-((AB120)/(G120/1000))</f>
        <v>7.0067647903731807</v>
      </c>
      <c r="AI117" s="1" t="str">
        <f t="shared" si="37"/>
        <v/>
      </c>
      <c r="AJ117">
        <v>1</v>
      </c>
      <c r="AK117">
        <v>1</v>
      </c>
      <c r="AL117">
        <f t="shared" si="38"/>
        <v>0</v>
      </c>
      <c r="AM117">
        <f t="shared" si="39"/>
        <v>1</v>
      </c>
      <c r="AN117">
        <f t="shared" si="40"/>
        <v>0</v>
      </c>
      <c r="AO117">
        <f t="shared" si="43"/>
        <v>2</v>
      </c>
      <c r="AP117" s="1">
        <f t="shared" si="52"/>
        <v>10.248788638262321</v>
      </c>
      <c r="AQ117">
        <f t="shared" si="44"/>
        <v>0</v>
      </c>
      <c r="AR117">
        <f t="shared" si="45"/>
        <v>0</v>
      </c>
      <c r="AS117">
        <f t="shared" si="46"/>
        <v>1</v>
      </c>
      <c r="AT117" t="str">
        <f t="shared" si="70"/>
        <v>groot</v>
      </c>
    </row>
    <row r="118" spans="1:46" customFormat="1" x14ac:dyDescent="0.25">
      <c r="A118" s="13">
        <v>20</v>
      </c>
      <c r="B118">
        <v>20</v>
      </c>
      <c r="C118">
        <v>15</v>
      </c>
      <c r="D118" t="s">
        <v>139</v>
      </c>
      <c r="E118" t="s">
        <v>29</v>
      </c>
      <c r="F118" t="s">
        <v>140</v>
      </c>
      <c r="G118" s="3">
        <v>10600</v>
      </c>
      <c r="H118" s="21">
        <v>97</v>
      </c>
      <c r="I118" t="s">
        <v>56</v>
      </c>
      <c r="J118" s="21">
        <v>0</v>
      </c>
      <c r="K118" s="21">
        <v>0</v>
      </c>
      <c r="L118">
        <v>2016</v>
      </c>
      <c r="M118">
        <v>2018</v>
      </c>
      <c r="N118">
        <v>2018</v>
      </c>
      <c r="O118">
        <v>2020</v>
      </c>
      <c r="P118">
        <v>2020</v>
      </c>
      <c r="Q118">
        <v>2024</v>
      </c>
      <c r="R118">
        <f t="shared" si="65"/>
        <v>2</v>
      </c>
      <c r="S118">
        <f t="shared" si="66"/>
        <v>2</v>
      </c>
      <c r="T118">
        <f t="shared" si="67"/>
        <v>4</v>
      </c>
      <c r="U118" s="6">
        <f t="shared" si="68"/>
        <v>8</v>
      </c>
      <c r="V118" s="6">
        <f>U118-U119</f>
        <v>3</v>
      </c>
      <c r="W118" s="2"/>
      <c r="X118" s="2"/>
      <c r="Y118" s="19">
        <v>7.4777777777777779</v>
      </c>
      <c r="Z118" s="19">
        <v>11.326666666666666</v>
      </c>
      <c r="AA118" s="19">
        <v>90</v>
      </c>
      <c r="AB118" s="2">
        <f t="shared" si="59"/>
        <v>108.80444444444444</v>
      </c>
      <c r="AC118" s="2">
        <f t="shared" si="71"/>
        <v>58.004444444444438</v>
      </c>
      <c r="AD118" s="2"/>
      <c r="AE118" s="2" t="str">
        <f t="shared" si="42"/>
        <v/>
      </c>
      <c r="AF118" s="3"/>
      <c r="AG118" s="2" t="str">
        <f t="shared" si="36"/>
        <v/>
      </c>
      <c r="AH118" s="29"/>
      <c r="AI118" s="1" t="str">
        <f t="shared" si="37"/>
        <v/>
      </c>
      <c r="AJ118">
        <v>1</v>
      </c>
      <c r="AK118">
        <v>1</v>
      </c>
      <c r="AL118">
        <f t="shared" si="38"/>
        <v>0</v>
      </c>
      <c r="AM118">
        <f t="shared" si="39"/>
        <v>0</v>
      </c>
      <c r="AN118">
        <f t="shared" si="40"/>
        <v>1</v>
      </c>
      <c r="AO118">
        <f t="shared" si="43"/>
        <v>0</v>
      </c>
      <c r="AP118" s="1">
        <f t="shared" si="52"/>
        <v>10.264570230607967</v>
      </c>
      <c r="AQ118">
        <f t="shared" si="44"/>
        <v>-2</v>
      </c>
      <c r="AR118">
        <f t="shared" si="45"/>
        <v>0</v>
      </c>
      <c r="AS118">
        <f t="shared" si="46"/>
        <v>1</v>
      </c>
      <c r="AT118" t="str">
        <f t="shared" si="70"/>
        <v>groot</v>
      </c>
    </row>
    <row r="119" spans="1:46" customFormat="1" x14ac:dyDescent="0.25">
      <c r="A119" s="13">
        <v>20</v>
      </c>
      <c r="B119">
        <v>19</v>
      </c>
      <c r="C119">
        <v>12</v>
      </c>
      <c r="D119" t="s">
        <v>139</v>
      </c>
      <c r="E119" t="s">
        <v>29</v>
      </c>
      <c r="F119" t="s">
        <v>138</v>
      </c>
      <c r="G119" s="3">
        <v>10600</v>
      </c>
      <c r="H119" s="21"/>
      <c r="I119" t="s">
        <v>56</v>
      </c>
      <c r="J119" s="21">
        <v>0</v>
      </c>
      <c r="K119" s="21">
        <v>0</v>
      </c>
      <c r="L119">
        <v>2018</v>
      </c>
      <c r="M119">
        <v>2019</v>
      </c>
      <c r="N119">
        <v>2019</v>
      </c>
      <c r="O119">
        <v>2021</v>
      </c>
      <c r="P119">
        <v>2021</v>
      </c>
      <c r="Q119">
        <v>2023</v>
      </c>
      <c r="R119">
        <f t="shared" si="65"/>
        <v>1</v>
      </c>
      <c r="S119">
        <f t="shared" si="66"/>
        <v>2</v>
      </c>
      <c r="T119">
        <f t="shared" si="67"/>
        <v>2</v>
      </c>
      <c r="U119" s="6">
        <f t="shared" si="68"/>
        <v>5</v>
      </c>
      <c r="V119" s="6">
        <f>U119-U120</f>
        <v>-2</v>
      </c>
      <c r="W119" s="2"/>
      <c r="X119" s="2"/>
      <c r="Y119" s="19">
        <v>0</v>
      </c>
      <c r="Z119" s="19">
        <v>46.1</v>
      </c>
      <c r="AA119" s="19">
        <v>4.7</v>
      </c>
      <c r="AB119" s="2">
        <f t="shared" si="59"/>
        <v>50.800000000000004</v>
      </c>
      <c r="AC119" s="2">
        <f t="shared" si="71"/>
        <v>0.5</v>
      </c>
      <c r="AD119" s="2"/>
      <c r="AE119" s="2" t="str">
        <f t="shared" si="42"/>
        <v/>
      </c>
      <c r="AF119" s="3"/>
      <c r="AG119" s="2" t="str">
        <f t="shared" si="36"/>
        <v/>
      </c>
      <c r="AH119" s="29"/>
      <c r="AI119" s="1" t="str">
        <f t="shared" si="37"/>
        <v/>
      </c>
      <c r="AJ119">
        <v>1</v>
      </c>
      <c r="AK119">
        <v>1</v>
      </c>
      <c r="AL119">
        <f t="shared" si="38"/>
        <v>0</v>
      </c>
      <c r="AM119">
        <f t="shared" si="39"/>
        <v>1</v>
      </c>
      <c r="AN119">
        <f t="shared" si="40"/>
        <v>0</v>
      </c>
      <c r="AO119">
        <f t="shared" si="43"/>
        <v>1</v>
      </c>
      <c r="AP119" s="1">
        <f t="shared" si="52"/>
        <v>4.7924528301886795</v>
      </c>
      <c r="AQ119">
        <f t="shared" si="44"/>
        <v>-1</v>
      </c>
      <c r="AR119">
        <f t="shared" si="45"/>
        <v>0</v>
      </c>
      <c r="AS119">
        <f t="shared" si="46"/>
        <v>1</v>
      </c>
      <c r="AT119" t="str">
        <f t="shared" si="70"/>
        <v>groot</v>
      </c>
    </row>
    <row r="120" spans="1:46" customFormat="1" x14ac:dyDescent="0.25">
      <c r="A120" s="13">
        <v>20</v>
      </c>
      <c r="B120">
        <v>18</v>
      </c>
      <c r="C120">
        <v>4</v>
      </c>
      <c r="D120" t="s">
        <v>141</v>
      </c>
      <c r="E120" t="s">
        <v>29</v>
      </c>
      <c r="F120" t="s">
        <v>138</v>
      </c>
      <c r="G120" s="3">
        <v>15515</v>
      </c>
      <c r="H120" s="21"/>
      <c r="I120" t="s">
        <v>44</v>
      </c>
      <c r="J120" s="21">
        <v>0</v>
      </c>
      <c r="K120" s="21">
        <v>0</v>
      </c>
      <c r="L120">
        <v>2016</v>
      </c>
      <c r="M120">
        <v>2018</v>
      </c>
      <c r="N120">
        <v>2018</v>
      </c>
      <c r="O120">
        <v>2020</v>
      </c>
      <c r="P120">
        <v>2020</v>
      </c>
      <c r="Q120">
        <v>2023</v>
      </c>
      <c r="R120">
        <f t="shared" si="65"/>
        <v>2</v>
      </c>
      <c r="S120">
        <f t="shared" si="66"/>
        <v>2</v>
      </c>
      <c r="T120">
        <f t="shared" si="67"/>
        <v>3</v>
      </c>
      <c r="U120" s="6">
        <f t="shared" si="68"/>
        <v>7</v>
      </c>
      <c r="V120" s="6">
        <f>U120-U121</f>
        <v>1</v>
      </c>
      <c r="W120" s="2"/>
      <c r="X120" s="2"/>
      <c r="Y120" s="19">
        <v>0</v>
      </c>
      <c r="Z120" s="19">
        <v>5.6</v>
      </c>
      <c r="AA120" s="19">
        <v>44.7</v>
      </c>
      <c r="AB120" s="2">
        <f t="shared" si="59"/>
        <v>50.300000000000004</v>
      </c>
      <c r="AC120" s="2">
        <f t="shared" si="71"/>
        <v>34.200000000000003</v>
      </c>
      <c r="AD120" s="2"/>
      <c r="AE120" s="2" t="str">
        <f t="shared" si="42"/>
        <v/>
      </c>
      <c r="AF120" s="3"/>
      <c r="AG120" s="2" t="str">
        <f t="shared" si="36"/>
        <v/>
      </c>
      <c r="AH120" s="29"/>
      <c r="AI120" s="1" t="str">
        <f t="shared" si="37"/>
        <v/>
      </c>
      <c r="AJ120">
        <v>1</v>
      </c>
      <c r="AK120">
        <v>1</v>
      </c>
      <c r="AL120">
        <f t="shared" si="38"/>
        <v>0</v>
      </c>
      <c r="AM120">
        <f t="shared" si="39"/>
        <v>0</v>
      </c>
      <c r="AN120">
        <f t="shared" si="40"/>
        <v>1</v>
      </c>
      <c r="AO120">
        <f t="shared" si="43"/>
        <v>0</v>
      </c>
      <c r="AP120" s="1">
        <f t="shared" si="52"/>
        <v>3.2420238478891399</v>
      </c>
      <c r="AQ120">
        <f t="shared" si="44"/>
        <v>-2</v>
      </c>
      <c r="AR120">
        <f t="shared" si="45"/>
        <v>0</v>
      </c>
      <c r="AS120">
        <f t="shared" si="46"/>
        <v>0</v>
      </c>
      <c r="AT120" t="str">
        <f t="shared" si="70"/>
        <v>groot</v>
      </c>
    </row>
    <row r="121" spans="1:46" customFormat="1" x14ac:dyDescent="0.25">
      <c r="A121" s="13">
        <v>20</v>
      </c>
      <c r="B121">
        <v>17</v>
      </c>
      <c r="C121">
        <v>4</v>
      </c>
      <c r="D121" t="s">
        <v>137</v>
      </c>
      <c r="E121" t="s">
        <v>29</v>
      </c>
      <c r="F121" t="s">
        <v>142</v>
      </c>
      <c r="G121" s="3"/>
      <c r="H121" s="21"/>
      <c r="J121" s="21">
        <v>0</v>
      </c>
      <c r="K121" s="21">
        <v>0</v>
      </c>
      <c r="L121">
        <v>2017</v>
      </c>
      <c r="M121">
        <v>2018</v>
      </c>
      <c r="N121">
        <v>2018</v>
      </c>
      <c r="O121">
        <v>2020</v>
      </c>
      <c r="P121">
        <v>2020</v>
      </c>
      <c r="Q121">
        <v>2023</v>
      </c>
      <c r="R121">
        <f t="shared" si="65"/>
        <v>1</v>
      </c>
      <c r="S121">
        <f t="shared" si="66"/>
        <v>2</v>
      </c>
      <c r="T121">
        <f t="shared" si="67"/>
        <v>3</v>
      </c>
      <c r="U121" s="6">
        <f t="shared" si="68"/>
        <v>6</v>
      </c>
      <c r="W121" s="2"/>
      <c r="X121" s="2"/>
      <c r="Y121" s="19">
        <v>0</v>
      </c>
      <c r="Z121" s="19">
        <v>1.7</v>
      </c>
      <c r="AA121" s="19">
        <v>14.4</v>
      </c>
      <c r="AB121" s="2">
        <f t="shared" si="59"/>
        <v>16.100000000000001</v>
      </c>
      <c r="AC121" s="2"/>
      <c r="AD121" s="2"/>
      <c r="AE121" s="2" t="str">
        <f t="shared" si="42"/>
        <v/>
      </c>
      <c r="AF121" s="3"/>
      <c r="AG121" s="2" t="str">
        <f t="shared" si="36"/>
        <v/>
      </c>
      <c r="AH121" s="29"/>
      <c r="AI121" s="1" t="str">
        <f t="shared" si="37"/>
        <v/>
      </c>
      <c r="AJ121">
        <v>1</v>
      </c>
      <c r="AK121">
        <v>1</v>
      </c>
      <c r="AL121">
        <f t="shared" si="38"/>
        <v>0</v>
      </c>
      <c r="AM121">
        <f t="shared" si="39"/>
        <v>0</v>
      </c>
      <c r="AN121">
        <f t="shared" si="40"/>
        <v>1</v>
      </c>
      <c r="AO121">
        <f t="shared" si="43"/>
        <v>0</v>
      </c>
      <c r="AP121" s="1"/>
      <c r="AQ121">
        <f t="shared" si="44"/>
        <v>-2</v>
      </c>
      <c r="AR121">
        <f t="shared" si="45"/>
        <v>0</v>
      </c>
      <c r="AS121">
        <f t="shared" si="46"/>
        <v>0</v>
      </c>
      <c r="AT121" t="str">
        <f t="shared" si="70"/>
        <v>groot</v>
      </c>
    </row>
    <row r="122" spans="1:46" customFormat="1" x14ac:dyDescent="0.25">
      <c r="A122" s="13">
        <v>21</v>
      </c>
      <c r="B122">
        <v>22</v>
      </c>
      <c r="C122">
        <v>5</v>
      </c>
      <c r="D122" t="s">
        <v>143</v>
      </c>
      <c r="E122" t="s">
        <v>47</v>
      </c>
      <c r="F122" t="s">
        <v>252</v>
      </c>
      <c r="G122" s="3">
        <v>102</v>
      </c>
      <c r="H122" s="21"/>
      <c r="J122" s="21">
        <v>0</v>
      </c>
      <c r="K122" s="21">
        <v>0</v>
      </c>
      <c r="L122">
        <f>2018</f>
        <v>2018</v>
      </c>
      <c r="M122">
        <v>2021</v>
      </c>
      <c r="N122">
        <v>2021</v>
      </c>
      <c r="O122">
        <v>2022</v>
      </c>
      <c r="P122">
        <v>2022</v>
      </c>
      <c r="Q122">
        <v>2026</v>
      </c>
      <c r="R122">
        <f t="shared" si="65"/>
        <v>3</v>
      </c>
      <c r="S122">
        <f t="shared" si="66"/>
        <v>1</v>
      </c>
      <c r="T122">
        <f t="shared" si="67"/>
        <v>4</v>
      </c>
      <c r="U122" s="6">
        <f t="shared" si="68"/>
        <v>8</v>
      </c>
      <c r="V122" s="6">
        <f>U122-U123</f>
        <v>2</v>
      </c>
      <c r="W122" s="2"/>
      <c r="X122" s="2">
        <f>U122-U126</f>
        <v>3</v>
      </c>
      <c r="Y122" s="19">
        <f>2.2/0.9</f>
        <v>2.4444444444444446</v>
      </c>
      <c r="Z122" s="19">
        <f>0.9/0.9</f>
        <v>1</v>
      </c>
      <c r="AA122" s="19">
        <f>10.4/0.9</f>
        <v>11.555555555555555</v>
      </c>
      <c r="AB122" s="2">
        <f t="shared" si="59"/>
        <v>15</v>
      </c>
      <c r="AC122" s="2">
        <f t="shared" ref="AC122:AC126" si="72">AB122-AB123</f>
        <v>2.3344444444444434</v>
      </c>
      <c r="AD122" s="2"/>
      <c r="AE122" s="2">
        <f t="shared" si="42"/>
        <v>3.9344444444444431</v>
      </c>
      <c r="AF122" s="3"/>
      <c r="AG122" s="2">
        <f t="shared" si="36"/>
        <v>-21</v>
      </c>
      <c r="AH122" s="29"/>
      <c r="AI122" s="1">
        <f t="shared" si="37"/>
        <v>46.08951819823244</v>
      </c>
      <c r="AK122" s="6">
        <f>IF(AB122&gt;64.2061111111111,1,0)</f>
        <v>0</v>
      </c>
      <c r="AL122">
        <f t="shared" si="38"/>
        <v>1</v>
      </c>
      <c r="AM122">
        <f t="shared" si="39"/>
        <v>0</v>
      </c>
      <c r="AN122">
        <f t="shared" si="40"/>
        <v>0</v>
      </c>
      <c r="AO122">
        <f t="shared" si="43"/>
        <v>2</v>
      </c>
      <c r="AP122" s="1">
        <f t="shared" si="52"/>
        <v>147.05882352941177</v>
      </c>
      <c r="AQ122">
        <f t="shared" si="44"/>
        <v>1</v>
      </c>
      <c r="AR122">
        <f t="shared" si="45"/>
        <v>1</v>
      </c>
      <c r="AS122">
        <f t="shared" si="46"/>
        <v>1</v>
      </c>
      <c r="AT122" t="str">
        <f t="shared" si="70"/>
        <v>klein</v>
      </c>
    </row>
    <row r="123" spans="1:46" customFormat="1" x14ac:dyDescent="0.25">
      <c r="A123" s="13">
        <v>21</v>
      </c>
      <c r="B123">
        <v>21</v>
      </c>
      <c r="C123">
        <v>5</v>
      </c>
      <c r="D123" t="s">
        <v>143</v>
      </c>
      <c r="E123" t="s">
        <v>47</v>
      </c>
      <c r="F123" t="s">
        <v>252</v>
      </c>
      <c r="G123" s="3">
        <v>102</v>
      </c>
      <c r="H123" s="21">
        <v>3</v>
      </c>
      <c r="I123" t="s">
        <v>49</v>
      </c>
      <c r="J123" s="21">
        <v>0</v>
      </c>
      <c r="K123" s="21">
        <v>0</v>
      </c>
      <c r="L123">
        <v>2019</v>
      </c>
      <c r="M123">
        <v>2020</v>
      </c>
      <c r="N123">
        <v>2020</v>
      </c>
      <c r="O123">
        <v>2021</v>
      </c>
      <c r="P123">
        <v>2021</v>
      </c>
      <c r="Q123">
        <v>2025</v>
      </c>
      <c r="R123">
        <f t="shared" si="65"/>
        <v>1</v>
      </c>
      <c r="S123">
        <f t="shared" si="66"/>
        <v>1</v>
      </c>
      <c r="T123">
        <f t="shared" si="67"/>
        <v>4</v>
      </c>
      <c r="U123" s="6">
        <f t="shared" si="68"/>
        <v>6</v>
      </c>
      <c r="V123" s="6">
        <f>U123-U124</f>
        <v>1</v>
      </c>
      <c r="W123" s="2">
        <f>U123-U126</f>
        <v>1</v>
      </c>
      <c r="X123" s="2"/>
      <c r="Y123" s="19">
        <v>0</v>
      </c>
      <c r="Z123" s="19">
        <v>1.1055555555555556</v>
      </c>
      <c r="AA123" s="19">
        <v>11.56</v>
      </c>
      <c r="AB123" s="2">
        <f t="shared" si="59"/>
        <v>12.665555555555557</v>
      </c>
      <c r="AC123" s="2">
        <f t="shared" si="72"/>
        <v>-0.43444444444444308</v>
      </c>
      <c r="AD123" s="2">
        <f>AB123-AB126</f>
        <v>0.16555555555555657</v>
      </c>
      <c r="AE123" s="2" t="str">
        <f t="shared" si="42"/>
        <v/>
      </c>
      <c r="AF123" s="3">
        <f>G123-G126</f>
        <v>-21</v>
      </c>
      <c r="AG123" s="2" t="str">
        <f t="shared" si="36"/>
        <v/>
      </c>
      <c r="AH123" s="29">
        <f>((AB123)/(G123/1000))-((AB126)/(G126/1000))</f>
        <v>22.54609702959776</v>
      </c>
      <c r="AI123" s="1" t="str">
        <f t="shared" si="37"/>
        <v/>
      </c>
      <c r="AJ123">
        <v>0</v>
      </c>
      <c r="AK123">
        <v>0</v>
      </c>
      <c r="AL123">
        <f t="shared" si="38"/>
        <v>0</v>
      </c>
      <c r="AM123">
        <f t="shared" si="39"/>
        <v>1</v>
      </c>
      <c r="AN123">
        <f t="shared" si="40"/>
        <v>0</v>
      </c>
      <c r="AO123">
        <f t="shared" si="43"/>
        <v>1</v>
      </c>
      <c r="AP123" s="1">
        <f t="shared" si="52"/>
        <v>124.17211328976036</v>
      </c>
      <c r="AQ123">
        <f t="shared" si="44"/>
        <v>0</v>
      </c>
      <c r="AR123">
        <f t="shared" si="45"/>
        <v>0</v>
      </c>
      <c r="AS123">
        <f t="shared" si="46"/>
        <v>1</v>
      </c>
      <c r="AT123" t="str">
        <f t="shared" si="70"/>
        <v>klein</v>
      </c>
    </row>
    <row r="124" spans="1:46" customFormat="1" x14ac:dyDescent="0.25">
      <c r="A124" s="13">
        <v>21</v>
      </c>
      <c r="B124">
        <v>20</v>
      </c>
      <c r="C124">
        <v>9</v>
      </c>
      <c r="D124" t="s">
        <v>143</v>
      </c>
      <c r="E124" t="s">
        <v>47</v>
      </c>
      <c r="F124" t="s">
        <v>144</v>
      </c>
      <c r="G124" s="3">
        <v>123</v>
      </c>
      <c r="H124" s="21">
        <v>4</v>
      </c>
      <c r="I124" t="s">
        <v>49</v>
      </c>
      <c r="J124" s="21">
        <v>0</v>
      </c>
      <c r="K124" s="21">
        <v>0</v>
      </c>
      <c r="L124">
        <v>2018</v>
      </c>
      <c r="M124">
        <v>2019</v>
      </c>
      <c r="N124">
        <v>2019</v>
      </c>
      <c r="O124">
        <v>2021</v>
      </c>
      <c r="P124">
        <v>2021</v>
      </c>
      <c r="Q124">
        <v>2023</v>
      </c>
      <c r="R124">
        <f t="shared" si="65"/>
        <v>1</v>
      </c>
      <c r="S124">
        <f t="shared" si="66"/>
        <v>2</v>
      </c>
      <c r="T124">
        <f t="shared" si="67"/>
        <v>2</v>
      </c>
      <c r="U124" s="6">
        <f t="shared" si="68"/>
        <v>5</v>
      </c>
      <c r="V124" s="6">
        <f>U124-U125</f>
        <v>-1</v>
      </c>
      <c r="W124" s="2"/>
      <c r="X124" s="2"/>
      <c r="Y124" s="19">
        <v>1.1000000000000001</v>
      </c>
      <c r="Z124" s="19">
        <v>1</v>
      </c>
      <c r="AA124" s="19">
        <v>11</v>
      </c>
      <c r="AB124" s="2">
        <f t="shared" si="59"/>
        <v>13.1</v>
      </c>
      <c r="AC124" s="2">
        <f t="shared" si="72"/>
        <v>-2.2999999999999989</v>
      </c>
      <c r="AD124" s="2"/>
      <c r="AE124" s="2" t="str">
        <f t="shared" si="42"/>
        <v/>
      </c>
      <c r="AF124" s="3"/>
      <c r="AG124" s="2" t="str">
        <f t="shared" si="36"/>
        <v/>
      </c>
      <c r="AH124" s="29"/>
      <c r="AI124" s="1" t="str">
        <f t="shared" si="37"/>
        <v/>
      </c>
      <c r="AJ124">
        <v>0</v>
      </c>
      <c r="AK124">
        <v>0</v>
      </c>
      <c r="AL124">
        <f t="shared" si="38"/>
        <v>0</v>
      </c>
      <c r="AM124">
        <f t="shared" si="39"/>
        <v>1</v>
      </c>
      <c r="AN124">
        <f t="shared" si="40"/>
        <v>0</v>
      </c>
      <c r="AO124">
        <f t="shared" si="43"/>
        <v>1</v>
      </c>
      <c r="AP124" s="1">
        <f t="shared" si="52"/>
        <v>106.5040650406504</v>
      </c>
      <c r="AQ124">
        <f t="shared" si="44"/>
        <v>-1</v>
      </c>
      <c r="AR124">
        <f t="shared" si="45"/>
        <v>0</v>
      </c>
      <c r="AS124">
        <f t="shared" si="46"/>
        <v>1</v>
      </c>
      <c r="AT124" t="str">
        <f t="shared" si="70"/>
        <v>klein</v>
      </c>
    </row>
    <row r="125" spans="1:46" customFormat="1" x14ac:dyDescent="0.25">
      <c r="A125" s="13">
        <v>21</v>
      </c>
      <c r="B125">
        <v>19</v>
      </c>
      <c r="C125">
        <v>7</v>
      </c>
      <c r="D125" t="s">
        <v>143</v>
      </c>
      <c r="E125" t="s">
        <v>47</v>
      </c>
      <c r="F125" t="s">
        <v>144</v>
      </c>
      <c r="G125" s="3">
        <v>123.8</v>
      </c>
      <c r="H125" s="21">
        <v>3</v>
      </c>
      <c r="I125" t="s">
        <v>49</v>
      </c>
      <c r="J125" s="21">
        <v>0</v>
      </c>
      <c r="K125" s="21">
        <v>0</v>
      </c>
      <c r="L125">
        <v>2017</v>
      </c>
      <c r="M125">
        <v>2018</v>
      </c>
      <c r="N125">
        <v>2018</v>
      </c>
      <c r="O125">
        <v>2021</v>
      </c>
      <c r="P125">
        <v>2021</v>
      </c>
      <c r="Q125">
        <v>2023</v>
      </c>
      <c r="R125">
        <f t="shared" si="65"/>
        <v>1</v>
      </c>
      <c r="S125">
        <f t="shared" si="66"/>
        <v>3</v>
      </c>
      <c r="T125">
        <f t="shared" si="67"/>
        <v>2</v>
      </c>
      <c r="U125" s="6">
        <f t="shared" si="68"/>
        <v>6</v>
      </c>
      <c r="V125" s="6">
        <f>U125-U126</f>
        <v>1</v>
      </c>
      <c r="W125" s="2"/>
      <c r="X125" s="2"/>
      <c r="Y125" s="19">
        <v>1.2</v>
      </c>
      <c r="Z125" s="19">
        <v>2.6</v>
      </c>
      <c r="AA125" s="19">
        <v>11.6</v>
      </c>
      <c r="AB125" s="2">
        <f t="shared" si="59"/>
        <v>15.399999999999999</v>
      </c>
      <c r="AC125" s="2">
        <f t="shared" si="72"/>
        <v>2.8999999999999986</v>
      </c>
      <c r="AD125" s="2"/>
      <c r="AE125" s="2" t="str">
        <f t="shared" si="42"/>
        <v/>
      </c>
      <c r="AF125" s="3"/>
      <c r="AG125" s="2" t="str">
        <f t="shared" si="36"/>
        <v/>
      </c>
      <c r="AH125" s="29"/>
      <c r="AI125" s="1" t="str">
        <f t="shared" si="37"/>
        <v/>
      </c>
      <c r="AJ125">
        <v>0</v>
      </c>
      <c r="AK125">
        <v>0</v>
      </c>
      <c r="AL125">
        <f t="shared" si="38"/>
        <v>0</v>
      </c>
      <c r="AM125">
        <f t="shared" si="39"/>
        <v>1</v>
      </c>
      <c r="AN125">
        <f t="shared" si="40"/>
        <v>0</v>
      </c>
      <c r="AO125">
        <f t="shared" si="43"/>
        <v>1</v>
      </c>
      <c r="AP125" s="1">
        <f t="shared" si="52"/>
        <v>124.39418416801291</v>
      </c>
      <c r="AQ125">
        <f t="shared" si="44"/>
        <v>-2</v>
      </c>
      <c r="AR125">
        <f t="shared" si="45"/>
        <v>0</v>
      </c>
      <c r="AS125">
        <f t="shared" si="46"/>
        <v>1</v>
      </c>
      <c r="AT125" t="str">
        <f t="shared" si="70"/>
        <v>klein</v>
      </c>
    </row>
    <row r="126" spans="1:46" customFormat="1" x14ac:dyDescent="0.25">
      <c r="A126" s="13">
        <v>21</v>
      </c>
      <c r="B126">
        <v>18</v>
      </c>
      <c r="C126">
        <v>10</v>
      </c>
      <c r="D126" t="s">
        <v>253</v>
      </c>
      <c r="E126" t="s">
        <v>47</v>
      </c>
      <c r="F126" t="s">
        <v>144</v>
      </c>
      <c r="G126" s="3">
        <v>123</v>
      </c>
      <c r="H126" s="21">
        <v>3</v>
      </c>
      <c r="I126" t="s">
        <v>49</v>
      </c>
      <c r="J126" s="21">
        <v>0</v>
      </c>
      <c r="K126" s="21">
        <v>0</v>
      </c>
      <c r="N126">
        <v>2017</v>
      </c>
      <c r="O126">
        <v>2019</v>
      </c>
      <c r="P126">
        <v>2019</v>
      </c>
      <c r="Q126">
        <v>2022</v>
      </c>
      <c r="R126">
        <f t="shared" si="65"/>
        <v>0</v>
      </c>
      <c r="S126">
        <f t="shared" si="66"/>
        <v>2</v>
      </c>
      <c r="T126">
        <f t="shared" si="67"/>
        <v>3</v>
      </c>
      <c r="U126" s="6">
        <f t="shared" si="68"/>
        <v>5</v>
      </c>
      <c r="V126" s="6">
        <f>U126-U127</f>
        <v>0</v>
      </c>
      <c r="W126" s="2"/>
      <c r="X126" s="2"/>
      <c r="Y126" s="19">
        <v>0</v>
      </c>
      <c r="Z126" s="19">
        <v>1.5</v>
      </c>
      <c r="AA126" s="19">
        <v>11</v>
      </c>
      <c r="AB126" s="2">
        <f t="shared" si="59"/>
        <v>12.5</v>
      </c>
      <c r="AC126" s="2">
        <f t="shared" si="72"/>
        <v>-1.5999999999999996</v>
      </c>
      <c r="AD126" s="2"/>
      <c r="AE126" s="2" t="str">
        <f t="shared" si="42"/>
        <v/>
      </c>
      <c r="AF126" s="3"/>
      <c r="AG126" s="2" t="str">
        <f t="shared" si="36"/>
        <v/>
      </c>
      <c r="AH126" s="29"/>
      <c r="AI126" s="1" t="str">
        <f t="shared" si="37"/>
        <v/>
      </c>
      <c r="AJ126">
        <v>0</v>
      </c>
      <c r="AK126">
        <v>0</v>
      </c>
      <c r="AL126">
        <f t="shared" si="38"/>
        <v>0</v>
      </c>
      <c r="AM126">
        <f t="shared" si="39"/>
        <v>0</v>
      </c>
      <c r="AN126">
        <f t="shared" si="40"/>
        <v>1</v>
      </c>
      <c r="AO126">
        <f t="shared" si="43"/>
        <v>-1</v>
      </c>
      <c r="AP126" s="1">
        <f t="shared" si="52"/>
        <v>101.6260162601626</v>
      </c>
      <c r="AQ126">
        <f t="shared" si="44"/>
        <v>-3</v>
      </c>
      <c r="AR126">
        <f t="shared" si="45"/>
        <v>0</v>
      </c>
      <c r="AS126">
        <f t="shared" si="46"/>
        <v>0</v>
      </c>
      <c r="AT126" t="str">
        <f t="shared" si="70"/>
        <v>klein</v>
      </c>
    </row>
    <row r="127" spans="1:46" customFormat="1" x14ac:dyDescent="0.25">
      <c r="A127" s="13">
        <v>21</v>
      </c>
      <c r="B127">
        <v>17</v>
      </c>
      <c r="C127">
        <v>13</v>
      </c>
      <c r="D127" t="s">
        <v>143</v>
      </c>
      <c r="E127" t="s">
        <v>47</v>
      </c>
      <c r="F127" t="s">
        <v>144</v>
      </c>
      <c r="G127" s="3"/>
      <c r="H127" s="21"/>
      <c r="J127" s="21">
        <v>0</v>
      </c>
      <c r="K127" s="21">
        <v>0</v>
      </c>
      <c r="L127">
        <v>2016</v>
      </c>
      <c r="M127">
        <v>2017</v>
      </c>
      <c r="N127">
        <v>2017</v>
      </c>
      <c r="O127">
        <v>2019</v>
      </c>
      <c r="P127">
        <v>2019</v>
      </c>
      <c r="Q127">
        <v>2021</v>
      </c>
      <c r="R127">
        <f t="shared" si="65"/>
        <v>1</v>
      </c>
      <c r="S127">
        <f t="shared" si="66"/>
        <v>2</v>
      </c>
      <c r="T127">
        <f t="shared" si="67"/>
        <v>2</v>
      </c>
      <c r="U127" s="6">
        <f t="shared" si="68"/>
        <v>5</v>
      </c>
      <c r="W127" s="2"/>
      <c r="X127" s="2"/>
      <c r="Y127" s="19">
        <v>1.1000000000000001</v>
      </c>
      <c r="Z127" s="19">
        <v>2</v>
      </c>
      <c r="AA127" s="19">
        <v>11</v>
      </c>
      <c r="AB127" s="2">
        <f t="shared" si="59"/>
        <v>14.1</v>
      </c>
      <c r="AC127" s="2"/>
      <c r="AD127" s="2"/>
      <c r="AE127" s="2" t="str">
        <f t="shared" si="42"/>
        <v/>
      </c>
      <c r="AF127" s="3"/>
      <c r="AG127" s="2" t="str">
        <f t="shared" si="36"/>
        <v/>
      </c>
      <c r="AH127" s="29"/>
      <c r="AI127" s="1" t="str">
        <f t="shared" si="37"/>
        <v/>
      </c>
      <c r="AJ127">
        <v>0</v>
      </c>
      <c r="AK127">
        <v>0</v>
      </c>
      <c r="AL127">
        <f t="shared" si="38"/>
        <v>0</v>
      </c>
      <c r="AM127">
        <f t="shared" si="39"/>
        <v>0</v>
      </c>
      <c r="AN127">
        <f t="shared" si="40"/>
        <v>1</v>
      </c>
      <c r="AO127">
        <f t="shared" si="43"/>
        <v>-1</v>
      </c>
      <c r="AP127" s="1"/>
      <c r="AQ127">
        <f t="shared" si="44"/>
        <v>-3</v>
      </c>
      <c r="AR127">
        <f t="shared" si="45"/>
        <v>0</v>
      </c>
      <c r="AS127">
        <f t="shared" si="46"/>
        <v>0</v>
      </c>
      <c r="AT127" t="str">
        <f t="shared" si="70"/>
        <v>klein</v>
      </c>
    </row>
    <row r="128" spans="1:46" customFormat="1" x14ac:dyDescent="0.25">
      <c r="A128" s="13">
        <v>22</v>
      </c>
      <c r="B128">
        <v>22</v>
      </c>
      <c r="C128">
        <v>7</v>
      </c>
      <c r="D128" t="s">
        <v>145</v>
      </c>
      <c r="E128" t="s">
        <v>29</v>
      </c>
      <c r="F128" t="s">
        <v>146</v>
      </c>
      <c r="G128" s="3">
        <v>23450</v>
      </c>
      <c r="H128" s="21"/>
      <c r="I128" t="s">
        <v>63</v>
      </c>
      <c r="J128" s="21">
        <v>0</v>
      </c>
      <c r="K128" s="21">
        <v>0</v>
      </c>
      <c r="L128">
        <v>2015</v>
      </c>
      <c r="M128">
        <v>2018</v>
      </c>
      <c r="N128">
        <v>2018</v>
      </c>
      <c r="O128">
        <v>2020</v>
      </c>
      <c r="P128">
        <v>2020</v>
      </c>
      <c r="Q128">
        <v>2027</v>
      </c>
      <c r="R128">
        <f t="shared" si="65"/>
        <v>3</v>
      </c>
      <c r="S128">
        <f t="shared" si="66"/>
        <v>2</v>
      </c>
      <c r="T128">
        <f t="shared" si="67"/>
        <v>7</v>
      </c>
      <c r="U128" s="6">
        <f t="shared" si="68"/>
        <v>12</v>
      </c>
      <c r="V128" s="6">
        <f>U128-U129</f>
        <v>2</v>
      </c>
      <c r="W128" s="2"/>
      <c r="X128" s="2">
        <f>U128-U132</f>
        <v>4</v>
      </c>
      <c r="Y128" s="19">
        <f>17.5/0.9</f>
        <v>19.444444444444443</v>
      </c>
      <c r="Z128" s="19">
        <f>24.8/0.9</f>
        <v>27.555555555555557</v>
      </c>
      <c r="AA128" s="19">
        <v>280</v>
      </c>
      <c r="AB128" s="11">
        <f t="shared" si="59"/>
        <v>327</v>
      </c>
      <c r="AC128" s="2">
        <f t="shared" ref="AC128:AC132" si="73">AB128-AB129</f>
        <v>57.589999999999975</v>
      </c>
      <c r="AD128" s="2"/>
      <c r="AE128" s="2">
        <f t="shared" si="42"/>
        <v>91.689999999999984</v>
      </c>
      <c r="AF128" s="3"/>
      <c r="AG128" s="2">
        <f t="shared" si="36"/>
        <v>9299.6133758498181</v>
      </c>
      <c r="AH128" s="29"/>
      <c r="AI128" s="1">
        <f t="shared" si="37"/>
        <v>9.3518123667377395</v>
      </c>
      <c r="AK128" s="6">
        <f>IF(AB128&gt;64.2061111111111,1,0)</f>
        <v>1</v>
      </c>
      <c r="AL128">
        <f t="shared" si="38"/>
        <v>0</v>
      </c>
      <c r="AM128">
        <f t="shared" si="39"/>
        <v>0</v>
      </c>
      <c r="AN128">
        <f t="shared" si="40"/>
        <v>1</v>
      </c>
      <c r="AO128">
        <f t="shared" si="43"/>
        <v>0</v>
      </c>
      <c r="AP128" s="1">
        <f t="shared" si="52"/>
        <v>13.944562899786781</v>
      </c>
      <c r="AQ128">
        <f t="shared" si="44"/>
        <v>-2</v>
      </c>
      <c r="AR128">
        <f t="shared" si="45"/>
        <v>0</v>
      </c>
      <c r="AS128">
        <f t="shared" si="46"/>
        <v>0</v>
      </c>
      <c r="AT128" t="str">
        <f t="shared" si="70"/>
        <v>groot</v>
      </c>
    </row>
    <row r="129" spans="1:46" customFormat="1" x14ac:dyDescent="0.25">
      <c r="A129" s="13">
        <v>22</v>
      </c>
      <c r="B129">
        <v>21</v>
      </c>
      <c r="C129">
        <v>7</v>
      </c>
      <c r="D129" t="s">
        <v>145</v>
      </c>
      <c r="E129" t="s">
        <v>29</v>
      </c>
      <c r="F129" t="s">
        <v>146</v>
      </c>
      <c r="G129" s="3">
        <v>23450</v>
      </c>
      <c r="H129" s="21"/>
      <c r="I129" t="s">
        <v>63</v>
      </c>
      <c r="J129" s="21">
        <v>0</v>
      </c>
      <c r="K129" s="21">
        <v>0</v>
      </c>
      <c r="L129">
        <v>2015</v>
      </c>
      <c r="M129">
        <v>2018</v>
      </c>
      <c r="N129">
        <v>2018</v>
      </c>
      <c r="O129">
        <v>2020</v>
      </c>
      <c r="P129">
        <v>2020</v>
      </c>
      <c r="Q129">
        <v>2025</v>
      </c>
      <c r="R129">
        <f t="shared" si="65"/>
        <v>3</v>
      </c>
      <c r="S129">
        <f t="shared" si="66"/>
        <v>2</v>
      </c>
      <c r="T129">
        <f t="shared" si="67"/>
        <v>5</v>
      </c>
      <c r="U129" s="6">
        <f t="shared" si="68"/>
        <v>10</v>
      </c>
      <c r="V129" s="6">
        <f>U129-U130</f>
        <v>1</v>
      </c>
      <c r="W129" s="2">
        <f>U129-U132</f>
        <v>2</v>
      </c>
      <c r="X129" s="2"/>
      <c r="Y129" s="19">
        <v>19.542222222222222</v>
      </c>
      <c r="Z129" s="19">
        <v>27.645555555555553</v>
      </c>
      <c r="AA129" s="19">
        <v>222.22222222222223</v>
      </c>
      <c r="AB129" s="11">
        <f t="shared" si="59"/>
        <v>269.41000000000003</v>
      </c>
      <c r="AC129" s="2">
        <f t="shared" si="73"/>
        <v>2.2222222222012533E-3</v>
      </c>
      <c r="AD129" s="2">
        <f>AB129-AB132</f>
        <v>161.71000000000004</v>
      </c>
      <c r="AE129" s="2" t="str">
        <f t="shared" si="42"/>
        <v/>
      </c>
      <c r="AF129" s="3">
        <f>G129-G132</f>
        <v>9299.6133758498181</v>
      </c>
      <c r="AG129" s="2" t="str">
        <f t="shared" si="36"/>
        <v/>
      </c>
      <c r="AH129" s="29">
        <f>((AB129)/(G129/1000))-((AB132)/(G132/1000))</f>
        <v>3.8775998999072891</v>
      </c>
      <c r="AI129" s="1" t="str">
        <f t="shared" si="37"/>
        <v/>
      </c>
      <c r="AJ129">
        <v>1</v>
      </c>
      <c r="AK129">
        <v>1</v>
      </c>
      <c r="AL129">
        <f t="shared" si="38"/>
        <v>0</v>
      </c>
      <c r="AM129">
        <f t="shared" si="39"/>
        <v>0</v>
      </c>
      <c r="AN129">
        <f t="shared" si="40"/>
        <v>1</v>
      </c>
      <c r="AO129">
        <f t="shared" si="43"/>
        <v>0</v>
      </c>
      <c r="AP129" s="1">
        <f t="shared" si="52"/>
        <v>11.488699360341153</v>
      </c>
      <c r="AQ129">
        <f t="shared" si="44"/>
        <v>-2</v>
      </c>
      <c r="AR129">
        <f t="shared" si="45"/>
        <v>0</v>
      </c>
      <c r="AS129">
        <f t="shared" si="46"/>
        <v>0</v>
      </c>
      <c r="AT129" t="str">
        <f t="shared" si="70"/>
        <v>groot</v>
      </c>
    </row>
    <row r="130" spans="1:46" customFormat="1" x14ac:dyDescent="0.25">
      <c r="A130" s="13">
        <v>22</v>
      </c>
      <c r="B130">
        <v>20</v>
      </c>
      <c r="C130">
        <v>19</v>
      </c>
      <c r="D130" t="s">
        <v>147</v>
      </c>
      <c r="E130" t="s">
        <v>29</v>
      </c>
      <c r="F130" t="s">
        <v>146</v>
      </c>
      <c r="G130" s="3">
        <v>23450</v>
      </c>
      <c r="H130" s="21">
        <v>150</v>
      </c>
      <c r="I130" t="s">
        <v>63</v>
      </c>
      <c r="J130" s="21">
        <v>0</v>
      </c>
      <c r="K130" s="21">
        <v>0</v>
      </c>
      <c r="L130">
        <v>2016</v>
      </c>
      <c r="M130">
        <v>2018</v>
      </c>
      <c r="N130">
        <v>2018</v>
      </c>
      <c r="O130">
        <v>2020</v>
      </c>
      <c r="P130">
        <v>2020</v>
      </c>
      <c r="Q130">
        <v>2025</v>
      </c>
      <c r="R130">
        <f t="shared" ref="R130:R145" si="74">M130-L130</f>
        <v>2</v>
      </c>
      <c r="S130">
        <f t="shared" ref="S130:S145" si="75">O130-N130</f>
        <v>2</v>
      </c>
      <c r="T130">
        <f t="shared" ref="T130:T145" si="76">Q130-P130</f>
        <v>5</v>
      </c>
      <c r="U130" s="6">
        <f t="shared" ref="U130:U145" si="77">SUM(R130:T130)</f>
        <v>9</v>
      </c>
      <c r="V130" s="6">
        <f>U130-U131</f>
        <v>2</v>
      </c>
      <c r="W130" s="2"/>
      <c r="X130" s="2"/>
      <c r="Y130" s="19">
        <v>19.542222222222222</v>
      </c>
      <c r="Z130" s="19">
        <v>27.645555555555557</v>
      </c>
      <c r="AA130" s="19">
        <v>222.22000000000003</v>
      </c>
      <c r="AB130" s="11">
        <f t="shared" si="59"/>
        <v>269.40777777777782</v>
      </c>
      <c r="AC130" s="2">
        <f t="shared" si="73"/>
        <v>149.40777777777782</v>
      </c>
      <c r="AD130" s="2"/>
      <c r="AE130" s="2" t="str">
        <f t="shared" si="42"/>
        <v/>
      </c>
      <c r="AF130" s="3"/>
      <c r="AG130" s="2" t="str">
        <f t="shared" ref="AG130:AG187" si="78">IF(ISNUMBER(X130),G130-G134,"")</f>
        <v/>
      </c>
      <c r="AH130" s="29"/>
      <c r="AI130" s="1" t="str">
        <f t="shared" ref="AI130:AI187" si="79">IF(ISNUMBER(X130),((AB130)/(G130/1000))-((AB134)/(G133/1000)),"")</f>
        <v/>
      </c>
      <c r="AJ130">
        <v>1</v>
      </c>
      <c r="AK130">
        <v>1</v>
      </c>
      <c r="AL130">
        <f t="shared" ref="AL130:AL187" si="80">IF(AND(L130&lt;=2020,2020&lt;M130),1,0)</f>
        <v>0</v>
      </c>
      <c r="AM130">
        <f t="shared" ref="AM130:AM187" si="81">IF(AND(N130&lt;=2020,2020&lt;O130),1,0)</f>
        <v>0</v>
      </c>
      <c r="AN130">
        <f t="shared" ref="AN130:AN187" si="82">IF(AND(P130&lt;=2020,2020&lt;Q130),1,0)</f>
        <v>1</v>
      </c>
      <c r="AO130">
        <f t="shared" si="43"/>
        <v>0</v>
      </c>
      <c r="AP130" s="1">
        <f t="shared" si="52"/>
        <v>11.488604596067285</v>
      </c>
      <c r="AQ130">
        <f t="shared" si="44"/>
        <v>-2</v>
      </c>
      <c r="AR130">
        <f t="shared" si="45"/>
        <v>0</v>
      </c>
      <c r="AS130">
        <f t="shared" si="46"/>
        <v>1</v>
      </c>
      <c r="AT130" t="str">
        <f t="shared" si="70"/>
        <v>groot</v>
      </c>
    </row>
    <row r="131" spans="1:46" customFormat="1" x14ac:dyDescent="0.25">
      <c r="A131" s="13">
        <v>22</v>
      </c>
      <c r="B131">
        <v>19</v>
      </c>
      <c r="C131">
        <v>16</v>
      </c>
      <c r="D131" t="s">
        <v>148</v>
      </c>
      <c r="E131" t="s">
        <v>29</v>
      </c>
      <c r="F131" t="s">
        <v>146</v>
      </c>
      <c r="G131" s="3">
        <v>23450</v>
      </c>
      <c r="H131" s="21"/>
      <c r="I131" t="s">
        <v>63</v>
      </c>
      <c r="J131" s="21">
        <v>0</v>
      </c>
      <c r="K131" s="21">
        <v>0</v>
      </c>
      <c r="L131">
        <v>2016</v>
      </c>
      <c r="M131">
        <v>2018</v>
      </c>
      <c r="N131">
        <v>2018</v>
      </c>
      <c r="O131">
        <v>2020</v>
      </c>
      <c r="P131">
        <v>2020</v>
      </c>
      <c r="Q131">
        <v>2023</v>
      </c>
      <c r="R131">
        <f t="shared" si="74"/>
        <v>2</v>
      </c>
      <c r="S131">
        <f t="shared" si="75"/>
        <v>2</v>
      </c>
      <c r="T131">
        <f t="shared" si="76"/>
        <v>3</v>
      </c>
      <c r="U131" s="6">
        <f t="shared" si="77"/>
        <v>7</v>
      </c>
      <c r="V131" s="6">
        <f>U131-U132</f>
        <v>-1</v>
      </c>
      <c r="W131" s="2"/>
      <c r="X131" s="2"/>
      <c r="Y131" s="19">
        <v>0</v>
      </c>
      <c r="Z131" s="19">
        <v>0</v>
      </c>
      <c r="AA131" s="19">
        <v>120</v>
      </c>
      <c r="AB131" s="2">
        <f t="shared" si="59"/>
        <v>120</v>
      </c>
      <c r="AC131" s="2">
        <f t="shared" si="73"/>
        <v>12.299999999999997</v>
      </c>
      <c r="AD131" s="2"/>
      <c r="AE131" s="2" t="str">
        <f t="shared" ref="AE131:AE188" si="83">IF(ISNUMBER(X131),AC131-AC135,"")</f>
        <v/>
      </c>
      <c r="AF131" s="3"/>
      <c r="AG131" s="2" t="str">
        <f t="shared" si="78"/>
        <v/>
      </c>
      <c r="AH131" s="29"/>
      <c r="AI131" s="1" t="str">
        <f t="shared" si="79"/>
        <v/>
      </c>
      <c r="AJ131">
        <v>1</v>
      </c>
      <c r="AK131">
        <v>1</v>
      </c>
      <c r="AL131">
        <f t="shared" si="80"/>
        <v>0</v>
      </c>
      <c r="AM131">
        <f t="shared" si="81"/>
        <v>0</v>
      </c>
      <c r="AN131">
        <f t="shared" si="82"/>
        <v>1</v>
      </c>
      <c r="AO131">
        <f t="shared" ref="AO131:AO188" si="84">P131-2020</f>
        <v>0</v>
      </c>
      <c r="AP131" s="1">
        <f t="shared" ref="AP131:AP188" si="85">AB131/(G131/1000)</f>
        <v>5.1172707889125801</v>
      </c>
      <c r="AQ131">
        <f t="shared" ref="AQ131:AQ194" si="86">N131-2020</f>
        <v>-2</v>
      </c>
      <c r="AR131">
        <f t="shared" ref="AR131:AR194" si="87">IF(N131&gt;2020,1,0)</f>
        <v>0</v>
      </c>
      <c r="AS131">
        <f t="shared" ref="AS131:AS194" si="88">IF(AND(B131=22,N131&gt;2019),1,IF(AND(B131=21,N131&gt;2018),1,IF(AND(B131=20,N131&gt;2017),1,IF(AND(B131=19,N131&gt;2016),1,IF(AND(B131=18,B131&gt;2015),1,0)))))</f>
        <v>1</v>
      </c>
      <c r="AT131" t="str">
        <f t="shared" si="70"/>
        <v>groot</v>
      </c>
    </row>
    <row r="132" spans="1:46" customFormat="1" x14ac:dyDescent="0.25">
      <c r="A132" s="13">
        <v>22</v>
      </c>
      <c r="B132">
        <v>18</v>
      </c>
      <c r="C132">
        <v>25</v>
      </c>
      <c r="D132" t="s">
        <v>145</v>
      </c>
      <c r="E132" t="s">
        <v>29</v>
      </c>
      <c r="F132" t="s">
        <v>146</v>
      </c>
      <c r="G132" s="3">
        <v>14150.386624150182</v>
      </c>
      <c r="H132" s="21"/>
      <c r="I132" t="s">
        <v>63</v>
      </c>
      <c r="J132" s="21">
        <v>0</v>
      </c>
      <c r="K132" s="21">
        <v>0</v>
      </c>
      <c r="L132">
        <v>2016</v>
      </c>
      <c r="M132">
        <v>2018</v>
      </c>
      <c r="N132">
        <v>2018</v>
      </c>
      <c r="O132">
        <v>2020</v>
      </c>
      <c r="P132">
        <v>2020</v>
      </c>
      <c r="Q132">
        <v>2024</v>
      </c>
      <c r="R132">
        <f t="shared" si="74"/>
        <v>2</v>
      </c>
      <c r="S132">
        <f t="shared" si="75"/>
        <v>2</v>
      </c>
      <c r="T132">
        <f t="shared" si="76"/>
        <v>4</v>
      </c>
      <c r="U132" s="6">
        <f t="shared" si="77"/>
        <v>8</v>
      </c>
      <c r="V132" s="6">
        <f>U132-U133</f>
        <v>0</v>
      </c>
      <c r="W132" s="2"/>
      <c r="X132" s="2"/>
      <c r="Y132" s="19">
        <v>0</v>
      </c>
      <c r="Z132" s="19">
        <v>6.5</v>
      </c>
      <c r="AA132" s="19">
        <v>101.2</v>
      </c>
      <c r="AB132" s="2">
        <f t="shared" si="59"/>
        <v>107.7</v>
      </c>
      <c r="AC132" s="2">
        <f t="shared" si="73"/>
        <v>-34.100000000000009</v>
      </c>
      <c r="AD132" s="2"/>
      <c r="AE132" s="2" t="str">
        <f t="shared" si="83"/>
        <v/>
      </c>
      <c r="AF132" s="3"/>
      <c r="AG132" s="2" t="str">
        <f t="shared" si="78"/>
        <v/>
      </c>
      <c r="AH132" s="29"/>
      <c r="AI132" s="1" t="str">
        <f t="shared" si="79"/>
        <v/>
      </c>
      <c r="AJ132">
        <v>1</v>
      </c>
      <c r="AK132">
        <v>1</v>
      </c>
      <c r="AL132">
        <f t="shared" si="80"/>
        <v>0</v>
      </c>
      <c r="AM132">
        <f t="shared" si="81"/>
        <v>0</v>
      </c>
      <c r="AN132">
        <f t="shared" si="82"/>
        <v>1</v>
      </c>
      <c r="AO132">
        <f t="shared" si="84"/>
        <v>0</v>
      </c>
      <c r="AP132" s="1">
        <f t="shared" si="85"/>
        <v>7.6110994604338638</v>
      </c>
      <c r="AQ132">
        <f t="shared" si="86"/>
        <v>-2</v>
      </c>
      <c r="AR132">
        <f t="shared" si="87"/>
        <v>0</v>
      </c>
      <c r="AS132">
        <f t="shared" si="88"/>
        <v>0</v>
      </c>
      <c r="AT132" t="str">
        <f t="shared" si="70"/>
        <v>groot</v>
      </c>
    </row>
    <row r="133" spans="1:46" customFormat="1" x14ac:dyDescent="0.25">
      <c r="A133" s="13">
        <v>22</v>
      </c>
      <c r="B133">
        <v>17</v>
      </c>
      <c r="C133">
        <v>17</v>
      </c>
      <c r="D133" t="s">
        <v>145</v>
      </c>
      <c r="E133" t="s">
        <v>29</v>
      </c>
      <c r="F133" t="s">
        <v>146</v>
      </c>
      <c r="G133" s="3"/>
      <c r="H133" s="21"/>
      <c r="J133" s="21">
        <v>0</v>
      </c>
      <c r="K133" s="21">
        <v>0</v>
      </c>
      <c r="L133">
        <v>2016</v>
      </c>
      <c r="M133">
        <v>2018</v>
      </c>
      <c r="N133">
        <v>2018</v>
      </c>
      <c r="O133">
        <v>2020</v>
      </c>
      <c r="P133">
        <v>2020</v>
      </c>
      <c r="Q133">
        <v>2024</v>
      </c>
      <c r="R133">
        <f t="shared" si="74"/>
        <v>2</v>
      </c>
      <c r="S133">
        <f t="shared" si="75"/>
        <v>2</v>
      </c>
      <c r="T133">
        <f t="shared" si="76"/>
        <v>4</v>
      </c>
      <c r="U133" s="6">
        <f t="shared" si="77"/>
        <v>8</v>
      </c>
      <c r="W133" s="2"/>
      <c r="X133" s="2"/>
      <c r="Y133" s="19">
        <v>0</v>
      </c>
      <c r="Z133" s="19">
        <v>14.9</v>
      </c>
      <c r="AA133" s="19">
        <v>126.9</v>
      </c>
      <c r="AB133" s="2">
        <f t="shared" si="59"/>
        <v>141.80000000000001</v>
      </c>
      <c r="AC133" s="2"/>
      <c r="AD133" s="2"/>
      <c r="AE133" s="2" t="str">
        <f t="shared" si="83"/>
        <v/>
      </c>
      <c r="AF133" s="3"/>
      <c r="AG133" s="2" t="str">
        <f t="shared" si="78"/>
        <v/>
      </c>
      <c r="AH133" s="29"/>
      <c r="AI133" s="1" t="str">
        <f t="shared" si="79"/>
        <v/>
      </c>
      <c r="AJ133">
        <v>1</v>
      </c>
      <c r="AK133">
        <v>1</v>
      </c>
      <c r="AL133">
        <f t="shared" si="80"/>
        <v>0</v>
      </c>
      <c r="AM133">
        <f t="shared" si="81"/>
        <v>0</v>
      </c>
      <c r="AN133">
        <f t="shared" si="82"/>
        <v>1</v>
      </c>
      <c r="AO133">
        <f t="shared" si="84"/>
        <v>0</v>
      </c>
      <c r="AP133" s="1"/>
      <c r="AQ133">
        <f t="shared" si="86"/>
        <v>-2</v>
      </c>
      <c r="AR133">
        <f t="shared" si="87"/>
        <v>0</v>
      </c>
      <c r="AS133">
        <f t="shared" si="88"/>
        <v>0</v>
      </c>
      <c r="AT133" t="str">
        <f t="shared" si="70"/>
        <v>groot</v>
      </c>
    </row>
    <row r="134" spans="1:46" customFormat="1" x14ac:dyDescent="0.25">
      <c r="A134" s="13">
        <v>23</v>
      </c>
      <c r="B134">
        <v>22</v>
      </c>
      <c r="C134">
        <v>7</v>
      </c>
      <c r="D134" t="s">
        <v>149</v>
      </c>
      <c r="E134" t="s">
        <v>29</v>
      </c>
      <c r="F134" t="s">
        <v>150</v>
      </c>
      <c r="G134" s="3">
        <v>19500</v>
      </c>
      <c r="H134" s="21"/>
      <c r="I134" t="s">
        <v>63</v>
      </c>
      <c r="J134" s="21">
        <v>0</v>
      </c>
      <c r="K134" s="21">
        <v>0</v>
      </c>
      <c r="L134">
        <v>2015</v>
      </c>
      <c r="M134">
        <v>2018</v>
      </c>
      <c r="N134">
        <v>2018</v>
      </c>
      <c r="O134">
        <v>2020</v>
      </c>
      <c r="P134">
        <v>2020</v>
      </c>
      <c r="Q134">
        <v>2028</v>
      </c>
      <c r="R134">
        <f t="shared" si="74"/>
        <v>3</v>
      </c>
      <c r="S134">
        <f t="shared" si="75"/>
        <v>2</v>
      </c>
      <c r="T134">
        <f t="shared" si="76"/>
        <v>8</v>
      </c>
      <c r="U134" s="6">
        <f t="shared" si="77"/>
        <v>13</v>
      </c>
      <c r="V134" s="6">
        <f>U134-U135</f>
        <v>0</v>
      </c>
      <c r="W134" s="2"/>
      <c r="X134" s="2">
        <f>U134-U138</f>
        <v>7</v>
      </c>
      <c r="Y134" s="19">
        <f>11/0.9</f>
        <v>12.222222222222221</v>
      </c>
      <c r="Z134" s="19">
        <f>21.3/0.9</f>
        <v>23.666666666666668</v>
      </c>
      <c r="AA134" s="19">
        <f>267/0.9</f>
        <v>296.66666666666669</v>
      </c>
      <c r="AB134" s="2">
        <f t="shared" si="59"/>
        <v>332.55555555555554</v>
      </c>
      <c r="AC134" s="2">
        <f t="shared" ref="AC134:AC138" si="89">AB134-AB135</f>
        <v>-1.0001933333334136</v>
      </c>
      <c r="AD134" s="2"/>
      <c r="AE134" s="2">
        <f t="shared" si="83"/>
        <v>27.299806666666598</v>
      </c>
      <c r="AF134" s="3"/>
      <c r="AG134" s="2">
        <f t="shared" si="78"/>
        <v>6999.9991711241255</v>
      </c>
      <c r="AH134" s="29"/>
      <c r="AI134" s="1">
        <f t="shared" si="79"/>
        <v>12.43874643874644</v>
      </c>
      <c r="AK134" s="6">
        <f>IF(AB134&gt;64.2061111111111,1,0)</f>
        <v>1</v>
      </c>
      <c r="AL134">
        <f t="shared" si="80"/>
        <v>0</v>
      </c>
      <c r="AM134">
        <f t="shared" si="81"/>
        <v>0</v>
      </c>
      <c r="AN134">
        <f t="shared" si="82"/>
        <v>1</v>
      </c>
      <c r="AO134">
        <f t="shared" si="84"/>
        <v>0</v>
      </c>
      <c r="AP134" s="1">
        <f t="shared" si="85"/>
        <v>17.054131054131055</v>
      </c>
      <c r="AQ134">
        <f t="shared" si="86"/>
        <v>-2</v>
      </c>
      <c r="AR134">
        <f t="shared" si="87"/>
        <v>0</v>
      </c>
      <c r="AS134">
        <f t="shared" si="88"/>
        <v>0</v>
      </c>
      <c r="AT134" t="str">
        <f t="shared" si="70"/>
        <v>groot</v>
      </c>
    </row>
    <row r="135" spans="1:46" customFormat="1" x14ac:dyDescent="0.25">
      <c r="A135" s="13">
        <v>23</v>
      </c>
      <c r="B135">
        <v>21</v>
      </c>
      <c r="C135">
        <v>7</v>
      </c>
      <c r="D135" t="s">
        <v>149</v>
      </c>
      <c r="E135" t="s">
        <v>29</v>
      </c>
      <c r="F135" t="s">
        <v>150</v>
      </c>
      <c r="G135" s="3">
        <v>19500</v>
      </c>
      <c r="H135" s="21"/>
      <c r="I135" t="s">
        <v>63</v>
      </c>
      <c r="J135" s="21">
        <v>0</v>
      </c>
      <c r="K135" s="21">
        <v>0</v>
      </c>
      <c r="L135">
        <v>2015</v>
      </c>
      <c r="M135">
        <v>2018</v>
      </c>
      <c r="N135">
        <v>2018</v>
      </c>
      <c r="O135">
        <v>2020</v>
      </c>
      <c r="P135">
        <v>2020</v>
      </c>
      <c r="Q135">
        <v>2028</v>
      </c>
      <c r="R135">
        <f t="shared" si="74"/>
        <v>3</v>
      </c>
      <c r="S135">
        <f t="shared" si="75"/>
        <v>2</v>
      </c>
      <c r="T135">
        <f t="shared" si="76"/>
        <v>8</v>
      </c>
      <c r="U135" s="6">
        <f t="shared" si="77"/>
        <v>13</v>
      </c>
      <c r="V135" s="6">
        <f>U135-U136</f>
        <v>5</v>
      </c>
      <c r="W135" s="2">
        <f>U135-U138</f>
        <v>7</v>
      </c>
      <c r="X135" s="2"/>
      <c r="Y135" s="19">
        <v>12.255748888888892</v>
      </c>
      <c r="Z135" s="19">
        <v>23.748888888888892</v>
      </c>
      <c r="AA135" s="19">
        <v>297.55111111111114</v>
      </c>
      <c r="AB135" s="11">
        <f t="shared" ref="AB135" si="90">SUM(Y135:AA135)</f>
        <v>333.55574888888896</v>
      </c>
      <c r="AC135" s="2">
        <f t="shared" si="89"/>
        <v>119.77419333333339</v>
      </c>
      <c r="AD135" s="2">
        <f>AB135-AB138</f>
        <v>243.55574888888896</v>
      </c>
      <c r="AE135" s="2" t="str">
        <f t="shared" si="83"/>
        <v/>
      </c>
      <c r="AF135" s="3">
        <f>G135-G138</f>
        <v>6999.9991711241255</v>
      </c>
      <c r="AG135" s="2" t="str">
        <f t="shared" si="78"/>
        <v/>
      </c>
      <c r="AH135" s="29">
        <f>((AB135)/(G135/1000))-((AB138)/(G138/1000))</f>
        <v>9.905423497375498</v>
      </c>
      <c r="AI135" s="1" t="str">
        <f t="shared" si="79"/>
        <v/>
      </c>
      <c r="AJ135">
        <v>1</v>
      </c>
      <c r="AK135">
        <v>1</v>
      </c>
      <c r="AL135">
        <f t="shared" si="80"/>
        <v>0</v>
      </c>
      <c r="AM135">
        <f t="shared" si="81"/>
        <v>0</v>
      </c>
      <c r="AN135">
        <f t="shared" si="82"/>
        <v>1</v>
      </c>
      <c r="AO135">
        <f t="shared" si="84"/>
        <v>0</v>
      </c>
      <c r="AP135" s="1">
        <f t="shared" si="85"/>
        <v>17.105423019943025</v>
      </c>
      <c r="AQ135">
        <f t="shared" si="86"/>
        <v>-2</v>
      </c>
      <c r="AR135">
        <f t="shared" si="87"/>
        <v>0</v>
      </c>
      <c r="AS135">
        <f t="shared" si="88"/>
        <v>0</v>
      </c>
      <c r="AT135" t="str">
        <f t="shared" si="70"/>
        <v>groot</v>
      </c>
    </row>
    <row r="136" spans="1:46" customFormat="1" x14ac:dyDescent="0.25">
      <c r="A136" s="13">
        <v>23</v>
      </c>
      <c r="B136">
        <v>20</v>
      </c>
      <c r="C136">
        <v>21</v>
      </c>
      <c r="D136" t="s">
        <v>151</v>
      </c>
      <c r="E136" t="s">
        <v>29</v>
      </c>
      <c r="F136" t="s">
        <v>150</v>
      </c>
      <c r="G136" s="3">
        <v>19500</v>
      </c>
      <c r="H136" s="21">
        <v>115</v>
      </c>
      <c r="I136" t="s">
        <v>63</v>
      </c>
      <c r="J136" s="21">
        <v>0</v>
      </c>
      <c r="K136" s="21">
        <v>0</v>
      </c>
      <c r="L136">
        <v>2016</v>
      </c>
      <c r="M136">
        <v>2018</v>
      </c>
      <c r="N136">
        <v>2018</v>
      </c>
      <c r="O136">
        <v>2020</v>
      </c>
      <c r="P136">
        <v>2021</v>
      </c>
      <c r="Q136">
        <v>2025</v>
      </c>
      <c r="R136">
        <f t="shared" si="74"/>
        <v>2</v>
      </c>
      <c r="S136">
        <f t="shared" si="75"/>
        <v>2</v>
      </c>
      <c r="T136">
        <f t="shared" si="76"/>
        <v>4</v>
      </c>
      <c r="U136" s="6">
        <f t="shared" si="77"/>
        <v>8</v>
      </c>
      <c r="V136" s="6">
        <f>U136-U137</f>
        <v>3</v>
      </c>
      <c r="W136" s="2"/>
      <c r="X136" s="2"/>
      <c r="Y136" s="19">
        <v>12.256666666666668</v>
      </c>
      <c r="Z136" s="19">
        <v>23.748888888888889</v>
      </c>
      <c r="AA136" s="19">
        <v>177.77600000000001</v>
      </c>
      <c r="AB136" s="2">
        <f t="shared" si="59"/>
        <v>213.78155555555557</v>
      </c>
      <c r="AC136" s="2">
        <f t="shared" si="89"/>
        <v>137.28255555555558</v>
      </c>
      <c r="AD136" s="2"/>
      <c r="AE136" s="2" t="str">
        <f t="shared" si="83"/>
        <v/>
      </c>
      <c r="AF136" s="3"/>
      <c r="AG136" s="2" t="str">
        <f t="shared" si="78"/>
        <v/>
      </c>
      <c r="AH136" s="29"/>
      <c r="AI136" s="1" t="str">
        <f t="shared" si="79"/>
        <v/>
      </c>
      <c r="AJ136">
        <v>1</v>
      </c>
      <c r="AK136">
        <v>1</v>
      </c>
      <c r="AL136">
        <f t="shared" si="80"/>
        <v>0</v>
      </c>
      <c r="AM136">
        <f t="shared" si="81"/>
        <v>0</v>
      </c>
      <c r="AN136">
        <f t="shared" si="82"/>
        <v>0</v>
      </c>
      <c r="AO136">
        <f t="shared" si="84"/>
        <v>1</v>
      </c>
      <c r="AP136" s="1">
        <f t="shared" si="85"/>
        <v>10.963156695156696</v>
      </c>
      <c r="AQ136">
        <f t="shared" si="86"/>
        <v>-2</v>
      </c>
      <c r="AR136">
        <f t="shared" si="87"/>
        <v>0</v>
      </c>
      <c r="AS136">
        <f t="shared" si="88"/>
        <v>1</v>
      </c>
      <c r="AT136" t="str">
        <f t="shared" si="70"/>
        <v>groot</v>
      </c>
    </row>
    <row r="137" spans="1:46" customFormat="1" x14ac:dyDescent="0.25">
      <c r="A137" s="13">
        <v>23</v>
      </c>
      <c r="B137">
        <v>19</v>
      </c>
      <c r="C137">
        <v>18</v>
      </c>
      <c r="D137" t="s">
        <v>152</v>
      </c>
      <c r="E137" t="s">
        <v>29</v>
      </c>
      <c r="F137" t="s">
        <v>150</v>
      </c>
      <c r="G137" s="3">
        <v>19500</v>
      </c>
      <c r="H137" s="21"/>
      <c r="I137" t="s">
        <v>63</v>
      </c>
      <c r="J137" s="21">
        <v>0</v>
      </c>
      <c r="K137" s="21">
        <v>0</v>
      </c>
      <c r="N137">
        <v>2018</v>
      </c>
      <c r="O137">
        <v>2020</v>
      </c>
      <c r="P137">
        <v>2020</v>
      </c>
      <c r="Q137">
        <v>2023</v>
      </c>
      <c r="R137">
        <f t="shared" si="74"/>
        <v>0</v>
      </c>
      <c r="S137">
        <f t="shared" si="75"/>
        <v>2</v>
      </c>
      <c r="T137">
        <f t="shared" si="76"/>
        <v>3</v>
      </c>
      <c r="U137" s="6">
        <f t="shared" si="77"/>
        <v>5</v>
      </c>
      <c r="V137" s="6">
        <f>U137-U138</f>
        <v>-1</v>
      </c>
      <c r="W137" s="2"/>
      <c r="X137" s="2"/>
      <c r="Y137" s="19">
        <v>0</v>
      </c>
      <c r="Z137" s="19">
        <v>6.5</v>
      </c>
      <c r="AA137" s="19">
        <v>69.998999999999995</v>
      </c>
      <c r="AB137" s="2">
        <f t="shared" si="59"/>
        <v>76.498999999999995</v>
      </c>
      <c r="AC137" s="2">
        <f t="shared" si="89"/>
        <v>-13.501000000000005</v>
      </c>
      <c r="AD137" s="2"/>
      <c r="AE137" s="2" t="str">
        <f t="shared" si="83"/>
        <v/>
      </c>
      <c r="AF137" s="3"/>
      <c r="AG137" s="2" t="str">
        <f t="shared" si="78"/>
        <v/>
      </c>
      <c r="AH137" s="29"/>
      <c r="AI137" s="1" t="str">
        <f t="shared" si="79"/>
        <v/>
      </c>
      <c r="AJ137">
        <v>1</v>
      </c>
      <c r="AK137">
        <v>1</v>
      </c>
      <c r="AL137">
        <f t="shared" si="80"/>
        <v>0</v>
      </c>
      <c r="AM137">
        <f t="shared" si="81"/>
        <v>0</v>
      </c>
      <c r="AN137">
        <f t="shared" si="82"/>
        <v>1</v>
      </c>
      <c r="AO137">
        <f t="shared" si="84"/>
        <v>0</v>
      </c>
      <c r="AP137" s="1">
        <f t="shared" si="85"/>
        <v>3.923025641025641</v>
      </c>
      <c r="AQ137">
        <f t="shared" si="86"/>
        <v>-2</v>
      </c>
      <c r="AR137">
        <f t="shared" si="87"/>
        <v>0</v>
      </c>
      <c r="AS137">
        <f t="shared" si="88"/>
        <v>1</v>
      </c>
      <c r="AT137" t="str">
        <f t="shared" si="70"/>
        <v>groot</v>
      </c>
    </row>
    <row r="138" spans="1:46" customFormat="1" x14ac:dyDescent="0.25">
      <c r="A138" s="13">
        <v>23</v>
      </c>
      <c r="B138">
        <v>18</v>
      </c>
      <c r="C138">
        <v>27</v>
      </c>
      <c r="D138" t="s">
        <v>149</v>
      </c>
      <c r="E138" t="s">
        <v>29</v>
      </c>
      <c r="F138" t="s">
        <v>150</v>
      </c>
      <c r="G138" s="3">
        <v>12500.000828875875</v>
      </c>
      <c r="H138" s="21"/>
      <c r="I138" t="s">
        <v>63</v>
      </c>
      <c r="J138" s="21">
        <v>0</v>
      </c>
      <c r="K138" s="21">
        <v>0</v>
      </c>
      <c r="N138">
        <v>2018</v>
      </c>
      <c r="O138">
        <v>2021</v>
      </c>
      <c r="P138">
        <v>2021</v>
      </c>
      <c r="Q138">
        <v>2024</v>
      </c>
      <c r="R138">
        <f t="shared" si="74"/>
        <v>0</v>
      </c>
      <c r="S138">
        <f t="shared" si="75"/>
        <v>3</v>
      </c>
      <c r="T138">
        <f t="shared" si="76"/>
        <v>3</v>
      </c>
      <c r="U138" s="6">
        <f t="shared" si="77"/>
        <v>6</v>
      </c>
      <c r="V138" s="6">
        <f>U138-U139</f>
        <v>1</v>
      </c>
      <c r="W138" s="2"/>
      <c r="X138" s="2"/>
      <c r="Y138" s="19">
        <v>0</v>
      </c>
      <c r="Z138" s="19">
        <v>3.7</v>
      </c>
      <c r="AA138" s="19">
        <v>86.3</v>
      </c>
      <c r="AB138" s="2">
        <f t="shared" si="59"/>
        <v>90</v>
      </c>
      <c r="AC138" s="2">
        <f t="shared" si="89"/>
        <v>-28.300000000000011</v>
      </c>
      <c r="AD138" s="2"/>
      <c r="AE138" s="2" t="str">
        <f t="shared" si="83"/>
        <v/>
      </c>
      <c r="AF138" s="3"/>
      <c r="AG138" s="2" t="str">
        <f t="shared" si="78"/>
        <v/>
      </c>
      <c r="AH138" s="29"/>
      <c r="AI138" s="1" t="str">
        <f t="shared" si="79"/>
        <v/>
      </c>
      <c r="AJ138">
        <v>1</v>
      </c>
      <c r="AK138">
        <v>1</v>
      </c>
      <c r="AL138">
        <f t="shared" si="80"/>
        <v>0</v>
      </c>
      <c r="AM138">
        <f t="shared" si="81"/>
        <v>1</v>
      </c>
      <c r="AN138">
        <f t="shared" si="82"/>
        <v>0</v>
      </c>
      <c r="AO138">
        <f t="shared" si="84"/>
        <v>1</v>
      </c>
      <c r="AP138" s="1">
        <f t="shared" si="85"/>
        <v>7.199999522567528</v>
      </c>
      <c r="AQ138">
        <f t="shared" si="86"/>
        <v>-2</v>
      </c>
      <c r="AR138">
        <f t="shared" si="87"/>
        <v>0</v>
      </c>
      <c r="AS138">
        <f t="shared" si="88"/>
        <v>0</v>
      </c>
      <c r="AT138" t="str">
        <f t="shared" si="70"/>
        <v>groot</v>
      </c>
    </row>
    <row r="139" spans="1:46" customFormat="1" x14ac:dyDescent="0.25">
      <c r="A139" s="13">
        <v>23</v>
      </c>
      <c r="B139">
        <v>17</v>
      </c>
      <c r="C139">
        <v>18</v>
      </c>
      <c r="D139" t="s">
        <v>149</v>
      </c>
      <c r="E139" t="s">
        <v>29</v>
      </c>
      <c r="F139" t="s">
        <v>150</v>
      </c>
      <c r="G139" s="3"/>
      <c r="H139" s="21"/>
      <c r="J139" s="21">
        <v>0</v>
      </c>
      <c r="K139" s="21">
        <v>0</v>
      </c>
      <c r="N139">
        <v>2018</v>
      </c>
      <c r="O139">
        <v>2020</v>
      </c>
      <c r="P139">
        <v>2020</v>
      </c>
      <c r="Q139">
        <v>2023</v>
      </c>
      <c r="R139">
        <f t="shared" si="74"/>
        <v>0</v>
      </c>
      <c r="S139">
        <f t="shared" si="75"/>
        <v>2</v>
      </c>
      <c r="T139">
        <f t="shared" si="76"/>
        <v>3</v>
      </c>
      <c r="U139" s="6">
        <f t="shared" si="77"/>
        <v>5</v>
      </c>
      <c r="W139" s="2"/>
      <c r="X139" s="2"/>
      <c r="Y139" s="19">
        <v>0</v>
      </c>
      <c r="Z139" s="19">
        <v>12.4</v>
      </c>
      <c r="AA139" s="19">
        <v>105.9</v>
      </c>
      <c r="AB139" s="2">
        <f t="shared" si="59"/>
        <v>118.30000000000001</v>
      </c>
      <c r="AC139" s="2"/>
      <c r="AD139" s="2"/>
      <c r="AE139" s="2" t="str">
        <f t="shared" si="83"/>
        <v/>
      </c>
      <c r="AF139" s="3"/>
      <c r="AG139" s="2" t="str">
        <f t="shared" si="78"/>
        <v/>
      </c>
      <c r="AH139" s="29"/>
      <c r="AI139" s="1" t="str">
        <f t="shared" si="79"/>
        <v/>
      </c>
      <c r="AJ139">
        <v>1</v>
      </c>
      <c r="AK139">
        <v>1</v>
      </c>
      <c r="AL139">
        <f t="shared" si="80"/>
        <v>0</v>
      </c>
      <c r="AM139">
        <f t="shared" si="81"/>
        <v>0</v>
      </c>
      <c r="AN139">
        <f t="shared" si="82"/>
        <v>1</v>
      </c>
      <c r="AO139">
        <f t="shared" si="84"/>
        <v>0</v>
      </c>
      <c r="AP139" s="1"/>
      <c r="AQ139">
        <f t="shared" si="86"/>
        <v>-2</v>
      </c>
      <c r="AR139">
        <f t="shared" si="87"/>
        <v>0</v>
      </c>
      <c r="AS139">
        <f t="shared" si="88"/>
        <v>0</v>
      </c>
      <c r="AT139" t="str">
        <f t="shared" si="70"/>
        <v>groot</v>
      </c>
    </row>
    <row r="140" spans="1:46" customFormat="1" x14ac:dyDescent="0.25">
      <c r="A140" s="13">
        <v>24</v>
      </c>
      <c r="B140">
        <v>22</v>
      </c>
      <c r="C140">
        <v>25</v>
      </c>
      <c r="D140" t="s">
        <v>153</v>
      </c>
      <c r="E140" t="s">
        <v>86</v>
      </c>
      <c r="F140" t="s">
        <v>154</v>
      </c>
      <c r="G140" s="3">
        <v>283</v>
      </c>
      <c r="H140" s="21"/>
      <c r="J140" s="21">
        <v>0</v>
      </c>
      <c r="K140" s="21">
        <v>0</v>
      </c>
      <c r="L140">
        <v>2023</v>
      </c>
      <c r="M140">
        <v>2025</v>
      </c>
      <c r="N140">
        <v>2025</v>
      </c>
      <c r="O140">
        <v>2027</v>
      </c>
      <c r="P140">
        <v>2027</v>
      </c>
      <c r="Q140">
        <v>2029</v>
      </c>
      <c r="R140">
        <f t="shared" si="74"/>
        <v>2</v>
      </c>
      <c r="S140">
        <f t="shared" si="75"/>
        <v>2</v>
      </c>
      <c r="T140">
        <f t="shared" si="76"/>
        <v>2</v>
      </c>
      <c r="U140" s="6">
        <f t="shared" si="77"/>
        <v>6</v>
      </c>
      <c r="V140" s="6">
        <f>U140-U141</f>
        <v>0</v>
      </c>
      <c r="W140" s="2"/>
      <c r="X140" s="2">
        <f>U140-U144</f>
        <v>0</v>
      </c>
      <c r="Y140" s="19">
        <v>0.26</v>
      </c>
      <c r="Z140" s="19">
        <v>0.7</v>
      </c>
      <c r="AA140" s="19">
        <v>5.74</v>
      </c>
      <c r="AB140" s="2">
        <f t="shared" si="59"/>
        <v>6.7</v>
      </c>
      <c r="AC140" s="2">
        <f t="shared" ref="AC140:AC144" si="91">AB140-AB141</f>
        <v>0</v>
      </c>
      <c r="AD140" s="2"/>
      <c r="AE140" s="2">
        <f t="shared" si="83"/>
        <v>0</v>
      </c>
      <c r="AF140" s="3"/>
      <c r="AG140" s="2">
        <f t="shared" si="78"/>
        <v>0.14224693342839601</v>
      </c>
      <c r="AH140" s="29"/>
      <c r="AI140" s="1">
        <f t="shared" si="79"/>
        <v>-1.1905926376144293E-2</v>
      </c>
      <c r="AK140" s="6">
        <f>IF(AB140&gt;64.2061111111111,1,0)</f>
        <v>0</v>
      </c>
      <c r="AL140">
        <f t="shared" si="80"/>
        <v>0</v>
      </c>
      <c r="AM140">
        <f t="shared" si="81"/>
        <v>0</v>
      </c>
      <c r="AN140">
        <f t="shared" si="82"/>
        <v>0</v>
      </c>
      <c r="AO140">
        <f t="shared" si="84"/>
        <v>7</v>
      </c>
      <c r="AP140" s="1">
        <f t="shared" si="85"/>
        <v>23.674911660777386</v>
      </c>
      <c r="AQ140">
        <f t="shared" si="86"/>
        <v>5</v>
      </c>
      <c r="AR140">
        <f t="shared" si="87"/>
        <v>1</v>
      </c>
      <c r="AS140">
        <f t="shared" si="88"/>
        <v>1</v>
      </c>
      <c r="AT140" t="str">
        <f t="shared" si="70"/>
        <v>klein</v>
      </c>
    </row>
    <row r="141" spans="1:46" customFormat="1" x14ac:dyDescent="0.25">
      <c r="A141" s="13">
        <v>24</v>
      </c>
      <c r="B141">
        <v>21</v>
      </c>
      <c r="C141">
        <v>25</v>
      </c>
      <c r="D141" t="s">
        <v>153</v>
      </c>
      <c r="E141" t="s">
        <v>86</v>
      </c>
      <c r="F141" t="s">
        <v>154</v>
      </c>
      <c r="G141" s="3">
        <v>283</v>
      </c>
      <c r="H141" s="21">
        <v>1</v>
      </c>
      <c r="I141" t="s">
        <v>90</v>
      </c>
      <c r="J141" s="21">
        <v>0</v>
      </c>
      <c r="K141" s="21">
        <v>0</v>
      </c>
      <c r="L141">
        <v>2023</v>
      </c>
      <c r="M141">
        <v>2025</v>
      </c>
      <c r="N141">
        <v>2025</v>
      </c>
      <c r="O141">
        <v>2027</v>
      </c>
      <c r="P141">
        <v>2027</v>
      </c>
      <c r="Q141">
        <v>2029</v>
      </c>
      <c r="R141">
        <f t="shared" si="74"/>
        <v>2</v>
      </c>
      <c r="S141">
        <f t="shared" si="75"/>
        <v>2</v>
      </c>
      <c r="T141">
        <f t="shared" si="76"/>
        <v>2</v>
      </c>
      <c r="U141" s="6">
        <f t="shared" si="77"/>
        <v>6</v>
      </c>
      <c r="V141" s="6">
        <f>U141-U142</f>
        <v>-3</v>
      </c>
      <c r="W141" s="2">
        <f>U141-U144</f>
        <v>0</v>
      </c>
      <c r="X141" s="2"/>
      <c r="Y141" s="19">
        <v>0.26</v>
      </c>
      <c r="Z141" s="19">
        <v>0.7</v>
      </c>
      <c r="AA141" s="19">
        <v>5.74</v>
      </c>
      <c r="AB141" s="2">
        <f t="shared" si="59"/>
        <v>6.7</v>
      </c>
      <c r="AC141" s="2">
        <f t="shared" si="91"/>
        <v>5.7</v>
      </c>
      <c r="AD141" s="2">
        <f>AB141-AB144</f>
        <v>0</v>
      </c>
      <c r="AE141" s="2" t="str">
        <f t="shared" si="83"/>
        <v/>
      </c>
      <c r="AF141" s="3">
        <f>G141-G144</f>
        <v>0.14224693342839601</v>
      </c>
      <c r="AG141" s="2" t="str">
        <f t="shared" si="78"/>
        <v/>
      </c>
      <c r="AH141" s="29">
        <f>((AB141)/(G141/1000))-((AB144)/(G144/1000))</f>
        <v>-1.1905926376144293E-2</v>
      </c>
      <c r="AI141" s="1" t="str">
        <f t="shared" si="79"/>
        <v/>
      </c>
      <c r="AJ141">
        <v>0</v>
      </c>
      <c r="AK141">
        <v>0</v>
      </c>
      <c r="AL141">
        <f t="shared" si="80"/>
        <v>0</v>
      </c>
      <c r="AM141">
        <f t="shared" si="81"/>
        <v>0</v>
      </c>
      <c r="AN141">
        <f t="shared" si="82"/>
        <v>0</v>
      </c>
      <c r="AO141">
        <f t="shared" si="84"/>
        <v>7</v>
      </c>
      <c r="AP141" s="1">
        <f t="shared" si="85"/>
        <v>23.674911660777386</v>
      </c>
      <c r="AQ141">
        <f t="shared" si="86"/>
        <v>5</v>
      </c>
      <c r="AR141">
        <f t="shared" si="87"/>
        <v>1</v>
      </c>
      <c r="AS141">
        <f t="shared" si="88"/>
        <v>1</v>
      </c>
      <c r="AT141" t="str">
        <f t="shared" si="70"/>
        <v>klein</v>
      </c>
    </row>
    <row r="142" spans="1:46" customFormat="1" x14ac:dyDescent="0.25">
      <c r="A142" s="13">
        <v>24</v>
      </c>
      <c r="B142">
        <v>20</v>
      </c>
      <c r="C142">
        <v>56</v>
      </c>
      <c r="D142" t="s">
        <v>153</v>
      </c>
      <c r="E142" t="s">
        <v>86</v>
      </c>
      <c r="F142" t="s">
        <v>154</v>
      </c>
      <c r="G142" s="3">
        <v>282.8577530665716</v>
      </c>
      <c r="H142" s="21"/>
      <c r="I142" t="s">
        <v>90</v>
      </c>
      <c r="J142" s="21">
        <v>0</v>
      </c>
      <c r="K142" s="21">
        <v>0</v>
      </c>
      <c r="L142">
        <v>2017</v>
      </c>
      <c r="M142">
        <v>2022</v>
      </c>
      <c r="N142">
        <v>2022</v>
      </c>
      <c r="O142">
        <v>2024</v>
      </c>
      <c r="P142">
        <v>2024</v>
      </c>
      <c r="Q142">
        <v>2026</v>
      </c>
      <c r="R142">
        <f t="shared" si="74"/>
        <v>5</v>
      </c>
      <c r="S142">
        <f t="shared" si="75"/>
        <v>2</v>
      </c>
      <c r="T142">
        <f t="shared" si="76"/>
        <v>2</v>
      </c>
      <c r="U142" s="6">
        <f t="shared" si="77"/>
        <v>9</v>
      </c>
      <c r="V142" s="6">
        <f>U142-U143</f>
        <v>0</v>
      </c>
      <c r="W142" s="2"/>
      <c r="X142" s="2"/>
      <c r="Y142" s="19">
        <v>0</v>
      </c>
      <c r="Z142" s="19">
        <v>0.3</v>
      </c>
      <c r="AA142" s="19">
        <v>0.7</v>
      </c>
      <c r="AB142" s="2">
        <f t="shared" si="59"/>
        <v>1</v>
      </c>
      <c r="AC142" s="2">
        <f t="shared" si="91"/>
        <v>-5.8669999999999991</v>
      </c>
      <c r="AD142" s="2"/>
      <c r="AE142" s="2" t="str">
        <f t="shared" si="83"/>
        <v/>
      </c>
      <c r="AF142" s="3"/>
      <c r="AG142" s="2" t="str">
        <f t="shared" si="78"/>
        <v/>
      </c>
      <c r="AH142" s="29"/>
      <c r="AI142" s="1" t="str">
        <f t="shared" si="79"/>
        <v/>
      </c>
      <c r="AJ142">
        <v>0</v>
      </c>
      <c r="AK142">
        <v>0</v>
      </c>
      <c r="AL142">
        <f t="shared" si="80"/>
        <v>1</v>
      </c>
      <c r="AM142">
        <f t="shared" si="81"/>
        <v>0</v>
      </c>
      <c r="AN142">
        <f t="shared" si="82"/>
        <v>0</v>
      </c>
      <c r="AO142">
        <f t="shared" si="84"/>
        <v>4</v>
      </c>
      <c r="AP142" s="1">
        <f t="shared" si="85"/>
        <v>3.535345908530378</v>
      </c>
      <c r="AQ142">
        <f t="shared" si="86"/>
        <v>2</v>
      </c>
      <c r="AR142">
        <f t="shared" si="87"/>
        <v>1</v>
      </c>
      <c r="AS142">
        <f t="shared" si="88"/>
        <v>1</v>
      </c>
      <c r="AT142" t="str">
        <f t="shared" si="70"/>
        <v>klein</v>
      </c>
    </row>
    <row r="143" spans="1:46" customFormat="1" x14ac:dyDescent="0.25">
      <c r="A143" s="13">
        <v>24</v>
      </c>
      <c r="B143">
        <v>19</v>
      </c>
      <c r="C143">
        <v>55</v>
      </c>
      <c r="D143" t="s">
        <v>153</v>
      </c>
      <c r="E143" t="s">
        <v>86</v>
      </c>
      <c r="F143" t="s">
        <v>154</v>
      </c>
      <c r="G143" s="3">
        <v>282.8577530665716</v>
      </c>
      <c r="H143" s="21" t="s">
        <v>90</v>
      </c>
      <c r="J143" s="21">
        <v>0</v>
      </c>
      <c r="K143" s="21">
        <v>0</v>
      </c>
      <c r="L143">
        <v>2017</v>
      </c>
      <c r="M143">
        <v>2022</v>
      </c>
      <c r="N143">
        <v>2022</v>
      </c>
      <c r="O143">
        <v>2024</v>
      </c>
      <c r="P143">
        <v>2024</v>
      </c>
      <c r="Q143">
        <v>2026</v>
      </c>
      <c r="R143">
        <f t="shared" si="74"/>
        <v>5</v>
      </c>
      <c r="S143">
        <f t="shared" si="75"/>
        <v>2</v>
      </c>
      <c r="T143">
        <f t="shared" si="76"/>
        <v>2</v>
      </c>
      <c r="U143" s="6">
        <f t="shared" si="77"/>
        <v>9</v>
      </c>
      <c r="V143" s="6">
        <f>U143-U144</f>
        <v>3</v>
      </c>
      <c r="W143" s="2"/>
      <c r="X143" s="2"/>
      <c r="Y143" s="19">
        <v>0.42200000000000004</v>
      </c>
      <c r="Z143" s="19">
        <v>0.66700000000000004</v>
      </c>
      <c r="AA143" s="19">
        <v>5.7779999999999996</v>
      </c>
      <c r="AB143" s="2">
        <f t="shared" si="59"/>
        <v>6.8669999999999991</v>
      </c>
      <c r="AC143" s="2">
        <f t="shared" si="91"/>
        <v>0.16699999999999982</v>
      </c>
      <c r="AD143" s="2"/>
      <c r="AE143" s="2" t="str">
        <f t="shared" si="83"/>
        <v/>
      </c>
      <c r="AF143" s="3"/>
      <c r="AG143" s="2" t="str">
        <f t="shared" si="78"/>
        <v/>
      </c>
      <c r="AH143" s="29"/>
      <c r="AI143" s="1" t="str">
        <f t="shared" si="79"/>
        <v/>
      </c>
      <c r="AJ143">
        <v>0</v>
      </c>
      <c r="AK143">
        <v>0</v>
      </c>
      <c r="AL143">
        <f t="shared" si="80"/>
        <v>1</v>
      </c>
      <c r="AM143">
        <f t="shared" si="81"/>
        <v>0</v>
      </c>
      <c r="AN143">
        <f t="shared" si="82"/>
        <v>0</v>
      </c>
      <c r="AO143">
        <f t="shared" si="84"/>
        <v>4</v>
      </c>
      <c r="AP143" s="1">
        <f t="shared" si="85"/>
        <v>24.277220353878104</v>
      </c>
      <c r="AQ143">
        <f t="shared" si="86"/>
        <v>2</v>
      </c>
      <c r="AR143">
        <f t="shared" si="87"/>
        <v>1</v>
      </c>
      <c r="AS143">
        <f t="shared" si="88"/>
        <v>1</v>
      </c>
      <c r="AT143" t="str">
        <f t="shared" si="70"/>
        <v>klein</v>
      </c>
    </row>
    <row r="144" spans="1:46" customFormat="1" x14ac:dyDescent="0.25">
      <c r="A144" s="13">
        <v>24</v>
      </c>
      <c r="B144">
        <v>18</v>
      </c>
      <c r="C144">
        <v>57</v>
      </c>
      <c r="D144" t="s">
        <v>155</v>
      </c>
      <c r="E144" t="s">
        <v>86</v>
      </c>
      <c r="F144" t="s">
        <v>154</v>
      </c>
      <c r="G144" s="3">
        <v>282.8577530665716</v>
      </c>
      <c r="H144" s="21"/>
      <c r="J144" s="21">
        <v>0</v>
      </c>
      <c r="K144" s="21">
        <v>0</v>
      </c>
      <c r="L144">
        <v>2017</v>
      </c>
      <c r="M144">
        <v>2019</v>
      </c>
      <c r="N144">
        <v>2019</v>
      </c>
      <c r="O144">
        <v>2021</v>
      </c>
      <c r="P144">
        <v>2021</v>
      </c>
      <c r="Q144">
        <v>2023</v>
      </c>
      <c r="R144">
        <f t="shared" si="74"/>
        <v>2</v>
      </c>
      <c r="S144">
        <f t="shared" si="75"/>
        <v>2</v>
      </c>
      <c r="T144">
        <f t="shared" si="76"/>
        <v>2</v>
      </c>
      <c r="U144" s="6">
        <f t="shared" si="77"/>
        <v>6</v>
      </c>
      <c r="V144" s="6">
        <f>U144-U145</f>
        <v>-1</v>
      </c>
      <c r="W144" s="2"/>
      <c r="X144" s="2"/>
      <c r="Y144" s="19">
        <v>0.2</v>
      </c>
      <c r="Z144" s="19">
        <v>0.7</v>
      </c>
      <c r="AA144" s="19">
        <v>5.8</v>
      </c>
      <c r="AB144" s="2">
        <f t="shared" si="59"/>
        <v>6.6999999999999993</v>
      </c>
      <c r="AC144" s="2">
        <f t="shared" si="91"/>
        <v>0</v>
      </c>
      <c r="AD144" s="2"/>
      <c r="AE144" s="2" t="str">
        <f t="shared" si="83"/>
        <v/>
      </c>
      <c r="AF144" s="3"/>
      <c r="AG144" s="2" t="str">
        <f t="shared" si="78"/>
        <v/>
      </c>
      <c r="AH144" s="29"/>
      <c r="AI144" s="1" t="str">
        <f t="shared" si="79"/>
        <v/>
      </c>
      <c r="AJ144">
        <v>0</v>
      </c>
      <c r="AK144">
        <v>0</v>
      </c>
      <c r="AL144">
        <f t="shared" si="80"/>
        <v>0</v>
      </c>
      <c r="AM144">
        <f t="shared" si="81"/>
        <v>1</v>
      </c>
      <c r="AN144">
        <f t="shared" si="82"/>
        <v>0</v>
      </c>
      <c r="AO144">
        <f t="shared" si="84"/>
        <v>1</v>
      </c>
      <c r="AP144" s="1">
        <f t="shared" si="85"/>
        <v>23.686817587153531</v>
      </c>
      <c r="AQ144">
        <f t="shared" si="86"/>
        <v>-1</v>
      </c>
      <c r="AR144">
        <f t="shared" si="87"/>
        <v>0</v>
      </c>
      <c r="AS144">
        <f t="shared" si="88"/>
        <v>0</v>
      </c>
      <c r="AT144" t="str">
        <f t="shared" si="70"/>
        <v>klein</v>
      </c>
    </row>
    <row r="145" spans="1:46" customFormat="1" x14ac:dyDescent="0.25">
      <c r="A145" s="13">
        <v>24</v>
      </c>
      <c r="B145">
        <v>17</v>
      </c>
      <c r="C145">
        <v>44</v>
      </c>
      <c r="D145" t="s">
        <v>155</v>
      </c>
      <c r="E145" t="s">
        <v>86</v>
      </c>
      <c r="F145" t="s">
        <v>154</v>
      </c>
      <c r="G145" s="3"/>
      <c r="H145" s="21"/>
      <c r="J145" s="21">
        <v>0</v>
      </c>
      <c r="K145" s="21">
        <v>0</v>
      </c>
      <c r="L145">
        <v>2017</v>
      </c>
      <c r="M145">
        <v>2019</v>
      </c>
      <c r="N145">
        <v>2019</v>
      </c>
      <c r="O145">
        <v>2022</v>
      </c>
      <c r="P145">
        <v>2022</v>
      </c>
      <c r="Q145">
        <v>2024</v>
      </c>
      <c r="R145">
        <f t="shared" si="74"/>
        <v>2</v>
      </c>
      <c r="S145">
        <f t="shared" si="75"/>
        <v>3</v>
      </c>
      <c r="T145">
        <f t="shared" si="76"/>
        <v>2</v>
      </c>
      <c r="U145" s="6">
        <f t="shared" si="77"/>
        <v>7</v>
      </c>
      <c r="W145" s="2"/>
      <c r="X145" s="2"/>
      <c r="Y145" s="19">
        <v>0.2</v>
      </c>
      <c r="Z145" s="19">
        <v>0.7</v>
      </c>
      <c r="AA145" s="19">
        <v>5.8</v>
      </c>
      <c r="AB145" s="2">
        <f t="shared" si="59"/>
        <v>6.6999999999999993</v>
      </c>
      <c r="AC145" s="2"/>
      <c r="AD145" s="2"/>
      <c r="AE145" s="2" t="str">
        <f t="shared" si="83"/>
        <v/>
      </c>
      <c r="AF145" s="3"/>
      <c r="AG145" s="2" t="str">
        <f t="shared" si="78"/>
        <v/>
      </c>
      <c r="AH145" s="29"/>
      <c r="AI145" s="1" t="str">
        <f t="shared" si="79"/>
        <v/>
      </c>
      <c r="AJ145">
        <v>0</v>
      </c>
      <c r="AK145">
        <v>0</v>
      </c>
      <c r="AL145">
        <f t="shared" si="80"/>
        <v>0</v>
      </c>
      <c r="AM145">
        <f t="shared" si="81"/>
        <v>1</v>
      </c>
      <c r="AN145">
        <f t="shared" si="82"/>
        <v>0</v>
      </c>
      <c r="AO145">
        <f t="shared" si="84"/>
        <v>2</v>
      </c>
      <c r="AP145" s="1"/>
      <c r="AQ145">
        <f t="shared" si="86"/>
        <v>-1</v>
      </c>
      <c r="AR145">
        <f t="shared" si="87"/>
        <v>0</v>
      </c>
      <c r="AS145">
        <f t="shared" si="88"/>
        <v>0</v>
      </c>
      <c r="AT145" t="str">
        <f t="shared" si="70"/>
        <v>klein</v>
      </c>
    </row>
    <row r="146" spans="1:46" customFormat="1" x14ac:dyDescent="0.25">
      <c r="A146" s="13">
        <v>25</v>
      </c>
      <c r="B146">
        <v>22</v>
      </c>
      <c r="C146">
        <v>49</v>
      </c>
      <c r="D146" t="s">
        <v>156</v>
      </c>
      <c r="E146" t="s">
        <v>97</v>
      </c>
      <c r="F146" t="s">
        <v>157</v>
      </c>
      <c r="G146" s="3">
        <v>11700</v>
      </c>
      <c r="H146" s="21"/>
      <c r="I146" t="s">
        <v>158</v>
      </c>
      <c r="J146" s="21">
        <v>0</v>
      </c>
      <c r="K146" s="21">
        <v>0</v>
      </c>
      <c r="P146">
        <v>2016</v>
      </c>
      <c r="Q146">
        <v>2021</v>
      </c>
      <c r="T146">
        <f t="shared" ref="T146:T156" si="92">Q146-P146</f>
        <v>5</v>
      </c>
      <c r="U146" s="6">
        <f t="shared" ref="U146:U156" si="93">SUM(R146:T146)</f>
        <v>5</v>
      </c>
      <c r="V146" s="6">
        <f>U146-U147</f>
        <v>0</v>
      </c>
      <c r="W146" s="2"/>
      <c r="X146" s="2">
        <f>U146-U150</f>
        <v>0</v>
      </c>
      <c r="Y146" s="19">
        <v>0</v>
      </c>
      <c r="Z146" s="19">
        <f>32.8/0.9</f>
        <v>36.444444444444443</v>
      </c>
      <c r="AA146" s="19">
        <f>54.3/0.9</f>
        <v>60.333333333333329</v>
      </c>
      <c r="AB146" s="2">
        <f t="shared" si="59"/>
        <v>96.777777777777771</v>
      </c>
      <c r="AC146" s="2"/>
      <c r="AD146" s="2"/>
      <c r="AE146" s="2">
        <f t="shared" si="83"/>
        <v>7.0999999999999943</v>
      </c>
      <c r="AF146" s="3"/>
      <c r="AG146" s="2">
        <f t="shared" si="78"/>
        <v>-141.0723808203802</v>
      </c>
      <c r="AH146" s="29"/>
      <c r="AI146" s="1">
        <f t="shared" si="79"/>
        <v>1.7350348109435307</v>
      </c>
      <c r="AK146" s="6">
        <f>IF(AB146&gt;64.2061111111111,1,0)</f>
        <v>1</v>
      </c>
      <c r="AL146">
        <f t="shared" si="80"/>
        <v>0</v>
      </c>
      <c r="AM146">
        <f t="shared" si="81"/>
        <v>0</v>
      </c>
      <c r="AN146">
        <f t="shared" si="82"/>
        <v>1</v>
      </c>
      <c r="AO146">
        <f t="shared" si="84"/>
        <v>-4</v>
      </c>
      <c r="AP146" s="1">
        <f t="shared" si="85"/>
        <v>8.2716049382716044</v>
      </c>
      <c r="AR146">
        <f t="shared" si="87"/>
        <v>0</v>
      </c>
      <c r="AS146">
        <f t="shared" si="88"/>
        <v>0</v>
      </c>
      <c r="AT146" t="str">
        <f t="shared" si="70"/>
        <v>groot</v>
      </c>
    </row>
    <row r="147" spans="1:46" customFormat="1" x14ac:dyDescent="0.25">
      <c r="A147" s="13">
        <v>25</v>
      </c>
      <c r="B147">
        <v>21</v>
      </c>
      <c r="C147">
        <v>49</v>
      </c>
      <c r="D147" t="s">
        <v>156</v>
      </c>
      <c r="E147" t="s">
        <v>97</v>
      </c>
      <c r="F147" t="s">
        <v>157</v>
      </c>
      <c r="G147" s="3">
        <v>11700</v>
      </c>
      <c r="H147" s="21"/>
      <c r="I147" t="s">
        <v>158</v>
      </c>
      <c r="J147" s="21">
        <v>0</v>
      </c>
      <c r="K147" s="21">
        <v>0</v>
      </c>
      <c r="P147">
        <v>2016</v>
      </c>
      <c r="Q147">
        <v>2021</v>
      </c>
      <c r="T147">
        <f t="shared" si="92"/>
        <v>5</v>
      </c>
      <c r="U147" s="6">
        <f t="shared" si="93"/>
        <v>5</v>
      </c>
      <c r="V147" s="6">
        <f>U147-U148</f>
        <v>0</v>
      </c>
      <c r="W147" s="2">
        <f>U147-U150</f>
        <v>0</v>
      </c>
      <c r="X147" s="2"/>
      <c r="Y147" s="19">
        <v>0</v>
      </c>
      <c r="Z147" s="19">
        <f>39/0.9</f>
        <v>43.333333333333336</v>
      </c>
      <c r="AA147" s="19">
        <f>54/0.9</f>
        <v>60</v>
      </c>
      <c r="AB147" s="2">
        <f t="shared" si="59"/>
        <v>103.33333333333334</v>
      </c>
      <c r="AC147" s="2">
        <f t="shared" ref="AC147:AC150" si="94">AB147-AB148</f>
        <v>0</v>
      </c>
      <c r="AD147" s="2">
        <f>AB147-AB150</f>
        <v>25.933333333333337</v>
      </c>
      <c r="AE147" s="2" t="str">
        <f t="shared" si="83"/>
        <v/>
      </c>
      <c r="AF147" s="3">
        <f>G147-G150</f>
        <v>-141.0723808203802</v>
      </c>
      <c r="AG147" s="2" t="str">
        <f t="shared" si="78"/>
        <v/>
      </c>
      <c r="AH147" s="29">
        <f>((AB147)/(G147/1000))-((AB150)/(G150/1000))</f>
        <v>2.2953387045807601</v>
      </c>
      <c r="AI147" s="1" t="str">
        <f t="shared" si="79"/>
        <v/>
      </c>
      <c r="AJ147">
        <v>0</v>
      </c>
      <c r="AK147">
        <v>1</v>
      </c>
      <c r="AL147">
        <f t="shared" si="80"/>
        <v>0</v>
      </c>
      <c r="AM147">
        <f t="shared" si="81"/>
        <v>0</v>
      </c>
      <c r="AN147">
        <f t="shared" si="82"/>
        <v>1</v>
      </c>
      <c r="AO147">
        <f t="shared" si="84"/>
        <v>-4</v>
      </c>
      <c r="AP147" s="1">
        <f t="shared" si="85"/>
        <v>8.8319088319088337</v>
      </c>
      <c r="AR147">
        <f t="shared" si="87"/>
        <v>0</v>
      </c>
      <c r="AS147">
        <f t="shared" si="88"/>
        <v>0</v>
      </c>
      <c r="AT147" t="str">
        <f t="shared" si="70"/>
        <v>groot</v>
      </c>
    </row>
    <row r="148" spans="1:46" customFormat="1" x14ac:dyDescent="0.25">
      <c r="A148" s="13">
        <v>25</v>
      </c>
      <c r="B148">
        <v>20</v>
      </c>
      <c r="C148">
        <v>118</v>
      </c>
      <c r="D148" t="s">
        <v>156</v>
      </c>
      <c r="E148" t="s">
        <v>97</v>
      </c>
      <c r="F148" t="s">
        <v>157</v>
      </c>
      <c r="G148" s="3">
        <v>11740</v>
      </c>
      <c r="H148" s="21">
        <v>13</v>
      </c>
      <c r="I148" t="s">
        <v>158</v>
      </c>
      <c r="J148" s="21">
        <v>0</v>
      </c>
      <c r="K148" s="21">
        <v>0</v>
      </c>
      <c r="N148">
        <v>2017</v>
      </c>
      <c r="O148">
        <v>2018</v>
      </c>
      <c r="P148">
        <v>2018</v>
      </c>
      <c r="Q148">
        <v>2022</v>
      </c>
      <c r="S148">
        <f t="shared" ref="S148:S156" si="95">O148-N148</f>
        <v>1</v>
      </c>
      <c r="T148">
        <f t="shared" si="92"/>
        <v>4</v>
      </c>
      <c r="U148" s="6">
        <f t="shared" si="93"/>
        <v>5</v>
      </c>
      <c r="V148" s="6">
        <f>U148-U149</f>
        <v>0</v>
      </c>
      <c r="W148" s="2"/>
      <c r="X148" s="2"/>
      <c r="Y148" s="19">
        <v>0</v>
      </c>
      <c r="Z148" s="19">
        <f>39/0.9</f>
        <v>43.333333333333336</v>
      </c>
      <c r="AA148" s="19">
        <f>54/0.9</f>
        <v>60</v>
      </c>
      <c r="AB148" s="2">
        <f t="shared" si="59"/>
        <v>103.33333333333334</v>
      </c>
      <c r="AC148" s="2">
        <f t="shared" si="94"/>
        <v>26.603333333333339</v>
      </c>
      <c r="AD148" s="2"/>
      <c r="AE148" s="2" t="str">
        <f t="shared" si="83"/>
        <v/>
      </c>
      <c r="AF148" s="3"/>
      <c r="AG148" s="2" t="str">
        <f t="shared" si="78"/>
        <v/>
      </c>
      <c r="AH148" s="29"/>
      <c r="AI148" s="1" t="str">
        <f t="shared" si="79"/>
        <v/>
      </c>
      <c r="AJ148">
        <v>0</v>
      </c>
      <c r="AK148">
        <v>1</v>
      </c>
      <c r="AL148">
        <f t="shared" si="80"/>
        <v>0</v>
      </c>
      <c r="AM148">
        <f t="shared" si="81"/>
        <v>0</v>
      </c>
      <c r="AN148">
        <f t="shared" si="82"/>
        <v>1</v>
      </c>
      <c r="AO148">
        <f t="shared" si="84"/>
        <v>-2</v>
      </c>
      <c r="AP148" s="1">
        <f t="shared" si="85"/>
        <v>8.801817149346963</v>
      </c>
      <c r="AQ148">
        <f t="shared" si="86"/>
        <v>-3</v>
      </c>
      <c r="AR148">
        <f t="shared" si="87"/>
        <v>0</v>
      </c>
      <c r="AS148">
        <f t="shared" si="88"/>
        <v>0</v>
      </c>
      <c r="AT148" t="str">
        <f t="shared" si="70"/>
        <v>groot</v>
      </c>
    </row>
    <row r="149" spans="1:46" customFormat="1" x14ac:dyDescent="0.25">
      <c r="A149" s="13">
        <v>25</v>
      </c>
      <c r="B149">
        <v>19</v>
      </c>
      <c r="C149">
        <v>115</v>
      </c>
      <c r="D149" t="s">
        <v>156</v>
      </c>
      <c r="E149" t="s">
        <v>97</v>
      </c>
      <c r="F149" t="s">
        <v>157</v>
      </c>
      <c r="G149" s="3">
        <v>11841.07238082038</v>
      </c>
      <c r="H149" s="21"/>
      <c r="I149" t="s">
        <v>158</v>
      </c>
      <c r="J149" s="21">
        <v>0</v>
      </c>
      <c r="K149" s="21">
        <v>0</v>
      </c>
      <c r="N149">
        <v>2017</v>
      </c>
      <c r="O149">
        <v>2018</v>
      </c>
      <c r="P149">
        <v>2018</v>
      </c>
      <c r="Q149">
        <v>2022</v>
      </c>
      <c r="S149">
        <f t="shared" si="95"/>
        <v>1</v>
      </c>
      <c r="T149">
        <f t="shared" si="92"/>
        <v>4</v>
      </c>
      <c r="U149" s="6">
        <f t="shared" si="93"/>
        <v>5</v>
      </c>
      <c r="V149" s="6">
        <f>U149-U150</f>
        <v>0</v>
      </c>
      <c r="W149" s="2"/>
      <c r="X149" s="2"/>
      <c r="Y149" s="19">
        <v>0</v>
      </c>
      <c r="Z149" s="19">
        <v>25.3</v>
      </c>
      <c r="AA149" s="19">
        <v>51.43</v>
      </c>
      <c r="AB149" s="2">
        <f t="shared" si="59"/>
        <v>76.73</v>
      </c>
      <c r="AC149" s="2">
        <f t="shared" si="94"/>
        <v>-0.67000000000000171</v>
      </c>
      <c r="AD149" s="2"/>
      <c r="AE149" s="2" t="str">
        <f t="shared" si="83"/>
        <v/>
      </c>
      <c r="AF149" s="3"/>
      <c r="AG149" s="2" t="str">
        <f t="shared" si="78"/>
        <v/>
      </c>
      <c r="AH149" s="29"/>
      <c r="AI149" s="1" t="str">
        <f t="shared" si="79"/>
        <v/>
      </c>
      <c r="AJ149">
        <v>0</v>
      </c>
      <c r="AK149">
        <v>1</v>
      </c>
      <c r="AL149">
        <f t="shared" si="80"/>
        <v>0</v>
      </c>
      <c r="AM149">
        <f t="shared" si="81"/>
        <v>0</v>
      </c>
      <c r="AN149">
        <f t="shared" si="82"/>
        <v>1</v>
      </c>
      <c r="AO149">
        <f t="shared" si="84"/>
        <v>-2</v>
      </c>
      <c r="AP149" s="1">
        <f t="shared" si="85"/>
        <v>6.4799874143395746</v>
      </c>
      <c r="AQ149">
        <f t="shared" si="86"/>
        <v>-3</v>
      </c>
      <c r="AR149">
        <f t="shared" si="87"/>
        <v>0</v>
      </c>
      <c r="AS149">
        <f t="shared" si="88"/>
        <v>1</v>
      </c>
      <c r="AT149" t="str">
        <f t="shared" si="70"/>
        <v>groot</v>
      </c>
    </row>
    <row r="150" spans="1:46" customFormat="1" x14ac:dyDescent="0.25">
      <c r="A150" s="13">
        <v>25</v>
      </c>
      <c r="B150">
        <v>18</v>
      </c>
      <c r="C150">
        <v>84</v>
      </c>
      <c r="D150" t="s">
        <v>156</v>
      </c>
      <c r="E150" t="s">
        <v>97</v>
      </c>
      <c r="F150" t="s">
        <v>157</v>
      </c>
      <c r="G150" s="3">
        <v>11841.07238082038</v>
      </c>
      <c r="H150" s="21"/>
      <c r="J150" s="21">
        <v>0</v>
      </c>
      <c r="K150" s="21">
        <v>0</v>
      </c>
      <c r="P150">
        <v>2017</v>
      </c>
      <c r="Q150">
        <v>2022</v>
      </c>
      <c r="T150">
        <f t="shared" si="92"/>
        <v>5</v>
      </c>
      <c r="U150" s="6">
        <f t="shared" si="93"/>
        <v>5</v>
      </c>
      <c r="V150" s="6">
        <f>U150-U151</f>
        <v>-1</v>
      </c>
      <c r="W150" s="2"/>
      <c r="X150" s="2"/>
      <c r="Y150" s="19">
        <v>0</v>
      </c>
      <c r="Z150" s="19">
        <v>0</v>
      </c>
      <c r="AA150" s="19">
        <v>77.400000000000006</v>
      </c>
      <c r="AB150" s="2">
        <f t="shared" si="59"/>
        <v>77.400000000000006</v>
      </c>
      <c r="AC150" s="2">
        <f t="shared" si="94"/>
        <v>-7.0999999999999943</v>
      </c>
      <c r="AD150" s="2"/>
      <c r="AE150" s="2" t="str">
        <f t="shared" si="83"/>
        <v/>
      </c>
      <c r="AF150" s="3"/>
      <c r="AG150" s="2" t="str">
        <f t="shared" si="78"/>
        <v/>
      </c>
      <c r="AH150" s="29"/>
      <c r="AI150" s="1" t="str">
        <f t="shared" si="79"/>
        <v/>
      </c>
      <c r="AJ150">
        <v>0</v>
      </c>
      <c r="AK150">
        <v>1</v>
      </c>
      <c r="AL150">
        <f t="shared" si="80"/>
        <v>0</v>
      </c>
      <c r="AM150">
        <f t="shared" si="81"/>
        <v>0</v>
      </c>
      <c r="AN150">
        <f t="shared" si="82"/>
        <v>1</v>
      </c>
      <c r="AO150">
        <f t="shared" si="84"/>
        <v>-3</v>
      </c>
      <c r="AP150" s="1">
        <f t="shared" si="85"/>
        <v>6.5365701273280736</v>
      </c>
      <c r="AR150">
        <f t="shared" si="87"/>
        <v>0</v>
      </c>
      <c r="AS150">
        <f t="shared" si="88"/>
        <v>0</v>
      </c>
      <c r="AT150" t="str">
        <f t="shared" si="70"/>
        <v>groot</v>
      </c>
    </row>
    <row r="151" spans="1:46" customFormat="1" x14ac:dyDescent="0.25">
      <c r="A151" s="13">
        <v>25</v>
      </c>
      <c r="B151">
        <v>17</v>
      </c>
      <c r="C151">
        <v>70</v>
      </c>
      <c r="D151" t="s">
        <v>156</v>
      </c>
      <c r="E151" t="s">
        <v>97</v>
      </c>
      <c r="F151" t="s">
        <v>159</v>
      </c>
      <c r="G151" s="3"/>
      <c r="H151" s="21"/>
      <c r="J151" s="21">
        <v>0</v>
      </c>
      <c r="K151" s="21">
        <v>0</v>
      </c>
      <c r="N151">
        <v>2016</v>
      </c>
      <c r="O151">
        <v>2017</v>
      </c>
      <c r="P151">
        <v>2017</v>
      </c>
      <c r="Q151">
        <v>2022</v>
      </c>
      <c r="S151">
        <f t="shared" si="95"/>
        <v>1</v>
      </c>
      <c r="T151">
        <f t="shared" si="92"/>
        <v>5</v>
      </c>
      <c r="U151" s="6">
        <f t="shared" si="93"/>
        <v>6</v>
      </c>
      <c r="W151" s="2"/>
      <c r="X151" s="2"/>
      <c r="Y151" s="19">
        <v>0</v>
      </c>
      <c r="Z151" s="19">
        <v>6.2</v>
      </c>
      <c r="AA151" s="19">
        <v>78.3</v>
      </c>
      <c r="AB151" s="2">
        <f t="shared" si="59"/>
        <v>84.5</v>
      </c>
      <c r="AC151" s="2"/>
      <c r="AD151" s="2"/>
      <c r="AE151" s="2" t="str">
        <f t="shared" si="83"/>
        <v/>
      </c>
      <c r="AF151" s="3"/>
      <c r="AG151" s="2" t="str">
        <f t="shared" si="78"/>
        <v/>
      </c>
      <c r="AH151" s="29"/>
      <c r="AI151" s="1" t="str">
        <f t="shared" si="79"/>
        <v/>
      </c>
      <c r="AJ151">
        <v>0</v>
      </c>
      <c r="AK151">
        <v>1</v>
      </c>
      <c r="AL151">
        <f t="shared" si="80"/>
        <v>0</v>
      </c>
      <c r="AM151">
        <f t="shared" si="81"/>
        <v>0</v>
      </c>
      <c r="AN151">
        <f t="shared" si="82"/>
        <v>1</v>
      </c>
      <c r="AO151">
        <f t="shared" si="84"/>
        <v>-3</v>
      </c>
      <c r="AP151" s="1"/>
      <c r="AQ151">
        <f t="shared" si="86"/>
        <v>-4</v>
      </c>
      <c r="AR151">
        <f t="shared" si="87"/>
        <v>0</v>
      </c>
      <c r="AS151">
        <f t="shared" si="88"/>
        <v>0</v>
      </c>
      <c r="AT151" t="str">
        <f t="shared" si="70"/>
        <v>groot</v>
      </c>
    </row>
    <row r="152" spans="1:46" customFormat="1" x14ac:dyDescent="0.25">
      <c r="A152" s="13">
        <v>26</v>
      </c>
      <c r="B152">
        <v>22</v>
      </c>
      <c r="C152">
        <v>65</v>
      </c>
      <c r="D152" t="s">
        <v>160</v>
      </c>
      <c r="E152" t="s">
        <v>86</v>
      </c>
      <c r="F152" t="s">
        <v>161</v>
      </c>
      <c r="G152" s="3">
        <v>5770</v>
      </c>
      <c r="H152" s="21"/>
      <c r="I152" t="s">
        <v>162</v>
      </c>
      <c r="J152" s="21">
        <v>0</v>
      </c>
      <c r="K152" s="21">
        <v>0</v>
      </c>
      <c r="L152">
        <v>2024</v>
      </c>
      <c r="M152">
        <v>2026</v>
      </c>
      <c r="N152">
        <v>2026</v>
      </c>
      <c r="O152">
        <v>2029</v>
      </c>
      <c r="P152">
        <v>2029</v>
      </c>
      <c r="Q152">
        <v>2032</v>
      </c>
      <c r="R152">
        <f t="shared" ref="R152:R156" si="96">M152-L152</f>
        <v>2</v>
      </c>
      <c r="S152">
        <f t="shared" si="95"/>
        <v>3</v>
      </c>
      <c r="T152">
        <f t="shared" si="92"/>
        <v>3</v>
      </c>
      <c r="U152" s="6">
        <f t="shared" si="93"/>
        <v>8</v>
      </c>
      <c r="V152" s="6">
        <f>U152-U153</f>
        <v>-4</v>
      </c>
      <c r="W152" s="2"/>
      <c r="X152" s="2">
        <f>U152-U156</f>
        <v>3</v>
      </c>
      <c r="Y152" s="19">
        <f>3.9/0.9</f>
        <v>4.333333333333333</v>
      </c>
      <c r="Z152" s="19">
        <f>3.3/0.9</f>
        <v>3.6666666666666665</v>
      </c>
      <c r="AA152" s="19">
        <f>26.9/0.9</f>
        <v>29.888888888888886</v>
      </c>
      <c r="AB152" s="2">
        <f t="shared" si="59"/>
        <v>37.888888888888886</v>
      </c>
      <c r="AC152" s="2">
        <f t="shared" ref="AC152:AC156" si="97">AB152-AB153</f>
        <v>21.385555555555552</v>
      </c>
      <c r="AD152" s="2"/>
      <c r="AE152" s="2">
        <f t="shared" si="83"/>
        <v>10.585555555555551</v>
      </c>
      <c r="AF152" s="3"/>
      <c r="AG152" s="2">
        <f t="shared" si="78"/>
        <v>-1308.8308712956323</v>
      </c>
      <c r="AH152" s="29"/>
      <c r="AI152" s="1">
        <f t="shared" si="79"/>
        <v>5.0408562043990566</v>
      </c>
      <c r="AK152" s="6">
        <f>IF(AB152&gt;64.2061111111111,1,0)</f>
        <v>0</v>
      </c>
      <c r="AL152">
        <f t="shared" si="80"/>
        <v>0</v>
      </c>
      <c r="AM152">
        <f t="shared" si="81"/>
        <v>0</v>
      </c>
      <c r="AN152">
        <f t="shared" si="82"/>
        <v>0</v>
      </c>
      <c r="AO152">
        <f t="shared" si="84"/>
        <v>9</v>
      </c>
      <c r="AP152" s="1">
        <f t="shared" si="85"/>
        <v>6.5665318698247637</v>
      </c>
      <c r="AQ152">
        <f t="shared" si="86"/>
        <v>6</v>
      </c>
      <c r="AR152">
        <f t="shared" si="87"/>
        <v>1</v>
      </c>
      <c r="AS152">
        <f t="shared" si="88"/>
        <v>1</v>
      </c>
      <c r="AT152" t="str">
        <f t="shared" si="70"/>
        <v>klein</v>
      </c>
    </row>
    <row r="153" spans="1:46" customFormat="1" x14ac:dyDescent="0.25">
      <c r="A153" s="13">
        <v>26</v>
      </c>
      <c r="B153">
        <v>21</v>
      </c>
      <c r="C153">
        <v>65</v>
      </c>
      <c r="D153" t="s">
        <v>160</v>
      </c>
      <c r="E153" t="s">
        <v>86</v>
      </c>
      <c r="F153" t="s">
        <v>161</v>
      </c>
      <c r="G153" s="3">
        <v>7100</v>
      </c>
      <c r="H153" s="21"/>
      <c r="I153" t="s">
        <v>162</v>
      </c>
      <c r="J153" s="21">
        <v>1</v>
      </c>
      <c r="K153" s="21">
        <v>0</v>
      </c>
      <c r="L153">
        <v>2024</v>
      </c>
      <c r="M153">
        <v>2026</v>
      </c>
      <c r="N153">
        <v>2026</v>
      </c>
      <c r="O153">
        <v>2029</v>
      </c>
      <c r="P153">
        <v>2029</v>
      </c>
      <c r="Q153">
        <v>2036</v>
      </c>
      <c r="R153">
        <f t="shared" si="96"/>
        <v>2</v>
      </c>
      <c r="S153">
        <f t="shared" si="95"/>
        <v>3</v>
      </c>
      <c r="T153">
        <f t="shared" si="92"/>
        <v>7</v>
      </c>
      <c r="U153" s="6">
        <f t="shared" si="93"/>
        <v>12</v>
      </c>
      <c r="V153" s="6">
        <f>U153-U154</f>
        <v>4</v>
      </c>
      <c r="W153" s="2">
        <f>U153-U156</f>
        <v>7</v>
      </c>
      <c r="X153" s="2"/>
      <c r="Y153" s="19">
        <v>5.2033333333333331</v>
      </c>
      <c r="Z153" s="19">
        <v>11.3</v>
      </c>
      <c r="AA153" s="19">
        <v>0</v>
      </c>
      <c r="AB153" s="2">
        <f t="shared" si="59"/>
        <v>16.503333333333334</v>
      </c>
      <c r="AC153" s="2">
        <f t="shared" si="97"/>
        <v>-72.800000000000011</v>
      </c>
      <c r="AD153" s="2">
        <f>AB153-AB156</f>
        <v>5.7033333333333331</v>
      </c>
      <c r="AE153" s="2" t="str">
        <f t="shared" si="83"/>
        <v/>
      </c>
      <c r="AF153" s="3">
        <f>G153-G156</f>
        <v>21.169128704367722</v>
      </c>
      <c r="AG153" s="2" t="str">
        <f t="shared" si="78"/>
        <v/>
      </c>
      <c r="AH153" s="29">
        <f>((AB153)/(G153/1000))-((AB156)/(G156/1000))</f>
        <v>0.79873748011419909</v>
      </c>
      <c r="AI153" s="1" t="str">
        <f t="shared" si="79"/>
        <v/>
      </c>
      <c r="AJ153">
        <v>0</v>
      </c>
      <c r="AK153">
        <v>0</v>
      </c>
      <c r="AL153">
        <f t="shared" si="80"/>
        <v>0</v>
      </c>
      <c r="AM153">
        <f t="shared" si="81"/>
        <v>0</v>
      </c>
      <c r="AN153">
        <f t="shared" si="82"/>
        <v>0</v>
      </c>
      <c r="AO153">
        <f t="shared" si="84"/>
        <v>9</v>
      </c>
      <c r="AP153" s="1">
        <f t="shared" si="85"/>
        <v>2.3244131455399062</v>
      </c>
      <c r="AQ153">
        <f t="shared" si="86"/>
        <v>6</v>
      </c>
      <c r="AR153">
        <f t="shared" si="87"/>
        <v>1</v>
      </c>
      <c r="AS153">
        <f t="shared" si="88"/>
        <v>1</v>
      </c>
      <c r="AT153" t="str">
        <f t="shared" si="70"/>
        <v>klein</v>
      </c>
    </row>
    <row r="154" spans="1:46" customFormat="1" x14ac:dyDescent="0.25">
      <c r="A154" s="13">
        <v>26</v>
      </c>
      <c r="B154">
        <v>20</v>
      </c>
      <c r="C154">
        <v>109</v>
      </c>
      <c r="D154" t="s">
        <v>160</v>
      </c>
      <c r="E154" t="s">
        <v>86</v>
      </c>
      <c r="F154" t="s">
        <v>161</v>
      </c>
      <c r="G154" s="3">
        <v>7078.8308712956323</v>
      </c>
      <c r="H154" s="21">
        <v>12</v>
      </c>
      <c r="I154" t="s">
        <v>163</v>
      </c>
      <c r="J154" s="21">
        <v>1</v>
      </c>
      <c r="K154" s="21">
        <v>0</v>
      </c>
      <c r="L154">
        <v>2024</v>
      </c>
      <c r="M154">
        <v>2026</v>
      </c>
      <c r="N154">
        <v>2026</v>
      </c>
      <c r="O154">
        <v>2029</v>
      </c>
      <c r="P154">
        <v>2029</v>
      </c>
      <c r="Q154">
        <v>2032</v>
      </c>
      <c r="R154">
        <f t="shared" si="96"/>
        <v>2</v>
      </c>
      <c r="S154">
        <f t="shared" si="95"/>
        <v>3</v>
      </c>
      <c r="T154">
        <f t="shared" si="92"/>
        <v>3</v>
      </c>
      <c r="U154" s="6">
        <f t="shared" si="93"/>
        <v>8</v>
      </c>
      <c r="V154" s="6">
        <f>U154-U155</f>
        <v>1</v>
      </c>
      <c r="W154" s="2"/>
      <c r="X154" s="2"/>
      <c r="Y154" s="19">
        <v>3.7033333333333336</v>
      </c>
      <c r="Z154" s="19">
        <v>9</v>
      </c>
      <c r="AA154" s="19">
        <v>76.600000000000009</v>
      </c>
      <c r="AB154" s="2">
        <f t="shared" si="59"/>
        <v>89.303333333333342</v>
      </c>
      <c r="AC154" s="2">
        <f t="shared" si="97"/>
        <v>33.792333333333339</v>
      </c>
      <c r="AD154" s="2"/>
      <c r="AE154" s="2" t="str">
        <f t="shared" si="83"/>
        <v/>
      </c>
      <c r="AF154" s="3"/>
      <c r="AG154" s="2" t="str">
        <f t="shared" si="78"/>
        <v/>
      </c>
      <c r="AH154" s="29"/>
      <c r="AI154" s="1" t="str">
        <f t="shared" si="79"/>
        <v/>
      </c>
      <c r="AJ154">
        <v>0</v>
      </c>
      <c r="AK154">
        <v>0</v>
      </c>
      <c r="AL154">
        <f t="shared" si="80"/>
        <v>0</v>
      </c>
      <c r="AM154">
        <f t="shared" si="81"/>
        <v>0</v>
      </c>
      <c r="AN154">
        <f t="shared" si="82"/>
        <v>0</v>
      </c>
      <c r="AO154">
        <f t="shared" si="84"/>
        <v>9</v>
      </c>
      <c r="AP154" s="1">
        <f t="shared" si="85"/>
        <v>12.615548380376579</v>
      </c>
      <c r="AQ154">
        <f t="shared" si="86"/>
        <v>6</v>
      </c>
      <c r="AR154">
        <f t="shared" si="87"/>
        <v>1</v>
      </c>
      <c r="AS154">
        <f t="shared" si="88"/>
        <v>1</v>
      </c>
      <c r="AT154" t="str">
        <f t="shared" si="70"/>
        <v>klein</v>
      </c>
    </row>
    <row r="155" spans="1:46" customFormat="1" x14ac:dyDescent="0.25">
      <c r="A155" s="13">
        <v>26</v>
      </c>
      <c r="B155">
        <v>19</v>
      </c>
      <c r="C155">
        <v>108</v>
      </c>
      <c r="D155" t="s">
        <v>160</v>
      </c>
      <c r="E155" t="s">
        <v>86</v>
      </c>
      <c r="F155" t="s">
        <v>161</v>
      </c>
      <c r="G155" s="3">
        <v>7078.8308712956323</v>
      </c>
      <c r="H155" s="21"/>
      <c r="I155" t="s">
        <v>163</v>
      </c>
      <c r="J155" s="21">
        <v>1</v>
      </c>
      <c r="K155" s="21">
        <v>0</v>
      </c>
      <c r="L155">
        <v>2024</v>
      </c>
      <c r="M155">
        <v>2026</v>
      </c>
      <c r="N155">
        <v>2026</v>
      </c>
      <c r="O155">
        <v>2029</v>
      </c>
      <c r="P155">
        <v>2029</v>
      </c>
      <c r="Q155">
        <v>2031</v>
      </c>
      <c r="R155">
        <f t="shared" si="96"/>
        <v>2</v>
      </c>
      <c r="S155">
        <f t="shared" si="95"/>
        <v>3</v>
      </c>
      <c r="T155">
        <f t="shared" si="92"/>
        <v>2</v>
      </c>
      <c r="U155" s="6">
        <f t="shared" si="93"/>
        <v>7</v>
      </c>
      <c r="V155" s="6">
        <f>U155-U156</f>
        <v>2</v>
      </c>
      <c r="W155" s="2"/>
      <c r="X155" s="2"/>
      <c r="Y155" s="19">
        <v>3.8780000000000001</v>
      </c>
      <c r="Z155" s="19">
        <v>6.1890000000000001</v>
      </c>
      <c r="AA155" s="19">
        <v>45.444000000000003</v>
      </c>
      <c r="AB155" s="2">
        <f t="shared" si="59"/>
        <v>55.511000000000003</v>
      </c>
      <c r="AC155" s="2">
        <f t="shared" si="97"/>
        <v>44.710999999999999</v>
      </c>
      <c r="AD155" s="2"/>
      <c r="AE155" s="2" t="str">
        <f t="shared" si="83"/>
        <v/>
      </c>
      <c r="AF155" s="3"/>
      <c r="AG155" s="2" t="str">
        <f t="shared" si="78"/>
        <v/>
      </c>
      <c r="AH155" s="29"/>
      <c r="AI155" s="1" t="str">
        <f t="shared" si="79"/>
        <v/>
      </c>
      <c r="AJ155">
        <v>0</v>
      </c>
      <c r="AK155">
        <v>0</v>
      </c>
      <c r="AL155">
        <f t="shared" si="80"/>
        <v>0</v>
      </c>
      <c r="AM155">
        <f t="shared" si="81"/>
        <v>0</v>
      </c>
      <c r="AN155">
        <f t="shared" si="82"/>
        <v>0</v>
      </c>
      <c r="AO155">
        <f t="shared" si="84"/>
        <v>9</v>
      </c>
      <c r="AP155" s="1">
        <f t="shared" si="85"/>
        <v>7.8418316540228163</v>
      </c>
      <c r="AQ155">
        <f t="shared" si="86"/>
        <v>6</v>
      </c>
      <c r="AR155">
        <f t="shared" si="87"/>
        <v>1</v>
      </c>
      <c r="AS155">
        <f t="shared" si="88"/>
        <v>1</v>
      </c>
      <c r="AT155" t="str">
        <f t="shared" si="70"/>
        <v>klein</v>
      </c>
    </row>
    <row r="156" spans="1:46" customFormat="1" x14ac:dyDescent="0.25">
      <c r="A156" s="13">
        <v>26</v>
      </c>
      <c r="B156">
        <v>18</v>
      </c>
      <c r="C156">
        <v>96</v>
      </c>
      <c r="D156" t="s">
        <v>164</v>
      </c>
      <c r="E156" t="s">
        <v>86</v>
      </c>
      <c r="F156" t="s">
        <v>161</v>
      </c>
      <c r="G156" s="3">
        <v>7078.8308712956323</v>
      </c>
      <c r="H156" s="21"/>
      <c r="J156" s="21">
        <v>0</v>
      </c>
      <c r="K156" s="21">
        <v>0</v>
      </c>
      <c r="L156">
        <v>2024</v>
      </c>
      <c r="M156">
        <v>2026</v>
      </c>
      <c r="N156">
        <v>2026</v>
      </c>
      <c r="O156">
        <v>2029</v>
      </c>
      <c r="R156">
        <f t="shared" si="96"/>
        <v>2</v>
      </c>
      <c r="S156">
        <f t="shared" si="95"/>
        <v>3</v>
      </c>
      <c r="T156">
        <f t="shared" si="92"/>
        <v>0</v>
      </c>
      <c r="U156" s="6">
        <f t="shared" si="93"/>
        <v>5</v>
      </c>
      <c r="V156" s="6"/>
      <c r="W156" s="2"/>
      <c r="X156" s="2"/>
      <c r="Y156" s="19">
        <v>4.0999999999999996</v>
      </c>
      <c r="Z156" s="19">
        <v>6.7</v>
      </c>
      <c r="AA156" s="19">
        <v>0</v>
      </c>
      <c r="AB156" s="2">
        <f t="shared" si="59"/>
        <v>10.8</v>
      </c>
      <c r="AC156" s="2">
        <f t="shared" si="97"/>
        <v>10.8</v>
      </c>
      <c r="AD156" s="2"/>
      <c r="AE156" s="2" t="str">
        <f t="shared" si="83"/>
        <v/>
      </c>
      <c r="AF156" s="3"/>
      <c r="AG156" s="2" t="str">
        <f t="shared" si="78"/>
        <v/>
      </c>
      <c r="AH156" s="29"/>
      <c r="AI156" s="1" t="str">
        <f t="shared" si="79"/>
        <v/>
      </c>
      <c r="AJ156">
        <v>0</v>
      </c>
      <c r="AK156">
        <v>0</v>
      </c>
      <c r="AL156">
        <f t="shared" si="80"/>
        <v>0</v>
      </c>
      <c r="AM156">
        <f t="shared" si="81"/>
        <v>0</v>
      </c>
      <c r="AN156">
        <f t="shared" si="82"/>
        <v>0</v>
      </c>
      <c r="AP156" s="1">
        <f t="shared" si="85"/>
        <v>1.5256756654257071</v>
      </c>
      <c r="AQ156">
        <f t="shared" si="86"/>
        <v>6</v>
      </c>
      <c r="AR156">
        <f t="shared" si="87"/>
        <v>1</v>
      </c>
      <c r="AS156">
        <f t="shared" si="88"/>
        <v>0</v>
      </c>
      <c r="AT156" t="str">
        <f t="shared" si="70"/>
        <v>klein</v>
      </c>
    </row>
    <row r="157" spans="1:46" customFormat="1" x14ac:dyDescent="0.25">
      <c r="A157" s="13">
        <v>26</v>
      </c>
      <c r="B157">
        <v>17</v>
      </c>
      <c r="C157">
        <v>88</v>
      </c>
      <c r="D157" t="s">
        <v>164</v>
      </c>
      <c r="E157" t="s">
        <v>86</v>
      </c>
      <c r="F157" t="s">
        <v>161</v>
      </c>
      <c r="G157" s="3"/>
      <c r="H157" s="21"/>
      <c r="J157" s="21">
        <v>0</v>
      </c>
      <c r="K157" s="21">
        <v>0</v>
      </c>
      <c r="W157" s="2"/>
      <c r="X157" s="2"/>
      <c r="Y157" s="19"/>
      <c r="Z157" s="19"/>
      <c r="AA157" s="19"/>
      <c r="AB157" s="2"/>
      <c r="AC157" s="2"/>
      <c r="AD157" s="2"/>
      <c r="AE157" s="2" t="str">
        <f t="shared" si="83"/>
        <v/>
      </c>
      <c r="AF157" s="3"/>
      <c r="AG157" s="2" t="str">
        <f t="shared" si="78"/>
        <v/>
      </c>
      <c r="AH157" s="29"/>
      <c r="AI157" s="1" t="str">
        <f t="shared" si="79"/>
        <v/>
      </c>
      <c r="AJ157">
        <v>0</v>
      </c>
      <c r="AK157">
        <v>0</v>
      </c>
      <c r="AL157">
        <f t="shared" si="80"/>
        <v>0</v>
      </c>
      <c r="AM157">
        <f t="shared" si="81"/>
        <v>0</v>
      </c>
      <c r="AN157">
        <f t="shared" si="82"/>
        <v>0</v>
      </c>
      <c r="AP157" s="1"/>
      <c r="AS157">
        <f t="shared" si="88"/>
        <v>0</v>
      </c>
    </row>
    <row r="158" spans="1:46" customFormat="1" x14ac:dyDescent="0.25">
      <c r="A158" s="13">
        <v>27</v>
      </c>
      <c r="B158">
        <v>22</v>
      </c>
      <c r="C158">
        <v>75</v>
      </c>
      <c r="D158" t="s">
        <v>165</v>
      </c>
      <c r="E158" t="s">
        <v>166</v>
      </c>
      <c r="F158" t="s">
        <v>167</v>
      </c>
      <c r="G158" s="3">
        <v>47300</v>
      </c>
      <c r="H158" s="21"/>
      <c r="I158" t="s">
        <v>168</v>
      </c>
      <c r="J158" s="21">
        <v>0</v>
      </c>
      <c r="K158" s="21">
        <v>0</v>
      </c>
      <c r="L158">
        <v>2016</v>
      </c>
      <c r="M158">
        <v>2021</v>
      </c>
      <c r="N158">
        <v>2021</v>
      </c>
      <c r="O158">
        <v>2024</v>
      </c>
      <c r="P158">
        <v>2024</v>
      </c>
      <c r="Q158">
        <v>2030</v>
      </c>
      <c r="R158">
        <f t="shared" ref="R158:R175" si="98">M158-L158</f>
        <v>5</v>
      </c>
      <c r="S158">
        <f t="shared" ref="S158:S175" si="99">O158-N158</f>
        <v>3</v>
      </c>
      <c r="T158">
        <f t="shared" ref="T158:T175" si="100">Q158-P158</f>
        <v>6</v>
      </c>
      <c r="U158" s="6">
        <f t="shared" ref="U158:U175" si="101">SUM(R158:T158)</f>
        <v>14</v>
      </c>
      <c r="V158" s="6">
        <f>U158-U159</f>
        <v>1</v>
      </c>
      <c r="W158" s="2"/>
      <c r="X158" s="2">
        <f>U158-U162</f>
        <v>7</v>
      </c>
      <c r="Y158" s="19">
        <f>13.1/0.9</f>
        <v>14.555555555555555</v>
      </c>
      <c r="Z158" s="19">
        <f>21.5/0.9</f>
        <v>23.888888888888889</v>
      </c>
      <c r="AA158" s="19">
        <f>245/0.9</f>
        <v>272.22222222222223</v>
      </c>
      <c r="AB158" s="11">
        <f t="shared" ref="AB158:AB190" si="102">SUM(Y158:AA158)</f>
        <v>310.66666666666669</v>
      </c>
      <c r="AC158" s="2">
        <f t="shared" ref="AC158:AC162" si="103">AB158-AB159</f>
        <v>-0.47222222222222854</v>
      </c>
      <c r="AD158" s="2"/>
      <c r="AE158" s="2">
        <f t="shared" si="83"/>
        <v>5.2277777777777743</v>
      </c>
      <c r="AF158" s="3"/>
      <c r="AG158" s="2">
        <f t="shared" si="78"/>
        <v>32901.331912956397</v>
      </c>
      <c r="AH158" s="29"/>
      <c r="AI158" s="1">
        <f t="shared" si="79"/>
        <v>4.7431033249628571</v>
      </c>
      <c r="AK158" s="6">
        <f>IF(AB158&gt;64.2061111111111,1,0)</f>
        <v>1</v>
      </c>
      <c r="AL158">
        <f t="shared" si="80"/>
        <v>1</v>
      </c>
      <c r="AM158">
        <f t="shared" si="81"/>
        <v>0</v>
      </c>
      <c r="AN158">
        <f t="shared" si="82"/>
        <v>0</v>
      </c>
      <c r="AO158">
        <f t="shared" si="84"/>
        <v>4</v>
      </c>
      <c r="AP158" s="1">
        <f t="shared" si="85"/>
        <v>6.56800563777308</v>
      </c>
      <c r="AQ158">
        <f t="shared" si="86"/>
        <v>1</v>
      </c>
      <c r="AR158">
        <f t="shared" si="87"/>
        <v>1</v>
      </c>
      <c r="AS158">
        <f t="shared" si="88"/>
        <v>1</v>
      </c>
      <c r="AT158" t="str">
        <f t="shared" ref="AT158:AT180" si="104">IF(AK158=1,"groot","klein")</f>
        <v>groot</v>
      </c>
    </row>
    <row r="159" spans="1:46" customFormat="1" x14ac:dyDescent="0.25">
      <c r="A159" s="13">
        <v>27</v>
      </c>
      <c r="B159">
        <v>21</v>
      </c>
      <c r="C159">
        <v>75</v>
      </c>
      <c r="D159" t="s">
        <v>165</v>
      </c>
      <c r="E159" t="s">
        <v>166</v>
      </c>
      <c r="F159" t="s">
        <v>167</v>
      </c>
      <c r="G159" s="3">
        <v>47300</v>
      </c>
      <c r="H159" s="21"/>
      <c r="I159" t="s">
        <v>168</v>
      </c>
      <c r="J159" s="21">
        <v>1</v>
      </c>
      <c r="K159" s="21">
        <v>0</v>
      </c>
      <c r="L159">
        <v>2016</v>
      </c>
      <c r="M159">
        <v>2021</v>
      </c>
      <c r="N159">
        <v>2021</v>
      </c>
      <c r="O159">
        <v>2023</v>
      </c>
      <c r="P159">
        <v>2023</v>
      </c>
      <c r="Q159">
        <v>2029</v>
      </c>
      <c r="R159">
        <f t="shared" si="98"/>
        <v>5</v>
      </c>
      <c r="S159">
        <f t="shared" si="99"/>
        <v>2</v>
      </c>
      <c r="T159">
        <f t="shared" si="100"/>
        <v>6</v>
      </c>
      <c r="U159" s="6">
        <f t="shared" si="101"/>
        <v>13</v>
      </c>
      <c r="V159" s="6">
        <f>U159-U160</f>
        <v>0</v>
      </c>
      <c r="W159" s="2">
        <f>U159-U162</f>
        <v>6</v>
      </c>
      <c r="X159" s="2"/>
      <c r="Y159" s="19">
        <v>14.565555555555555</v>
      </c>
      <c r="Z159" s="19">
        <v>23.94</v>
      </c>
      <c r="AA159" s="19">
        <v>272.63333333333333</v>
      </c>
      <c r="AB159" s="11">
        <f t="shared" si="102"/>
        <v>311.13888888888891</v>
      </c>
      <c r="AC159" s="2">
        <f t="shared" si="103"/>
        <v>0.20398111111114758</v>
      </c>
      <c r="AD159" s="2">
        <f>AB159-AB162</f>
        <v>224.73888888888894</v>
      </c>
      <c r="AE159" s="2" t="str">
        <f t="shared" si="83"/>
        <v/>
      </c>
      <c r="AF159" s="3">
        <f>G159-G162</f>
        <v>32901.331912956397</v>
      </c>
      <c r="AG159" s="2" t="str">
        <f t="shared" si="78"/>
        <v/>
      </c>
      <c r="AH159" s="29">
        <f>((AB159)/(G159/1000))-((AB162)/(G162/1000))</f>
        <v>0.57743417920089435</v>
      </c>
      <c r="AI159" s="1" t="str">
        <f t="shared" si="79"/>
        <v/>
      </c>
      <c r="AJ159">
        <v>1</v>
      </c>
      <c r="AK159">
        <v>1</v>
      </c>
      <c r="AL159">
        <f t="shared" si="80"/>
        <v>1</v>
      </c>
      <c r="AM159">
        <f t="shared" si="81"/>
        <v>0</v>
      </c>
      <c r="AN159">
        <f t="shared" si="82"/>
        <v>0</v>
      </c>
      <c r="AO159">
        <f t="shared" si="84"/>
        <v>3</v>
      </c>
      <c r="AP159" s="1">
        <f t="shared" si="85"/>
        <v>6.5779891942682651</v>
      </c>
      <c r="AQ159">
        <f t="shared" si="86"/>
        <v>1</v>
      </c>
      <c r="AR159">
        <f t="shared" si="87"/>
        <v>1</v>
      </c>
      <c r="AS159">
        <f t="shared" si="88"/>
        <v>1</v>
      </c>
      <c r="AT159" t="str">
        <f t="shared" si="104"/>
        <v>groot</v>
      </c>
    </row>
    <row r="160" spans="1:46" customFormat="1" x14ac:dyDescent="0.25">
      <c r="A160" s="13">
        <v>27</v>
      </c>
      <c r="B160">
        <v>20</v>
      </c>
      <c r="C160">
        <v>123</v>
      </c>
      <c r="D160" t="s">
        <v>169</v>
      </c>
      <c r="E160" t="s">
        <v>166</v>
      </c>
      <c r="F160" t="s">
        <v>167</v>
      </c>
      <c r="G160" s="3">
        <v>47345</v>
      </c>
      <c r="H160" s="21">
        <v>2</v>
      </c>
      <c r="I160" t="s">
        <v>168</v>
      </c>
      <c r="J160" s="21">
        <v>1</v>
      </c>
      <c r="K160" s="21">
        <v>0</v>
      </c>
      <c r="L160">
        <v>2017</v>
      </c>
      <c r="M160">
        <v>2021</v>
      </c>
      <c r="N160">
        <v>2021</v>
      </c>
      <c r="O160">
        <v>2023</v>
      </c>
      <c r="P160">
        <v>2023</v>
      </c>
      <c r="Q160">
        <v>2030</v>
      </c>
      <c r="R160">
        <f t="shared" si="98"/>
        <v>4</v>
      </c>
      <c r="S160">
        <f t="shared" si="99"/>
        <v>2</v>
      </c>
      <c r="T160">
        <f t="shared" si="100"/>
        <v>7</v>
      </c>
      <c r="U160" s="6">
        <f t="shared" si="101"/>
        <v>13</v>
      </c>
      <c r="V160" s="6">
        <f>U160-U161</f>
        <v>0</v>
      </c>
      <c r="W160" s="2"/>
      <c r="X160" s="2"/>
      <c r="Y160" s="19">
        <v>14.460463333333333</v>
      </c>
      <c r="Z160" s="19">
        <v>23.94</v>
      </c>
      <c r="AA160" s="19">
        <v>272.53444444444443</v>
      </c>
      <c r="AB160" s="11">
        <f t="shared" si="102"/>
        <v>310.93490777777777</v>
      </c>
      <c r="AC160" s="2">
        <f t="shared" si="103"/>
        <v>6.2035267777777676</v>
      </c>
      <c r="AD160" s="2"/>
      <c r="AE160" s="2" t="str">
        <f t="shared" si="83"/>
        <v/>
      </c>
      <c r="AF160" s="3"/>
      <c r="AG160" s="2" t="str">
        <f t="shared" si="78"/>
        <v/>
      </c>
      <c r="AH160" s="29"/>
      <c r="AI160" s="1" t="str">
        <f t="shared" si="79"/>
        <v/>
      </c>
      <c r="AJ160">
        <v>1</v>
      </c>
      <c r="AK160">
        <v>1</v>
      </c>
      <c r="AL160">
        <f t="shared" si="80"/>
        <v>1</v>
      </c>
      <c r="AM160">
        <f t="shared" si="81"/>
        <v>0</v>
      </c>
      <c r="AN160">
        <f t="shared" si="82"/>
        <v>0</v>
      </c>
      <c r="AO160">
        <f t="shared" si="84"/>
        <v>3</v>
      </c>
      <c r="AP160" s="1">
        <f t="shared" si="85"/>
        <v>6.5674286150127319</v>
      </c>
      <c r="AQ160">
        <f t="shared" si="86"/>
        <v>1</v>
      </c>
      <c r="AR160">
        <f t="shared" si="87"/>
        <v>1</v>
      </c>
      <c r="AS160">
        <f t="shared" si="88"/>
        <v>1</v>
      </c>
      <c r="AT160" t="str">
        <f t="shared" si="104"/>
        <v>groot</v>
      </c>
    </row>
    <row r="161" spans="1:46" customFormat="1" x14ac:dyDescent="0.25">
      <c r="A161" s="13">
        <v>27</v>
      </c>
      <c r="B161">
        <v>19</v>
      </c>
      <c r="C161">
        <v>120</v>
      </c>
      <c r="D161" t="s">
        <v>170</v>
      </c>
      <c r="E161" t="s">
        <v>166</v>
      </c>
      <c r="F161" t="s">
        <v>167</v>
      </c>
      <c r="G161" s="3">
        <v>47345</v>
      </c>
      <c r="H161" s="21"/>
      <c r="I161" t="s">
        <v>168</v>
      </c>
      <c r="J161" s="21">
        <v>1</v>
      </c>
      <c r="K161" s="21">
        <v>0</v>
      </c>
      <c r="L161">
        <v>2017</v>
      </c>
      <c r="M161">
        <v>2021</v>
      </c>
      <c r="N161">
        <v>2021</v>
      </c>
      <c r="O161">
        <v>2023</v>
      </c>
      <c r="P161">
        <v>2023</v>
      </c>
      <c r="Q161">
        <v>2030</v>
      </c>
      <c r="R161">
        <f t="shared" si="98"/>
        <v>4</v>
      </c>
      <c r="S161">
        <f t="shared" si="99"/>
        <v>2</v>
      </c>
      <c r="T161">
        <f t="shared" si="100"/>
        <v>7</v>
      </c>
      <c r="U161" s="6">
        <f t="shared" si="101"/>
        <v>13</v>
      </c>
      <c r="V161" s="6">
        <f>U161-U162</f>
        <v>6</v>
      </c>
      <c r="W161" s="2"/>
      <c r="X161" s="2"/>
      <c r="Y161" s="19">
        <v>9.5913810000000002</v>
      </c>
      <c r="Z161" s="19">
        <v>23.94</v>
      </c>
      <c r="AA161" s="19">
        <v>271.2</v>
      </c>
      <c r="AB161" s="11">
        <f t="shared" si="102"/>
        <v>304.731381</v>
      </c>
      <c r="AC161" s="2">
        <f t="shared" si="103"/>
        <v>218.33138100000002</v>
      </c>
      <c r="AD161" s="2"/>
      <c r="AE161" s="2" t="str">
        <f t="shared" si="83"/>
        <v/>
      </c>
      <c r="AF161" s="3"/>
      <c r="AG161" s="2" t="str">
        <f t="shared" si="78"/>
        <v/>
      </c>
      <c r="AH161" s="29"/>
      <c r="AI161" s="1" t="str">
        <f t="shared" si="79"/>
        <v/>
      </c>
      <c r="AJ161">
        <v>1</v>
      </c>
      <c r="AK161">
        <v>1</v>
      </c>
      <c r="AL161">
        <f t="shared" si="80"/>
        <v>1</v>
      </c>
      <c r="AM161">
        <f t="shared" si="81"/>
        <v>0</v>
      </c>
      <c r="AN161">
        <f t="shared" si="82"/>
        <v>0</v>
      </c>
      <c r="AO161">
        <f t="shared" si="84"/>
        <v>3</v>
      </c>
      <c r="AP161" s="1">
        <f t="shared" si="85"/>
        <v>6.4364004857957546</v>
      </c>
      <c r="AQ161">
        <f t="shared" si="86"/>
        <v>1</v>
      </c>
      <c r="AR161">
        <f t="shared" si="87"/>
        <v>1</v>
      </c>
      <c r="AS161">
        <f t="shared" si="88"/>
        <v>1</v>
      </c>
      <c r="AT161" t="str">
        <f t="shared" si="104"/>
        <v>groot</v>
      </c>
    </row>
    <row r="162" spans="1:46" customFormat="1" x14ac:dyDescent="0.25">
      <c r="A162" s="13">
        <v>27</v>
      </c>
      <c r="B162">
        <v>18</v>
      </c>
      <c r="C162">
        <v>104</v>
      </c>
      <c r="D162" t="s">
        <v>171</v>
      </c>
      <c r="E162" t="s">
        <v>166</v>
      </c>
      <c r="F162" t="s">
        <v>167</v>
      </c>
      <c r="G162" s="3">
        <v>14398.668087043601</v>
      </c>
      <c r="H162" s="21"/>
      <c r="I162" t="s">
        <v>99</v>
      </c>
      <c r="J162" s="21">
        <v>1</v>
      </c>
      <c r="K162" s="21">
        <v>0</v>
      </c>
      <c r="L162">
        <v>2017</v>
      </c>
      <c r="M162">
        <v>2019</v>
      </c>
      <c r="N162">
        <v>2019</v>
      </c>
      <c r="O162">
        <v>2021</v>
      </c>
      <c r="P162">
        <v>2021</v>
      </c>
      <c r="Q162">
        <v>2024</v>
      </c>
      <c r="R162">
        <f t="shared" si="98"/>
        <v>2</v>
      </c>
      <c r="S162">
        <f t="shared" si="99"/>
        <v>2</v>
      </c>
      <c r="T162">
        <f t="shared" si="100"/>
        <v>3</v>
      </c>
      <c r="U162" s="6">
        <f t="shared" si="101"/>
        <v>7</v>
      </c>
      <c r="V162" s="6">
        <f>U162-U163</f>
        <v>-2</v>
      </c>
      <c r="W162" s="2"/>
      <c r="X162" s="2"/>
      <c r="Y162" s="19">
        <v>1.7</v>
      </c>
      <c r="Z162" s="19">
        <v>8.8999999999999986</v>
      </c>
      <c r="AA162" s="19">
        <v>75.8</v>
      </c>
      <c r="AB162" s="2">
        <f t="shared" si="102"/>
        <v>86.399999999999991</v>
      </c>
      <c r="AC162" s="2">
        <f t="shared" si="103"/>
        <v>-5.7000000000000028</v>
      </c>
      <c r="AD162" s="2"/>
      <c r="AE162" s="2" t="str">
        <f t="shared" si="83"/>
        <v/>
      </c>
      <c r="AF162" s="3"/>
      <c r="AG162" s="2" t="str">
        <f t="shared" si="78"/>
        <v/>
      </c>
      <c r="AH162" s="29"/>
      <c r="AI162" s="1" t="str">
        <f t="shared" si="79"/>
        <v/>
      </c>
      <c r="AJ162">
        <v>1</v>
      </c>
      <c r="AK162">
        <v>1</v>
      </c>
      <c r="AL162">
        <f t="shared" si="80"/>
        <v>0</v>
      </c>
      <c r="AM162">
        <f t="shared" si="81"/>
        <v>1</v>
      </c>
      <c r="AN162">
        <f t="shared" si="82"/>
        <v>0</v>
      </c>
      <c r="AO162">
        <f t="shared" si="84"/>
        <v>1</v>
      </c>
      <c r="AP162" s="1">
        <f t="shared" si="85"/>
        <v>6.0005550150673708</v>
      </c>
      <c r="AQ162">
        <f t="shared" si="86"/>
        <v>-1</v>
      </c>
      <c r="AR162">
        <f t="shared" si="87"/>
        <v>0</v>
      </c>
      <c r="AS162">
        <f t="shared" si="88"/>
        <v>0</v>
      </c>
      <c r="AT162" t="str">
        <f t="shared" si="104"/>
        <v>groot</v>
      </c>
    </row>
    <row r="163" spans="1:46" customFormat="1" x14ac:dyDescent="0.25">
      <c r="A163" s="13">
        <v>27</v>
      </c>
      <c r="B163">
        <v>17</v>
      </c>
      <c r="C163">
        <v>98</v>
      </c>
      <c r="D163" t="s">
        <v>172</v>
      </c>
      <c r="E163" t="s">
        <v>166</v>
      </c>
      <c r="F163" t="s">
        <v>173</v>
      </c>
      <c r="G163" s="3"/>
      <c r="H163" s="21"/>
      <c r="J163" s="21">
        <v>0</v>
      </c>
      <c r="K163" s="21">
        <v>0</v>
      </c>
      <c r="L163">
        <v>2016</v>
      </c>
      <c r="M163">
        <v>2019</v>
      </c>
      <c r="N163">
        <v>2019</v>
      </c>
      <c r="O163">
        <v>2023</v>
      </c>
      <c r="P163">
        <v>2023</v>
      </c>
      <c r="Q163">
        <v>2025</v>
      </c>
      <c r="R163">
        <f t="shared" si="98"/>
        <v>3</v>
      </c>
      <c r="S163">
        <f t="shared" si="99"/>
        <v>4</v>
      </c>
      <c r="T163">
        <f t="shared" si="100"/>
        <v>2</v>
      </c>
      <c r="U163" s="6">
        <f t="shared" si="101"/>
        <v>9</v>
      </c>
      <c r="W163" s="2"/>
      <c r="X163" s="2"/>
      <c r="Y163" s="19">
        <v>7.4</v>
      </c>
      <c r="Z163" s="19">
        <v>8.8999999999999986</v>
      </c>
      <c r="AA163" s="19">
        <v>75.8</v>
      </c>
      <c r="AB163" s="2">
        <f t="shared" si="102"/>
        <v>92.1</v>
      </c>
      <c r="AC163" s="2"/>
      <c r="AD163" s="2"/>
      <c r="AE163" s="2" t="str">
        <f t="shared" si="83"/>
        <v/>
      </c>
      <c r="AF163" s="3"/>
      <c r="AG163" s="2" t="str">
        <f t="shared" si="78"/>
        <v/>
      </c>
      <c r="AH163" s="29"/>
      <c r="AI163" s="1" t="str">
        <f t="shared" si="79"/>
        <v/>
      </c>
      <c r="AJ163">
        <v>1</v>
      </c>
      <c r="AK163">
        <v>1</v>
      </c>
      <c r="AL163">
        <f t="shared" si="80"/>
        <v>0</v>
      </c>
      <c r="AM163">
        <f t="shared" si="81"/>
        <v>1</v>
      </c>
      <c r="AN163">
        <f t="shared" si="82"/>
        <v>0</v>
      </c>
      <c r="AO163">
        <f t="shared" si="84"/>
        <v>3</v>
      </c>
      <c r="AP163" s="1"/>
      <c r="AQ163">
        <f t="shared" si="86"/>
        <v>-1</v>
      </c>
      <c r="AR163">
        <f t="shared" si="87"/>
        <v>0</v>
      </c>
      <c r="AS163">
        <f t="shared" si="88"/>
        <v>0</v>
      </c>
      <c r="AT163" t="str">
        <f t="shared" si="104"/>
        <v>groot</v>
      </c>
    </row>
    <row r="164" spans="1:46" customFormat="1" x14ac:dyDescent="0.25">
      <c r="A164" s="13">
        <v>28</v>
      </c>
      <c r="B164">
        <v>22</v>
      </c>
      <c r="C164">
        <v>50</v>
      </c>
      <c r="D164" t="s">
        <v>174</v>
      </c>
      <c r="E164" t="s">
        <v>86</v>
      </c>
      <c r="F164" t="s">
        <v>175</v>
      </c>
      <c r="G164" s="3">
        <v>14623</v>
      </c>
      <c r="H164" s="21"/>
      <c r="I164" t="s">
        <v>176</v>
      </c>
      <c r="J164" s="21">
        <v>0</v>
      </c>
      <c r="K164" s="21">
        <v>0</v>
      </c>
      <c r="L164">
        <v>2022</v>
      </c>
      <c r="M164">
        <v>2024</v>
      </c>
      <c r="N164">
        <v>2024</v>
      </c>
      <c r="O164">
        <v>2027</v>
      </c>
      <c r="P164">
        <v>2027</v>
      </c>
      <c r="Q164">
        <v>2030</v>
      </c>
      <c r="R164">
        <f t="shared" si="98"/>
        <v>2</v>
      </c>
      <c r="S164">
        <f t="shared" si="99"/>
        <v>3</v>
      </c>
      <c r="T164">
        <f t="shared" si="100"/>
        <v>3</v>
      </c>
      <c r="U164" s="6">
        <f t="shared" si="101"/>
        <v>8</v>
      </c>
      <c r="V164" s="6">
        <f>U164-U165</f>
        <v>0</v>
      </c>
      <c r="W164" s="2"/>
      <c r="X164" s="2">
        <f>U164-U168</f>
        <v>1</v>
      </c>
      <c r="Y164" s="19">
        <f>4.1/0.9</f>
        <v>4.5555555555555554</v>
      </c>
      <c r="Z164" s="19">
        <f>7/0.9</f>
        <v>7.7777777777777777</v>
      </c>
      <c r="AA164" s="19">
        <f>59.67/0.9</f>
        <v>66.3</v>
      </c>
      <c r="AB164" s="2">
        <f t="shared" si="102"/>
        <v>78.633333333333326</v>
      </c>
      <c r="AC164" s="2">
        <f t="shared" ref="AC164:AC168" si="105">AB164-AB165</f>
        <v>0.63333333333332575</v>
      </c>
      <c r="AD164" s="2"/>
      <c r="AE164" s="2">
        <f t="shared" si="83"/>
        <v>-16.566666666666677</v>
      </c>
      <c r="AF164" s="3"/>
      <c r="AG164" s="2">
        <f t="shared" si="78"/>
        <v>7617.5092065269946</v>
      </c>
      <c r="AH164" s="29"/>
      <c r="AI164" s="1">
        <f t="shared" si="79"/>
        <v>-4.5291415091547336</v>
      </c>
      <c r="AK164" s="6">
        <f>IF(AB164&gt;64.2061111111111,1,0)</f>
        <v>1</v>
      </c>
      <c r="AL164">
        <f t="shared" si="80"/>
        <v>0</v>
      </c>
      <c r="AM164">
        <f t="shared" si="81"/>
        <v>0</v>
      </c>
      <c r="AN164">
        <f t="shared" si="82"/>
        <v>0</v>
      </c>
      <c r="AO164">
        <f t="shared" si="84"/>
        <v>7</v>
      </c>
      <c r="AP164" s="1">
        <f t="shared" si="85"/>
        <v>5.3773735439604273</v>
      </c>
      <c r="AQ164">
        <f t="shared" si="86"/>
        <v>4</v>
      </c>
      <c r="AR164">
        <f t="shared" si="87"/>
        <v>1</v>
      </c>
      <c r="AS164">
        <f t="shared" si="88"/>
        <v>1</v>
      </c>
      <c r="AT164" t="str">
        <f t="shared" si="104"/>
        <v>groot</v>
      </c>
    </row>
    <row r="165" spans="1:46" customFormat="1" x14ac:dyDescent="0.25">
      <c r="A165" s="13">
        <v>28</v>
      </c>
      <c r="B165">
        <v>21</v>
      </c>
      <c r="C165">
        <v>50</v>
      </c>
      <c r="D165" t="s">
        <v>174</v>
      </c>
      <c r="E165" t="s">
        <v>86</v>
      </c>
      <c r="F165" t="s">
        <v>175</v>
      </c>
      <c r="G165" s="3">
        <v>14836</v>
      </c>
      <c r="H165" s="21"/>
      <c r="I165" t="s">
        <v>176</v>
      </c>
      <c r="J165" s="21">
        <v>0</v>
      </c>
      <c r="K165" s="21">
        <v>0</v>
      </c>
      <c r="L165">
        <v>2022</v>
      </c>
      <c r="M165">
        <v>2024</v>
      </c>
      <c r="N165">
        <v>2024</v>
      </c>
      <c r="O165">
        <v>2027</v>
      </c>
      <c r="P165">
        <v>2027</v>
      </c>
      <c r="Q165">
        <v>2030</v>
      </c>
      <c r="R165">
        <f t="shared" si="98"/>
        <v>2</v>
      </c>
      <c r="S165">
        <f t="shared" si="99"/>
        <v>3</v>
      </c>
      <c r="T165">
        <f t="shared" si="100"/>
        <v>3</v>
      </c>
      <c r="U165" s="6">
        <f t="shared" si="101"/>
        <v>8</v>
      </c>
      <c r="V165" s="6">
        <f>U165-U166</f>
        <v>0</v>
      </c>
      <c r="W165" s="2">
        <f>U165-U168</f>
        <v>1</v>
      </c>
      <c r="X165" s="2"/>
      <c r="Y165" s="19">
        <v>3.9</v>
      </c>
      <c r="Z165" s="19">
        <v>7.8</v>
      </c>
      <c r="AA165" s="19">
        <v>66.3</v>
      </c>
      <c r="AB165" s="2">
        <f t="shared" si="102"/>
        <v>78</v>
      </c>
      <c r="AC165" s="2">
        <f t="shared" si="105"/>
        <v>9.647777777777776</v>
      </c>
      <c r="AD165" s="2">
        <f>AB165-AB168</f>
        <v>8.5999999999999943</v>
      </c>
      <c r="AE165" s="2" t="str">
        <f t="shared" si="83"/>
        <v/>
      </c>
      <c r="AF165" s="3">
        <f>G165-G168</f>
        <v>7830.5092065269946</v>
      </c>
      <c r="AG165" s="2" t="str">
        <f t="shared" si="78"/>
        <v/>
      </c>
      <c r="AH165" s="29">
        <f>((AB165)/(G165/1000))-((AB168)/(G168/1000))</f>
        <v>-4.6490332520906259</v>
      </c>
      <c r="AI165" s="1" t="str">
        <f t="shared" si="79"/>
        <v/>
      </c>
      <c r="AJ165">
        <v>1</v>
      </c>
      <c r="AK165">
        <v>1</v>
      </c>
      <c r="AL165">
        <f t="shared" si="80"/>
        <v>0</v>
      </c>
      <c r="AM165">
        <f t="shared" si="81"/>
        <v>0</v>
      </c>
      <c r="AN165">
        <f t="shared" si="82"/>
        <v>0</v>
      </c>
      <c r="AO165">
        <f t="shared" si="84"/>
        <v>7</v>
      </c>
      <c r="AP165" s="1">
        <f t="shared" si="85"/>
        <v>5.257481801024535</v>
      </c>
      <c r="AQ165">
        <f t="shared" si="86"/>
        <v>4</v>
      </c>
      <c r="AR165">
        <f t="shared" si="87"/>
        <v>1</v>
      </c>
      <c r="AS165">
        <f t="shared" si="88"/>
        <v>1</v>
      </c>
      <c r="AT165" t="str">
        <f t="shared" si="104"/>
        <v>groot</v>
      </c>
    </row>
    <row r="166" spans="1:46" customFormat="1" x14ac:dyDescent="0.25">
      <c r="A166" s="13">
        <v>28</v>
      </c>
      <c r="B166">
        <v>20</v>
      </c>
      <c r="C166">
        <v>96</v>
      </c>
      <c r="D166" t="s">
        <v>174</v>
      </c>
      <c r="E166" t="s">
        <v>86</v>
      </c>
      <c r="F166" t="s">
        <v>175</v>
      </c>
      <c r="G166" s="3">
        <v>7005.4907934730054</v>
      </c>
      <c r="H166" s="21">
        <v>8</v>
      </c>
      <c r="I166" t="s">
        <v>176</v>
      </c>
      <c r="J166" s="21">
        <v>0</v>
      </c>
      <c r="K166" s="21">
        <v>0</v>
      </c>
      <c r="L166">
        <v>2022</v>
      </c>
      <c r="M166">
        <v>2024</v>
      </c>
      <c r="N166">
        <v>2024</v>
      </c>
      <c r="O166">
        <v>2027</v>
      </c>
      <c r="P166">
        <v>2027</v>
      </c>
      <c r="Q166">
        <v>2030</v>
      </c>
      <c r="R166">
        <f t="shared" si="98"/>
        <v>2</v>
      </c>
      <c r="S166">
        <f t="shared" si="99"/>
        <v>3</v>
      </c>
      <c r="T166">
        <f t="shared" si="100"/>
        <v>3</v>
      </c>
      <c r="U166" s="6">
        <f t="shared" si="101"/>
        <v>8</v>
      </c>
      <c r="V166" s="6">
        <f>U166-U167</f>
        <v>0</v>
      </c>
      <c r="W166" s="2"/>
      <c r="X166" s="2"/>
      <c r="Y166" s="19">
        <v>3.4122222222222223</v>
      </c>
      <c r="Z166" s="19">
        <v>6.7577777777777781</v>
      </c>
      <c r="AA166" s="19">
        <v>58.182222222222229</v>
      </c>
      <c r="AB166" s="2">
        <f t="shared" si="102"/>
        <v>68.352222222222224</v>
      </c>
      <c r="AC166" s="2">
        <f t="shared" si="105"/>
        <v>2.2222222222012533E-4</v>
      </c>
      <c r="AD166" s="2"/>
      <c r="AE166" s="2" t="str">
        <f t="shared" si="83"/>
        <v/>
      </c>
      <c r="AF166" s="3"/>
      <c r="AG166" s="2" t="str">
        <f t="shared" si="78"/>
        <v/>
      </c>
      <c r="AH166" s="29"/>
      <c r="AI166" s="1" t="str">
        <f t="shared" si="79"/>
        <v/>
      </c>
      <c r="AJ166">
        <v>1</v>
      </c>
      <c r="AK166">
        <v>1</v>
      </c>
      <c r="AL166">
        <f t="shared" si="80"/>
        <v>0</v>
      </c>
      <c r="AM166">
        <f t="shared" si="81"/>
        <v>0</v>
      </c>
      <c r="AN166">
        <f t="shared" si="82"/>
        <v>0</v>
      </c>
      <c r="AO166">
        <f t="shared" si="84"/>
        <v>7</v>
      </c>
      <c r="AP166" s="1">
        <f t="shared" si="85"/>
        <v>9.756949832252408</v>
      </c>
      <c r="AQ166">
        <f t="shared" si="86"/>
        <v>4</v>
      </c>
      <c r="AR166">
        <f t="shared" si="87"/>
        <v>1</v>
      </c>
      <c r="AS166">
        <f t="shared" si="88"/>
        <v>1</v>
      </c>
      <c r="AT166" t="str">
        <f t="shared" si="104"/>
        <v>groot</v>
      </c>
    </row>
    <row r="167" spans="1:46" customFormat="1" x14ac:dyDescent="0.25">
      <c r="A167" s="13">
        <v>28</v>
      </c>
      <c r="B167">
        <v>19</v>
      </c>
      <c r="C167">
        <v>96</v>
      </c>
      <c r="D167" t="s">
        <v>174</v>
      </c>
      <c r="E167" t="s">
        <v>86</v>
      </c>
      <c r="F167" t="s">
        <v>175</v>
      </c>
      <c r="G167" s="3">
        <v>7005.4907934730054</v>
      </c>
      <c r="H167" s="21"/>
      <c r="I167" t="s">
        <v>176</v>
      </c>
      <c r="J167" s="21">
        <v>0</v>
      </c>
      <c r="K167" s="21">
        <v>0</v>
      </c>
      <c r="L167">
        <v>2022</v>
      </c>
      <c r="M167">
        <v>2024</v>
      </c>
      <c r="N167">
        <v>2024</v>
      </c>
      <c r="O167">
        <v>2027</v>
      </c>
      <c r="P167">
        <v>2027</v>
      </c>
      <c r="Q167">
        <v>2030</v>
      </c>
      <c r="R167">
        <f t="shared" si="98"/>
        <v>2</v>
      </c>
      <c r="S167">
        <f t="shared" si="99"/>
        <v>3</v>
      </c>
      <c r="T167">
        <f t="shared" si="100"/>
        <v>3</v>
      </c>
      <c r="U167" s="6">
        <f t="shared" si="101"/>
        <v>8</v>
      </c>
      <c r="V167" s="6">
        <f>U167-U168</f>
        <v>1</v>
      </c>
      <c r="W167" s="2"/>
      <c r="X167" s="2"/>
      <c r="Y167" s="19">
        <v>3.4119999999999999</v>
      </c>
      <c r="Z167" s="19">
        <v>6.758</v>
      </c>
      <c r="AA167" s="19">
        <v>58.182000000000002</v>
      </c>
      <c r="AB167" s="2">
        <f t="shared" si="102"/>
        <v>68.352000000000004</v>
      </c>
      <c r="AC167" s="2">
        <f t="shared" si="105"/>
        <v>-1.0480000000000018</v>
      </c>
      <c r="AD167" s="2"/>
      <c r="AE167" s="2" t="str">
        <f t="shared" si="83"/>
        <v/>
      </c>
      <c r="AF167" s="3"/>
      <c r="AG167" s="2" t="str">
        <f t="shared" si="78"/>
        <v/>
      </c>
      <c r="AH167" s="29"/>
      <c r="AI167" s="1" t="str">
        <f t="shared" si="79"/>
        <v/>
      </c>
      <c r="AJ167">
        <v>1</v>
      </c>
      <c r="AK167">
        <v>1</v>
      </c>
      <c r="AL167">
        <f t="shared" si="80"/>
        <v>0</v>
      </c>
      <c r="AM167">
        <f t="shared" si="81"/>
        <v>0</v>
      </c>
      <c r="AN167">
        <f t="shared" si="82"/>
        <v>0</v>
      </c>
      <c r="AO167">
        <f t="shared" si="84"/>
        <v>7</v>
      </c>
      <c r="AP167" s="1">
        <f t="shared" si="85"/>
        <v>9.756918111102701</v>
      </c>
      <c r="AQ167">
        <f t="shared" si="86"/>
        <v>4</v>
      </c>
      <c r="AR167">
        <f t="shared" si="87"/>
        <v>1</v>
      </c>
      <c r="AS167">
        <f t="shared" si="88"/>
        <v>1</v>
      </c>
      <c r="AT167" t="str">
        <f t="shared" si="104"/>
        <v>groot</v>
      </c>
    </row>
    <row r="168" spans="1:46" customFormat="1" x14ac:dyDescent="0.25">
      <c r="A168" s="13">
        <v>28</v>
      </c>
      <c r="B168">
        <v>18</v>
      </c>
      <c r="C168">
        <v>85</v>
      </c>
      <c r="D168" t="s">
        <v>177</v>
      </c>
      <c r="E168" t="s">
        <v>86</v>
      </c>
      <c r="F168" t="s">
        <v>175</v>
      </c>
      <c r="G168" s="3">
        <v>7005.4907934730054</v>
      </c>
      <c r="H168" s="21"/>
      <c r="I168" t="s">
        <v>176</v>
      </c>
      <c r="J168" s="21">
        <v>0</v>
      </c>
      <c r="K168" s="21">
        <v>0</v>
      </c>
      <c r="L168">
        <v>2022</v>
      </c>
      <c r="M168">
        <v>2024</v>
      </c>
      <c r="N168">
        <v>2024</v>
      </c>
      <c r="O168">
        <v>2027</v>
      </c>
      <c r="P168">
        <v>2027</v>
      </c>
      <c r="Q168">
        <v>2029</v>
      </c>
      <c r="R168">
        <f t="shared" si="98"/>
        <v>2</v>
      </c>
      <c r="S168">
        <f t="shared" si="99"/>
        <v>3</v>
      </c>
      <c r="T168">
        <f t="shared" si="100"/>
        <v>2</v>
      </c>
      <c r="U168" s="6">
        <f t="shared" si="101"/>
        <v>7</v>
      </c>
      <c r="V168" s="6">
        <f>U168-U169</f>
        <v>1</v>
      </c>
      <c r="W168" s="2"/>
      <c r="X168" s="2"/>
      <c r="Y168" s="19">
        <v>3.5</v>
      </c>
      <c r="Z168" s="19">
        <v>6.9</v>
      </c>
      <c r="AA168" s="19">
        <v>59</v>
      </c>
      <c r="AB168" s="2">
        <f t="shared" si="102"/>
        <v>69.400000000000006</v>
      </c>
      <c r="AC168" s="2">
        <f t="shared" si="105"/>
        <v>17.200000000000003</v>
      </c>
      <c r="AD168" s="2"/>
      <c r="AE168" s="2" t="str">
        <f t="shared" si="83"/>
        <v/>
      </c>
      <c r="AF168" s="3"/>
      <c r="AG168" s="2" t="str">
        <f t="shared" si="78"/>
        <v/>
      </c>
      <c r="AH168" s="29"/>
      <c r="AI168" s="1" t="str">
        <f t="shared" si="79"/>
        <v/>
      </c>
      <c r="AJ168">
        <v>1</v>
      </c>
      <c r="AK168">
        <v>1</v>
      </c>
      <c r="AL168">
        <f t="shared" si="80"/>
        <v>0</v>
      </c>
      <c r="AM168">
        <f t="shared" si="81"/>
        <v>0</v>
      </c>
      <c r="AN168">
        <f t="shared" si="82"/>
        <v>0</v>
      </c>
      <c r="AO168">
        <f t="shared" si="84"/>
        <v>7</v>
      </c>
      <c r="AP168" s="1">
        <f t="shared" si="85"/>
        <v>9.9065150531151609</v>
      </c>
      <c r="AQ168">
        <f t="shared" si="86"/>
        <v>4</v>
      </c>
      <c r="AR168">
        <f t="shared" si="87"/>
        <v>1</v>
      </c>
      <c r="AS168">
        <f t="shared" si="88"/>
        <v>0</v>
      </c>
      <c r="AT168" t="str">
        <f t="shared" si="104"/>
        <v>groot</v>
      </c>
    </row>
    <row r="169" spans="1:46" customFormat="1" x14ac:dyDescent="0.25">
      <c r="A169" s="13">
        <v>28</v>
      </c>
      <c r="B169">
        <v>17</v>
      </c>
      <c r="C169">
        <v>75</v>
      </c>
      <c r="D169" t="s">
        <v>177</v>
      </c>
      <c r="E169" t="s">
        <v>86</v>
      </c>
      <c r="F169" t="s">
        <v>175</v>
      </c>
      <c r="G169" s="3"/>
      <c r="H169" s="21"/>
      <c r="J169" s="21">
        <v>0</v>
      </c>
      <c r="K169" s="21">
        <v>0</v>
      </c>
      <c r="L169">
        <v>2023</v>
      </c>
      <c r="M169">
        <v>2025</v>
      </c>
      <c r="N169">
        <v>2025</v>
      </c>
      <c r="O169">
        <v>2027</v>
      </c>
      <c r="P169">
        <v>2027</v>
      </c>
      <c r="Q169">
        <v>2029</v>
      </c>
      <c r="R169">
        <f t="shared" si="98"/>
        <v>2</v>
      </c>
      <c r="S169">
        <f t="shared" si="99"/>
        <v>2</v>
      </c>
      <c r="T169">
        <f t="shared" si="100"/>
        <v>2</v>
      </c>
      <c r="U169" s="6">
        <f t="shared" si="101"/>
        <v>6</v>
      </c>
      <c r="W169" s="2"/>
      <c r="X169" s="2"/>
      <c r="Y169" s="19">
        <v>2.6</v>
      </c>
      <c r="Z169" s="19">
        <v>5.2</v>
      </c>
      <c r="AA169" s="19">
        <v>44.4</v>
      </c>
      <c r="AB169" s="2">
        <f t="shared" si="102"/>
        <v>52.2</v>
      </c>
      <c r="AC169" s="2"/>
      <c r="AD169" s="2"/>
      <c r="AE169" s="2" t="str">
        <f t="shared" si="83"/>
        <v/>
      </c>
      <c r="AF169" s="3"/>
      <c r="AG169" s="2" t="str">
        <f t="shared" si="78"/>
        <v/>
      </c>
      <c r="AH169" s="29"/>
      <c r="AI169" s="1" t="str">
        <f t="shared" si="79"/>
        <v/>
      </c>
      <c r="AJ169">
        <v>1</v>
      </c>
      <c r="AK169">
        <v>1</v>
      </c>
      <c r="AL169">
        <f t="shared" si="80"/>
        <v>0</v>
      </c>
      <c r="AM169">
        <f t="shared" si="81"/>
        <v>0</v>
      </c>
      <c r="AN169">
        <f t="shared" si="82"/>
        <v>0</v>
      </c>
      <c r="AO169">
        <f t="shared" si="84"/>
        <v>7</v>
      </c>
      <c r="AP169" s="1"/>
      <c r="AQ169">
        <f t="shared" si="86"/>
        <v>5</v>
      </c>
      <c r="AR169">
        <f t="shared" si="87"/>
        <v>1</v>
      </c>
      <c r="AS169">
        <f t="shared" si="88"/>
        <v>0</v>
      </c>
      <c r="AT169" t="str">
        <f t="shared" si="104"/>
        <v>groot</v>
      </c>
    </row>
    <row r="170" spans="1:46" customFormat="1" x14ac:dyDescent="0.25">
      <c r="A170" s="13">
        <v>29</v>
      </c>
      <c r="B170">
        <v>22</v>
      </c>
      <c r="C170">
        <v>94</v>
      </c>
      <c r="D170" t="s">
        <v>178</v>
      </c>
      <c r="E170" t="s">
        <v>36</v>
      </c>
      <c r="F170" t="s">
        <v>179</v>
      </c>
      <c r="G170" s="3">
        <v>2700</v>
      </c>
      <c r="H170" s="21"/>
      <c r="I170" t="s">
        <v>180</v>
      </c>
      <c r="J170" s="21">
        <v>0</v>
      </c>
      <c r="K170" s="21">
        <v>0</v>
      </c>
      <c r="L170">
        <v>2016</v>
      </c>
      <c r="M170">
        <v>2018</v>
      </c>
      <c r="N170">
        <v>2018</v>
      </c>
      <c r="O170">
        <v>2021</v>
      </c>
      <c r="P170">
        <v>2021</v>
      </c>
      <c r="Q170">
        <v>2024</v>
      </c>
      <c r="R170">
        <f t="shared" si="98"/>
        <v>2</v>
      </c>
      <c r="S170">
        <f t="shared" si="99"/>
        <v>3</v>
      </c>
      <c r="T170">
        <f t="shared" si="100"/>
        <v>3</v>
      </c>
      <c r="U170" s="6">
        <f t="shared" si="101"/>
        <v>8</v>
      </c>
      <c r="V170" s="6">
        <f>U170-U171</f>
        <v>2</v>
      </c>
      <c r="W170" s="2"/>
      <c r="X170" s="2">
        <f>U170-U174</f>
        <v>1</v>
      </c>
      <c r="Y170" s="19">
        <f>2.4/0.9</f>
        <v>2.6666666666666665</v>
      </c>
      <c r="Z170" s="19">
        <f>3.9/0.9</f>
        <v>4.333333333333333</v>
      </c>
      <c r="AA170" s="19">
        <f>13/0.9</f>
        <v>14.444444444444445</v>
      </c>
      <c r="AB170" s="2">
        <f t="shared" si="102"/>
        <v>21.444444444444443</v>
      </c>
      <c r="AC170" s="2">
        <f t="shared" ref="AC170:AC174" si="106">AB170-AB171</f>
        <v>-0.19333333333333513</v>
      </c>
      <c r="AD170" s="2"/>
      <c r="AE170" s="2">
        <f t="shared" si="83"/>
        <v>11.746666666666663</v>
      </c>
      <c r="AF170" s="3"/>
      <c r="AG170" s="2">
        <f t="shared" si="78"/>
        <v>-545.72257161103425</v>
      </c>
      <c r="AH170" s="29"/>
      <c r="AI170" s="1">
        <f t="shared" si="79"/>
        <v>4.0911642685920739</v>
      </c>
      <c r="AK170" s="6">
        <f>IF(AB170&gt;64.2061111111111,1,0)</f>
        <v>0</v>
      </c>
      <c r="AL170">
        <f t="shared" si="80"/>
        <v>0</v>
      </c>
      <c r="AM170">
        <f t="shared" si="81"/>
        <v>1</v>
      </c>
      <c r="AN170">
        <f t="shared" si="82"/>
        <v>0</v>
      </c>
      <c r="AO170">
        <f t="shared" si="84"/>
        <v>1</v>
      </c>
      <c r="AP170" s="1">
        <f t="shared" si="85"/>
        <v>7.9423868312757193</v>
      </c>
      <c r="AQ170">
        <f t="shared" si="86"/>
        <v>-2</v>
      </c>
      <c r="AR170">
        <f t="shared" si="87"/>
        <v>0</v>
      </c>
      <c r="AS170">
        <f t="shared" si="88"/>
        <v>0</v>
      </c>
      <c r="AT170" t="str">
        <f t="shared" si="104"/>
        <v>klein</v>
      </c>
    </row>
    <row r="171" spans="1:46" customFormat="1" x14ac:dyDescent="0.25">
      <c r="A171" s="13">
        <v>29</v>
      </c>
      <c r="B171">
        <v>21</v>
      </c>
      <c r="C171">
        <v>94</v>
      </c>
      <c r="D171" t="s">
        <v>178</v>
      </c>
      <c r="E171" t="s">
        <v>36</v>
      </c>
      <c r="F171" t="s">
        <v>179</v>
      </c>
      <c r="G171" s="3">
        <v>2700</v>
      </c>
      <c r="H171" s="21"/>
      <c r="I171" t="s">
        <v>180</v>
      </c>
      <c r="J171" s="21">
        <v>0</v>
      </c>
      <c r="K171" s="21">
        <v>0</v>
      </c>
      <c r="L171">
        <v>2016</v>
      </c>
      <c r="M171">
        <v>2017</v>
      </c>
      <c r="N171">
        <v>2018</v>
      </c>
      <c r="O171">
        <v>2021</v>
      </c>
      <c r="P171">
        <v>2021</v>
      </c>
      <c r="Q171">
        <v>2023</v>
      </c>
      <c r="R171">
        <f t="shared" si="98"/>
        <v>1</v>
      </c>
      <c r="S171">
        <f t="shared" si="99"/>
        <v>3</v>
      </c>
      <c r="T171">
        <f t="shared" si="100"/>
        <v>2</v>
      </c>
      <c r="U171" s="6">
        <f t="shared" si="101"/>
        <v>6</v>
      </c>
      <c r="V171" s="6">
        <f>U171-U172</f>
        <v>-1</v>
      </c>
      <c r="W171" s="2">
        <f>U171-U174</f>
        <v>-1</v>
      </c>
      <c r="X171" s="2"/>
      <c r="Y171" s="19">
        <v>2.6933333333333334</v>
      </c>
      <c r="Z171" s="19">
        <v>4.3977777777777787</v>
      </c>
      <c r="AA171" s="19">
        <v>14.546666666666667</v>
      </c>
      <c r="AB171" s="2">
        <f t="shared" si="102"/>
        <v>21.637777777777778</v>
      </c>
      <c r="AC171" s="2">
        <f t="shared" si="106"/>
        <v>-0.3044444444444423</v>
      </c>
      <c r="AD171" s="2">
        <f>AB171-AB174</f>
        <v>9.137777777777778</v>
      </c>
      <c r="AE171" s="2" t="str">
        <f t="shared" si="83"/>
        <v/>
      </c>
      <c r="AF171" s="3">
        <f>G171-G174</f>
        <v>-545.72257161103425</v>
      </c>
      <c r="AG171" s="2" t="str">
        <f t="shared" si="78"/>
        <v/>
      </c>
      <c r="AH171" s="29">
        <f>((AB171)/(G171/1000))-((AB174)/(G174/1000))</f>
        <v>4.162769206863679</v>
      </c>
      <c r="AI171" s="1" t="str">
        <f t="shared" si="79"/>
        <v/>
      </c>
      <c r="AJ171">
        <v>0</v>
      </c>
      <c r="AK171">
        <v>0</v>
      </c>
      <c r="AL171">
        <f t="shared" si="80"/>
        <v>0</v>
      </c>
      <c r="AM171">
        <f t="shared" si="81"/>
        <v>1</v>
      </c>
      <c r="AN171">
        <f t="shared" si="82"/>
        <v>0</v>
      </c>
      <c r="AO171">
        <f t="shared" si="84"/>
        <v>1</v>
      </c>
      <c r="AP171" s="1">
        <f t="shared" si="85"/>
        <v>8.0139917695473244</v>
      </c>
      <c r="AQ171">
        <f t="shared" si="86"/>
        <v>-2</v>
      </c>
      <c r="AR171">
        <f t="shared" si="87"/>
        <v>0</v>
      </c>
      <c r="AS171">
        <f t="shared" si="88"/>
        <v>0</v>
      </c>
      <c r="AT171" t="str">
        <f t="shared" si="104"/>
        <v>klein</v>
      </c>
    </row>
    <row r="172" spans="1:46" customFormat="1" x14ac:dyDescent="0.25">
      <c r="A172" s="13">
        <v>29</v>
      </c>
      <c r="B172">
        <v>20</v>
      </c>
      <c r="C172">
        <v>141</v>
      </c>
      <c r="D172" t="s">
        <v>178</v>
      </c>
      <c r="E172" t="s">
        <v>36</v>
      </c>
      <c r="F172" t="s">
        <v>179</v>
      </c>
      <c r="G172" s="3">
        <v>3245.7225716110343</v>
      </c>
      <c r="H172" s="21">
        <v>4</v>
      </c>
      <c r="I172" t="s">
        <v>181</v>
      </c>
      <c r="J172" s="21">
        <v>0</v>
      </c>
      <c r="K172" s="21">
        <v>0</v>
      </c>
      <c r="L172">
        <v>2016</v>
      </c>
      <c r="M172">
        <v>2018</v>
      </c>
      <c r="N172">
        <v>2018</v>
      </c>
      <c r="O172">
        <v>2020</v>
      </c>
      <c r="P172">
        <v>2020</v>
      </c>
      <c r="Q172">
        <v>2023</v>
      </c>
      <c r="R172">
        <f t="shared" si="98"/>
        <v>2</v>
      </c>
      <c r="S172">
        <f t="shared" si="99"/>
        <v>2</v>
      </c>
      <c r="T172">
        <f t="shared" si="100"/>
        <v>3</v>
      </c>
      <c r="U172" s="6">
        <f t="shared" si="101"/>
        <v>7</v>
      </c>
      <c r="V172" s="6">
        <f>U172-U173</f>
        <v>1</v>
      </c>
      <c r="W172" s="2"/>
      <c r="X172" s="2"/>
      <c r="Y172" s="19">
        <v>2.6933333333333334</v>
      </c>
      <c r="Z172" s="19">
        <v>4.7777777777777777</v>
      </c>
      <c r="AA172" s="19">
        <v>14.47111111111111</v>
      </c>
      <c r="AB172" s="2">
        <f t="shared" si="102"/>
        <v>21.94222222222222</v>
      </c>
      <c r="AC172" s="2">
        <f t="shared" si="106"/>
        <v>8.4422222222222203</v>
      </c>
      <c r="AD172" s="2"/>
      <c r="AE172" s="2" t="str">
        <f>IF(ISNUMBER(X172),AC172-#REF!,"")</f>
        <v/>
      </c>
      <c r="AF172" s="3"/>
      <c r="AG172" s="2" t="str">
        <f>IF(ISNUMBER(X172),G172-#REF!,"")</f>
        <v/>
      </c>
      <c r="AH172" s="29"/>
      <c r="AI172" s="1" t="str">
        <f>IF(ISNUMBER(X172),((AB172)/(G172/1000))-((#REF!)/(G175/1000)),"")</f>
        <v/>
      </c>
      <c r="AJ172">
        <v>0</v>
      </c>
      <c r="AK172">
        <v>0</v>
      </c>
      <c r="AL172">
        <f t="shared" si="80"/>
        <v>0</v>
      </c>
      <c r="AM172">
        <f t="shared" si="81"/>
        <v>0</v>
      </c>
      <c r="AN172">
        <f t="shared" si="82"/>
        <v>1</v>
      </c>
      <c r="AO172">
        <f t="shared" si="84"/>
        <v>0</v>
      </c>
      <c r="AP172" s="1">
        <f t="shared" si="85"/>
        <v>6.7603505038112557</v>
      </c>
      <c r="AQ172">
        <f t="shared" si="86"/>
        <v>-2</v>
      </c>
      <c r="AR172">
        <f t="shared" si="87"/>
        <v>0</v>
      </c>
      <c r="AS172">
        <f t="shared" si="88"/>
        <v>1</v>
      </c>
      <c r="AT172" t="str">
        <f t="shared" si="104"/>
        <v>klein</v>
      </c>
    </row>
    <row r="173" spans="1:46" customFormat="1" x14ac:dyDescent="0.25">
      <c r="A173" s="13">
        <v>29</v>
      </c>
      <c r="B173">
        <v>19</v>
      </c>
      <c r="C173">
        <v>138</v>
      </c>
      <c r="D173" t="s">
        <v>178</v>
      </c>
      <c r="E173" t="s">
        <v>36</v>
      </c>
      <c r="F173" t="s">
        <v>179</v>
      </c>
      <c r="G173" s="3">
        <v>3245.7225716110343</v>
      </c>
      <c r="H173" s="21"/>
      <c r="I173" t="s">
        <v>182</v>
      </c>
      <c r="J173" s="21">
        <v>0</v>
      </c>
      <c r="K173" s="21">
        <v>0</v>
      </c>
      <c r="L173">
        <v>2016</v>
      </c>
      <c r="M173">
        <v>2018</v>
      </c>
      <c r="N173">
        <v>2018</v>
      </c>
      <c r="O173">
        <v>2020</v>
      </c>
      <c r="P173">
        <v>2020</v>
      </c>
      <c r="Q173">
        <v>2022</v>
      </c>
      <c r="R173">
        <f t="shared" si="98"/>
        <v>2</v>
      </c>
      <c r="S173">
        <f t="shared" si="99"/>
        <v>2</v>
      </c>
      <c r="T173">
        <f t="shared" si="100"/>
        <v>2</v>
      </c>
      <c r="U173" s="6">
        <f t="shared" si="101"/>
        <v>6</v>
      </c>
      <c r="V173" s="6">
        <f>U173-U174</f>
        <v>-1</v>
      </c>
      <c r="W173" s="2"/>
      <c r="X173" s="2"/>
      <c r="Y173" s="19">
        <v>2.42</v>
      </c>
      <c r="Z173" s="19">
        <v>0.28000000000000003</v>
      </c>
      <c r="AA173" s="19">
        <v>10.8</v>
      </c>
      <c r="AB173" s="2">
        <f t="shared" si="102"/>
        <v>13.5</v>
      </c>
      <c r="AC173" s="2">
        <f t="shared" si="106"/>
        <v>1</v>
      </c>
      <c r="AD173" s="2"/>
      <c r="AE173" s="2" t="str">
        <f>IF(ISNUMBER(X173),AC173-#REF!,"")</f>
        <v/>
      </c>
      <c r="AF173" s="3"/>
      <c r="AG173" s="2" t="str">
        <f>IF(ISNUMBER(X173),G173-#REF!,"")</f>
        <v/>
      </c>
      <c r="AH173" s="29"/>
      <c r="AI173" s="1" t="str">
        <f>IF(ISNUMBER(X173),((AB173)/(G173/1000))-((#REF!)/(#REF!/1000)),"")</f>
        <v/>
      </c>
      <c r="AJ173">
        <v>0</v>
      </c>
      <c r="AK173">
        <v>0</v>
      </c>
      <c r="AL173">
        <f t="shared" si="80"/>
        <v>0</v>
      </c>
      <c r="AM173">
        <f t="shared" si="81"/>
        <v>0</v>
      </c>
      <c r="AN173">
        <f t="shared" si="82"/>
        <v>1</v>
      </c>
      <c r="AO173">
        <f t="shared" si="84"/>
        <v>0</v>
      </c>
      <c r="AP173" s="1">
        <f t="shared" si="85"/>
        <v>4.1593203676983377</v>
      </c>
      <c r="AQ173">
        <f t="shared" si="86"/>
        <v>-2</v>
      </c>
      <c r="AR173">
        <f t="shared" si="87"/>
        <v>0</v>
      </c>
      <c r="AS173">
        <f t="shared" si="88"/>
        <v>1</v>
      </c>
      <c r="AT173" t="str">
        <f t="shared" si="104"/>
        <v>klein</v>
      </c>
    </row>
    <row r="174" spans="1:46" customFormat="1" x14ac:dyDescent="0.25">
      <c r="A174" s="13">
        <v>29</v>
      </c>
      <c r="B174">
        <v>18</v>
      </c>
      <c r="C174">
        <v>121</v>
      </c>
      <c r="D174" t="s">
        <v>178</v>
      </c>
      <c r="E174" t="s">
        <v>36</v>
      </c>
      <c r="F174" t="s">
        <v>179</v>
      </c>
      <c r="G174" s="3">
        <v>3245.7225716110343</v>
      </c>
      <c r="H174" s="21"/>
      <c r="I174" t="s">
        <v>180</v>
      </c>
      <c r="J174" s="21">
        <v>0</v>
      </c>
      <c r="K174" s="21">
        <v>0</v>
      </c>
      <c r="L174">
        <v>2016</v>
      </c>
      <c r="M174">
        <v>2018</v>
      </c>
      <c r="N174">
        <v>2018</v>
      </c>
      <c r="O174">
        <v>2020</v>
      </c>
      <c r="P174">
        <v>2020</v>
      </c>
      <c r="Q174">
        <v>2023</v>
      </c>
      <c r="R174">
        <f t="shared" si="98"/>
        <v>2</v>
      </c>
      <c r="S174">
        <f t="shared" si="99"/>
        <v>2</v>
      </c>
      <c r="T174">
        <f t="shared" si="100"/>
        <v>3</v>
      </c>
      <c r="U174" s="6">
        <f t="shared" si="101"/>
        <v>7</v>
      </c>
      <c r="V174" s="6">
        <f>U174-U175</f>
        <v>0</v>
      </c>
      <c r="W174" s="2"/>
      <c r="X174" s="2"/>
      <c r="Y174" s="19">
        <v>2.42</v>
      </c>
      <c r="Z174" s="19">
        <v>0.28000000000000003</v>
      </c>
      <c r="AA174" s="19">
        <v>9.8000000000000007</v>
      </c>
      <c r="AB174" s="2">
        <f t="shared" si="102"/>
        <v>12.5</v>
      </c>
      <c r="AC174" s="2">
        <f t="shared" si="106"/>
        <v>-11.939999999999998</v>
      </c>
      <c r="AD174" s="2"/>
      <c r="AE174" s="2" t="str">
        <f>IF(ISNUMBER(X174),AC174-#REF!,"")</f>
        <v/>
      </c>
      <c r="AF174" s="3"/>
      <c r="AG174" s="2" t="str">
        <f>IF(ISNUMBER(X174),G174-#REF!,"")</f>
        <v/>
      </c>
      <c r="AH174" s="29"/>
      <c r="AI174" s="1" t="str">
        <f>IF(ISNUMBER(X174),((AB174)/(G174/1000))-((#REF!)/(#REF!/1000)),"")</f>
        <v/>
      </c>
      <c r="AJ174">
        <v>0</v>
      </c>
      <c r="AK174">
        <v>0</v>
      </c>
      <c r="AL174">
        <f t="shared" si="80"/>
        <v>0</v>
      </c>
      <c r="AM174">
        <f t="shared" si="81"/>
        <v>0</v>
      </c>
      <c r="AN174">
        <f t="shared" si="82"/>
        <v>1</v>
      </c>
      <c r="AO174">
        <f t="shared" si="84"/>
        <v>0</v>
      </c>
      <c r="AP174" s="1">
        <f t="shared" si="85"/>
        <v>3.8512225626836458</v>
      </c>
      <c r="AQ174">
        <f t="shared" si="86"/>
        <v>-2</v>
      </c>
      <c r="AR174">
        <f t="shared" si="87"/>
        <v>0</v>
      </c>
      <c r="AS174">
        <f t="shared" si="88"/>
        <v>0</v>
      </c>
      <c r="AT174" t="str">
        <f t="shared" si="104"/>
        <v>klein</v>
      </c>
    </row>
    <row r="175" spans="1:46" customFormat="1" x14ac:dyDescent="0.25">
      <c r="A175" s="13">
        <v>29</v>
      </c>
      <c r="B175">
        <v>17</v>
      </c>
      <c r="C175">
        <v>118</v>
      </c>
      <c r="D175" t="s">
        <v>178</v>
      </c>
      <c r="E175" t="s">
        <v>36</v>
      </c>
      <c r="F175" t="s">
        <v>183</v>
      </c>
      <c r="G175" s="3"/>
      <c r="H175" s="21"/>
      <c r="J175" s="21">
        <v>0</v>
      </c>
      <c r="K175" s="21">
        <v>0</v>
      </c>
      <c r="L175">
        <v>2016</v>
      </c>
      <c r="M175">
        <v>2018</v>
      </c>
      <c r="N175">
        <v>2018</v>
      </c>
      <c r="O175">
        <v>2020</v>
      </c>
      <c r="P175">
        <v>2020</v>
      </c>
      <c r="Q175">
        <v>2023</v>
      </c>
      <c r="R175">
        <f t="shared" si="98"/>
        <v>2</v>
      </c>
      <c r="S175">
        <f t="shared" si="99"/>
        <v>2</v>
      </c>
      <c r="T175">
        <f t="shared" si="100"/>
        <v>3</v>
      </c>
      <c r="U175" s="6">
        <f t="shared" si="101"/>
        <v>7</v>
      </c>
      <c r="V175" s="6"/>
      <c r="W175" s="2"/>
      <c r="X175" s="2"/>
      <c r="Y175" s="19">
        <v>7</v>
      </c>
      <c r="Z175" s="19">
        <v>1.8399999999999999</v>
      </c>
      <c r="AA175" s="19">
        <v>15.6</v>
      </c>
      <c r="AB175" s="2">
        <f t="shared" si="102"/>
        <v>24.439999999999998</v>
      </c>
      <c r="AC175" s="2"/>
      <c r="AD175" s="2"/>
      <c r="AE175" s="2" t="str">
        <f>IF(ISNUMBER(X175),AC175-#REF!,"")</f>
        <v/>
      </c>
      <c r="AF175" s="3"/>
      <c r="AG175" s="2" t="str">
        <f>IF(ISNUMBER(X175),G175-#REF!,"")</f>
        <v/>
      </c>
      <c r="AH175" s="29"/>
      <c r="AI175" s="1" t="str">
        <f>IF(ISNUMBER(X175),((AB175)/(G175/1000))-((#REF!)/(#REF!/1000)),"")</f>
        <v/>
      </c>
      <c r="AJ175">
        <v>0</v>
      </c>
      <c r="AK175">
        <v>0</v>
      </c>
      <c r="AL175">
        <f t="shared" si="80"/>
        <v>0</v>
      </c>
      <c r="AM175">
        <f t="shared" si="81"/>
        <v>0</v>
      </c>
      <c r="AN175">
        <f t="shared" si="82"/>
        <v>1</v>
      </c>
      <c r="AO175">
        <f t="shared" si="84"/>
        <v>0</v>
      </c>
      <c r="AP175" s="1"/>
      <c r="AQ175">
        <f t="shared" si="86"/>
        <v>-2</v>
      </c>
      <c r="AR175">
        <f t="shared" si="87"/>
        <v>0</v>
      </c>
      <c r="AS175">
        <f t="shared" si="88"/>
        <v>0</v>
      </c>
      <c r="AT175" t="str">
        <f t="shared" si="104"/>
        <v>klein</v>
      </c>
    </row>
    <row r="176" spans="1:46" customFormat="1" x14ac:dyDescent="0.25">
      <c r="A176" s="13">
        <v>31</v>
      </c>
      <c r="B176">
        <v>22</v>
      </c>
      <c r="C176">
        <v>12</v>
      </c>
      <c r="D176" t="s">
        <v>184</v>
      </c>
      <c r="E176" t="s">
        <v>185</v>
      </c>
      <c r="F176" t="s">
        <v>186</v>
      </c>
      <c r="G176" s="3">
        <v>24300</v>
      </c>
      <c r="H176" s="21"/>
      <c r="J176" s="21">
        <v>0</v>
      </c>
      <c r="K176" s="21">
        <v>0</v>
      </c>
      <c r="L176">
        <v>2021</v>
      </c>
      <c r="M176">
        <v>2022</v>
      </c>
      <c r="N176">
        <v>2022</v>
      </c>
      <c r="O176">
        <v>2025</v>
      </c>
      <c r="P176">
        <v>2025</v>
      </c>
      <c r="Q176">
        <v>2028</v>
      </c>
      <c r="R176">
        <f t="shared" ref="R176:R180" si="107">M176-L176</f>
        <v>1</v>
      </c>
      <c r="S176">
        <f t="shared" ref="S176:S180" si="108">O176-N176</f>
        <v>3</v>
      </c>
      <c r="T176">
        <f t="shared" ref="T176:T180" si="109">Q176-P176</f>
        <v>3</v>
      </c>
      <c r="U176" s="6">
        <f t="shared" ref="U176:U180" si="110">SUM(R176:T176)</f>
        <v>7</v>
      </c>
      <c r="V176" s="6">
        <f>U176-U177</f>
        <v>-1</v>
      </c>
      <c r="W176" s="2"/>
      <c r="X176" s="2">
        <f>U176-U180</f>
        <v>1</v>
      </c>
      <c r="Y176" s="19">
        <v>0.64</v>
      </c>
      <c r="Z176" s="19">
        <v>0.64</v>
      </c>
      <c r="AA176" s="19">
        <v>6.72</v>
      </c>
      <c r="AB176" s="2">
        <f t="shared" si="102"/>
        <v>8</v>
      </c>
      <c r="AC176" s="2">
        <f t="shared" ref="AC176:AC180" si="111">AB176-AB177</f>
        <v>0</v>
      </c>
      <c r="AD176" s="2"/>
      <c r="AE176" s="2">
        <f t="shared" si="83"/>
        <v>-16.900000000000002</v>
      </c>
      <c r="AF176" s="3"/>
      <c r="AG176" s="2">
        <f t="shared" si="78"/>
        <v>-549.9939715291257</v>
      </c>
      <c r="AH176" s="29"/>
      <c r="AI176" s="1">
        <f t="shared" si="79"/>
        <v>-0.35086240792986551</v>
      </c>
      <c r="AK176" s="6">
        <f>IF(AB176&gt;64.2061111111111,1,0)</f>
        <v>0</v>
      </c>
      <c r="AL176">
        <f t="shared" si="80"/>
        <v>0</v>
      </c>
      <c r="AM176">
        <f t="shared" si="81"/>
        <v>0</v>
      </c>
      <c r="AN176">
        <f t="shared" si="82"/>
        <v>0</v>
      </c>
      <c r="AO176">
        <f t="shared" si="84"/>
        <v>5</v>
      </c>
      <c r="AP176" s="1">
        <f t="shared" si="85"/>
        <v>0.32921810699588477</v>
      </c>
      <c r="AQ176">
        <f t="shared" si="86"/>
        <v>2</v>
      </c>
      <c r="AR176">
        <f t="shared" si="87"/>
        <v>1</v>
      </c>
      <c r="AS176">
        <f t="shared" si="88"/>
        <v>1</v>
      </c>
      <c r="AT176" t="str">
        <f t="shared" si="104"/>
        <v>klein</v>
      </c>
    </row>
    <row r="177" spans="1:46" customFormat="1" x14ac:dyDescent="0.25">
      <c r="A177" s="13">
        <v>31</v>
      </c>
      <c r="B177">
        <v>21</v>
      </c>
      <c r="C177">
        <v>13</v>
      </c>
      <c r="D177" t="s">
        <v>184</v>
      </c>
      <c r="E177" t="s">
        <v>185</v>
      </c>
      <c r="F177" t="s">
        <v>186</v>
      </c>
      <c r="G177" s="3">
        <v>24850</v>
      </c>
      <c r="H177" s="21"/>
      <c r="I177" t="s">
        <v>187</v>
      </c>
      <c r="J177" s="21">
        <v>0</v>
      </c>
      <c r="K177" s="21">
        <v>0</v>
      </c>
      <c r="L177">
        <v>2020</v>
      </c>
      <c r="M177">
        <v>2022</v>
      </c>
      <c r="N177">
        <v>2022</v>
      </c>
      <c r="O177">
        <v>2024</v>
      </c>
      <c r="P177">
        <v>2024</v>
      </c>
      <c r="Q177">
        <v>2028</v>
      </c>
      <c r="R177">
        <f t="shared" si="107"/>
        <v>2</v>
      </c>
      <c r="S177">
        <f t="shared" si="108"/>
        <v>2</v>
      </c>
      <c r="T177">
        <f t="shared" si="109"/>
        <v>4</v>
      </c>
      <c r="U177" s="6">
        <f t="shared" si="110"/>
        <v>8</v>
      </c>
      <c r="V177" s="6">
        <f>U177-U178</f>
        <v>-1</v>
      </c>
      <c r="W177" s="2">
        <f>U177-U180</f>
        <v>2</v>
      </c>
      <c r="X177" s="2"/>
      <c r="Y177" s="19">
        <v>0.64</v>
      </c>
      <c r="Z177" s="19">
        <v>0.64</v>
      </c>
      <c r="AA177" s="19">
        <v>6.72</v>
      </c>
      <c r="AB177" s="2">
        <f t="shared" si="102"/>
        <v>8</v>
      </c>
      <c r="AC177" s="2">
        <f t="shared" si="111"/>
        <v>0</v>
      </c>
      <c r="AD177" s="2">
        <f>AB177-AB180</f>
        <v>-8.9000000000000021</v>
      </c>
      <c r="AE177" s="2" t="str">
        <f t="shared" si="83"/>
        <v/>
      </c>
      <c r="AF177" s="3">
        <f>G177-G180</f>
        <v>6.0284708742983639E-3</v>
      </c>
      <c r="AG177" s="2" t="str">
        <f t="shared" si="78"/>
        <v/>
      </c>
      <c r="AH177" s="29">
        <f>((AB177)/(G177/1000))-((AB180)/(G180/1000))</f>
        <v>-0.35814905834391864</v>
      </c>
      <c r="AI177" s="1" t="str">
        <f t="shared" si="79"/>
        <v/>
      </c>
      <c r="AJ177">
        <v>0</v>
      </c>
      <c r="AK177">
        <v>0</v>
      </c>
      <c r="AL177">
        <f t="shared" si="80"/>
        <v>1</v>
      </c>
      <c r="AM177">
        <f t="shared" si="81"/>
        <v>0</v>
      </c>
      <c r="AN177">
        <f t="shared" si="82"/>
        <v>0</v>
      </c>
      <c r="AO177">
        <f t="shared" si="84"/>
        <v>4</v>
      </c>
      <c r="AP177" s="1">
        <f t="shared" si="85"/>
        <v>0.32193158953722334</v>
      </c>
      <c r="AQ177">
        <f t="shared" si="86"/>
        <v>2</v>
      </c>
      <c r="AR177">
        <f t="shared" si="87"/>
        <v>1</v>
      </c>
      <c r="AS177">
        <f t="shared" si="88"/>
        <v>1</v>
      </c>
      <c r="AT177" t="str">
        <f t="shared" si="104"/>
        <v>klein</v>
      </c>
    </row>
    <row r="178" spans="1:46" customFormat="1" x14ac:dyDescent="0.25">
      <c r="A178" s="13">
        <v>31</v>
      </c>
      <c r="B178">
        <v>20</v>
      </c>
      <c r="C178">
        <v>33</v>
      </c>
      <c r="D178" t="s">
        <v>188</v>
      </c>
      <c r="E178" t="s">
        <v>185</v>
      </c>
      <c r="F178" t="s">
        <v>186</v>
      </c>
      <c r="G178" s="3">
        <v>24849.998829690201</v>
      </c>
      <c r="H178" s="21">
        <v>38</v>
      </c>
      <c r="I178" t="s">
        <v>187</v>
      </c>
      <c r="J178" s="21">
        <v>0</v>
      </c>
      <c r="K178" s="21">
        <v>0</v>
      </c>
      <c r="L178">
        <v>2019</v>
      </c>
      <c r="M178">
        <v>2023</v>
      </c>
      <c r="N178">
        <v>2023</v>
      </c>
      <c r="O178">
        <v>2025</v>
      </c>
      <c r="P178">
        <v>2025</v>
      </c>
      <c r="Q178">
        <v>2028</v>
      </c>
      <c r="R178">
        <f t="shared" si="107"/>
        <v>4</v>
      </c>
      <c r="S178">
        <f t="shared" si="108"/>
        <v>2</v>
      </c>
      <c r="T178">
        <f t="shared" si="109"/>
        <v>3</v>
      </c>
      <c r="U178" s="6">
        <f t="shared" si="110"/>
        <v>9</v>
      </c>
      <c r="V178" s="6">
        <f>U178-U179</f>
        <v>0</v>
      </c>
      <c r="W178" s="2"/>
      <c r="X178" s="2"/>
      <c r="Y178" s="19">
        <v>0.4</v>
      </c>
      <c r="Z178" s="19">
        <v>0.8</v>
      </c>
      <c r="AA178" s="19">
        <v>6.8000000000000007</v>
      </c>
      <c r="AB178" s="2">
        <f t="shared" si="102"/>
        <v>8</v>
      </c>
      <c r="AC178" s="2">
        <f t="shared" si="111"/>
        <v>0</v>
      </c>
      <c r="AD178" s="2"/>
      <c r="AE178" s="2" t="str">
        <f t="shared" si="83"/>
        <v/>
      </c>
      <c r="AF178" s="3"/>
      <c r="AG178" s="2" t="str">
        <f t="shared" si="78"/>
        <v/>
      </c>
      <c r="AH178" s="29"/>
      <c r="AI178" s="1" t="str">
        <f t="shared" si="79"/>
        <v/>
      </c>
      <c r="AJ178">
        <v>0</v>
      </c>
      <c r="AK178">
        <v>0</v>
      </c>
      <c r="AL178">
        <f t="shared" si="80"/>
        <v>1</v>
      </c>
      <c r="AM178">
        <f t="shared" si="81"/>
        <v>0</v>
      </c>
      <c r="AN178">
        <f t="shared" si="82"/>
        <v>0</v>
      </c>
      <c r="AO178">
        <f t="shared" si="84"/>
        <v>5</v>
      </c>
      <c r="AP178" s="1">
        <f t="shared" si="85"/>
        <v>0.32193160469857995</v>
      </c>
      <c r="AQ178">
        <f t="shared" si="86"/>
        <v>3</v>
      </c>
      <c r="AR178">
        <f t="shared" si="87"/>
        <v>1</v>
      </c>
      <c r="AS178">
        <f t="shared" si="88"/>
        <v>1</v>
      </c>
      <c r="AT178" t="str">
        <f t="shared" si="104"/>
        <v>klein</v>
      </c>
    </row>
    <row r="179" spans="1:46" customFormat="1" x14ac:dyDescent="0.25">
      <c r="A179" s="13">
        <v>31</v>
      </c>
      <c r="B179">
        <v>19</v>
      </c>
      <c r="C179">
        <v>29</v>
      </c>
      <c r="D179" t="s">
        <v>184</v>
      </c>
      <c r="E179" t="s">
        <v>185</v>
      </c>
      <c r="F179" t="s">
        <v>186</v>
      </c>
      <c r="G179" s="3">
        <v>24849.998829690201</v>
      </c>
      <c r="H179" s="21" t="s">
        <v>187</v>
      </c>
      <c r="I179" t="s">
        <v>187</v>
      </c>
      <c r="J179" s="21">
        <v>0</v>
      </c>
      <c r="K179" s="21">
        <v>0</v>
      </c>
      <c r="L179">
        <v>2017</v>
      </c>
      <c r="M179">
        <v>2021</v>
      </c>
      <c r="N179">
        <v>2021</v>
      </c>
      <c r="O179">
        <v>2023</v>
      </c>
      <c r="P179">
        <v>2023</v>
      </c>
      <c r="Q179">
        <v>2026</v>
      </c>
      <c r="R179">
        <f t="shared" si="107"/>
        <v>4</v>
      </c>
      <c r="S179">
        <f t="shared" si="108"/>
        <v>2</v>
      </c>
      <c r="T179">
        <f t="shared" si="109"/>
        <v>3</v>
      </c>
      <c r="U179" s="6">
        <f t="shared" si="110"/>
        <v>9</v>
      </c>
      <c r="V179" s="6">
        <f>U179-U180</f>
        <v>3</v>
      </c>
      <c r="W179" s="2"/>
      <c r="X179" s="2"/>
      <c r="Y179" s="19">
        <v>0.4</v>
      </c>
      <c r="Z179" s="19">
        <v>0.8</v>
      </c>
      <c r="AA179" s="19">
        <v>6.8</v>
      </c>
      <c r="AB179" s="2">
        <f t="shared" si="102"/>
        <v>8</v>
      </c>
      <c r="AC179" s="2">
        <f t="shared" si="111"/>
        <v>-8.9000000000000021</v>
      </c>
      <c r="AD179" s="2"/>
      <c r="AE179" s="2" t="str">
        <f t="shared" si="83"/>
        <v/>
      </c>
      <c r="AF179" s="3"/>
      <c r="AG179" s="2" t="str">
        <f t="shared" si="78"/>
        <v/>
      </c>
      <c r="AH179" s="29"/>
      <c r="AI179" s="1" t="str">
        <f t="shared" si="79"/>
        <v/>
      </c>
      <c r="AJ179">
        <v>0</v>
      </c>
      <c r="AK179">
        <v>0</v>
      </c>
      <c r="AL179">
        <f t="shared" si="80"/>
        <v>1</v>
      </c>
      <c r="AM179">
        <f t="shared" si="81"/>
        <v>0</v>
      </c>
      <c r="AN179">
        <f t="shared" si="82"/>
        <v>0</v>
      </c>
      <c r="AO179">
        <f t="shared" si="84"/>
        <v>3</v>
      </c>
      <c r="AP179" s="1">
        <f t="shared" si="85"/>
        <v>0.32193160469857995</v>
      </c>
      <c r="AQ179">
        <f t="shared" si="86"/>
        <v>1</v>
      </c>
      <c r="AR179">
        <f t="shared" si="87"/>
        <v>1</v>
      </c>
      <c r="AS179">
        <f t="shared" si="88"/>
        <v>1</v>
      </c>
      <c r="AT179" t="str">
        <f t="shared" si="104"/>
        <v>klein</v>
      </c>
    </row>
    <row r="180" spans="1:46" customFormat="1" x14ac:dyDescent="0.25">
      <c r="A180" s="13">
        <v>31</v>
      </c>
      <c r="B180">
        <v>18</v>
      </c>
      <c r="C180">
        <v>8</v>
      </c>
      <c r="D180" t="s">
        <v>189</v>
      </c>
      <c r="E180" t="s">
        <v>185</v>
      </c>
      <c r="F180" t="s">
        <v>190</v>
      </c>
      <c r="G180" s="3">
        <v>24849.993971529126</v>
      </c>
      <c r="H180" s="21"/>
      <c r="I180" t="s">
        <v>187</v>
      </c>
      <c r="J180" s="21">
        <v>0</v>
      </c>
      <c r="K180" s="21">
        <v>0</v>
      </c>
      <c r="L180">
        <v>2017</v>
      </c>
      <c r="M180">
        <v>2018</v>
      </c>
      <c r="N180">
        <v>2018</v>
      </c>
      <c r="O180">
        <v>2019</v>
      </c>
      <c r="P180">
        <v>2019</v>
      </c>
      <c r="Q180">
        <v>2023</v>
      </c>
      <c r="R180">
        <f t="shared" si="107"/>
        <v>1</v>
      </c>
      <c r="S180">
        <f t="shared" si="108"/>
        <v>1</v>
      </c>
      <c r="T180">
        <f t="shared" si="109"/>
        <v>4</v>
      </c>
      <c r="U180" s="6">
        <f t="shared" si="110"/>
        <v>6</v>
      </c>
      <c r="V180" s="6"/>
      <c r="W180" s="2"/>
      <c r="X180" s="2"/>
      <c r="Y180" s="19">
        <v>0.4</v>
      </c>
      <c r="Z180" s="19">
        <v>1.7000000000000002</v>
      </c>
      <c r="AA180" s="19">
        <v>14.8</v>
      </c>
      <c r="AB180" s="2">
        <f t="shared" si="102"/>
        <v>16.900000000000002</v>
      </c>
      <c r="AC180" s="2">
        <f t="shared" si="111"/>
        <v>16.900000000000002</v>
      </c>
      <c r="AD180" s="2"/>
      <c r="AE180" s="2" t="str">
        <f t="shared" si="83"/>
        <v/>
      </c>
      <c r="AF180" s="3"/>
      <c r="AG180" s="2" t="str">
        <f t="shared" si="78"/>
        <v/>
      </c>
      <c r="AH180" s="29"/>
      <c r="AI180" s="1" t="str">
        <f t="shared" si="79"/>
        <v/>
      </c>
      <c r="AJ180">
        <v>0</v>
      </c>
      <c r="AK180">
        <v>0</v>
      </c>
      <c r="AL180">
        <f t="shared" si="80"/>
        <v>0</v>
      </c>
      <c r="AM180">
        <f t="shared" si="81"/>
        <v>0</v>
      </c>
      <c r="AN180">
        <f t="shared" si="82"/>
        <v>1</v>
      </c>
      <c r="AO180">
        <f t="shared" si="84"/>
        <v>-1</v>
      </c>
      <c r="AP180" s="1">
        <f t="shared" si="85"/>
        <v>0.68008064788114198</v>
      </c>
      <c r="AQ180">
        <f t="shared" si="86"/>
        <v>-2</v>
      </c>
      <c r="AR180">
        <f t="shared" si="87"/>
        <v>0</v>
      </c>
      <c r="AS180">
        <f t="shared" si="88"/>
        <v>0</v>
      </c>
      <c r="AT180" t="str">
        <f t="shared" si="104"/>
        <v>klein</v>
      </c>
    </row>
    <row r="181" spans="1:46" customFormat="1" x14ac:dyDescent="0.25">
      <c r="A181" s="13">
        <v>31</v>
      </c>
      <c r="B181">
        <v>17</v>
      </c>
      <c r="E181" t="s">
        <v>185</v>
      </c>
      <c r="G181" s="3"/>
      <c r="H181" s="21"/>
      <c r="J181" s="21"/>
      <c r="K181" s="21"/>
      <c r="W181" s="2"/>
      <c r="X181" s="2"/>
      <c r="Y181" s="19"/>
      <c r="Z181" s="19"/>
      <c r="AA181" s="19"/>
      <c r="AB181" s="2"/>
      <c r="AC181" s="2"/>
      <c r="AD181" s="2"/>
      <c r="AE181" s="2" t="str">
        <f t="shared" si="83"/>
        <v/>
      </c>
      <c r="AF181" s="3"/>
      <c r="AG181" s="2" t="str">
        <f t="shared" si="78"/>
        <v/>
      </c>
      <c r="AH181" s="29"/>
      <c r="AI181" s="1" t="str">
        <f t="shared" si="79"/>
        <v/>
      </c>
      <c r="AJ181">
        <v>0</v>
      </c>
      <c r="AK181">
        <v>0</v>
      </c>
      <c r="AL181">
        <f t="shared" si="80"/>
        <v>0</v>
      </c>
      <c r="AM181">
        <f t="shared" si="81"/>
        <v>0</v>
      </c>
      <c r="AN181">
        <f t="shared" si="82"/>
        <v>0</v>
      </c>
      <c r="AP181" s="1"/>
      <c r="AS181">
        <f t="shared" si="88"/>
        <v>0</v>
      </c>
    </row>
    <row r="182" spans="1:46" customFormat="1" x14ac:dyDescent="0.25">
      <c r="A182" s="13">
        <v>32</v>
      </c>
      <c r="B182">
        <v>22</v>
      </c>
      <c r="C182">
        <v>55</v>
      </c>
      <c r="D182" t="s">
        <v>192</v>
      </c>
      <c r="E182" t="s">
        <v>185</v>
      </c>
      <c r="F182" t="s">
        <v>193</v>
      </c>
      <c r="G182" s="3">
        <v>1850</v>
      </c>
      <c r="H182" s="21"/>
      <c r="I182" t="s">
        <v>274</v>
      </c>
      <c r="J182" s="21">
        <v>0</v>
      </c>
      <c r="K182" s="21">
        <v>0</v>
      </c>
      <c r="L182">
        <v>2023</v>
      </c>
      <c r="M182">
        <v>2025</v>
      </c>
      <c r="N182">
        <v>2025</v>
      </c>
      <c r="O182">
        <v>2027</v>
      </c>
      <c r="P182">
        <v>2027</v>
      </c>
      <c r="Q182">
        <v>2029</v>
      </c>
      <c r="R182">
        <f t="shared" ref="R182:R185" si="112">M182-L182</f>
        <v>2</v>
      </c>
      <c r="S182">
        <f t="shared" ref="S182:S185" si="113">O182-N182</f>
        <v>2</v>
      </c>
      <c r="T182">
        <f t="shared" ref="T182:T185" si="114">Q182-P182</f>
        <v>2</v>
      </c>
      <c r="U182" s="6">
        <f t="shared" ref="U182:U185" si="115">SUM(R182:T182)</f>
        <v>6</v>
      </c>
      <c r="V182" s="6">
        <f>U182-U183</f>
        <v>-1</v>
      </c>
      <c r="W182" s="2"/>
      <c r="X182" s="2">
        <f>U182-U186</f>
        <v>1</v>
      </c>
      <c r="Y182" s="19">
        <f>0.396/0.9</f>
        <v>0.44</v>
      </c>
      <c r="Z182" s="19">
        <f>0.396/0.9</f>
        <v>0.44</v>
      </c>
      <c r="AA182" s="19">
        <f>4.1/0.9</f>
        <v>4.5555555555555554</v>
      </c>
      <c r="AB182" s="2">
        <f t="shared" si="102"/>
        <v>5.4355555555555553</v>
      </c>
      <c r="AC182" s="2">
        <f t="shared" ref="AC182:AC186" si="116">AB182-AB183</f>
        <v>-1.0133333333333328</v>
      </c>
      <c r="AD182" s="2"/>
      <c r="AE182" s="2">
        <f t="shared" si="83"/>
        <v>-2.9383333333333335</v>
      </c>
      <c r="AF182" s="3"/>
      <c r="AG182" s="2">
        <f t="shared" si="78"/>
        <v>49.99631860416207</v>
      </c>
      <c r="AH182" s="29"/>
      <c r="AI182" s="1">
        <f t="shared" si="79"/>
        <v>-0.24241091249517499</v>
      </c>
      <c r="AK182" s="6">
        <f>IF(AB182&gt;64.2061111111111,1,0)</f>
        <v>0</v>
      </c>
      <c r="AL182">
        <f t="shared" si="80"/>
        <v>0</v>
      </c>
      <c r="AM182">
        <f t="shared" si="81"/>
        <v>0</v>
      </c>
      <c r="AN182">
        <f t="shared" si="82"/>
        <v>0</v>
      </c>
      <c r="AO182">
        <f t="shared" si="84"/>
        <v>7</v>
      </c>
      <c r="AP182" s="1">
        <f t="shared" si="85"/>
        <v>2.9381381381381377</v>
      </c>
      <c r="AQ182">
        <f t="shared" si="86"/>
        <v>5</v>
      </c>
      <c r="AR182">
        <f t="shared" si="87"/>
        <v>1</v>
      </c>
      <c r="AS182">
        <f t="shared" si="88"/>
        <v>1</v>
      </c>
      <c r="AT182" t="str">
        <f t="shared" ref="AT182:AT184" si="117">IF(AK182=1,"groot","klein")</f>
        <v>klein</v>
      </c>
    </row>
    <row r="183" spans="1:46" customFormat="1" x14ac:dyDescent="0.25">
      <c r="A183" s="13">
        <v>32</v>
      </c>
      <c r="B183">
        <v>21</v>
      </c>
      <c r="C183">
        <v>56</v>
      </c>
      <c r="D183" t="s">
        <v>192</v>
      </c>
      <c r="E183" t="s">
        <v>185</v>
      </c>
      <c r="F183" t="s">
        <v>193</v>
      </c>
      <c r="G183" s="3">
        <v>1500</v>
      </c>
      <c r="H183" s="21"/>
      <c r="I183" t="s">
        <v>191</v>
      </c>
      <c r="J183" s="21">
        <v>0</v>
      </c>
      <c r="K183" s="21">
        <v>0</v>
      </c>
      <c r="L183">
        <v>2023</v>
      </c>
      <c r="M183">
        <v>2025</v>
      </c>
      <c r="N183">
        <v>2025</v>
      </c>
      <c r="O183">
        <v>2027</v>
      </c>
      <c r="P183">
        <v>2027</v>
      </c>
      <c r="Q183">
        <v>2030</v>
      </c>
      <c r="R183">
        <f t="shared" si="112"/>
        <v>2</v>
      </c>
      <c r="S183">
        <f t="shared" si="113"/>
        <v>2</v>
      </c>
      <c r="T183">
        <f t="shared" si="114"/>
        <v>3</v>
      </c>
      <c r="U183" s="6">
        <f t="shared" si="115"/>
        <v>7</v>
      </c>
      <c r="V183" s="6">
        <f>U183-U184</f>
        <v>-1</v>
      </c>
      <c r="W183" s="2">
        <f>U183-U186</f>
        <v>2</v>
      </c>
      <c r="X183" s="2"/>
      <c r="Y183" s="19">
        <v>0.51555555555555554</v>
      </c>
      <c r="Z183" s="19">
        <v>0.51555555555555554</v>
      </c>
      <c r="AA183" s="19">
        <v>5.4177777777777774</v>
      </c>
      <c r="AB183" s="2">
        <f t="shared" si="102"/>
        <v>6.448888888888888</v>
      </c>
      <c r="AC183" s="2">
        <f t="shared" si="116"/>
        <v>-0.27611111111111253</v>
      </c>
      <c r="AD183" s="2">
        <f>AB183-AB186</f>
        <v>0.72388888888888747</v>
      </c>
      <c r="AE183" s="2" t="str">
        <f t="shared" si="83"/>
        <v/>
      </c>
      <c r="AF183" s="3">
        <f>G183-G186</f>
        <v>-300.00368139583793</v>
      </c>
      <c r="AG183" s="2" t="str">
        <f t="shared" si="78"/>
        <v/>
      </c>
      <c r="AH183" s="29">
        <f>((AB183)/(G183/1000))-((AB186)/(G186/1000))</f>
        <v>1.1187102086259459</v>
      </c>
      <c r="AI183" s="1" t="str">
        <f t="shared" si="79"/>
        <v/>
      </c>
      <c r="AJ183">
        <v>0</v>
      </c>
      <c r="AK183">
        <v>0</v>
      </c>
      <c r="AL183">
        <f t="shared" si="80"/>
        <v>0</v>
      </c>
      <c r="AM183">
        <f t="shared" si="81"/>
        <v>0</v>
      </c>
      <c r="AN183">
        <f t="shared" si="82"/>
        <v>0</v>
      </c>
      <c r="AO183">
        <f t="shared" si="84"/>
        <v>7</v>
      </c>
      <c r="AP183" s="1">
        <f t="shared" si="85"/>
        <v>4.2992592592592587</v>
      </c>
      <c r="AQ183">
        <f t="shared" si="86"/>
        <v>5</v>
      </c>
      <c r="AR183">
        <f t="shared" si="87"/>
        <v>1</v>
      </c>
      <c r="AS183">
        <f t="shared" si="88"/>
        <v>1</v>
      </c>
      <c r="AT183" t="str">
        <f t="shared" si="117"/>
        <v>klein</v>
      </c>
    </row>
    <row r="184" spans="1:46" customFormat="1" x14ac:dyDescent="0.25">
      <c r="A184" s="13">
        <v>32</v>
      </c>
      <c r="B184">
        <v>20</v>
      </c>
      <c r="C184">
        <v>101</v>
      </c>
      <c r="D184" t="s">
        <v>194</v>
      </c>
      <c r="E184" t="s">
        <v>185</v>
      </c>
      <c r="F184" t="s">
        <v>195</v>
      </c>
      <c r="G184" s="3">
        <v>1500</v>
      </c>
      <c r="H184" s="21">
        <v>7</v>
      </c>
      <c r="I184" t="s">
        <v>191</v>
      </c>
      <c r="J184" s="21">
        <v>0</v>
      </c>
      <c r="K184" s="21">
        <v>0</v>
      </c>
      <c r="L184">
        <v>2021</v>
      </c>
      <c r="M184">
        <v>2025</v>
      </c>
      <c r="N184">
        <v>2025</v>
      </c>
      <c r="O184">
        <v>2027</v>
      </c>
      <c r="P184">
        <v>2027</v>
      </c>
      <c r="Q184">
        <v>2029</v>
      </c>
      <c r="R184" s="15">
        <f t="shared" si="112"/>
        <v>4</v>
      </c>
      <c r="S184">
        <f t="shared" si="113"/>
        <v>2</v>
      </c>
      <c r="T184">
        <f t="shared" si="114"/>
        <v>2</v>
      </c>
      <c r="U184" s="6">
        <f t="shared" si="115"/>
        <v>8</v>
      </c>
      <c r="V184" s="6">
        <f>U184-U185</f>
        <v>2</v>
      </c>
      <c r="W184" s="2"/>
      <c r="X184" s="2"/>
      <c r="Y184" s="19">
        <v>0.875</v>
      </c>
      <c r="Z184" s="19">
        <v>1</v>
      </c>
      <c r="AA184" s="19">
        <v>4.8500000000000005</v>
      </c>
      <c r="AB184" s="2">
        <f t="shared" si="102"/>
        <v>6.7250000000000005</v>
      </c>
      <c r="AC184" s="2">
        <f t="shared" si="116"/>
        <v>-0.54999999999999982</v>
      </c>
      <c r="AD184" s="2"/>
      <c r="AE184" s="2" t="str">
        <f t="shared" si="83"/>
        <v/>
      </c>
      <c r="AF184" s="3"/>
      <c r="AG184" s="2" t="str">
        <f t="shared" si="78"/>
        <v/>
      </c>
      <c r="AH184" s="29"/>
      <c r="AI184" s="1" t="str">
        <f t="shared" si="79"/>
        <v/>
      </c>
      <c r="AJ184">
        <v>0</v>
      </c>
      <c r="AK184">
        <v>0</v>
      </c>
      <c r="AL184">
        <f t="shared" si="80"/>
        <v>0</v>
      </c>
      <c r="AM184">
        <f t="shared" si="81"/>
        <v>0</v>
      </c>
      <c r="AN184">
        <f t="shared" si="82"/>
        <v>0</v>
      </c>
      <c r="AO184">
        <f t="shared" si="84"/>
        <v>7</v>
      </c>
      <c r="AP184" s="1">
        <f t="shared" si="85"/>
        <v>4.4833333333333334</v>
      </c>
      <c r="AQ184">
        <f t="shared" si="86"/>
        <v>5</v>
      </c>
      <c r="AR184">
        <f t="shared" si="87"/>
        <v>1</v>
      </c>
      <c r="AS184">
        <f t="shared" si="88"/>
        <v>1</v>
      </c>
      <c r="AT184" t="str">
        <f t="shared" si="117"/>
        <v>klein</v>
      </c>
    </row>
    <row r="185" spans="1:46" customFormat="1" x14ac:dyDescent="0.25">
      <c r="A185" s="13">
        <v>32</v>
      </c>
      <c r="B185">
        <v>19</v>
      </c>
      <c r="C185">
        <v>100</v>
      </c>
      <c r="D185" t="s">
        <v>192</v>
      </c>
      <c r="E185" t="s">
        <v>185</v>
      </c>
      <c r="F185" t="s">
        <v>193</v>
      </c>
      <c r="G185" s="3">
        <v>1800.0036813958379</v>
      </c>
      <c r="H185" s="21"/>
      <c r="I185" t="s">
        <v>191</v>
      </c>
      <c r="J185" s="21">
        <v>0</v>
      </c>
      <c r="K185" s="21">
        <v>0</v>
      </c>
      <c r="L185">
        <v>2020</v>
      </c>
      <c r="M185">
        <v>2022</v>
      </c>
      <c r="N185">
        <v>2022</v>
      </c>
      <c r="O185">
        <v>2024</v>
      </c>
      <c r="P185">
        <v>2024</v>
      </c>
      <c r="Q185">
        <v>2026</v>
      </c>
      <c r="R185" s="15">
        <f t="shared" si="112"/>
        <v>2</v>
      </c>
      <c r="S185">
        <f t="shared" si="113"/>
        <v>2</v>
      </c>
      <c r="T185">
        <f t="shared" si="114"/>
        <v>2</v>
      </c>
      <c r="U185" s="6">
        <f t="shared" si="115"/>
        <v>6</v>
      </c>
      <c r="V185" s="6">
        <f>U185-U186</f>
        <v>1</v>
      </c>
      <c r="W185" s="2"/>
      <c r="X185" s="2"/>
      <c r="Y185" s="19">
        <v>1.375</v>
      </c>
      <c r="Z185" s="19">
        <v>1</v>
      </c>
      <c r="AA185" s="19">
        <v>4.9000000000000004</v>
      </c>
      <c r="AB185" s="2">
        <f t="shared" si="102"/>
        <v>7.2750000000000004</v>
      </c>
      <c r="AC185" s="2">
        <f t="shared" si="116"/>
        <v>1.5499999999999998</v>
      </c>
      <c r="AD185" s="2"/>
      <c r="AE185" s="2" t="str">
        <f t="shared" si="83"/>
        <v/>
      </c>
      <c r="AF185" s="3"/>
      <c r="AG185" s="2" t="str">
        <f t="shared" si="78"/>
        <v/>
      </c>
      <c r="AH185" s="29"/>
      <c r="AI185" s="1" t="str">
        <f t="shared" si="79"/>
        <v/>
      </c>
      <c r="AJ185">
        <v>0</v>
      </c>
      <c r="AK185">
        <v>0</v>
      </c>
      <c r="AL185">
        <f t="shared" si="80"/>
        <v>1</v>
      </c>
      <c r="AM185">
        <f t="shared" si="81"/>
        <v>0</v>
      </c>
      <c r="AN185">
        <f t="shared" si="82"/>
        <v>0</v>
      </c>
      <c r="AO185">
        <f t="shared" si="84"/>
        <v>4</v>
      </c>
      <c r="AP185" s="1">
        <f t="shared" si="85"/>
        <v>4.0416584005864369</v>
      </c>
      <c r="AQ185">
        <f t="shared" si="86"/>
        <v>2</v>
      </c>
      <c r="AR185" t="str">
        <f>IF(N185&gt;2020,"Na VV","voor VV")</f>
        <v>Na VV</v>
      </c>
      <c r="AS185">
        <f t="shared" si="88"/>
        <v>1</v>
      </c>
    </row>
    <row r="186" spans="1:46" customFormat="1" x14ac:dyDescent="0.25">
      <c r="A186" s="13">
        <v>32</v>
      </c>
      <c r="B186">
        <v>18</v>
      </c>
      <c r="C186">
        <v>88</v>
      </c>
      <c r="D186" t="s">
        <v>192</v>
      </c>
      <c r="E186" t="s">
        <v>185</v>
      </c>
      <c r="F186" t="s">
        <v>193</v>
      </c>
      <c r="G186" s="3">
        <v>1800.0036813958379</v>
      </c>
      <c r="H186" s="21"/>
      <c r="I186" t="s">
        <v>191</v>
      </c>
      <c r="J186" s="21">
        <v>0</v>
      </c>
      <c r="K186" s="21">
        <v>0</v>
      </c>
      <c r="L186">
        <v>2016</v>
      </c>
      <c r="M186">
        <v>2018</v>
      </c>
      <c r="N186">
        <v>2018</v>
      </c>
      <c r="O186">
        <v>2020</v>
      </c>
      <c r="P186">
        <v>2020</v>
      </c>
      <c r="Q186">
        <v>2021</v>
      </c>
      <c r="R186">
        <f t="shared" ref="R186:R190" si="118">M186-L186</f>
        <v>2</v>
      </c>
      <c r="S186">
        <f t="shared" ref="S186:S190" si="119">O186-N186</f>
        <v>2</v>
      </c>
      <c r="T186">
        <f t="shared" ref="T186:T190" si="120">Q186-P186</f>
        <v>1</v>
      </c>
      <c r="U186" s="6">
        <f t="shared" ref="U186:U190" si="121">SUM(R186:T186)</f>
        <v>5</v>
      </c>
      <c r="V186" s="6">
        <f>U186-U187</f>
        <v>1</v>
      </c>
      <c r="W186" s="2"/>
      <c r="X186" s="2"/>
      <c r="Y186" s="19">
        <v>0.27500000000000002</v>
      </c>
      <c r="Z186" s="19">
        <v>0.55000000000000004</v>
      </c>
      <c r="AA186" s="19">
        <v>4.9000000000000004</v>
      </c>
      <c r="AB186" s="2">
        <f t="shared" si="102"/>
        <v>5.7250000000000005</v>
      </c>
      <c r="AC186" s="2">
        <f t="shared" si="116"/>
        <v>1.9250000000000007</v>
      </c>
      <c r="AD186" s="2"/>
      <c r="AE186" s="2" t="str">
        <f t="shared" si="83"/>
        <v/>
      </c>
      <c r="AF186" s="3"/>
      <c r="AG186" s="2" t="str">
        <f t="shared" si="78"/>
        <v/>
      </c>
      <c r="AH186" s="29"/>
      <c r="AI186" s="1" t="str">
        <f t="shared" si="79"/>
        <v/>
      </c>
      <c r="AJ186">
        <v>0</v>
      </c>
      <c r="AK186">
        <v>0</v>
      </c>
      <c r="AL186">
        <f t="shared" si="80"/>
        <v>0</v>
      </c>
      <c r="AM186">
        <f t="shared" si="81"/>
        <v>0</v>
      </c>
      <c r="AN186">
        <f t="shared" si="82"/>
        <v>1</v>
      </c>
      <c r="AO186">
        <f t="shared" si="84"/>
        <v>0</v>
      </c>
      <c r="AP186" s="1">
        <f t="shared" si="85"/>
        <v>3.1805490506333127</v>
      </c>
      <c r="AQ186">
        <f t="shared" si="86"/>
        <v>-2</v>
      </c>
      <c r="AR186">
        <f t="shared" si="87"/>
        <v>0</v>
      </c>
      <c r="AS186">
        <f t="shared" si="88"/>
        <v>0</v>
      </c>
      <c r="AT186" t="str">
        <f t="shared" ref="AT186:AT190" si="122">IF(AK186=1,"groot","klein")</f>
        <v>klein</v>
      </c>
    </row>
    <row r="187" spans="1:46" customFormat="1" x14ac:dyDescent="0.25">
      <c r="A187" s="13">
        <v>32</v>
      </c>
      <c r="B187">
        <v>17</v>
      </c>
      <c r="C187">
        <v>80</v>
      </c>
      <c r="D187" t="s">
        <v>196</v>
      </c>
      <c r="E187" t="s">
        <v>185</v>
      </c>
      <c r="F187" t="s">
        <v>197</v>
      </c>
      <c r="G187" s="3"/>
      <c r="H187" s="21"/>
      <c r="J187" s="21">
        <v>0</v>
      </c>
      <c r="K187" s="21">
        <v>0</v>
      </c>
      <c r="L187">
        <v>2016</v>
      </c>
      <c r="M187">
        <v>2018</v>
      </c>
      <c r="N187">
        <v>2018</v>
      </c>
      <c r="O187">
        <v>2019</v>
      </c>
      <c r="P187">
        <v>2019</v>
      </c>
      <c r="Q187">
        <v>2020</v>
      </c>
      <c r="R187">
        <f t="shared" si="118"/>
        <v>2</v>
      </c>
      <c r="S187">
        <f t="shared" si="119"/>
        <v>1</v>
      </c>
      <c r="T187">
        <f t="shared" si="120"/>
        <v>1</v>
      </c>
      <c r="U187" s="6">
        <f t="shared" si="121"/>
        <v>4</v>
      </c>
      <c r="W187" s="2"/>
      <c r="X187" s="2"/>
      <c r="Y187" s="19">
        <v>0.1</v>
      </c>
      <c r="Z187" s="19">
        <v>0.2</v>
      </c>
      <c r="AA187" s="19">
        <v>3.5</v>
      </c>
      <c r="AB187" s="2">
        <f t="shared" si="102"/>
        <v>3.8</v>
      </c>
      <c r="AC187" s="2"/>
      <c r="AD187" s="2"/>
      <c r="AE187" s="2" t="str">
        <f t="shared" si="83"/>
        <v/>
      </c>
      <c r="AF187" s="3"/>
      <c r="AG187" s="2" t="str">
        <f t="shared" si="78"/>
        <v/>
      </c>
      <c r="AH187" s="29"/>
      <c r="AI187" s="1" t="str">
        <f t="shared" si="79"/>
        <v/>
      </c>
      <c r="AJ187">
        <v>0</v>
      </c>
      <c r="AK187">
        <v>0</v>
      </c>
      <c r="AL187">
        <f t="shared" si="80"/>
        <v>0</v>
      </c>
      <c r="AM187">
        <f t="shared" si="81"/>
        <v>0</v>
      </c>
      <c r="AN187">
        <f t="shared" si="82"/>
        <v>0</v>
      </c>
      <c r="AO187">
        <f t="shared" si="84"/>
        <v>-1</v>
      </c>
      <c r="AP187" s="1"/>
      <c r="AQ187">
        <f t="shared" si="86"/>
        <v>-2</v>
      </c>
      <c r="AR187">
        <f t="shared" si="87"/>
        <v>0</v>
      </c>
      <c r="AS187">
        <f t="shared" si="88"/>
        <v>0</v>
      </c>
      <c r="AT187" t="str">
        <f t="shared" si="122"/>
        <v>klein</v>
      </c>
    </row>
    <row r="188" spans="1:46" customFormat="1" x14ac:dyDescent="0.25">
      <c r="A188" s="13">
        <v>33</v>
      </c>
      <c r="B188">
        <v>22</v>
      </c>
      <c r="C188">
        <v>22</v>
      </c>
      <c r="D188" t="s">
        <v>121</v>
      </c>
      <c r="E188" t="s">
        <v>115</v>
      </c>
      <c r="F188" t="s">
        <v>122</v>
      </c>
      <c r="G188" s="3">
        <v>8339</v>
      </c>
      <c r="H188" s="21"/>
      <c r="J188" s="21">
        <v>0</v>
      </c>
      <c r="K188" s="21">
        <v>0</v>
      </c>
      <c r="L188">
        <v>2020</v>
      </c>
      <c r="M188">
        <v>2022</v>
      </c>
      <c r="N188">
        <v>2022</v>
      </c>
      <c r="O188">
        <v>2024</v>
      </c>
      <c r="P188">
        <v>2024</v>
      </c>
      <c r="Q188">
        <v>2028</v>
      </c>
      <c r="R188">
        <f t="shared" si="118"/>
        <v>2</v>
      </c>
      <c r="S188">
        <f t="shared" si="119"/>
        <v>2</v>
      </c>
      <c r="T188">
        <f t="shared" si="120"/>
        <v>4</v>
      </c>
      <c r="U188" s="6">
        <f t="shared" si="121"/>
        <v>8</v>
      </c>
      <c r="V188" s="6">
        <f>U188-U189</f>
        <v>0</v>
      </c>
      <c r="W188" s="2"/>
      <c r="X188" s="2"/>
      <c r="Y188" s="19">
        <f>7.2/0.9</f>
        <v>8</v>
      </c>
      <c r="Z188" s="19">
        <f>11.2/0.9</f>
        <v>12.444444444444443</v>
      </c>
      <c r="AA188" s="19">
        <f>44.7/0.9</f>
        <v>49.666666666666671</v>
      </c>
      <c r="AB188" s="2">
        <f t="shared" si="102"/>
        <v>70.111111111111114</v>
      </c>
      <c r="AC188" s="2">
        <f t="shared" ref="AC188:AC221" si="123">AB188-AB189</f>
        <v>-0.13333333333332575</v>
      </c>
      <c r="AD188" s="2"/>
      <c r="AE188" s="2" t="str">
        <f t="shared" si="83"/>
        <v/>
      </c>
      <c r="AF188" s="3"/>
      <c r="AG188" s="2" t="str">
        <f t="shared" ref="AG188:AG231" si="124">IF(ISNUMBER(X188),G188-G192,"")</f>
        <v/>
      </c>
      <c r="AH188" s="29"/>
      <c r="AI188" s="1" t="str">
        <f t="shared" ref="AI188:AI231" si="125">IF(ISNUMBER(X188),((AB188)/(G188/1000))-((AB192)/(G191/1000)),"")</f>
        <v/>
      </c>
      <c r="AK188" s="6">
        <f>IF(AB188&gt;64.2061111111111,1,0)</f>
        <v>1</v>
      </c>
      <c r="AL188">
        <f t="shared" ref="AL188:AL233" si="126">IF(AND(L188&lt;=2020,2020&lt;M188),1,0)</f>
        <v>1</v>
      </c>
      <c r="AM188">
        <f t="shared" ref="AM188:AM233" si="127">IF(AND(N188&lt;=2020,2020&lt;O188),1,0)</f>
        <v>0</v>
      </c>
      <c r="AN188">
        <f t="shared" ref="AN188:AN233" si="128">IF(AND(P188&lt;=2020,2020&lt;Q188),1,0)</f>
        <v>0</v>
      </c>
      <c r="AO188">
        <f t="shared" si="84"/>
        <v>4</v>
      </c>
      <c r="AP188" s="1">
        <f t="shared" si="85"/>
        <v>8.4076161543483767</v>
      </c>
      <c r="AQ188">
        <f t="shared" si="86"/>
        <v>2</v>
      </c>
      <c r="AR188">
        <f t="shared" si="87"/>
        <v>1</v>
      </c>
      <c r="AS188">
        <f t="shared" si="88"/>
        <v>1</v>
      </c>
      <c r="AT188" t="str">
        <f t="shared" si="122"/>
        <v>groot</v>
      </c>
    </row>
    <row r="189" spans="1:46" customFormat="1" x14ac:dyDescent="0.25">
      <c r="A189" s="13">
        <v>33</v>
      </c>
      <c r="B189">
        <v>21</v>
      </c>
      <c r="C189">
        <v>22</v>
      </c>
      <c r="D189" t="s">
        <v>121</v>
      </c>
      <c r="E189" t="s">
        <v>115</v>
      </c>
      <c r="F189" t="s">
        <v>122</v>
      </c>
      <c r="G189" s="3">
        <v>8339</v>
      </c>
      <c r="H189" s="21"/>
      <c r="J189" s="21">
        <v>1</v>
      </c>
      <c r="K189" s="21">
        <v>0</v>
      </c>
      <c r="L189">
        <v>2020</v>
      </c>
      <c r="M189">
        <v>2022</v>
      </c>
      <c r="N189">
        <v>2022</v>
      </c>
      <c r="O189">
        <v>2024</v>
      </c>
      <c r="P189">
        <v>2024</v>
      </c>
      <c r="Q189">
        <v>2028</v>
      </c>
      <c r="R189">
        <f t="shared" si="118"/>
        <v>2</v>
      </c>
      <c r="S189">
        <f t="shared" si="119"/>
        <v>2</v>
      </c>
      <c r="T189">
        <f t="shared" si="120"/>
        <v>4</v>
      </c>
      <c r="U189" s="6">
        <f t="shared" si="121"/>
        <v>8</v>
      </c>
      <c r="V189" s="6">
        <f>U189-U190</f>
        <v>0</v>
      </c>
      <c r="W189" s="2"/>
      <c r="X189" s="2"/>
      <c r="Y189" s="19">
        <v>7.7</v>
      </c>
      <c r="Z189" s="19">
        <v>12.508888888888889</v>
      </c>
      <c r="AA189" s="19">
        <v>50.035555555555554</v>
      </c>
      <c r="AB189" s="2">
        <f t="shared" si="102"/>
        <v>70.24444444444444</v>
      </c>
      <c r="AC189" s="2">
        <f t="shared" si="123"/>
        <v>11.374444444444443</v>
      </c>
      <c r="AD189" s="2"/>
      <c r="AE189" s="2" t="str">
        <f t="shared" ref="AE189:AE231" si="129">IF(ISNUMBER(X189),AC189-AC193,"")</f>
        <v/>
      </c>
      <c r="AF189" s="3"/>
      <c r="AG189" s="2" t="str">
        <f t="shared" si="124"/>
        <v/>
      </c>
      <c r="AH189" s="29"/>
      <c r="AI189" s="1" t="str">
        <f t="shared" si="125"/>
        <v/>
      </c>
      <c r="AJ189">
        <v>1</v>
      </c>
      <c r="AK189">
        <v>1</v>
      </c>
      <c r="AL189">
        <f t="shared" si="126"/>
        <v>1</v>
      </c>
      <c r="AM189">
        <f t="shared" si="127"/>
        <v>0</v>
      </c>
      <c r="AN189">
        <f t="shared" si="128"/>
        <v>0</v>
      </c>
      <c r="AO189">
        <f t="shared" ref="AO189:AO233" si="130">P189-2020</f>
        <v>4</v>
      </c>
      <c r="AP189" s="1">
        <f t="shared" ref="AP189:AP233" si="131">AB189/(G189/1000)</f>
        <v>8.4236052817417484</v>
      </c>
      <c r="AQ189">
        <f t="shared" si="86"/>
        <v>2</v>
      </c>
      <c r="AR189">
        <f t="shared" si="87"/>
        <v>1</v>
      </c>
      <c r="AS189">
        <f t="shared" si="88"/>
        <v>1</v>
      </c>
      <c r="AT189" t="str">
        <f t="shared" si="122"/>
        <v>groot</v>
      </c>
    </row>
    <row r="190" spans="1:46" customFormat="1" x14ac:dyDescent="0.25">
      <c r="A190" s="13">
        <v>33</v>
      </c>
      <c r="B190">
        <v>20</v>
      </c>
      <c r="C190">
        <v>52</v>
      </c>
      <c r="D190" t="s">
        <v>123</v>
      </c>
      <c r="E190" t="s">
        <v>115</v>
      </c>
      <c r="F190" t="s">
        <v>124</v>
      </c>
      <c r="G190" s="3">
        <v>8339</v>
      </c>
      <c r="H190" s="21"/>
      <c r="I190" t="s">
        <v>120</v>
      </c>
      <c r="J190" s="21">
        <v>1</v>
      </c>
      <c r="K190" s="21">
        <v>0</v>
      </c>
      <c r="L190">
        <v>2020</v>
      </c>
      <c r="M190">
        <v>2022</v>
      </c>
      <c r="N190">
        <v>2022</v>
      </c>
      <c r="O190">
        <v>2024</v>
      </c>
      <c r="P190">
        <v>2024</v>
      </c>
      <c r="Q190">
        <v>2028</v>
      </c>
      <c r="R190">
        <f t="shared" si="118"/>
        <v>2</v>
      </c>
      <c r="S190">
        <f t="shared" si="119"/>
        <v>2</v>
      </c>
      <c r="T190">
        <f t="shared" si="120"/>
        <v>4</v>
      </c>
      <c r="U190" s="6">
        <f t="shared" si="121"/>
        <v>8</v>
      </c>
      <c r="V190" s="6"/>
      <c r="W190" s="2"/>
      <c r="X190" s="2"/>
      <c r="Y190" s="19">
        <v>2.5566666666666671</v>
      </c>
      <c r="Z190" s="19">
        <v>5.1133333333333342</v>
      </c>
      <c r="AA190" s="19">
        <v>51.199999999999996</v>
      </c>
      <c r="AB190" s="2">
        <f t="shared" si="102"/>
        <v>58.87</v>
      </c>
      <c r="AC190" s="2"/>
      <c r="AD190" s="2"/>
      <c r="AE190" s="2" t="str">
        <f t="shared" si="129"/>
        <v/>
      </c>
      <c r="AF190" s="3"/>
      <c r="AG190" s="2" t="str">
        <f t="shared" si="124"/>
        <v/>
      </c>
      <c r="AH190" s="29"/>
      <c r="AI190" s="1" t="str">
        <f t="shared" si="125"/>
        <v/>
      </c>
      <c r="AJ190">
        <v>1</v>
      </c>
      <c r="AK190">
        <v>1</v>
      </c>
      <c r="AL190">
        <f t="shared" si="126"/>
        <v>1</v>
      </c>
      <c r="AM190">
        <f t="shared" si="127"/>
        <v>0</v>
      </c>
      <c r="AN190">
        <f t="shared" si="128"/>
        <v>0</v>
      </c>
      <c r="AO190">
        <f t="shared" si="130"/>
        <v>4</v>
      </c>
      <c r="AP190" s="1">
        <f t="shared" si="131"/>
        <v>7.0595994723587951</v>
      </c>
      <c r="AQ190">
        <f t="shared" si="86"/>
        <v>2</v>
      </c>
      <c r="AR190">
        <f t="shared" si="87"/>
        <v>1</v>
      </c>
      <c r="AS190">
        <f t="shared" si="88"/>
        <v>1</v>
      </c>
      <c r="AT190" t="str">
        <f t="shared" si="122"/>
        <v>groot</v>
      </c>
    </row>
    <row r="191" spans="1:46" customFormat="1" x14ac:dyDescent="0.25">
      <c r="A191" s="13">
        <v>33</v>
      </c>
      <c r="B191">
        <v>19</v>
      </c>
      <c r="G191" s="3"/>
      <c r="H191" s="21"/>
      <c r="J191" s="21"/>
      <c r="K191" s="21"/>
      <c r="V191" s="6"/>
      <c r="W191" s="2"/>
      <c r="X191" s="2"/>
      <c r="Y191" s="19"/>
      <c r="Z191" s="19"/>
      <c r="AA191" s="19"/>
      <c r="AB191" s="2"/>
      <c r="AC191" s="2"/>
      <c r="AD191" s="2"/>
      <c r="AE191" s="2" t="str">
        <f t="shared" si="129"/>
        <v/>
      </c>
      <c r="AF191" s="3"/>
      <c r="AG191" s="2" t="str">
        <f t="shared" si="124"/>
        <v/>
      </c>
      <c r="AH191" s="29"/>
      <c r="AI191" s="1" t="str">
        <f t="shared" si="125"/>
        <v/>
      </c>
      <c r="AJ191">
        <v>1</v>
      </c>
      <c r="AK191">
        <v>1</v>
      </c>
      <c r="AL191">
        <f t="shared" si="126"/>
        <v>0</v>
      </c>
      <c r="AM191">
        <f t="shared" si="127"/>
        <v>0</v>
      </c>
      <c r="AN191">
        <f t="shared" si="128"/>
        <v>0</v>
      </c>
      <c r="AP191" s="1"/>
      <c r="AS191">
        <f t="shared" si="88"/>
        <v>0</v>
      </c>
    </row>
    <row r="192" spans="1:46" customFormat="1" x14ac:dyDescent="0.25">
      <c r="A192" s="13">
        <v>33</v>
      </c>
      <c r="B192">
        <v>18</v>
      </c>
      <c r="G192" s="3"/>
      <c r="H192" s="21"/>
      <c r="J192" s="21">
        <v>0</v>
      </c>
      <c r="K192" s="21">
        <v>0</v>
      </c>
      <c r="V192" s="6"/>
      <c r="W192" s="2"/>
      <c r="X192" s="2"/>
      <c r="Y192" s="19"/>
      <c r="Z192" s="19"/>
      <c r="AA192" s="19"/>
      <c r="AB192" s="2"/>
      <c r="AC192" s="2"/>
      <c r="AD192" s="2"/>
      <c r="AE192" s="2" t="str">
        <f t="shared" si="129"/>
        <v/>
      </c>
      <c r="AF192" s="3"/>
      <c r="AG192" s="2" t="str">
        <f t="shared" si="124"/>
        <v/>
      </c>
      <c r="AH192" s="29"/>
      <c r="AI192" s="1" t="str">
        <f t="shared" si="125"/>
        <v/>
      </c>
      <c r="AJ192">
        <v>1</v>
      </c>
      <c r="AK192">
        <v>1</v>
      </c>
      <c r="AL192">
        <f t="shared" si="126"/>
        <v>0</v>
      </c>
      <c r="AM192">
        <f t="shared" si="127"/>
        <v>0</v>
      </c>
      <c r="AN192">
        <f t="shared" si="128"/>
        <v>0</v>
      </c>
      <c r="AP192" s="1"/>
      <c r="AS192">
        <f t="shared" si="88"/>
        <v>0</v>
      </c>
    </row>
    <row r="193" spans="1:46" customFormat="1" x14ac:dyDescent="0.25">
      <c r="A193" s="13">
        <v>33</v>
      </c>
      <c r="B193">
        <v>17</v>
      </c>
      <c r="G193" s="3"/>
      <c r="H193" s="21"/>
      <c r="J193" s="21">
        <v>0</v>
      </c>
      <c r="K193" s="21">
        <v>0</v>
      </c>
      <c r="W193" s="2"/>
      <c r="X193" s="2"/>
      <c r="Y193" s="19"/>
      <c r="Z193" s="19"/>
      <c r="AA193" s="19"/>
      <c r="AB193" s="2"/>
      <c r="AC193" s="2"/>
      <c r="AD193" s="2"/>
      <c r="AE193" s="2" t="str">
        <f t="shared" si="129"/>
        <v/>
      </c>
      <c r="AF193" s="3"/>
      <c r="AG193" s="2" t="str">
        <f t="shared" si="124"/>
        <v/>
      </c>
      <c r="AH193" s="29"/>
      <c r="AI193" s="1" t="str">
        <f t="shared" si="125"/>
        <v/>
      </c>
      <c r="AJ193">
        <v>1</v>
      </c>
      <c r="AK193">
        <v>1</v>
      </c>
      <c r="AL193">
        <f t="shared" si="126"/>
        <v>0</v>
      </c>
      <c r="AM193">
        <f t="shared" si="127"/>
        <v>0</v>
      </c>
      <c r="AN193">
        <f t="shared" si="128"/>
        <v>0</v>
      </c>
      <c r="AP193" s="1"/>
      <c r="AS193">
        <f t="shared" si="88"/>
        <v>0</v>
      </c>
    </row>
    <row r="194" spans="1:46" customFormat="1" x14ac:dyDescent="0.25">
      <c r="A194" s="13">
        <v>34</v>
      </c>
      <c r="B194">
        <v>22</v>
      </c>
      <c r="C194">
        <v>8</v>
      </c>
      <c r="D194" t="s">
        <v>198</v>
      </c>
      <c r="E194" t="s">
        <v>66</v>
      </c>
      <c r="F194" t="s">
        <v>199</v>
      </c>
      <c r="G194" s="3">
        <v>21900</v>
      </c>
      <c r="H194" s="21"/>
      <c r="J194" s="21">
        <v>0</v>
      </c>
      <c r="K194" s="21">
        <v>0</v>
      </c>
      <c r="L194">
        <v>2017</v>
      </c>
      <c r="M194">
        <v>2022</v>
      </c>
      <c r="N194">
        <v>2022</v>
      </c>
      <c r="O194">
        <v>2024</v>
      </c>
      <c r="P194">
        <v>2024</v>
      </c>
      <c r="Q194">
        <v>2027</v>
      </c>
      <c r="R194">
        <f t="shared" ref="R194:R198" si="132">M194-L194</f>
        <v>5</v>
      </c>
      <c r="S194">
        <f t="shared" ref="S194:S198" si="133">O194-N194</f>
        <v>2</v>
      </c>
      <c r="T194">
        <f t="shared" ref="T194:T198" si="134">Q194-P194</f>
        <v>3</v>
      </c>
      <c r="U194" s="6">
        <f t="shared" ref="U194:U198" si="135">SUM(R194:T194)</f>
        <v>10</v>
      </c>
      <c r="V194" s="6">
        <f>U194-U195</f>
        <v>0</v>
      </c>
      <c r="W194" s="2"/>
      <c r="X194" s="2">
        <f>U194-U198</f>
        <v>3</v>
      </c>
      <c r="Y194" s="19">
        <f>4.9/0.9</f>
        <v>5.4444444444444446</v>
      </c>
      <c r="Z194" s="19">
        <f>4.5/0.9</f>
        <v>5</v>
      </c>
      <c r="AA194" s="19">
        <f>9.5/0.9</f>
        <v>10.555555555555555</v>
      </c>
      <c r="AB194" s="2">
        <f t="shared" ref="AB194:AB198" si="136">SUM(Y194:AA194)</f>
        <v>21</v>
      </c>
      <c r="AC194" s="2">
        <f t="shared" si="123"/>
        <v>4.984444444444442</v>
      </c>
      <c r="AD194" s="2"/>
      <c r="AE194" s="2">
        <f t="shared" si="129"/>
        <v>4.984444444444442</v>
      </c>
      <c r="AF194" s="3"/>
      <c r="AG194" s="2">
        <f t="shared" si="124"/>
        <v>19545.976711010968</v>
      </c>
      <c r="AH194" s="29"/>
      <c r="AI194" s="1">
        <f t="shared" si="125"/>
        <v>-6.177884335610619</v>
      </c>
      <c r="AK194" s="6">
        <f>IF(AB194&gt;64.2061111111111,1,0)</f>
        <v>0</v>
      </c>
      <c r="AL194">
        <f t="shared" si="126"/>
        <v>1</v>
      </c>
      <c r="AM194">
        <f t="shared" si="127"/>
        <v>0</v>
      </c>
      <c r="AN194">
        <f t="shared" si="128"/>
        <v>0</v>
      </c>
      <c r="AO194">
        <f t="shared" si="130"/>
        <v>4</v>
      </c>
      <c r="AP194" s="1">
        <f t="shared" si="131"/>
        <v>0.95890410958904115</v>
      </c>
      <c r="AQ194">
        <f t="shared" si="86"/>
        <v>2</v>
      </c>
      <c r="AR194">
        <f t="shared" si="87"/>
        <v>1</v>
      </c>
      <c r="AS194">
        <f t="shared" si="88"/>
        <v>1</v>
      </c>
      <c r="AT194" t="str">
        <f t="shared" ref="AT194:AT198" si="137">IF(AK194=1,"groot","klein")</f>
        <v>klein</v>
      </c>
    </row>
    <row r="195" spans="1:46" customFormat="1" x14ac:dyDescent="0.25">
      <c r="A195" s="13">
        <v>34</v>
      </c>
      <c r="B195">
        <v>21</v>
      </c>
      <c r="C195">
        <v>8</v>
      </c>
      <c r="D195" t="s">
        <v>198</v>
      </c>
      <c r="E195" t="s">
        <v>66</v>
      </c>
      <c r="F195" t="s">
        <v>199</v>
      </c>
      <c r="G195" s="3">
        <v>21900</v>
      </c>
      <c r="H195" s="21">
        <v>8</v>
      </c>
      <c r="I195" t="s">
        <v>69</v>
      </c>
      <c r="J195" s="21">
        <v>0</v>
      </c>
      <c r="K195" s="21">
        <v>0</v>
      </c>
      <c r="L195">
        <v>2017</v>
      </c>
      <c r="M195">
        <v>2022</v>
      </c>
      <c r="N195">
        <v>2022</v>
      </c>
      <c r="O195">
        <v>2024</v>
      </c>
      <c r="P195">
        <v>2024</v>
      </c>
      <c r="Q195">
        <v>2027</v>
      </c>
      <c r="R195">
        <f t="shared" si="132"/>
        <v>5</v>
      </c>
      <c r="S195">
        <f t="shared" si="133"/>
        <v>2</v>
      </c>
      <c r="T195">
        <f t="shared" si="134"/>
        <v>3</v>
      </c>
      <c r="U195" s="6">
        <f t="shared" si="135"/>
        <v>10</v>
      </c>
      <c r="V195" s="6">
        <f>U195-U196</f>
        <v>0</v>
      </c>
      <c r="W195" s="2">
        <f>U195-U198</f>
        <v>3</v>
      </c>
      <c r="X195" s="2"/>
      <c r="Y195" s="19">
        <v>3.7411111111111115</v>
      </c>
      <c r="Z195" s="19">
        <v>1.7</v>
      </c>
      <c r="AA195" s="19">
        <v>10.574444444444445</v>
      </c>
      <c r="AB195" s="2">
        <f t="shared" si="136"/>
        <v>16.015555555555558</v>
      </c>
      <c r="AC195" s="2">
        <f t="shared" si="123"/>
        <v>0</v>
      </c>
      <c r="AD195" s="2">
        <f>AB195-AB198</f>
        <v>-0.78444444444444272</v>
      </c>
      <c r="AE195" s="2" t="str">
        <f t="shared" si="129"/>
        <v/>
      </c>
      <c r="AF195" s="3">
        <f>G195-G198</f>
        <v>19545.976711010968</v>
      </c>
      <c r="AG195" s="2" t="str">
        <f t="shared" si="124"/>
        <v/>
      </c>
      <c r="AH195" s="29">
        <f>((AB195)/(G195/1000))-((AB198)/(G198/1000))</f>
        <v>-6.4054139323750956</v>
      </c>
      <c r="AI195" s="1" t="str">
        <f t="shared" si="125"/>
        <v/>
      </c>
      <c r="AJ195">
        <v>0</v>
      </c>
      <c r="AK195">
        <v>0</v>
      </c>
      <c r="AL195">
        <f t="shared" si="126"/>
        <v>1</v>
      </c>
      <c r="AM195">
        <f t="shared" si="127"/>
        <v>0</v>
      </c>
      <c r="AN195">
        <f t="shared" si="128"/>
        <v>0</v>
      </c>
      <c r="AO195">
        <f t="shared" si="130"/>
        <v>4</v>
      </c>
      <c r="AP195" s="1">
        <f t="shared" si="131"/>
        <v>0.73130390664637257</v>
      </c>
      <c r="AQ195">
        <f t="shared" ref="AQ195:AQ233" si="138">N195-2020</f>
        <v>2</v>
      </c>
      <c r="AR195">
        <f t="shared" ref="AR195:AR233" si="139">IF(N195&gt;2020,1,0)</f>
        <v>1</v>
      </c>
      <c r="AS195">
        <f t="shared" ref="AS195:AS235" si="140">IF(AND(B195=22,N195&gt;2019),1,IF(AND(B195=21,N195&gt;2018),1,IF(AND(B195=20,N195&gt;2017),1,IF(AND(B195=19,N195&gt;2016),1,IF(AND(B195=18,B195&gt;2015),1,0)))))</f>
        <v>1</v>
      </c>
      <c r="AT195" t="str">
        <f t="shared" si="137"/>
        <v>klein</v>
      </c>
    </row>
    <row r="196" spans="1:46" customFormat="1" x14ac:dyDescent="0.25">
      <c r="A196" s="13">
        <v>34</v>
      </c>
      <c r="B196">
        <v>20</v>
      </c>
      <c r="C196">
        <v>22</v>
      </c>
      <c r="D196" t="s">
        <v>200</v>
      </c>
      <c r="E196" t="s">
        <v>66</v>
      </c>
      <c r="F196" t="s">
        <v>199</v>
      </c>
      <c r="G196" s="3">
        <v>21911</v>
      </c>
      <c r="H196" s="21">
        <v>7</v>
      </c>
      <c r="I196" t="s">
        <v>69</v>
      </c>
      <c r="J196" s="21">
        <v>0</v>
      </c>
      <c r="K196" s="21">
        <v>0</v>
      </c>
      <c r="L196">
        <v>2017</v>
      </c>
      <c r="M196">
        <v>2022</v>
      </c>
      <c r="N196">
        <v>2022</v>
      </c>
      <c r="O196">
        <v>2024</v>
      </c>
      <c r="P196">
        <v>2024</v>
      </c>
      <c r="Q196">
        <v>2027</v>
      </c>
      <c r="R196">
        <f t="shared" si="132"/>
        <v>5</v>
      </c>
      <c r="S196">
        <f t="shared" si="133"/>
        <v>2</v>
      </c>
      <c r="T196">
        <f t="shared" si="134"/>
        <v>3</v>
      </c>
      <c r="U196" s="6">
        <f t="shared" si="135"/>
        <v>10</v>
      </c>
      <c r="V196" s="6">
        <f>U196-U197</f>
        <v>0</v>
      </c>
      <c r="W196" s="2"/>
      <c r="X196" s="2"/>
      <c r="Y196" s="19">
        <v>3.7411111111111106</v>
      </c>
      <c r="Z196" s="19">
        <v>1.7000000000000002</v>
      </c>
      <c r="AA196" s="19">
        <v>10.574444444444444</v>
      </c>
      <c r="AB196" s="2">
        <f t="shared" si="136"/>
        <v>16.015555555555554</v>
      </c>
      <c r="AC196" s="2">
        <f t="shared" si="123"/>
        <v>2.4971111111111099</v>
      </c>
      <c r="AD196" s="2"/>
      <c r="AE196" s="2" t="str">
        <f t="shared" si="129"/>
        <v/>
      </c>
      <c r="AF196" s="3"/>
      <c r="AG196" s="2" t="str">
        <f t="shared" si="124"/>
        <v/>
      </c>
      <c r="AH196" s="29"/>
      <c r="AI196" s="1" t="str">
        <f t="shared" si="125"/>
        <v/>
      </c>
      <c r="AJ196">
        <v>0</v>
      </c>
      <c r="AK196">
        <v>0</v>
      </c>
      <c r="AL196">
        <f t="shared" si="126"/>
        <v>1</v>
      </c>
      <c r="AM196">
        <f t="shared" si="127"/>
        <v>0</v>
      </c>
      <c r="AN196">
        <f t="shared" si="128"/>
        <v>0</v>
      </c>
      <c r="AO196">
        <f t="shared" si="130"/>
        <v>4</v>
      </c>
      <c r="AP196" s="1">
        <f t="shared" si="131"/>
        <v>0.73093676945623443</v>
      </c>
      <c r="AQ196">
        <f t="shared" si="138"/>
        <v>2</v>
      </c>
      <c r="AR196">
        <f t="shared" si="139"/>
        <v>1</v>
      </c>
      <c r="AS196">
        <f t="shared" si="140"/>
        <v>1</v>
      </c>
      <c r="AT196" t="str">
        <f t="shared" si="137"/>
        <v>klein</v>
      </c>
    </row>
    <row r="197" spans="1:46" customFormat="1" x14ac:dyDescent="0.25">
      <c r="A197" s="13">
        <v>34</v>
      </c>
      <c r="B197">
        <v>19</v>
      </c>
      <c r="C197">
        <v>20</v>
      </c>
      <c r="D197" t="s">
        <v>201</v>
      </c>
      <c r="E197" t="s">
        <v>66</v>
      </c>
      <c r="F197" t="s">
        <v>199</v>
      </c>
      <c r="G197" s="3">
        <v>2354</v>
      </c>
      <c r="H197" s="21"/>
      <c r="I197" t="s">
        <v>69</v>
      </c>
      <c r="J197" s="21">
        <v>0</v>
      </c>
      <c r="K197" s="21">
        <v>0</v>
      </c>
      <c r="L197">
        <v>2017</v>
      </c>
      <c r="M197">
        <v>2022</v>
      </c>
      <c r="N197">
        <v>2022</v>
      </c>
      <c r="O197">
        <v>2024</v>
      </c>
      <c r="P197">
        <v>2024</v>
      </c>
      <c r="Q197">
        <v>2027</v>
      </c>
      <c r="R197">
        <f t="shared" si="132"/>
        <v>5</v>
      </c>
      <c r="S197">
        <f t="shared" si="133"/>
        <v>2</v>
      </c>
      <c r="T197">
        <f t="shared" si="134"/>
        <v>3</v>
      </c>
      <c r="U197" s="6">
        <f t="shared" si="135"/>
        <v>10</v>
      </c>
      <c r="V197" s="6">
        <f>U197-U198</f>
        <v>3</v>
      </c>
      <c r="W197" s="2"/>
      <c r="X197" s="2"/>
      <c r="Y197" s="19">
        <v>1.2444444444444445</v>
      </c>
      <c r="Z197" s="19">
        <v>1.7</v>
      </c>
      <c r="AA197" s="19">
        <v>10.574</v>
      </c>
      <c r="AB197" s="2">
        <f t="shared" si="136"/>
        <v>13.518444444444444</v>
      </c>
      <c r="AC197" s="2">
        <f t="shared" si="123"/>
        <v>-3.2815555555555562</v>
      </c>
      <c r="AD197" s="2"/>
      <c r="AE197" s="2" t="str">
        <f t="shared" si="129"/>
        <v/>
      </c>
      <c r="AF197" s="3"/>
      <c r="AG197" s="2" t="str">
        <f t="shared" si="124"/>
        <v/>
      </c>
      <c r="AH197" s="29"/>
      <c r="AI197" s="1" t="str">
        <f t="shared" si="125"/>
        <v/>
      </c>
      <c r="AJ197">
        <v>0</v>
      </c>
      <c r="AK197">
        <v>0</v>
      </c>
      <c r="AL197">
        <f t="shared" si="126"/>
        <v>1</v>
      </c>
      <c r="AM197">
        <f t="shared" si="127"/>
        <v>0</v>
      </c>
      <c r="AN197">
        <f t="shared" si="128"/>
        <v>0</v>
      </c>
      <c r="AO197">
        <f t="shared" si="130"/>
        <v>4</v>
      </c>
      <c r="AP197" s="1">
        <f t="shared" si="131"/>
        <v>5.742754649296705</v>
      </c>
      <c r="AQ197">
        <f t="shared" si="138"/>
        <v>2</v>
      </c>
      <c r="AR197">
        <f t="shared" si="139"/>
        <v>1</v>
      </c>
      <c r="AS197">
        <f t="shared" si="140"/>
        <v>1</v>
      </c>
      <c r="AT197" t="str">
        <f t="shared" si="137"/>
        <v>klein</v>
      </c>
    </row>
    <row r="198" spans="1:46" customFormat="1" x14ac:dyDescent="0.25">
      <c r="A198" s="13">
        <v>34</v>
      </c>
      <c r="B198">
        <v>18</v>
      </c>
      <c r="C198">
        <v>30</v>
      </c>
      <c r="D198" t="s">
        <v>202</v>
      </c>
      <c r="E198" t="s">
        <v>66</v>
      </c>
      <c r="F198" t="s">
        <v>203</v>
      </c>
      <c r="G198" s="3">
        <v>2354.0232889890303</v>
      </c>
      <c r="H198" s="21"/>
      <c r="I198" t="s">
        <v>69</v>
      </c>
      <c r="J198" s="21">
        <v>0</v>
      </c>
      <c r="K198" s="21">
        <v>0</v>
      </c>
      <c r="L198">
        <v>2017</v>
      </c>
      <c r="M198">
        <v>2020</v>
      </c>
      <c r="N198">
        <v>2020</v>
      </c>
      <c r="O198">
        <v>2022</v>
      </c>
      <c r="P198">
        <v>2022</v>
      </c>
      <c r="Q198">
        <v>2024</v>
      </c>
      <c r="R198">
        <f t="shared" si="132"/>
        <v>3</v>
      </c>
      <c r="S198">
        <f t="shared" si="133"/>
        <v>2</v>
      </c>
      <c r="T198">
        <f t="shared" si="134"/>
        <v>2</v>
      </c>
      <c r="U198" s="6">
        <f t="shared" si="135"/>
        <v>7</v>
      </c>
      <c r="V198" s="6"/>
      <c r="W198" s="2"/>
      <c r="X198" s="2"/>
      <c r="Y198" s="19">
        <v>0.8</v>
      </c>
      <c r="Z198" s="19">
        <v>1.7</v>
      </c>
      <c r="AA198" s="19">
        <v>14.3</v>
      </c>
      <c r="AB198" s="2">
        <f t="shared" si="136"/>
        <v>16.8</v>
      </c>
      <c r="AC198" s="2"/>
      <c r="AD198" s="2"/>
      <c r="AE198" s="2" t="str">
        <f t="shared" si="129"/>
        <v/>
      </c>
      <c r="AF198" s="3"/>
      <c r="AG198" s="2" t="str">
        <f t="shared" si="124"/>
        <v/>
      </c>
      <c r="AH198" s="29"/>
      <c r="AI198" s="1" t="str">
        <f t="shared" si="125"/>
        <v/>
      </c>
      <c r="AJ198">
        <v>0</v>
      </c>
      <c r="AK198">
        <v>0</v>
      </c>
      <c r="AL198">
        <f t="shared" si="126"/>
        <v>0</v>
      </c>
      <c r="AM198">
        <f t="shared" si="127"/>
        <v>1</v>
      </c>
      <c r="AN198">
        <f t="shared" si="128"/>
        <v>0</v>
      </c>
      <c r="AO198">
        <f t="shared" si="130"/>
        <v>2</v>
      </c>
      <c r="AP198" s="1">
        <f t="shared" si="131"/>
        <v>7.1367178390214683</v>
      </c>
      <c r="AQ198">
        <f t="shared" si="138"/>
        <v>0</v>
      </c>
      <c r="AR198">
        <f t="shared" si="139"/>
        <v>0</v>
      </c>
      <c r="AS198">
        <f t="shared" si="140"/>
        <v>0</v>
      </c>
      <c r="AT198" t="str">
        <f t="shared" si="137"/>
        <v>klein</v>
      </c>
    </row>
    <row r="199" spans="1:46" customFormat="1" x14ac:dyDescent="0.25">
      <c r="A199" s="13">
        <v>34</v>
      </c>
      <c r="B199">
        <v>17</v>
      </c>
      <c r="G199" s="3"/>
      <c r="H199" s="21"/>
      <c r="J199" s="21"/>
      <c r="K199" s="21"/>
      <c r="W199" s="2"/>
      <c r="X199" s="2"/>
      <c r="Y199" s="19"/>
      <c r="Z199" s="19"/>
      <c r="AA199" s="19"/>
      <c r="AB199" s="2"/>
      <c r="AC199" s="2"/>
      <c r="AD199" s="2"/>
      <c r="AE199" s="2" t="str">
        <f t="shared" si="129"/>
        <v/>
      </c>
      <c r="AF199" s="3"/>
      <c r="AG199" s="2" t="str">
        <f t="shared" si="124"/>
        <v/>
      </c>
      <c r="AH199" s="29"/>
      <c r="AI199" s="1" t="str">
        <f t="shared" si="125"/>
        <v/>
      </c>
      <c r="AJ199">
        <v>0</v>
      </c>
      <c r="AK199">
        <v>0</v>
      </c>
      <c r="AL199">
        <f t="shared" si="126"/>
        <v>0</v>
      </c>
      <c r="AM199">
        <f t="shared" si="127"/>
        <v>0</v>
      </c>
      <c r="AN199">
        <f t="shared" si="128"/>
        <v>0</v>
      </c>
      <c r="AP199" s="1"/>
      <c r="AS199">
        <f t="shared" si="140"/>
        <v>0</v>
      </c>
    </row>
    <row r="200" spans="1:46" customFormat="1" x14ac:dyDescent="0.25">
      <c r="A200" s="13">
        <v>35</v>
      </c>
      <c r="B200">
        <v>22</v>
      </c>
      <c r="C200" t="s">
        <v>103</v>
      </c>
      <c r="D200" t="s">
        <v>100</v>
      </c>
      <c r="E200" t="s">
        <v>101</v>
      </c>
      <c r="F200" t="s">
        <v>102</v>
      </c>
      <c r="G200" s="3">
        <v>6000</v>
      </c>
      <c r="H200" s="21"/>
      <c r="J200" s="21">
        <v>0</v>
      </c>
      <c r="K200" s="21">
        <v>0</v>
      </c>
      <c r="L200">
        <v>2018</v>
      </c>
      <c r="M200">
        <v>2021</v>
      </c>
      <c r="N200">
        <v>2021</v>
      </c>
      <c r="O200">
        <v>2023</v>
      </c>
      <c r="P200">
        <v>2023</v>
      </c>
      <c r="Q200">
        <v>2026</v>
      </c>
      <c r="R200">
        <f t="shared" ref="R200:R209" si="141">M200-L200</f>
        <v>3</v>
      </c>
      <c r="S200">
        <f t="shared" ref="S200:S209" si="142">O200-N200</f>
        <v>2</v>
      </c>
      <c r="T200">
        <f t="shared" ref="T200:T209" si="143">Q200-P200</f>
        <v>3</v>
      </c>
      <c r="U200" s="6">
        <f t="shared" ref="U200:U209" si="144">SUM(R200:T200)</f>
        <v>8</v>
      </c>
      <c r="V200" s="6">
        <f>U200-U201</f>
        <v>0</v>
      </c>
      <c r="W200" s="2"/>
      <c r="X200" s="2">
        <f>U200-U204</f>
        <v>0</v>
      </c>
      <c r="Y200" s="19">
        <v>4.2866666666666662</v>
      </c>
      <c r="Z200" s="19">
        <v>5.3577777777777778</v>
      </c>
      <c r="AA200" s="19">
        <v>54.656666666666673</v>
      </c>
      <c r="AB200" s="2">
        <f t="shared" ref="AB200:AB209" si="145">SUM(Y200:AA200)</f>
        <v>64.301111111111112</v>
      </c>
      <c r="AC200" s="2">
        <f t="shared" si="123"/>
        <v>0</v>
      </c>
      <c r="AD200" s="2"/>
      <c r="AE200" s="2">
        <f t="shared" si="129"/>
        <v>2.1999999999999886</v>
      </c>
      <c r="AF200" s="3"/>
      <c r="AG200" s="2">
        <f t="shared" si="124"/>
        <v>-27282.272231718722</v>
      </c>
      <c r="AH200" s="29"/>
      <c r="AI200" s="1">
        <f t="shared" si="125"/>
        <v>7.6761940717753383</v>
      </c>
      <c r="AK200" s="6">
        <f>IF(AB200&gt;64.2061111111111,1,0)</f>
        <v>1</v>
      </c>
      <c r="AL200">
        <f t="shared" si="126"/>
        <v>1</v>
      </c>
      <c r="AM200">
        <f t="shared" si="127"/>
        <v>0</v>
      </c>
      <c r="AN200">
        <f t="shared" si="128"/>
        <v>0</v>
      </c>
      <c r="AO200">
        <f t="shared" si="130"/>
        <v>3</v>
      </c>
      <c r="AP200" s="1">
        <f t="shared" si="131"/>
        <v>10.716851851851851</v>
      </c>
      <c r="AQ200">
        <f t="shared" si="138"/>
        <v>1</v>
      </c>
      <c r="AR200">
        <f t="shared" si="139"/>
        <v>1</v>
      </c>
      <c r="AS200">
        <f t="shared" si="140"/>
        <v>1</v>
      </c>
      <c r="AT200" t="str">
        <f t="shared" ref="AT200:AT209" si="146">IF(AK200=1,"groot","klein")</f>
        <v>groot</v>
      </c>
    </row>
    <row r="201" spans="1:46" customFormat="1" x14ac:dyDescent="0.25">
      <c r="A201" s="13">
        <v>35</v>
      </c>
      <c r="B201">
        <v>21</v>
      </c>
      <c r="C201" t="s">
        <v>103</v>
      </c>
      <c r="D201" t="s">
        <v>100</v>
      </c>
      <c r="E201" t="s">
        <v>101</v>
      </c>
      <c r="F201" t="s">
        <v>102</v>
      </c>
      <c r="G201" s="3">
        <v>6000</v>
      </c>
      <c r="H201" s="21">
        <v>3</v>
      </c>
      <c r="I201" t="s">
        <v>103</v>
      </c>
      <c r="J201" s="21">
        <v>0</v>
      </c>
      <c r="K201" s="21">
        <v>0</v>
      </c>
      <c r="L201">
        <v>2018</v>
      </c>
      <c r="M201">
        <v>2020</v>
      </c>
      <c r="N201">
        <v>2020</v>
      </c>
      <c r="O201">
        <v>2023</v>
      </c>
      <c r="P201">
        <v>2023</v>
      </c>
      <c r="Q201">
        <v>2026</v>
      </c>
      <c r="R201">
        <f t="shared" si="141"/>
        <v>2</v>
      </c>
      <c r="S201">
        <f t="shared" si="142"/>
        <v>3</v>
      </c>
      <c r="T201">
        <f t="shared" si="143"/>
        <v>3</v>
      </c>
      <c r="U201" s="6">
        <f t="shared" si="144"/>
        <v>8</v>
      </c>
      <c r="V201" s="6">
        <f>U201-U202</f>
        <v>-2</v>
      </c>
      <c r="W201" s="2">
        <f>U201-U204</f>
        <v>0</v>
      </c>
      <c r="X201" s="2"/>
      <c r="Y201" s="19">
        <v>4.2866666666666662</v>
      </c>
      <c r="Z201" s="19">
        <v>5.3577777777777778</v>
      </c>
      <c r="AA201" s="19">
        <v>54.656666666666673</v>
      </c>
      <c r="AB201" s="2">
        <f t="shared" si="145"/>
        <v>64.301111111111112</v>
      </c>
      <c r="AC201" s="2">
        <f t="shared" si="123"/>
        <v>2.2222222222154642E-3</v>
      </c>
      <c r="AD201" s="2">
        <f>AB201-AB204</f>
        <v>-36.898888888888891</v>
      </c>
      <c r="AE201" s="2" t="str">
        <f t="shared" si="129"/>
        <v/>
      </c>
      <c r="AF201" s="3">
        <f>G201-G204</f>
        <v>-27282.272231718722</v>
      </c>
      <c r="AG201" s="2" t="str">
        <f t="shared" si="124"/>
        <v/>
      </c>
      <c r="AH201" s="29">
        <f>((AB201)/(G201/1000))-((AB204)/(G204/1000))</f>
        <v>7.6761940717753383</v>
      </c>
      <c r="AI201" s="1" t="str">
        <f t="shared" si="125"/>
        <v/>
      </c>
      <c r="AJ201">
        <v>0</v>
      </c>
      <c r="AK201">
        <v>1</v>
      </c>
      <c r="AL201">
        <f t="shared" si="126"/>
        <v>0</v>
      </c>
      <c r="AM201">
        <f t="shared" si="127"/>
        <v>1</v>
      </c>
      <c r="AN201">
        <f t="shared" si="128"/>
        <v>0</v>
      </c>
      <c r="AO201">
        <f t="shared" si="130"/>
        <v>3</v>
      </c>
      <c r="AP201" s="1">
        <f t="shared" si="131"/>
        <v>10.716851851851851</v>
      </c>
      <c r="AQ201">
        <f t="shared" si="138"/>
        <v>0</v>
      </c>
      <c r="AR201">
        <f t="shared" si="139"/>
        <v>0</v>
      </c>
      <c r="AS201">
        <f t="shared" si="140"/>
        <v>1</v>
      </c>
      <c r="AT201" t="str">
        <f t="shared" si="146"/>
        <v>groot</v>
      </c>
    </row>
    <row r="202" spans="1:46" customFormat="1" x14ac:dyDescent="0.25">
      <c r="A202" s="13">
        <v>35</v>
      </c>
      <c r="B202">
        <v>20</v>
      </c>
      <c r="C202" t="s">
        <v>103</v>
      </c>
      <c r="D202" t="s">
        <v>100</v>
      </c>
      <c r="E202" t="s">
        <v>101</v>
      </c>
      <c r="F202" t="s">
        <v>104</v>
      </c>
      <c r="G202" s="3">
        <v>5985</v>
      </c>
      <c r="H202" s="21">
        <v>5</v>
      </c>
      <c r="I202" t="s">
        <v>105</v>
      </c>
      <c r="J202" s="21">
        <v>0</v>
      </c>
      <c r="K202" s="21">
        <v>0</v>
      </c>
      <c r="L202">
        <v>2016</v>
      </c>
      <c r="M202">
        <v>2021</v>
      </c>
      <c r="N202">
        <v>2021</v>
      </c>
      <c r="O202">
        <v>2023</v>
      </c>
      <c r="P202">
        <v>2023</v>
      </c>
      <c r="Q202">
        <v>2026</v>
      </c>
      <c r="R202">
        <f t="shared" si="141"/>
        <v>5</v>
      </c>
      <c r="S202">
        <f t="shared" si="142"/>
        <v>2</v>
      </c>
      <c r="T202">
        <f t="shared" si="143"/>
        <v>3</v>
      </c>
      <c r="U202" s="6">
        <f t="shared" si="144"/>
        <v>10</v>
      </c>
      <c r="V202" s="6">
        <f>U202-U203</f>
        <v>3</v>
      </c>
      <c r="W202" s="2"/>
      <c r="X202" s="2"/>
      <c r="Y202" s="19">
        <v>4.3055555555555562</v>
      </c>
      <c r="Z202" s="19">
        <v>5.34</v>
      </c>
      <c r="AA202" s="19">
        <v>54.653333333333336</v>
      </c>
      <c r="AB202" s="2">
        <f t="shared" si="145"/>
        <v>64.298888888888897</v>
      </c>
      <c r="AC202" s="2">
        <f t="shared" si="123"/>
        <v>-34.311111111111103</v>
      </c>
      <c r="AD202" s="2"/>
      <c r="AE202" s="2" t="str">
        <f t="shared" si="129"/>
        <v/>
      </c>
      <c r="AF202" s="3"/>
      <c r="AG202" s="2" t="str">
        <f t="shared" si="124"/>
        <v/>
      </c>
      <c r="AI202" s="1" t="str">
        <f t="shared" si="125"/>
        <v/>
      </c>
      <c r="AJ202">
        <v>0</v>
      </c>
      <c r="AK202">
        <v>1</v>
      </c>
      <c r="AL202">
        <f t="shared" si="126"/>
        <v>1</v>
      </c>
      <c r="AM202">
        <f t="shared" si="127"/>
        <v>0</v>
      </c>
      <c r="AN202">
        <f t="shared" si="128"/>
        <v>0</v>
      </c>
      <c r="AO202">
        <f t="shared" si="130"/>
        <v>3</v>
      </c>
      <c r="AP202" s="1">
        <f t="shared" si="131"/>
        <v>10.74333983105913</v>
      </c>
      <c r="AQ202">
        <f t="shared" si="138"/>
        <v>1</v>
      </c>
      <c r="AR202">
        <f t="shared" si="139"/>
        <v>1</v>
      </c>
      <c r="AS202">
        <f t="shared" si="140"/>
        <v>1</v>
      </c>
      <c r="AT202" t="str">
        <f t="shared" si="146"/>
        <v>groot</v>
      </c>
    </row>
    <row r="203" spans="1:46" customFormat="1" x14ac:dyDescent="0.25">
      <c r="A203" s="13">
        <v>35</v>
      </c>
      <c r="B203">
        <v>19</v>
      </c>
      <c r="C203" t="s">
        <v>103</v>
      </c>
      <c r="D203" t="s">
        <v>100</v>
      </c>
      <c r="E203" t="s">
        <v>101</v>
      </c>
      <c r="F203" t="s">
        <v>104</v>
      </c>
      <c r="G203" s="3">
        <v>33282.272231718722</v>
      </c>
      <c r="H203" s="21" t="s">
        <v>105</v>
      </c>
      <c r="J203" s="21">
        <v>0</v>
      </c>
      <c r="K203" s="21">
        <v>0</v>
      </c>
      <c r="L203">
        <v>2018</v>
      </c>
      <c r="M203">
        <v>2020</v>
      </c>
      <c r="N203">
        <v>2020</v>
      </c>
      <c r="O203">
        <v>2022</v>
      </c>
      <c r="P203">
        <v>2022</v>
      </c>
      <c r="Q203">
        <v>2025</v>
      </c>
      <c r="R203">
        <f t="shared" si="141"/>
        <v>2</v>
      </c>
      <c r="S203">
        <f t="shared" si="142"/>
        <v>2</v>
      </c>
      <c r="T203">
        <f t="shared" si="143"/>
        <v>3</v>
      </c>
      <c r="U203" s="6">
        <f t="shared" si="144"/>
        <v>7</v>
      </c>
      <c r="V203" s="6">
        <f>U203-U204</f>
        <v>-1</v>
      </c>
      <c r="W203" s="2"/>
      <c r="X203" s="2"/>
      <c r="Y203" s="19">
        <v>10.38</v>
      </c>
      <c r="Z203" s="19">
        <v>0</v>
      </c>
      <c r="AA203" s="19">
        <v>88.23</v>
      </c>
      <c r="AB203" s="2">
        <f t="shared" si="145"/>
        <v>98.61</v>
      </c>
      <c r="AC203" s="2">
        <f t="shared" si="123"/>
        <v>-2.5900000000000034</v>
      </c>
      <c r="AD203" s="2"/>
      <c r="AE203" s="2" t="str">
        <f t="shared" si="129"/>
        <v/>
      </c>
      <c r="AF203" s="3"/>
      <c r="AG203" s="2" t="str">
        <f t="shared" si="124"/>
        <v/>
      </c>
      <c r="AI203" s="1" t="str">
        <f t="shared" si="125"/>
        <v/>
      </c>
      <c r="AJ203">
        <v>0</v>
      </c>
      <c r="AK203">
        <v>1</v>
      </c>
      <c r="AL203">
        <f t="shared" si="126"/>
        <v>0</v>
      </c>
      <c r="AM203">
        <f t="shared" si="127"/>
        <v>1</v>
      </c>
      <c r="AN203">
        <f t="shared" si="128"/>
        <v>0</v>
      </c>
      <c r="AO203">
        <f t="shared" si="130"/>
        <v>2</v>
      </c>
      <c r="AP203" s="1">
        <f t="shared" si="131"/>
        <v>2.9628385740449099</v>
      </c>
      <c r="AQ203">
        <f t="shared" si="138"/>
        <v>0</v>
      </c>
      <c r="AR203">
        <f t="shared" si="139"/>
        <v>0</v>
      </c>
      <c r="AS203">
        <f t="shared" si="140"/>
        <v>1</v>
      </c>
      <c r="AT203" t="str">
        <f t="shared" si="146"/>
        <v>groot</v>
      </c>
    </row>
    <row r="204" spans="1:46" customFormat="1" x14ac:dyDescent="0.25">
      <c r="A204" s="13">
        <v>35</v>
      </c>
      <c r="B204">
        <v>18</v>
      </c>
      <c r="D204" t="s">
        <v>100</v>
      </c>
      <c r="E204" t="s">
        <v>101</v>
      </c>
      <c r="F204" t="s">
        <v>104</v>
      </c>
      <c r="G204" s="3">
        <v>33282.272231718722</v>
      </c>
      <c r="H204" s="21">
        <v>12</v>
      </c>
      <c r="J204" s="21">
        <v>0</v>
      </c>
      <c r="K204" s="21">
        <v>0</v>
      </c>
      <c r="L204">
        <v>2018</v>
      </c>
      <c r="M204">
        <v>2020</v>
      </c>
      <c r="N204">
        <v>2020</v>
      </c>
      <c r="O204">
        <v>2023</v>
      </c>
      <c r="P204">
        <v>2023</v>
      </c>
      <c r="Q204">
        <v>2026</v>
      </c>
      <c r="R204">
        <f t="shared" si="141"/>
        <v>2</v>
      </c>
      <c r="S204">
        <f t="shared" si="142"/>
        <v>3</v>
      </c>
      <c r="T204">
        <f t="shared" si="143"/>
        <v>3</v>
      </c>
      <c r="U204" s="6">
        <f t="shared" si="144"/>
        <v>8</v>
      </c>
      <c r="V204" s="6">
        <f>U204-U205</f>
        <v>-2</v>
      </c>
      <c r="W204" s="2"/>
      <c r="X204" s="2"/>
      <c r="Y204" s="19">
        <v>2.6</v>
      </c>
      <c r="Z204" s="19">
        <v>10.4</v>
      </c>
      <c r="AA204" s="19">
        <v>88.2</v>
      </c>
      <c r="AB204" s="2">
        <f t="shared" si="145"/>
        <v>101.2</v>
      </c>
      <c r="AC204" s="2">
        <f t="shared" si="123"/>
        <v>-2.1999999999999886</v>
      </c>
      <c r="AD204" s="2"/>
      <c r="AE204" s="2" t="str">
        <f t="shared" si="129"/>
        <v/>
      </c>
      <c r="AF204" s="3"/>
      <c r="AG204" s="2" t="str">
        <f t="shared" si="124"/>
        <v/>
      </c>
      <c r="AI204" s="1" t="str">
        <f t="shared" si="125"/>
        <v/>
      </c>
      <c r="AJ204">
        <v>0</v>
      </c>
      <c r="AK204">
        <v>1</v>
      </c>
      <c r="AL204">
        <f t="shared" si="126"/>
        <v>0</v>
      </c>
      <c r="AM204">
        <f t="shared" si="127"/>
        <v>1</v>
      </c>
      <c r="AN204">
        <f t="shared" si="128"/>
        <v>0</v>
      </c>
      <c r="AO204">
        <f t="shared" si="130"/>
        <v>3</v>
      </c>
      <c r="AP204" s="1">
        <f t="shared" si="131"/>
        <v>3.0406577800765127</v>
      </c>
      <c r="AQ204">
        <f t="shared" si="138"/>
        <v>0</v>
      </c>
      <c r="AR204">
        <f t="shared" si="139"/>
        <v>0</v>
      </c>
      <c r="AS204">
        <f t="shared" si="140"/>
        <v>0</v>
      </c>
      <c r="AT204" t="str">
        <f t="shared" si="146"/>
        <v>groot</v>
      </c>
    </row>
    <row r="205" spans="1:46" customFormat="1" x14ac:dyDescent="0.25">
      <c r="A205" s="13">
        <v>35</v>
      </c>
      <c r="B205">
        <v>17</v>
      </c>
      <c r="C205" t="s">
        <v>103</v>
      </c>
      <c r="D205" t="s">
        <v>100</v>
      </c>
      <c r="E205" t="s">
        <v>101</v>
      </c>
      <c r="F205" t="s">
        <v>102</v>
      </c>
      <c r="G205" s="3"/>
      <c r="H205" s="21"/>
      <c r="J205" s="21">
        <v>0</v>
      </c>
      <c r="K205" s="21">
        <v>0</v>
      </c>
      <c r="L205">
        <v>2017</v>
      </c>
      <c r="M205">
        <v>2021</v>
      </c>
      <c r="N205">
        <v>2021</v>
      </c>
      <c r="O205">
        <v>2024</v>
      </c>
      <c r="P205">
        <v>2024</v>
      </c>
      <c r="Q205">
        <v>2027</v>
      </c>
      <c r="R205">
        <f t="shared" si="141"/>
        <v>4</v>
      </c>
      <c r="S205">
        <f t="shared" si="142"/>
        <v>3</v>
      </c>
      <c r="T205">
        <f t="shared" si="143"/>
        <v>3</v>
      </c>
      <c r="U205" s="6">
        <f t="shared" si="144"/>
        <v>10</v>
      </c>
      <c r="W205" s="2"/>
      <c r="X205" s="2"/>
      <c r="Y205" s="19">
        <v>4.8</v>
      </c>
      <c r="Z205" s="19">
        <v>10.4</v>
      </c>
      <c r="AA205" s="19">
        <v>88.199999999999989</v>
      </c>
      <c r="AB205" s="2">
        <f t="shared" si="145"/>
        <v>103.39999999999999</v>
      </c>
      <c r="AC205" s="2"/>
      <c r="AD205" s="2"/>
      <c r="AE205" s="2" t="str">
        <f t="shared" si="129"/>
        <v/>
      </c>
      <c r="AF205" s="3"/>
      <c r="AG205" s="2" t="str">
        <f t="shared" si="124"/>
        <v/>
      </c>
      <c r="AI205" s="1" t="str">
        <f t="shared" si="125"/>
        <v/>
      </c>
      <c r="AJ205">
        <v>0</v>
      </c>
      <c r="AK205">
        <v>1</v>
      </c>
      <c r="AL205">
        <f t="shared" si="126"/>
        <v>1</v>
      </c>
      <c r="AM205">
        <f t="shared" si="127"/>
        <v>0</v>
      </c>
      <c r="AN205">
        <f t="shared" si="128"/>
        <v>0</v>
      </c>
      <c r="AO205">
        <f t="shared" si="130"/>
        <v>4</v>
      </c>
      <c r="AP205" s="1"/>
      <c r="AQ205">
        <f t="shared" si="138"/>
        <v>1</v>
      </c>
      <c r="AR205">
        <f t="shared" si="139"/>
        <v>1</v>
      </c>
      <c r="AS205">
        <f t="shared" si="140"/>
        <v>0</v>
      </c>
      <c r="AT205" t="str">
        <f t="shared" si="146"/>
        <v>groot</v>
      </c>
    </row>
    <row r="206" spans="1:46" customFormat="1" x14ac:dyDescent="0.25">
      <c r="A206" s="13">
        <v>36</v>
      </c>
      <c r="B206">
        <v>22</v>
      </c>
      <c r="C206">
        <v>15</v>
      </c>
      <c r="D206" t="s">
        <v>204</v>
      </c>
      <c r="E206" t="s">
        <v>71</v>
      </c>
      <c r="F206" t="s">
        <v>205</v>
      </c>
      <c r="G206" s="3">
        <v>21020</v>
      </c>
      <c r="H206" s="21">
        <v>10</v>
      </c>
      <c r="I206" t="s">
        <v>206</v>
      </c>
      <c r="J206" s="21">
        <v>0</v>
      </c>
      <c r="K206" s="21">
        <v>0</v>
      </c>
      <c r="L206">
        <v>2019</v>
      </c>
      <c r="M206">
        <v>2023</v>
      </c>
      <c r="N206">
        <v>2023</v>
      </c>
      <c r="O206">
        <v>2025</v>
      </c>
      <c r="P206">
        <v>2025</v>
      </c>
      <c r="Q206">
        <v>2029</v>
      </c>
      <c r="R206">
        <f t="shared" si="141"/>
        <v>4</v>
      </c>
      <c r="S206">
        <f t="shared" si="142"/>
        <v>2</v>
      </c>
      <c r="T206">
        <f t="shared" si="143"/>
        <v>4</v>
      </c>
      <c r="U206" s="6">
        <f t="shared" si="144"/>
        <v>10</v>
      </c>
      <c r="V206" s="6">
        <f>U206-U207</f>
        <v>0</v>
      </c>
      <c r="W206" s="2"/>
      <c r="X206" s="2"/>
      <c r="Y206" s="19">
        <f>2.6/0.9</f>
        <v>2.8888888888888888</v>
      </c>
      <c r="Z206" s="19">
        <f>9.6/0.9</f>
        <v>10.666666666666666</v>
      </c>
      <c r="AA206" s="19">
        <f>78.8/0.9</f>
        <v>87.555555555555557</v>
      </c>
      <c r="AB206" s="2">
        <f t="shared" si="145"/>
        <v>101.11111111111111</v>
      </c>
      <c r="AC206" s="2">
        <f t="shared" si="123"/>
        <v>-42.708888888888879</v>
      </c>
      <c r="AD206" s="2"/>
      <c r="AE206" s="2" t="str">
        <f t="shared" si="129"/>
        <v/>
      </c>
      <c r="AF206" s="3"/>
      <c r="AG206" s="2" t="str">
        <f t="shared" si="124"/>
        <v/>
      </c>
      <c r="AI206" s="1" t="str">
        <f t="shared" si="125"/>
        <v/>
      </c>
      <c r="AK206" s="6">
        <f>IF(AB206&gt;64.2061111111111,1,0)</f>
        <v>1</v>
      </c>
      <c r="AL206">
        <f t="shared" si="126"/>
        <v>1</v>
      </c>
      <c r="AM206">
        <f t="shared" si="127"/>
        <v>0</v>
      </c>
      <c r="AN206">
        <f t="shared" si="128"/>
        <v>0</v>
      </c>
      <c r="AO206">
        <f t="shared" si="130"/>
        <v>5</v>
      </c>
      <c r="AP206" s="1">
        <f t="shared" si="131"/>
        <v>4.8102336399196535</v>
      </c>
      <c r="AQ206">
        <f t="shared" si="138"/>
        <v>3</v>
      </c>
      <c r="AR206">
        <f t="shared" si="139"/>
        <v>1</v>
      </c>
      <c r="AS206">
        <f t="shared" si="140"/>
        <v>1</v>
      </c>
      <c r="AT206" t="str">
        <f t="shared" si="146"/>
        <v>groot</v>
      </c>
    </row>
    <row r="207" spans="1:46" customFormat="1" x14ac:dyDescent="0.25">
      <c r="A207" s="13">
        <v>36</v>
      </c>
      <c r="B207">
        <v>21</v>
      </c>
      <c r="C207">
        <v>15</v>
      </c>
      <c r="D207" t="s">
        <v>204</v>
      </c>
      <c r="E207" t="s">
        <v>71</v>
      </c>
      <c r="F207" t="s">
        <v>205</v>
      </c>
      <c r="G207" s="3">
        <v>21020</v>
      </c>
      <c r="H207" s="21">
        <v>10</v>
      </c>
      <c r="I207" t="s">
        <v>206</v>
      </c>
      <c r="J207" s="21">
        <v>0</v>
      </c>
      <c r="K207" s="21">
        <v>0</v>
      </c>
      <c r="L207">
        <v>2019</v>
      </c>
      <c r="M207">
        <v>2023</v>
      </c>
      <c r="N207">
        <v>2023</v>
      </c>
      <c r="O207">
        <v>2025</v>
      </c>
      <c r="P207">
        <v>2025</v>
      </c>
      <c r="Q207">
        <v>2029</v>
      </c>
      <c r="R207">
        <f t="shared" si="141"/>
        <v>4</v>
      </c>
      <c r="S207">
        <f t="shared" si="142"/>
        <v>2</v>
      </c>
      <c r="T207">
        <f t="shared" si="143"/>
        <v>4</v>
      </c>
      <c r="U207" s="6">
        <f t="shared" si="144"/>
        <v>10</v>
      </c>
      <c r="V207" s="6">
        <f>U207-U208</f>
        <v>-1</v>
      </c>
      <c r="W207" s="2"/>
      <c r="X207" s="2"/>
      <c r="Y207" s="19">
        <v>7.195555555555555</v>
      </c>
      <c r="Z207" s="19">
        <v>14.7</v>
      </c>
      <c r="AA207" s="19">
        <v>121.92444444444443</v>
      </c>
      <c r="AB207" s="2">
        <f t="shared" si="145"/>
        <v>143.82</v>
      </c>
      <c r="AC207" s="2">
        <f t="shared" si="123"/>
        <v>-2.0488888888888823</v>
      </c>
      <c r="AD207" s="2"/>
      <c r="AE207" s="2" t="str">
        <f t="shared" si="129"/>
        <v/>
      </c>
      <c r="AF207" s="3">
        <f>G207-G210</f>
        <v>21020</v>
      </c>
      <c r="AG207" s="2" t="str">
        <f t="shared" si="124"/>
        <v/>
      </c>
      <c r="AI207" s="1" t="str">
        <f t="shared" si="125"/>
        <v/>
      </c>
      <c r="AJ207">
        <v>1</v>
      </c>
      <c r="AK207">
        <v>1</v>
      </c>
      <c r="AL207">
        <f t="shared" si="126"/>
        <v>1</v>
      </c>
      <c r="AM207">
        <f t="shared" si="127"/>
        <v>0</v>
      </c>
      <c r="AN207">
        <f t="shared" si="128"/>
        <v>0</v>
      </c>
      <c r="AO207">
        <f t="shared" si="130"/>
        <v>5</v>
      </c>
      <c r="AP207" s="1">
        <f t="shared" si="131"/>
        <v>6.8420551855375829</v>
      </c>
      <c r="AQ207">
        <f t="shared" si="138"/>
        <v>3</v>
      </c>
      <c r="AR207">
        <f t="shared" si="139"/>
        <v>1</v>
      </c>
      <c r="AS207">
        <f t="shared" si="140"/>
        <v>1</v>
      </c>
      <c r="AT207" t="str">
        <f t="shared" si="146"/>
        <v>groot</v>
      </c>
    </row>
    <row r="208" spans="1:46" customFormat="1" x14ac:dyDescent="0.25">
      <c r="A208" s="13">
        <v>36</v>
      </c>
      <c r="B208">
        <v>20</v>
      </c>
      <c r="C208">
        <v>40</v>
      </c>
      <c r="D208" t="s">
        <v>204</v>
      </c>
      <c r="E208" t="s">
        <v>71</v>
      </c>
      <c r="F208" t="s">
        <v>205</v>
      </c>
      <c r="G208" s="3">
        <v>20854</v>
      </c>
      <c r="H208" s="21">
        <v>1</v>
      </c>
      <c r="I208" t="s">
        <v>206</v>
      </c>
      <c r="J208" s="21">
        <v>0</v>
      </c>
      <c r="K208" s="21">
        <v>0</v>
      </c>
      <c r="L208">
        <v>2019</v>
      </c>
      <c r="M208">
        <v>2023</v>
      </c>
      <c r="N208">
        <v>2023</v>
      </c>
      <c r="O208">
        <v>2025</v>
      </c>
      <c r="P208">
        <v>2025</v>
      </c>
      <c r="Q208">
        <v>2030</v>
      </c>
      <c r="R208">
        <f t="shared" si="141"/>
        <v>4</v>
      </c>
      <c r="S208">
        <f t="shared" si="142"/>
        <v>2</v>
      </c>
      <c r="T208">
        <f t="shared" si="143"/>
        <v>5</v>
      </c>
      <c r="U208" s="6">
        <f t="shared" si="144"/>
        <v>11</v>
      </c>
      <c r="V208" s="6">
        <f>U208-U209</f>
        <v>0</v>
      </c>
      <c r="W208" s="2"/>
      <c r="X208" s="2"/>
      <c r="Y208" s="19">
        <v>7.2688888888888901</v>
      </c>
      <c r="Z208" s="19">
        <v>14.6</v>
      </c>
      <c r="AA208" s="19">
        <v>124</v>
      </c>
      <c r="AB208" s="2">
        <f t="shared" si="145"/>
        <v>145.86888888888888</v>
      </c>
      <c r="AC208" s="2">
        <f t="shared" si="123"/>
        <v>40.868888888888875</v>
      </c>
      <c r="AD208" s="2"/>
      <c r="AE208" s="2" t="str">
        <f t="shared" si="129"/>
        <v/>
      </c>
      <c r="AF208" s="3"/>
      <c r="AG208" s="2" t="str">
        <f t="shared" si="124"/>
        <v/>
      </c>
      <c r="AI208" s="1" t="str">
        <f t="shared" si="125"/>
        <v/>
      </c>
      <c r="AJ208">
        <v>1</v>
      </c>
      <c r="AK208">
        <v>1</v>
      </c>
      <c r="AL208">
        <f t="shared" si="126"/>
        <v>1</v>
      </c>
      <c r="AM208">
        <f t="shared" si="127"/>
        <v>0</v>
      </c>
      <c r="AN208">
        <f t="shared" si="128"/>
        <v>0</v>
      </c>
      <c r="AO208">
        <f t="shared" si="130"/>
        <v>5</v>
      </c>
      <c r="AP208" s="1">
        <f t="shared" si="131"/>
        <v>6.9947678569525698</v>
      </c>
      <c r="AQ208">
        <f t="shared" si="138"/>
        <v>3</v>
      </c>
      <c r="AR208">
        <f t="shared" si="139"/>
        <v>1</v>
      </c>
      <c r="AS208">
        <f t="shared" si="140"/>
        <v>1</v>
      </c>
      <c r="AT208" t="str">
        <f t="shared" si="146"/>
        <v>groot</v>
      </c>
    </row>
    <row r="209" spans="1:46" customFormat="1" x14ac:dyDescent="0.25">
      <c r="A209" s="13">
        <v>36</v>
      </c>
      <c r="B209">
        <v>19</v>
      </c>
      <c r="C209">
        <v>36</v>
      </c>
      <c r="D209" t="s">
        <v>204</v>
      </c>
      <c r="E209" t="s">
        <v>71</v>
      </c>
      <c r="F209" t="s">
        <v>205</v>
      </c>
      <c r="G209" s="3">
        <v>20854</v>
      </c>
      <c r="H209" s="21"/>
      <c r="I209" t="s">
        <v>206</v>
      </c>
      <c r="J209" s="21">
        <v>0</v>
      </c>
      <c r="K209" s="21">
        <v>0</v>
      </c>
      <c r="L209">
        <v>2019</v>
      </c>
      <c r="M209">
        <v>2023</v>
      </c>
      <c r="N209">
        <v>2023</v>
      </c>
      <c r="O209">
        <v>2025</v>
      </c>
      <c r="P209">
        <v>2025</v>
      </c>
      <c r="Q209">
        <v>2030</v>
      </c>
      <c r="R209">
        <f t="shared" si="141"/>
        <v>4</v>
      </c>
      <c r="S209">
        <f t="shared" si="142"/>
        <v>2</v>
      </c>
      <c r="T209">
        <f t="shared" si="143"/>
        <v>5</v>
      </c>
      <c r="U209" s="6">
        <f t="shared" si="144"/>
        <v>11</v>
      </c>
      <c r="W209" s="2"/>
      <c r="X209" s="2"/>
      <c r="Y209" s="19">
        <v>5.5</v>
      </c>
      <c r="Z209" s="19">
        <v>10.5</v>
      </c>
      <c r="AA209" s="19">
        <v>89</v>
      </c>
      <c r="AB209" s="2">
        <f t="shared" si="145"/>
        <v>105</v>
      </c>
      <c r="AC209" s="2"/>
      <c r="AD209" s="2"/>
      <c r="AE209" s="2" t="str">
        <f t="shared" si="129"/>
        <v/>
      </c>
      <c r="AF209" s="3"/>
      <c r="AG209" s="2" t="str">
        <f t="shared" si="124"/>
        <v/>
      </c>
      <c r="AI209" s="1" t="str">
        <f t="shared" si="125"/>
        <v/>
      </c>
      <c r="AJ209">
        <v>1</v>
      </c>
      <c r="AK209">
        <v>1</v>
      </c>
      <c r="AL209">
        <f t="shared" si="126"/>
        <v>1</v>
      </c>
      <c r="AM209">
        <f t="shared" si="127"/>
        <v>0</v>
      </c>
      <c r="AN209">
        <f t="shared" si="128"/>
        <v>0</v>
      </c>
      <c r="AO209">
        <f t="shared" si="130"/>
        <v>5</v>
      </c>
      <c r="AP209" s="1">
        <f t="shared" si="131"/>
        <v>5.035005274767431</v>
      </c>
      <c r="AQ209">
        <f t="shared" si="138"/>
        <v>3</v>
      </c>
      <c r="AR209">
        <f t="shared" si="139"/>
        <v>1</v>
      </c>
      <c r="AS209">
        <f t="shared" si="140"/>
        <v>1</v>
      </c>
      <c r="AT209" t="str">
        <f t="shared" si="146"/>
        <v>groot</v>
      </c>
    </row>
    <row r="210" spans="1:46" customFormat="1" x14ac:dyDescent="0.25">
      <c r="A210" s="13">
        <v>36</v>
      </c>
      <c r="B210">
        <v>18</v>
      </c>
      <c r="G210" s="3"/>
      <c r="H210" s="21"/>
      <c r="J210" s="21"/>
      <c r="K210" s="21"/>
      <c r="W210" s="2"/>
      <c r="X210" s="2"/>
      <c r="Y210" s="19"/>
      <c r="Z210" s="19"/>
      <c r="AA210" s="19"/>
      <c r="AB210" s="2"/>
      <c r="AC210" s="2"/>
      <c r="AD210" s="2"/>
      <c r="AE210" s="2" t="str">
        <f t="shared" si="129"/>
        <v/>
      </c>
      <c r="AF210" s="3"/>
      <c r="AG210" s="2" t="str">
        <f t="shared" si="124"/>
        <v/>
      </c>
      <c r="AI210" s="1" t="str">
        <f t="shared" si="125"/>
        <v/>
      </c>
      <c r="AJ210">
        <v>1</v>
      </c>
      <c r="AK210">
        <v>1</v>
      </c>
      <c r="AL210">
        <f t="shared" si="126"/>
        <v>0</v>
      </c>
      <c r="AM210">
        <f t="shared" si="127"/>
        <v>0</v>
      </c>
      <c r="AN210">
        <f t="shared" si="128"/>
        <v>0</v>
      </c>
      <c r="AP210" s="1"/>
      <c r="AS210">
        <f t="shared" si="140"/>
        <v>0</v>
      </c>
    </row>
    <row r="211" spans="1:46" customFormat="1" x14ac:dyDescent="0.25">
      <c r="A211" s="13">
        <v>36</v>
      </c>
      <c r="B211">
        <v>17</v>
      </c>
      <c r="G211" s="3"/>
      <c r="H211" s="21"/>
      <c r="J211" s="21"/>
      <c r="K211" s="21"/>
      <c r="Y211" s="19"/>
      <c r="Z211" s="19"/>
      <c r="AA211" s="19"/>
      <c r="AE211" s="2" t="str">
        <f t="shared" si="129"/>
        <v/>
      </c>
      <c r="AF211" s="3"/>
      <c r="AG211" s="2" t="str">
        <f t="shared" si="124"/>
        <v/>
      </c>
      <c r="AI211" s="1" t="str">
        <f t="shared" si="125"/>
        <v/>
      </c>
      <c r="AJ211">
        <v>1</v>
      </c>
      <c r="AK211">
        <v>1</v>
      </c>
      <c r="AL211">
        <f t="shared" si="126"/>
        <v>0</v>
      </c>
      <c r="AM211">
        <f t="shared" si="127"/>
        <v>0</v>
      </c>
      <c r="AN211">
        <f t="shared" si="128"/>
        <v>0</v>
      </c>
      <c r="AP211" s="1"/>
      <c r="AS211">
        <f t="shared" si="140"/>
        <v>0</v>
      </c>
    </row>
    <row r="212" spans="1:46" customFormat="1" x14ac:dyDescent="0.25">
      <c r="A212" s="13">
        <v>37</v>
      </c>
      <c r="B212">
        <v>22</v>
      </c>
      <c r="C212">
        <v>4</v>
      </c>
      <c r="D212" t="s">
        <v>254</v>
      </c>
      <c r="E212" t="s">
        <v>185</v>
      </c>
      <c r="F212" t="s">
        <v>255</v>
      </c>
      <c r="G212" s="3">
        <v>5150</v>
      </c>
      <c r="H212" s="21"/>
      <c r="J212" s="21">
        <v>0</v>
      </c>
      <c r="K212" s="21">
        <v>0</v>
      </c>
      <c r="L212">
        <v>2017</v>
      </c>
      <c r="M212">
        <v>2019</v>
      </c>
      <c r="N212">
        <v>2019</v>
      </c>
      <c r="O212">
        <v>2021</v>
      </c>
      <c r="P212">
        <v>2021</v>
      </c>
      <c r="Q212">
        <v>2026</v>
      </c>
      <c r="R212">
        <f t="shared" ref="R212:R216" si="147">M212-L212</f>
        <v>2</v>
      </c>
      <c r="S212">
        <f t="shared" ref="S212:S216" si="148">O212-N212</f>
        <v>2</v>
      </c>
      <c r="T212">
        <f t="shared" ref="T212:T216" si="149">Q212-P212</f>
        <v>5</v>
      </c>
      <c r="U212" s="6">
        <f t="shared" ref="U212:U216" si="150">SUM(R212:T212)</f>
        <v>9</v>
      </c>
      <c r="V212" s="6">
        <f>U212-U213</f>
        <v>0</v>
      </c>
      <c r="X212" s="2">
        <f>U212-U216</f>
        <v>3</v>
      </c>
      <c r="Y212" s="19">
        <v>3.6</v>
      </c>
      <c r="Z212" s="19">
        <v>7.2</v>
      </c>
      <c r="AA212" s="19">
        <v>84</v>
      </c>
      <c r="AB212" s="2">
        <f t="shared" ref="AB212:AB216" si="151">SUM(Y212:AA212)</f>
        <v>94.8</v>
      </c>
      <c r="AC212" s="2">
        <f t="shared" si="123"/>
        <v>0</v>
      </c>
      <c r="AE212" s="2">
        <f t="shared" si="129"/>
        <v>-9.4</v>
      </c>
      <c r="AF212" s="3"/>
      <c r="AG212" s="2">
        <f t="shared" si="124"/>
        <v>3199.9992320992751</v>
      </c>
      <c r="AI212" s="1">
        <f t="shared" si="125"/>
        <v>16.582524271844658</v>
      </c>
      <c r="AJ212">
        <v>1</v>
      </c>
      <c r="AK212" s="6">
        <f>IF(AB212&gt;64.2061111111111,1,0)</f>
        <v>1</v>
      </c>
      <c r="AL212">
        <f t="shared" si="126"/>
        <v>0</v>
      </c>
      <c r="AM212">
        <f t="shared" si="127"/>
        <v>1</v>
      </c>
      <c r="AN212">
        <f t="shared" si="128"/>
        <v>0</v>
      </c>
      <c r="AO212">
        <f t="shared" si="130"/>
        <v>1</v>
      </c>
      <c r="AP212" s="1">
        <f t="shared" si="131"/>
        <v>18.407766990291261</v>
      </c>
      <c r="AQ212">
        <f t="shared" si="138"/>
        <v>-1</v>
      </c>
      <c r="AR212">
        <f t="shared" si="139"/>
        <v>0</v>
      </c>
      <c r="AS212">
        <f t="shared" si="140"/>
        <v>0</v>
      </c>
      <c r="AT212" t="str">
        <f t="shared" ref="AT212:AT216" si="152">IF(AK212=1,"groot","klein")</f>
        <v>groot</v>
      </c>
    </row>
    <row r="213" spans="1:46" customFormat="1" x14ac:dyDescent="0.25">
      <c r="A213" s="13">
        <v>37</v>
      </c>
      <c r="B213">
        <v>21</v>
      </c>
      <c r="C213">
        <v>4</v>
      </c>
      <c r="D213" t="s">
        <v>254</v>
      </c>
      <c r="E213" t="s">
        <v>185</v>
      </c>
      <c r="F213" t="s">
        <v>255</v>
      </c>
      <c r="G213" s="3">
        <v>5150</v>
      </c>
      <c r="H213" s="21"/>
      <c r="I213" t="s">
        <v>256</v>
      </c>
      <c r="J213" s="21">
        <v>0</v>
      </c>
      <c r="K213" s="21">
        <v>0</v>
      </c>
      <c r="L213">
        <v>2017</v>
      </c>
      <c r="M213">
        <v>2019</v>
      </c>
      <c r="N213">
        <v>2019</v>
      </c>
      <c r="O213">
        <v>2021</v>
      </c>
      <c r="P213">
        <v>2021</v>
      </c>
      <c r="Q213">
        <v>2026</v>
      </c>
      <c r="R213">
        <f t="shared" si="147"/>
        <v>2</v>
      </c>
      <c r="S213">
        <f t="shared" si="148"/>
        <v>2</v>
      </c>
      <c r="T213">
        <f t="shared" si="149"/>
        <v>5</v>
      </c>
      <c r="U213" s="6">
        <f t="shared" si="150"/>
        <v>9</v>
      </c>
      <c r="V213" s="6">
        <f>U213-U214</f>
        <v>1</v>
      </c>
      <c r="W213" s="2">
        <f>U213-U216</f>
        <v>3</v>
      </c>
      <c r="Y213" s="19">
        <v>3.6</v>
      </c>
      <c r="Z213" s="19">
        <v>7.2</v>
      </c>
      <c r="AA213" s="19">
        <v>84</v>
      </c>
      <c r="AB213" s="2">
        <f t="shared" si="151"/>
        <v>94.8</v>
      </c>
      <c r="AC213" s="2">
        <f t="shared" si="123"/>
        <v>28</v>
      </c>
      <c r="AD213" s="2">
        <f>AB213-AB216</f>
        <v>85.399999999999991</v>
      </c>
      <c r="AE213" s="2" t="str">
        <f t="shared" si="129"/>
        <v/>
      </c>
      <c r="AF213" s="3">
        <f>G213-G216</f>
        <v>3199.9992320992751</v>
      </c>
      <c r="AG213" s="2" t="str">
        <f t="shared" si="124"/>
        <v/>
      </c>
      <c r="AH213" s="29">
        <f>((AB213)/(G213/1000))-((AB216)/(G216/1000))</f>
        <v>13.587256068072712</v>
      </c>
      <c r="AI213" s="1" t="str">
        <f t="shared" si="125"/>
        <v/>
      </c>
      <c r="AJ213">
        <v>1</v>
      </c>
      <c r="AK213">
        <v>1</v>
      </c>
      <c r="AL213">
        <f t="shared" si="126"/>
        <v>0</v>
      </c>
      <c r="AM213">
        <f t="shared" si="127"/>
        <v>1</v>
      </c>
      <c r="AN213">
        <f t="shared" si="128"/>
        <v>0</v>
      </c>
      <c r="AO213">
        <f t="shared" si="130"/>
        <v>1</v>
      </c>
      <c r="AP213" s="1">
        <f t="shared" si="131"/>
        <v>18.407766990291261</v>
      </c>
      <c r="AQ213">
        <f t="shared" si="138"/>
        <v>-1</v>
      </c>
      <c r="AR213">
        <f t="shared" si="139"/>
        <v>0</v>
      </c>
      <c r="AS213">
        <f t="shared" si="140"/>
        <v>1</v>
      </c>
      <c r="AT213" t="str">
        <f t="shared" si="152"/>
        <v>groot</v>
      </c>
    </row>
    <row r="214" spans="1:46" customFormat="1" x14ac:dyDescent="0.25">
      <c r="A214" s="13">
        <v>37</v>
      </c>
      <c r="B214">
        <v>20</v>
      </c>
      <c r="C214">
        <v>6</v>
      </c>
      <c r="D214" t="s">
        <v>257</v>
      </c>
      <c r="E214" t="s">
        <v>185</v>
      </c>
      <c r="F214" t="s">
        <v>258</v>
      </c>
      <c r="G214" s="3">
        <v>4507</v>
      </c>
      <c r="H214" s="21"/>
      <c r="I214" t="s">
        <v>256</v>
      </c>
      <c r="J214" s="21"/>
      <c r="K214" s="21">
        <v>0</v>
      </c>
      <c r="L214">
        <v>2017</v>
      </c>
      <c r="M214">
        <v>2018</v>
      </c>
      <c r="N214">
        <v>2019</v>
      </c>
      <c r="O214">
        <v>2023</v>
      </c>
      <c r="P214">
        <v>2023</v>
      </c>
      <c r="Q214">
        <v>2026</v>
      </c>
      <c r="R214">
        <f t="shared" si="147"/>
        <v>1</v>
      </c>
      <c r="S214">
        <f t="shared" si="148"/>
        <v>4</v>
      </c>
      <c r="T214">
        <f t="shared" si="149"/>
        <v>3</v>
      </c>
      <c r="U214" s="6">
        <f t="shared" si="150"/>
        <v>8</v>
      </c>
      <c r="V214" s="6">
        <f>U214-U215</f>
        <v>3</v>
      </c>
      <c r="Y214" s="19">
        <v>3.6</v>
      </c>
      <c r="Z214" s="19">
        <v>6.2</v>
      </c>
      <c r="AA214" s="19">
        <v>57</v>
      </c>
      <c r="AB214" s="2">
        <f t="shared" si="151"/>
        <v>66.8</v>
      </c>
      <c r="AC214" s="2">
        <f t="shared" si="123"/>
        <v>52.599999999999994</v>
      </c>
      <c r="AE214" s="2" t="str">
        <f t="shared" si="129"/>
        <v/>
      </c>
      <c r="AF214" s="3"/>
      <c r="AG214" s="2" t="str">
        <f t="shared" si="124"/>
        <v/>
      </c>
      <c r="AI214" s="1" t="str">
        <f t="shared" si="125"/>
        <v/>
      </c>
      <c r="AJ214">
        <v>1</v>
      </c>
      <c r="AK214">
        <v>1</v>
      </c>
      <c r="AL214">
        <f t="shared" si="126"/>
        <v>0</v>
      </c>
      <c r="AM214">
        <f t="shared" si="127"/>
        <v>1</v>
      </c>
      <c r="AN214">
        <f t="shared" si="128"/>
        <v>0</v>
      </c>
      <c r="AO214">
        <f t="shared" si="130"/>
        <v>3</v>
      </c>
      <c r="AP214" s="1">
        <f t="shared" si="131"/>
        <v>14.821388950521412</v>
      </c>
      <c r="AQ214">
        <f t="shared" si="138"/>
        <v>-1</v>
      </c>
      <c r="AR214">
        <f t="shared" si="139"/>
        <v>0</v>
      </c>
      <c r="AS214">
        <f t="shared" si="140"/>
        <v>1</v>
      </c>
      <c r="AT214" t="str">
        <f t="shared" si="152"/>
        <v>groot</v>
      </c>
    </row>
    <row r="215" spans="1:46" customFormat="1" x14ac:dyDescent="0.25">
      <c r="A215" s="13">
        <v>37</v>
      </c>
      <c r="B215">
        <v>19</v>
      </c>
      <c r="C215">
        <v>5</v>
      </c>
      <c r="D215" t="s">
        <v>259</v>
      </c>
      <c r="E215" t="s">
        <v>185</v>
      </c>
      <c r="F215" t="s">
        <v>258</v>
      </c>
      <c r="G215" s="3">
        <v>5150</v>
      </c>
      <c r="H215" s="21"/>
      <c r="I215" t="s">
        <v>260</v>
      </c>
      <c r="J215" s="21">
        <v>0</v>
      </c>
      <c r="K215" s="21">
        <v>0</v>
      </c>
      <c r="N215">
        <v>2018</v>
      </c>
      <c r="O215">
        <v>2021</v>
      </c>
      <c r="P215">
        <v>2021</v>
      </c>
      <c r="Q215">
        <v>2023</v>
      </c>
      <c r="R215">
        <f t="shared" si="147"/>
        <v>0</v>
      </c>
      <c r="S215">
        <f t="shared" si="148"/>
        <v>3</v>
      </c>
      <c r="T215">
        <f t="shared" si="149"/>
        <v>2</v>
      </c>
      <c r="U215" s="6">
        <f t="shared" si="150"/>
        <v>5</v>
      </c>
      <c r="V215" s="6">
        <f>U215-U216</f>
        <v>-1</v>
      </c>
      <c r="Y215" s="19">
        <v>1.5</v>
      </c>
      <c r="Z215" s="19">
        <v>1.1000000000000001</v>
      </c>
      <c r="AA215" s="19">
        <v>11.6</v>
      </c>
      <c r="AB215" s="2">
        <f t="shared" si="151"/>
        <v>14.2</v>
      </c>
      <c r="AC215" s="2">
        <f t="shared" si="123"/>
        <v>4.7999999999999989</v>
      </c>
      <c r="AE215" s="2" t="str">
        <f t="shared" si="129"/>
        <v/>
      </c>
      <c r="AF215" s="3"/>
      <c r="AG215" s="2" t="str">
        <f t="shared" si="124"/>
        <v/>
      </c>
      <c r="AI215" s="1" t="str">
        <f t="shared" si="125"/>
        <v/>
      </c>
      <c r="AJ215">
        <v>1</v>
      </c>
      <c r="AK215">
        <v>1</v>
      </c>
      <c r="AL215">
        <f t="shared" si="126"/>
        <v>0</v>
      </c>
      <c r="AM215">
        <f t="shared" si="127"/>
        <v>1</v>
      </c>
      <c r="AN215">
        <f t="shared" si="128"/>
        <v>0</v>
      </c>
      <c r="AO215">
        <f t="shared" si="130"/>
        <v>1</v>
      </c>
      <c r="AP215" s="1">
        <f t="shared" si="131"/>
        <v>2.7572815533980579</v>
      </c>
      <c r="AQ215">
        <f t="shared" si="138"/>
        <v>-2</v>
      </c>
      <c r="AR215">
        <f t="shared" si="139"/>
        <v>0</v>
      </c>
      <c r="AS215">
        <f t="shared" si="140"/>
        <v>1</v>
      </c>
      <c r="AT215" t="str">
        <f t="shared" si="152"/>
        <v>groot</v>
      </c>
    </row>
    <row r="216" spans="1:46" customFormat="1" x14ac:dyDescent="0.25">
      <c r="A216" s="13">
        <v>37</v>
      </c>
      <c r="B216">
        <v>18</v>
      </c>
      <c r="C216">
        <v>8</v>
      </c>
      <c r="D216" t="s">
        <v>189</v>
      </c>
      <c r="E216" t="s">
        <v>185</v>
      </c>
      <c r="F216" t="s">
        <v>190</v>
      </c>
      <c r="G216" s="3">
        <v>1950.0007679007249</v>
      </c>
      <c r="H216" s="21"/>
      <c r="I216" t="s">
        <v>187</v>
      </c>
      <c r="J216" s="21">
        <v>0</v>
      </c>
      <c r="K216" s="21">
        <v>0</v>
      </c>
      <c r="L216">
        <v>2017</v>
      </c>
      <c r="M216">
        <v>2019</v>
      </c>
      <c r="N216">
        <v>2019</v>
      </c>
      <c r="O216">
        <v>2021</v>
      </c>
      <c r="P216">
        <v>2021</v>
      </c>
      <c r="Q216">
        <v>2023</v>
      </c>
      <c r="R216">
        <f t="shared" si="147"/>
        <v>2</v>
      </c>
      <c r="S216">
        <f t="shared" si="148"/>
        <v>2</v>
      </c>
      <c r="T216">
        <f t="shared" si="149"/>
        <v>2</v>
      </c>
      <c r="U216" s="6">
        <f t="shared" si="150"/>
        <v>6</v>
      </c>
      <c r="Y216" s="19">
        <v>0.5</v>
      </c>
      <c r="Z216" s="19">
        <v>0.9</v>
      </c>
      <c r="AA216" s="19">
        <v>8</v>
      </c>
      <c r="AB216" s="2">
        <f t="shared" si="151"/>
        <v>9.4</v>
      </c>
      <c r="AC216" s="2">
        <f t="shared" si="123"/>
        <v>9.4</v>
      </c>
      <c r="AE216" s="2" t="str">
        <f t="shared" si="129"/>
        <v/>
      </c>
      <c r="AF216" s="3"/>
      <c r="AG216" s="2" t="str">
        <f t="shared" si="124"/>
        <v/>
      </c>
      <c r="AI216" s="1" t="str">
        <f t="shared" si="125"/>
        <v/>
      </c>
      <c r="AJ216">
        <v>1</v>
      </c>
      <c r="AK216">
        <v>1</v>
      </c>
      <c r="AL216">
        <f t="shared" si="126"/>
        <v>0</v>
      </c>
      <c r="AM216">
        <f t="shared" si="127"/>
        <v>1</v>
      </c>
      <c r="AN216">
        <f t="shared" si="128"/>
        <v>0</v>
      </c>
      <c r="AO216">
        <f t="shared" si="130"/>
        <v>1</v>
      </c>
      <c r="AP216" s="1">
        <f t="shared" si="131"/>
        <v>4.8205109222185483</v>
      </c>
      <c r="AQ216">
        <f t="shared" si="138"/>
        <v>-1</v>
      </c>
      <c r="AR216">
        <f t="shared" si="139"/>
        <v>0</v>
      </c>
      <c r="AS216">
        <f t="shared" si="140"/>
        <v>0</v>
      </c>
      <c r="AT216" t="str">
        <f t="shared" si="152"/>
        <v>groot</v>
      </c>
    </row>
    <row r="217" spans="1:46" customFormat="1" x14ac:dyDescent="0.25">
      <c r="A217" s="13">
        <v>37</v>
      </c>
      <c r="B217">
        <v>17</v>
      </c>
      <c r="G217" s="3"/>
      <c r="H217" s="21"/>
      <c r="J217" s="21"/>
      <c r="K217" s="21"/>
      <c r="Y217" s="19"/>
      <c r="Z217" s="19"/>
      <c r="AA217" s="19"/>
      <c r="AE217" s="2" t="str">
        <f t="shared" si="129"/>
        <v/>
      </c>
      <c r="AF217" s="3"/>
      <c r="AG217" s="2" t="str">
        <f t="shared" si="124"/>
        <v/>
      </c>
      <c r="AI217" s="1" t="str">
        <f t="shared" si="125"/>
        <v/>
      </c>
      <c r="AJ217">
        <v>1</v>
      </c>
      <c r="AK217">
        <v>1</v>
      </c>
      <c r="AL217">
        <f t="shared" si="126"/>
        <v>0</v>
      </c>
      <c r="AM217">
        <f t="shared" si="127"/>
        <v>0</v>
      </c>
      <c r="AN217">
        <f t="shared" si="128"/>
        <v>0</v>
      </c>
      <c r="AP217" s="1"/>
      <c r="AS217">
        <f t="shared" si="140"/>
        <v>0</v>
      </c>
    </row>
    <row r="218" spans="1:46" customFormat="1" x14ac:dyDescent="0.25">
      <c r="A218" s="13">
        <v>38</v>
      </c>
      <c r="B218">
        <v>22</v>
      </c>
      <c r="C218">
        <v>65</v>
      </c>
      <c r="D218" t="s">
        <v>261</v>
      </c>
      <c r="E218" t="s">
        <v>86</v>
      </c>
      <c r="F218" t="s">
        <v>262</v>
      </c>
      <c r="G218" s="3">
        <v>11700</v>
      </c>
      <c r="H218" s="21"/>
      <c r="I218" t="s">
        <v>162</v>
      </c>
      <c r="J218" s="21">
        <v>0</v>
      </c>
      <c r="K218" s="21">
        <v>0</v>
      </c>
      <c r="L218">
        <v>2028</v>
      </c>
      <c r="M218">
        <v>2030</v>
      </c>
      <c r="N218">
        <v>2030</v>
      </c>
      <c r="O218">
        <v>2032</v>
      </c>
      <c r="P218">
        <v>2032</v>
      </c>
      <c r="Q218">
        <v>2035</v>
      </c>
      <c r="R218">
        <f t="shared" ref="R218:R222" si="153">M218-L218</f>
        <v>2</v>
      </c>
      <c r="S218">
        <f t="shared" ref="S218:S222" si="154">O218-N218</f>
        <v>2</v>
      </c>
      <c r="T218">
        <f t="shared" ref="T218:T222" si="155">Q218-P218</f>
        <v>3</v>
      </c>
      <c r="U218" s="6">
        <f t="shared" ref="U218:U222" si="156">SUM(R218:T218)</f>
        <v>7</v>
      </c>
      <c r="V218" s="6">
        <f>U218-U219</f>
        <v>0</v>
      </c>
      <c r="X218" s="2">
        <f>U218-U222</f>
        <v>1</v>
      </c>
      <c r="Y218" s="19">
        <v>2.2000000000000002</v>
      </c>
      <c r="Z218" s="19">
        <v>6.2</v>
      </c>
      <c r="AA218" s="19">
        <v>52.2</v>
      </c>
      <c r="AB218" s="2">
        <f t="shared" ref="AB218" si="157">SUM(Y218:AA218)</f>
        <v>60.6</v>
      </c>
      <c r="AC218" s="2">
        <f t="shared" si="123"/>
        <v>0</v>
      </c>
      <c r="AE218" s="2">
        <f t="shared" si="129"/>
        <v>0</v>
      </c>
      <c r="AF218" s="3"/>
      <c r="AG218" s="2">
        <f t="shared" si="124"/>
        <v>6300.4147746233803</v>
      </c>
      <c r="AI218" s="1">
        <f t="shared" si="125"/>
        <v>3.4571326630157175</v>
      </c>
      <c r="AJ218">
        <v>0</v>
      </c>
      <c r="AK218" s="6">
        <f>IF(AB218&gt;64.2061111111111,1,0)</f>
        <v>0</v>
      </c>
      <c r="AL218">
        <f t="shared" si="126"/>
        <v>0</v>
      </c>
      <c r="AM218">
        <f t="shared" si="127"/>
        <v>0</v>
      </c>
      <c r="AN218">
        <f t="shared" si="128"/>
        <v>0</v>
      </c>
      <c r="AO218">
        <f t="shared" si="130"/>
        <v>12</v>
      </c>
      <c r="AP218" s="1">
        <f t="shared" si="131"/>
        <v>5.1794871794871797</v>
      </c>
      <c r="AQ218">
        <f t="shared" si="138"/>
        <v>10</v>
      </c>
      <c r="AR218">
        <f t="shared" si="139"/>
        <v>1</v>
      </c>
      <c r="AS218">
        <f t="shared" si="140"/>
        <v>1</v>
      </c>
      <c r="AT218" t="str">
        <f t="shared" ref="AT218:AT222" si="158">IF(AK218=1,"groot","klein")</f>
        <v>klein</v>
      </c>
    </row>
    <row r="219" spans="1:46" customFormat="1" x14ac:dyDescent="0.25">
      <c r="A219" s="14">
        <v>38</v>
      </c>
      <c r="B219">
        <v>21</v>
      </c>
      <c r="C219">
        <v>65</v>
      </c>
      <c r="D219" t="s">
        <v>261</v>
      </c>
      <c r="E219" t="s">
        <v>86</v>
      </c>
      <c r="F219" t="s">
        <v>262</v>
      </c>
      <c r="G219" s="3">
        <v>11700</v>
      </c>
      <c r="H219" s="21"/>
      <c r="I219" t="s">
        <v>162</v>
      </c>
      <c r="J219" s="21">
        <v>0</v>
      </c>
      <c r="K219" s="21">
        <v>0</v>
      </c>
      <c r="L219">
        <v>2028</v>
      </c>
      <c r="M219">
        <v>2030</v>
      </c>
      <c r="N219">
        <v>2030</v>
      </c>
      <c r="O219">
        <v>2032</v>
      </c>
      <c r="P219">
        <v>2032</v>
      </c>
      <c r="Q219">
        <v>2035</v>
      </c>
      <c r="R219">
        <f t="shared" si="153"/>
        <v>2</v>
      </c>
      <c r="S219">
        <f t="shared" si="154"/>
        <v>2</v>
      </c>
      <c r="T219">
        <f t="shared" si="155"/>
        <v>3</v>
      </c>
      <c r="U219" s="6">
        <f t="shared" si="156"/>
        <v>7</v>
      </c>
      <c r="V219" s="6">
        <f>U219-U220</f>
        <v>1</v>
      </c>
      <c r="W219" s="2">
        <f>U219-U222</f>
        <v>1</v>
      </c>
      <c r="Y219" s="19">
        <v>2.2000000000000002</v>
      </c>
      <c r="Z219" s="19">
        <v>6.2</v>
      </c>
      <c r="AA219" s="19">
        <v>52.2</v>
      </c>
      <c r="AB219" s="2">
        <f t="shared" ref="AB219:AB222" si="159">SUM(Y219:AA219)</f>
        <v>60.6</v>
      </c>
      <c r="AC219" s="2">
        <f t="shared" si="123"/>
        <v>57.5</v>
      </c>
      <c r="AD219" s="2">
        <f>AB219-AB222</f>
        <v>51.3</v>
      </c>
      <c r="AE219" s="2" t="str">
        <f t="shared" si="129"/>
        <v/>
      </c>
      <c r="AF219" s="3">
        <f>G219-G222</f>
        <v>6300.4147746233803</v>
      </c>
      <c r="AG219" s="2" t="str">
        <f t="shared" si="124"/>
        <v/>
      </c>
      <c r="AH219" s="29">
        <f>((AB219)/(G219/1000))-((AB222)/(G222/1000))</f>
        <v>3.4571326630157175</v>
      </c>
      <c r="AI219" s="1" t="str">
        <f t="shared" si="125"/>
        <v/>
      </c>
      <c r="AJ219">
        <v>0</v>
      </c>
      <c r="AK219">
        <v>0</v>
      </c>
      <c r="AL219">
        <f t="shared" si="126"/>
        <v>0</v>
      </c>
      <c r="AM219">
        <f t="shared" si="127"/>
        <v>0</v>
      </c>
      <c r="AN219">
        <f t="shared" si="128"/>
        <v>0</v>
      </c>
      <c r="AO219">
        <f t="shared" si="130"/>
        <v>12</v>
      </c>
      <c r="AP219" s="1">
        <f t="shared" si="131"/>
        <v>5.1794871794871797</v>
      </c>
      <c r="AQ219">
        <f t="shared" si="138"/>
        <v>10</v>
      </c>
      <c r="AR219">
        <f t="shared" si="139"/>
        <v>1</v>
      </c>
      <c r="AS219">
        <f t="shared" si="140"/>
        <v>1</v>
      </c>
      <c r="AT219" t="str">
        <f t="shared" si="158"/>
        <v>klein</v>
      </c>
    </row>
    <row r="220" spans="1:46" customFormat="1" x14ac:dyDescent="0.25">
      <c r="A220" s="14">
        <v>38</v>
      </c>
      <c r="B220">
        <v>20</v>
      </c>
      <c r="C220">
        <v>113</v>
      </c>
      <c r="D220" t="s">
        <v>261</v>
      </c>
      <c r="E220" t="s">
        <v>86</v>
      </c>
      <c r="F220" t="s">
        <v>262</v>
      </c>
      <c r="G220" s="3">
        <v>5399.5852253766197</v>
      </c>
      <c r="H220" s="21">
        <v>11</v>
      </c>
      <c r="I220" t="s">
        <v>162</v>
      </c>
      <c r="J220" s="21">
        <v>0</v>
      </c>
      <c r="K220" s="21">
        <v>0</v>
      </c>
      <c r="L220">
        <v>2028</v>
      </c>
      <c r="M220">
        <v>2030</v>
      </c>
      <c r="N220">
        <v>2030</v>
      </c>
      <c r="O220">
        <v>2032</v>
      </c>
      <c r="P220">
        <v>2032</v>
      </c>
      <c r="Q220">
        <v>2034</v>
      </c>
      <c r="R220">
        <f t="shared" si="153"/>
        <v>2</v>
      </c>
      <c r="S220">
        <f t="shared" si="154"/>
        <v>2</v>
      </c>
      <c r="T220">
        <f t="shared" si="155"/>
        <v>2</v>
      </c>
      <c r="U220" s="6">
        <f t="shared" si="156"/>
        <v>6</v>
      </c>
      <c r="V220" s="6">
        <f>U220-U221</f>
        <v>-2</v>
      </c>
      <c r="Y220" s="19">
        <v>0.9</v>
      </c>
      <c r="Z220" s="19">
        <v>2.2000000000000002</v>
      </c>
      <c r="AA220" s="19">
        <v>0</v>
      </c>
      <c r="AB220" s="2">
        <f t="shared" si="159"/>
        <v>3.1</v>
      </c>
      <c r="AC220" s="2">
        <f t="shared" si="123"/>
        <v>-40</v>
      </c>
      <c r="AE220" s="2" t="str">
        <f t="shared" si="129"/>
        <v/>
      </c>
      <c r="AF220" s="3"/>
      <c r="AG220" s="2" t="str">
        <f t="shared" si="124"/>
        <v/>
      </c>
      <c r="AI220" s="1" t="str">
        <f t="shared" si="125"/>
        <v/>
      </c>
      <c r="AJ220">
        <v>0</v>
      </c>
      <c r="AK220">
        <v>0</v>
      </c>
      <c r="AL220">
        <f t="shared" si="126"/>
        <v>0</v>
      </c>
      <c r="AM220">
        <f t="shared" si="127"/>
        <v>0</v>
      </c>
      <c r="AN220">
        <f t="shared" si="128"/>
        <v>0</v>
      </c>
      <c r="AO220">
        <f t="shared" si="130"/>
        <v>12</v>
      </c>
      <c r="AP220" s="1">
        <f t="shared" si="131"/>
        <v>0.57411817215715411</v>
      </c>
      <c r="AQ220">
        <f t="shared" si="138"/>
        <v>10</v>
      </c>
      <c r="AR220">
        <f t="shared" si="139"/>
        <v>1</v>
      </c>
      <c r="AS220">
        <f t="shared" si="140"/>
        <v>1</v>
      </c>
      <c r="AT220" t="str">
        <f t="shared" si="158"/>
        <v>klein</v>
      </c>
    </row>
    <row r="221" spans="1:46" customFormat="1" x14ac:dyDescent="0.25">
      <c r="A221" s="14">
        <v>38</v>
      </c>
      <c r="B221">
        <v>19</v>
      </c>
      <c r="C221">
        <v>112</v>
      </c>
      <c r="D221" t="s">
        <v>261</v>
      </c>
      <c r="E221" t="s">
        <v>86</v>
      </c>
      <c r="F221" t="s">
        <v>262</v>
      </c>
      <c r="G221" s="3">
        <v>5399.5852253766197</v>
      </c>
      <c r="H221" s="21"/>
      <c r="I221" t="s">
        <v>162</v>
      </c>
      <c r="J221" s="21">
        <v>0</v>
      </c>
      <c r="K221" s="21">
        <v>0</v>
      </c>
      <c r="L221">
        <v>2028</v>
      </c>
      <c r="M221">
        <v>2030</v>
      </c>
      <c r="N221">
        <v>2030</v>
      </c>
      <c r="O221">
        <v>2034</v>
      </c>
      <c r="P221">
        <v>2034</v>
      </c>
      <c r="Q221">
        <v>2036</v>
      </c>
      <c r="R221">
        <f t="shared" si="153"/>
        <v>2</v>
      </c>
      <c r="S221">
        <f t="shared" si="154"/>
        <v>4</v>
      </c>
      <c r="T221">
        <f t="shared" si="155"/>
        <v>2</v>
      </c>
      <c r="U221" s="6">
        <f t="shared" si="156"/>
        <v>8</v>
      </c>
      <c r="V221" s="6">
        <f>U221-U222</f>
        <v>2</v>
      </c>
      <c r="Y221" s="19">
        <v>0.9</v>
      </c>
      <c r="Z221" s="19">
        <v>6.5</v>
      </c>
      <c r="AA221" s="19">
        <v>35.700000000000003</v>
      </c>
      <c r="AB221" s="2">
        <f t="shared" si="159"/>
        <v>43.1</v>
      </c>
      <c r="AC221" s="2">
        <f t="shared" si="123"/>
        <v>33.799999999999997</v>
      </c>
      <c r="AE221" s="2" t="str">
        <f t="shared" si="129"/>
        <v/>
      </c>
      <c r="AF221" s="3"/>
      <c r="AG221" s="2" t="str">
        <f t="shared" si="124"/>
        <v/>
      </c>
      <c r="AI221" s="1" t="str">
        <f t="shared" si="125"/>
        <v/>
      </c>
      <c r="AJ221">
        <v>0</v>
      </c>
      <c r="AK221">
        <v>0</v>
      </c>
      <c r="AL221">
        <f t="shared" si="126"/>
        <v>0</v>
      </c>
      <c r="AM221">
        <f t="shared" si="127"/>
        <v>0</v>
      </c>
      <c r="AN221">
        <f t="shared" si="128"/>
        <v>0</v>
      </c>
      <c r="AO221">
        <f t="shared" si="130"/>
        <v>14</v>
      </c>
      <c r="AP221" s="1">
        <f t="shared" si="131"/>
        <v>7.9820945870881754</v>
      </c>
      <c r="AQ221">
        <f t="shared" si="138"/>
        <v>10</v>
      </c>
      <c r="AR221">
        <f t="shared" si="139"/>
        <v>1</v>
      </c>
      <c r="AS221">
        <f t="shared" si="140"/>
        <v>1</v>
      </c>
      <c r="AT221" t="str">
        <f t="shared" si="158"/>
        <v>klein</v>
      </c>
    </row>
    <row r="222" spans="1:46" customFormat="1" x14ac:dyDescent="0.25">
      <c r="A222" s="14">
        <v>38</v>
      </c>
      <c r="B222">
        <v>18</v>
      </c>
      <c r="C222">
        <v>98</v>
      </c>
      <c r="D222" t="s">
        <v>263</v>
      </c>
      <c r="E222" t="s">
        <v>86</v>
      </c>
      <c r="F222" t="s">
        <v>262</v>
      </c>
      <c r="G222" s="3">
        <v>5399.5852253766197</v>
      </c>
      <c r="H222" s="21"/>
      <c r="J222" s="21">
        <v>0</v>
      </c>
      <c r="K222" s="21">
        <v>0</v>
      </c>
      <c r="L222">
        <v>2026</v>
      </c>
      <c r="M222">
        <v>2028</v>
      </c>
      <c r="N222">
        <v>2028</v>
      </c>
      <c r="O222">
        <v>2030</v>
      </c>
      <c r="P222">
        <v>2030</v>
      </c>
      <c r="Q222">
        <v>2032</v>
      </c>
      <c r="R222">
        <f t="shared" si="153"/>
        <v>2</v>
      </c>
      <c r="S222">
        <f t="shared" si="154"/>
        <v>2</v>
      </c>
      <c r="T222">
        <f t="shared" si="155"/>
        <v>2</v>
      </c>
      <c r="U222" s="6">
        <f t="shared" si="156"/>
        <v>6</v>
      </c>
      <c r="Y222" s="19">
        <v>0.9</v>
      </c>
      <c r="Z222" s="19">
        <v>2.2000000000000002</v>
      </c>
      <c r="AA222" s="19">
        <v>6.2</v>
      </c>
      <c r="AB222" s="2">
        <f t="shared" si="159"/>
        <v>9.3000000000000007</v>
      </c>
      <c r="AE222" s="2" t="str">
        <f t="shared" si="129"/>
        <v/>
      </c>
      <c r="AF222" s="3"/>
      <c r="AG222" s="2" t="str">
        <f t="shared" si="124"/>
        <v/>
      </c>
      <c r="AI222" s="1" t="str">
        <f t="shared" si="125"/>
        <v/>
      </c>
      <c r="AJ222">
        <v>0</v>
      </c>
      <c r="AK222">
        <v>0</v>
      </c>
      <c r="AL222">
        <f t="shared" si="126"/>
        <v>0</v>
      </c>
      <c r="AM222">
        <f t="shared" si="127"/>
        <v>0</v>
      </c>
      <c r="AN222">
        <f t="shared" si="128"/>
        <v>0</v>
      </c>
      <c r="AO222">
        <f t="shared" si="130"/>
        <v>10</v>
      </c>
      <c r="AP222" s="1">
        <f t="shared" si="131"/>
        <v>1.7223545164714624</v>
      </c>
      <c r="AQ222">
        <f t="shared" si="138"/>
        <v>8</v>
      </c>
      <c r="AR222">
        <f t="shared" si="139"/>
        <v>1</v>
      </c>
      <c r="AS222">
        <f t="shared" si="140"/>
        <v>0</v>
      </c>
      <c r="AT222" t="str">
        <f t="shared" si="158"/>
        <v>klein</v>
      </c>
    </row>
    <row r="223" spans="1:46" customFormat="1" x14ac:dyDescent="0.25">
      <c r="A223" s="14">
        <v>38</v>
      </c>
      <c r="B223">
        <v>17</v>
      </c>
      <c r="G223" s="3"/>
      <c r="H223" s="21"/>
      <c r="J223" s="21"/>
      <c r="K223" s="21"/>
      <c r="Y223" s="19"/>
      <c r="Z223" s="19"/>
      <c r="AA223" s="19"/>
      <c r="AE223" s="2" t="str">
        <f t="shared" si="129"/>
        <v/>
      </c>
      <c r="AF223" s="3"/>
      <c r="AG223" s="2" t="str">
        <f t="shared" si="124"/>
        <v/>
      </c>
      <c r="AI223" s="1" t="str">
        <f t="shared" si="125"/>
        <v/>
      </c>
      <c r="AJ223">
        <v>0</v>
      </c>
      <c r="AK223">
        <v>0</v>
      </c>
      <c r="AL223">
        <f t="shared" si="126"/>
        <v>0</v>
      </c>
      <c r="AM223">
        <f t="shared" si="127"/>
        <v>0</v>
      </c>
      <c r="AN223">
        <f t="shared" si="128"/>
        <v>0</v>
      </c>
      <c r="AP223" s="1"/>
      <c r="AS223">
        <f t="shared" si="140"/>
        <v>0</v>
      </c>
    </row>
    <row r="224" spans="1:46" customFormat="1" x14ac:dyDescent="0.25">
      <c r="A224" s="14">
        <v>39</v>
      </c>
      <c r="B224">
        <v>22</v>
      </c>
      <c r="C224">
        <v>13</v>
      </c>
      <c r="D224" t="s">
        <v>265</v>
      </c>
      <c r="E224" t="s">
        <v>185</v>
      </c>
      <c r="F224" t="s">
        <v>264</v>
      </c>
      <c r="G224" s="3">
        <v>1000</v>
      </c>
      <c r="H224" s="21"/>
      <c r="I224" t="s">
        <v>187</v>
      </c>
      <c r="J224" s="21">
        <v>0</v>
      </c>
      <c r="K224" s="21">
        <v>0</v>
      </c>
      <c r="L224">
        <v>2021</v>
      </c>
      <c r="M224">
        <v>2022</v>
      </c>
      <c r="N224">
        <v>2022</v>
      </c>
      <c r="O224">
        <v>2023</v>
      </c>
      <c r="P224">
        <v>2023</v>
      </c>
      <c r="Q224">
        <v>2024</v>
      </c>
      <c r="R224">
        <f t="shared" ref="R224:R228" si="160">M224-L224</f>
        <v>1</v>
      </c>
      <c r="S224">
        <f t="shared" ref="S224:S228" si="161">O224-N224</f>
        <v>1</v>
      </c>
      <c r="T224">
        <f t="shared" ref="T224:T228" si="162">Q224-P224</f>
        <v>1</v>
      </c>
      <c r="U224" s="6">
        <f t="shared" ref="U224:U228" si="163">SUM(R224:T224)</f>
        <v>3</v>
      </c>
      <c r="V224" s="6">
        <f>U224-U225</f>
        <v>0</v>
      </c>
      <c r="X224" s="2">
        <f>U224-U228</f>
        <v>0</v>
      </c>
      <c r="Y224" s="19">
        <v>0.08</v>
      </c>
      <c r="Z224" s="19">
        <v>0.08</v>
      </c>
      <c r="AA224" s="19">
        <v>0.84</v>
      </c>
      <c r="AB224" s="2">
        <f t="shared" ref="AB224:AB233" si="164">SUM(Y224:AA224)</f>
        <v>1</v>
      </c>
      <c r="AC224" s="2">
        <f t="shared" ref="AC224:AC227" si="165">AB224-AB225</f>
        <v>0</v>
      </c>
      <c r="AE224" s="2">
        <f t="shared" si="129"/>
        <v>0</v>
      </c>
      <c r="AF224" s="3"/>
      <c r="AG224" s="2">
        <f t="shared" si="124"/>
        <v>0</v>
      </c>
      <c r="AI224" s="29">
        <f t="shared" si="125"/>
        <v>0</v>
      </c>
      <c r="AJ224">
        <v>0</v>
      </c>
      <c r="AK224" s="6">
        <f>IF(AB224&gt;64.2061111111111,1,0)</f>
        <v>0</v>
      </c>
      <c r="AL224">
        <f t="shared" si="126"/>
        <v>0</v>
      </c>
      <c r="AM224">
        <f t="shared" si="127"/>
        <v>0</v>
      </c>
      <c r="AN224">
        <f t="shared" si="128"/>
        <v>0</v>
      </c>
      <c r="AO224">
        <f t="shared" si="130"/>
        <v>3</v>
      </c>
      <c r="AP224" s="1">
        <f t="shared" si="131"/>
        <v>1</v>
      </c>
      <c r="AQ224">
        <f t="shared" si="138"/>
        <v>2</v>
      </c>
      <c r="AR224">
        <f t="shared" si="139"/>
        <v>1</v>
      </c>
      <c r="AS224">
        <f t="shared" si="140"/>
        <v>1</v>
      </c>
      <c r="AT224" t="str">
        <f t="shared" ref="AT224:AT228" si="166">IF(AK224=1,"groot","klein")</f>
        <v>klein</v>
      </c>
    </row>
    <row r="225" spans="1:46" customFormat="1" x14ac:dyDescent="0.25">
      <c r="A225" s="14">
        <v>39</v>
      </c>
      <c r="B225">
        <v>21</v>
      </c>
      <c r="C225">
        <v>13</v>
      </c>
      <c r="D225" t="s">
        <v>265</v>
      </c>
      <c r="E225" t="s">
        <v>185</v>
      </c>
      <c r="F225" t="s">
        <v>264</v>
      </c>
      <c r="G225" s="3">
        <v>1000</v>
      </c>
      <c r="H225" s="21"/>
      <c r="I225" t="s">
        <v>187</v>
      </c>
      <c r="J225" s="21">
        <v>0</v>
      </c>
      <c r="K225" s="21">
        <v>0</v>
      </c>
      <c r="L225">
        <v>2021</v>
      </c>
      <c r="M225">
        <v>2022</v>
      </c>
      <c r="N225">
        <v>2022</v>
      </c>
      <c r="O225">
        <v>2023</v>
      </c>
      <c r="P225">
        <v>2023</v>
      </c>
      <c r="Q225">
        <v>2024</v>
      </c>
      <c r="R225">
        <f t="shared" si="160"/>
        <v>1</v>
      </c>
      <c r="S225">
        <f t="shared" si="161"/>
        <v>1</v>
      </c>
      <c r="T225">
        <f t="shared" si="162"/>
        <v>1</v>
      </c>
      <c r="U225" s="6">
        <f t="shared" si="163"/>
        <v>3</v>
      </c>
      <c r="V225" s="6">
        <f>U225-U226</f>
        <v>-1</v>
      </c>
      <c r="W225" s="2">
        <f>U225-U228</f>
        <v>0</v>
      </c>
      <c r="Y225" s="19">
        <v>0.08</v>
      </c>
      <c r="Z225" s="19">
        <v>0.08</v>
      </c>
      <c r="AA225" s="19">
        <v>0.84</v>
      </c>
      <c r="AB225" s="2">
        <f t="shared" si="164"/>
        <v>1</v>
      </c>
      <c r="AC225" s="2">
        <f t="shared" si="165"/>
        <v>-0.10000000000000009</v>
      </c>
      <c r="AD225" s="2">
        <f>AB225-AB228</f>
        <v>0</v>
      </c>
      <c r="AE225" s="2" t="str">
        <f t="shared" si="129"/>
        <v/>
      </c>
      <c r="AF225" s="3">
        <f>G225-G228</f>
        <v>0</v>
      </c>
      <c r="AG225" s="2" t="str">
        <f t="shared" si="124"/>
        <v/>
      </c>
      <c r="AH225" s="29">
        <f>((AB225)/(G225/1000))-((AB228)/(G228/1000))</f>
        <v>0</v>
      </c>
      <c r="AI225" s="1" t="str">
        <f t="shared" si="125"/>
        <v/>
      </c>
      <c r="AJ225">
        <v>0</v>
      </c>
      <c r="AK225">
        <v>0</v>
      </c>
      <c r="AL225">
        <f t="shared" si="126"/>
        <v>0</v>
      </c>
      <c r="AM225">
        <f t="shared" si="127"/>
        <v>0</v>
      </c>
      <c r="AN225">
        <f t="shared" si="128"/>
        <v>0</v>
      </c>
      <c r="AO225">
        <f t="shared" si="130"/>
        <v>3</v>
      </c>
      <c r="AP225" s="1">
        <f t="shared" si="131"/>
        <v>1</v>
      </c>
      <c r="AQ225">
        <f t="shared" si="138"/>
        <v>2</v>
      </c>
      <c r="AR225">
        <f t="shared" si="139"/>
        <v>1</v>
      </c>
      <c r="AS225">
        <f t="shared" si="140"/>
        <v>1</v>
      </c>
      <c r="AT225" t="str">
        <f t="shared" si="166"/>
        <v>klein</v>
      </c>
    </row>
    <row r="226" spans="1:46" customFormat="1" x14ac:dyDescent="0.25">
      <c r="A226" s="14">
        <v>39</v>
      </c>
      <c r="B226">
        <v>20</v>
      </c>
      <c r="C226">
        <v>35</v>
      </c>
      <c r="D226" t="s">
        <v>265</v>
      </c>
      <c r="E226" t="s">
        <v>185</v>
      </c>
      <c r="F226" t="s">
        <v>264</v>
      </c>
      <c r="G226" s="3">
        <v>1000</v>
      </c>
      <c r="H226" s="21"/>
      <c r="I226" t="s">
        <v>187</v>
      </c>
      <c r="J226" s="21">
        <v>0</v>
      </c>
      <c r="K226" s="21">
        <v>0</v>
      </c>
      <c r="L226">
        <v>2020</v>
      </c>
      <c r="M226">
        <v>2021</v>
      </c>
      <c r="N226">
        <v>2021</v>
      </c>
      <c r="O226">
        <v>2023</v>
      </c>
      <c r="P226">
        <v>2023</v>
      </c>
      <c r="Q226">
        <v>2024</v>
      </c>
      <c r="R226">
        <f t="shared" si="160"/>
        <v>1</v>
      </c>
      <c r="S226">
        <f t="shared" si="161"/>
        <v>2</v>
      </c>
      <c r="T226">
        <f t="shared" si="162"/>
        <v>1</v>
      </c>
      <c r="U226" s="6">
        <f t="shared" si="163"/>
        <v>4</v>
      </c>
      <c r="V226" s="6">
        <f>U226-U227</f>
        <v>2</v>
      </c>
      <c r="Y226" s="19">
        <v>0.1</v>
      </c>
      <c r="Z226" s="19">
        <v>0.1</v>
      </c>
      <c r="AA226" s="19">
        <v>0.9</v>
      </c>
      <c r="AB226" s="2">
        <f t="shared" si="164"/>
        <v>1.1000000000000001</v>
      </c>
      <c r="AC226" s="2">
        <f t="shared" si="165"/>
        <v>-0.79999999999999982</v>
      </c>
      <c r="AE226" s="2" t="str">
        <f t="shared" si="129"/>
        <v/>
      </c>
      <c r="AF226" s="3"/>
      <c r="AG226" s="2" t="str">
        <f t="shared" si="124"/>
        <v/>
      </c>
      <c r="AI226" s="1" t="str">
        <f t="shared" si="125"/>
        <v/>
      </c>
      <c r="AJ226">
        <v>0</v>
      </c>
      <c r="AK226">
        <v>0</v>
      </c>
      <c r="AL226">
        <f t="shared" si="126"/>
        <v>1</v>
      </c>
      <c r="AM226">
        <f t="shared" si="127"/>
        <v>0</v>
      </c>
      <c r="AN226">
        <f t="shared" si="128"/>
        <v>0</v>
      </c>
      <c r="AO226">
        <f t="shared" si="130"/>
        <v>3</v>
      </c>
      <c r="AP226" s="1">
        <f t="shared" si="131"/>
        <v>1.1000000000000001</v>
      </c>
      <c r="AQ226">
        <f t="shared" si="138"/>
        <v>1</v>
      </c>
      <c r="AR226">
        <f t="shared" si="139"/>
        <v>1</v>
      </c>
      <c r="AS226">
        <f t="shared" si="140"/>
        <v>1</v>
      </c>
      <c r="AT226" t="str">
        <f t="shared" si="166"/>
        <v>klein</v>
      </c>
    </row>
    <row r="227" spans="1:46" customFormat="1" x14ac:dyDescent="0.25">
      <c r="A227" s="14">
        <v>39</v>
      </c>
      <c r="B227">
        <v>19</v>
      </c>
      <c r="C227">
        <v>31</v>
      </c>
      <c r="D227" t="s">
        <v>265</v>
      </c>
      <c r="E227" t="s">
        <v>185</v>
      </c>
      <c r="F227" t="s">
        <v>264</v>
      </c>
      <c r="G227" s="3">
        <v>1000</v>
      </c>
      <c r="H227" s="21"/>
      <c r="I227" t="s">
        <v>187</v>
      </c>
      <c r="J227" s="21">
        <v>0</v>
      </c>
      <c r="K227" s="21">
        <v>0</v>
      </c>
      <c r="N227">
        <v>2018</v>
      </c>
      <c r="O227">
        <v>2019</v>
      </c>
      <c r="P227">
        <v>2019</v>
      </c>
      <c r="Q227">
        <v>2020</v>
      </c>
      <c r="R227">
        <f t="shared" si="160"/>
        <v>0</v>
      </c>
      <c r="S227">
        <f t="shared" si="161"/>
        <v>1</v>
      </c>
      <c r="T227">
        <f t="shared" si="162"/>
        <v>1</v>
      </c>
      <c r="U227" s="6">
        <f t="shared" si="163"/>
        <v>2</v>
      </c>
      <c r="V227" s="6">
        <f>U227-U228</f>
        <v>-1</v>
      </c>
      <c r="Y227" s="19"/>
      <c r="Z227" s="19">
        <v>0.9</v>
      </c>
      <c r="AA227" s="19">
        <v>1</v>
      </c>
      <c r="AB227" s="2">
        <f t="shared" si="164"/>
        <v>1.9</v>
      </c>
      <c r="AC227" s="2">
        <f t="shared" si="165"/>
        <v>0.89999999999999991</v>
      </c>
      <c r="AE227" s="2" t="str">
        <f t="shared" si="129"/>
        <v/>
      </c>
      <c r="AF227" s="3"/>
      <c r="AG227" s="2" t="str">
        <f t="shared" si="124"/>
        <v/>
      </c>
      <c r="AI227" s="1" t="str">
        <f t="shared" si="125"/>
        <v/>
      </c>
      <c r="AJ227">
        <v>0</v>
      </c>
      <c r="AK227">
        <v>0</v>
      </c>
      <c r="AL227">
        <f t="shared" si="126"/>
        <v>0</v>
      </c>
      <c r="AM227">
        <f t="shared" si="127"/>
        <v>0</v>
      </c>
      <c r="AN227">
        <f t="shared" si="128"/>
        <v>0</v>
      </c>
      <c r="AO227">
        <f t="shared" si="130"/>
        <v>-1</v>
      </c>
      <c r="AP227" s="1">
        <f t="shared" si="131"/>
        <v>1.9</v>
      </c>
      <c r="AQ227">
        <f t="shared" si="138"/>
        <v>-2</v>
      </c>
      <c r="AR227">
        <f t="shared" si="139"/>
        <v>0</v>
      </c>
      <c r="AS227">
        <f t="shared" si="140"/>
        <v>1</v>
      </c>
      <c r="AT227" t="str">
        <f t="shared" si="166"/>
        <v>klein</v>
      </c>
    </row>
    <row r="228" spans="1:46" customFormat="1" x14ac:dyDescent="0.25">
      <c r="A228" s="14">
        <v>39</v>
      </c>
      <c r="B228">
        <v>18</v>
      </c>
      <c r="C228">
        <v>40</v>
      </c>
      <c r="D228" t="s">
        <v>266</v>
      </c>
      <c r="E228" t="s">
        <v>185</v>
      </c>
      <c r="F228" t="s">
        <v>264</v>
      </c>
      <c r="G228" s="3">
        <v>1000</v>
      </c>
      <c r="H228" s="21"/>
      <c r="I228" t="s">
        <v>187</v>
      </c>
      <c r="J228" s="21">
        <v>0</v>
      </c>
      <c r="K228" s="21">
        <v>0</v>
      </c>
      <c r="N228">
        <v>2018</v>
      </c>
      <c r="O228">
        <v>2019</v>
      </c>
      <c r="P228">
        <v>2019</v>
      </c>
      <c r="Q228">
        <v>2021</v>
      </c>
      <c r="R228">
        <f t="shared" si="160"/>
        <v>0</v>
      </c>
      <c r="S228">
        <f t="shared" si="161"/>
        <v>1</v>
      </c>
      <c r="T228">
        <f t="shared" si="162"/>
        <v>2</v>
      </c>
      <c r="U228" s="6">
        <f t="shared" si="163"/>
        <v>3</v>
      </c>
      <c r="V228" s="6"/>
      <c r="Y228" s="19"/>
      <c r="Z228" s="19">
        <v>0.1</v>
      </c>
      <c r="AA228" s="19">
        <v>0.9</v>
      </c>
      <c r="AB228" s="2">
        <f t="shared" si="164"/>
        <v>1</v>
      </c>
      <c r="AE228" s="2" t="str">
        <f t="shared" si="129"/>
        <v/>
      </c>
      <c r="AF228" s="3"/>
      <c r="AG228" s="2" t="str">
        <f t="shared" si="124"/>
        <v/>
      </c>
      <c r="AI228" s="1" t="str">
        <f t="shared" si="125"/>
        <v/>
      </c>
      <c r="AJ228">
        <v>0</v>
      </c>
      <c r="AK228">
        <v>0</v>
      </c>
      <c r="AL228">
        <f t="shared" si="126"/>
        <v>0</v>
      </c>
      <c r="AM228">
        <f t="shared" si="127"/>
        <v>0</v>
      </c>
      <c r="AN228">
        <f t="shared" si="128"/>
        <v>1</v>
      </c>
      <c r="AO228">
        <f t="shared" si="130"/>
        <v>-1</v>
      </c>
      <c r="AP228" s="1">
        <f t="shared" si="131"/>
        <v>1</v>
      </c>
      <c r="AQ228">
        <f t="shared" si="138"/>
        <v>-2</v>
      </c>
      <c r="AR228">
        <f t="shared" si="139"/>
        <v>0</v>
      </c>
      <c r="AS228">
        <f t="shared" si="140"/>
        <v>0</v>
      </c>
      <c r="AT228" t="str">
        <f t="shared" si="166"/>
        <v>klein</v>
      </c>
    </row>
    <row r="229" spans="1:46" customFormat="1" x14ac:dyDescent="0.25">
      <c r="A229" s="14">
        <v>39</v>
      </c>
      <c r="B229">
        <v>17</v>
      </c>
      <c r="G229" s="3"/>
      <c r="H229" s="21"/>
      <c r="J229" s="21"/>
      <c r="K229" s="21"/>
      <c r="Y229" s="19"/>
      <c r="Z229" s="19"/>
      <c r="AA229" s="19"/>
      <c r="AE229" s="2" t="str">
        <f t="shared" si="129"/>
        <v/>
      </c>
      <c r="AF229" s="3"/>
      <c r="AG229" s="2" t="str">
        <f t="shared" si="124"/>
        <v/>
      </c>
      <c r="AI229" s="1" t="str">
        <f t="shared" si="125"/>
        <v/>
      </c>
      <c r="AJ229">
        <v>0</v>
      </c>
      <c r="AK229">
        <v>0</v>
      </c>
      <c r="AL229">
        <f t="shared" si="126"/>
        <v>0</v>
      </c>
      <c r="AM229">
        <f t="shared" si="127"/>
        <v>0</v>
      </c>
      <c r="AN229">
        <f t="shared" si="128"/>
        <v>0</v>
      </c>
      <c r="AP229" s="1"/>
      <c r="AS229">
        <f t="shared" si="140"/>
        <v>0</v>
      </c>
    </row>
    <row r="230" spans="1:46" customFormat="1" x14ac:dyDescent="0.25">
      <c r="A230" s="14">
        <v>40</v>
      </c>
      <c r="B230">
        <v>22</v>
      </c>
      <c r="C230">
        <v>41</v>
      </c>
      <c r="D230" t="s">
        <v>267</v>
      </c>
      <c r="E230" t="s">
        <v>86</v>
      </c>
      <c r="F230" t="s">
        <v>268</v>
      </c>
      <c r="G230" s="3">
        <v>1284</v>
      </c>
      <c r="H230" s="21"/>
      <c r="J230" s="21">
        <v>0</v>
      </c>
      <c r="K230" s="21">
        <v>0</v>
      </c>
      <c r="L230">
        <v>2019</v>
      </c>
      <c r="M230">
        <v>2020</v>
      </c>
      <c r="N230">
        <v>2020</v>
      </c>
      <c r="O230">
        <v>2022</v>
      </c>
      <c r="P230">
        <v>2022</v>
      </c>
      <c r="Q230">
        <v>2025</v>
      </c>
      <c r="R230">
        <f t="shared" ref="R230:R233" si="167">M230-L230</f>
        <v>1</v>
      </c>
      <c r="S230">
        <f t="shared" ref="S230:S233" si="168">O230-N230</f>
        <v>2</v>
      </c>
      <c r="T230">
        <f t="shared" ref="T230:T233" si="169">Q230-P230</f>
        <v>3</v>
      </c>
      <c r="U230" s="6">
        <f t="shared" ref="U230:U233" si="170">SUM(R230:T230)</f>
        <v>6</v>
      </c>
      <c r="V230" s="6">
        <f>U230-U231</f>
        <v>2</v>
      </c>
      <c r="X230" s="2"/>
      <c r="Y230" s="19">
        <f>2/0.9</f>
        <v>2.2222222222222223</v>
      </c>
      <c r="Z230" s="19">
        <f>2.75/0.9</f>
        <v>3.0555555555555554</v>
      </c>
      <c r="AA230" s="19">
        <f>6.1/0.9</f>
        <v>6.7777777777777768</v>
      </c>
      <c r="AB230" s="2">
        <f t="shared" si="164"/>
        <v>12.055555555555554</v>
      </c>
      <c r="AC230" s="2">
        <f t="shared" ref="AC230:AC232" si="171">AB230-AB231</f>
        <v>5.6555555555555532</v>
      </c>
      <c r="AE230" s="2" t="str">
        <f t="shared" si="129"/>
        <v/>
      </c>
      <c r="AF230" s="3"/>
      <c r="AG230" s="2" t="str">
        <f t="shared" si="124"/>
        <v/>
      </c>
      <c r="AH230" s="29">
        <f>((AB230)/(G230/1000))-((AB233)/(G233/1000))</f>
        <v>5.6126269138381941</v>
      </c>
      <c r="AI230" s="1" t="str">
        <f t="shared" si="125"/>
        <v/>
      </c>
      <c r="AJ230">
        <v>0</v>
      </c>
      <c r="AK230" s="6">
        <f>IF(AB230&gt;64.2061111111111,1,0)</f>
        <v>0</v>
      </c>
      <c r="AL230">
        <f t="shared" si="126"/>
        <v>0</v>
      </c>
      <c r="AM230">
        <f t="shared" si="127"/>
        <v>1</v>
      </c>
      <c r="AN230">
        <f t="shared" si="128"/>
        <v>0</v>
      </c>
      <c r="AO230">
        <f t="shared" si="130"/>
        <v>2</v>
      </c>
      <c r="AP230" s="1">
        <f t="shared" si="131"/>
        <v>9.3890619591554145</v>
      </c>
      <c r="AQ230">
        <f t="shared" si="138"/>
        <v>0</v>
      </c>
      <c r="AR230">
        <f t="shared" si="139"/>
        <v>0</v>
      </c>
      <c r="AS230">
        <f t="shared" si="140"/>
        <v>1</v>
      </c>
      <c r="AT230" t="str">
        <f t="shared" ref="AT230:AT233" si="172">IF(AK230=1,"groot","klein")</f>
        <v>klein</v>
      </c>
    </row>
    <row r="231" spans="1:46" customFormat="1" x14ac:dyDescent="0.25">
      <c r="A231" s="14">
        <v>40</v>
      </c>
      <c r="B231">
        <v>21</v>
      </c>
      <c r="C231">
        <v>41</v>
      </c>
      <c r="D231" t="s">
        <v>267</v>
      </c>
      <c r="E231" t="s">
        <v>86</v>
      </c>
      <c r="F231" t="s">
        <v>268</v>
      </c>
      <c r="G231" s="3">
        <v>1284</v>
      </c>
      <c r="H231" s="21"/>
      <c r="I231" t="s">
        <v>95</v>
      </c>
      <c r="J231" s="21">
        <v>0</v>
      </c>
      <c r="K231" s="21">
        <v>0</v>
      </c>
      <c r="L231">
        <v>2019</v>
      </c>
      <c r="M231">
        <v>2020</v>
      </c>
      <c r="N231">
        <v>2020</v>
      </c>
      <c r="O231">
        <v>2022</v>
      </c>
      <c r="P231">
        <v>2022</v>
      </c>
      <c r="Q231">
        <v>2023</v>
      </c>
      <c r="R231">
        <f t="shared" si="167"/>
        <v>1</v>
      </c>
      <c r="S231">
        <f t="shared" si="168"/>
        <v>2</v>
      </c>
      <c r="T231">
        <f t="shared" si="169"/>
        <v>1</v>
      </c>
      <c r="U231" s="6">
        <f t="shared" si="170"/>
        <v>4</v>
      </c>
      <c r="V231" s="6">
        <f>U231-U232</f>
        <v>0</v>
      </c>
      <c r="W231" s="2"/>
      <c r="Y231" s="19">
        <v>2.2999999999999998</v>
      </c>
      <c r="Z231" s="19">
        <v>0.5</v>
      </c>
      <c r="AA231" s="19">
        <v>3.6</v>
      </c>
      <c r="AB231" s="2">
        <f t="shared" si="164"/>
        <v>6.4</v>
      </c>
      <c r="AC231" s="2">
        <f t="shared" si="171"/>
        <v>1.3000000000000007</v>
      </c>
      <c r="AD231" s="2"/>
      <c r="AE231" s="2" t="str">
        <f t="shared" si="129"/>
        <v/>
      </c>
      <c r="AF231" s="3">
        <f>G231-G234</f>
        <v>1284</v>
      </c>
      <c r="AG231" s="2" t="str">
        <f t="shared" si="124"/>
        <v/>
      </c>
      <c r="AI231" s="1" t="str">
        <f t="shared" si="125"/>
        <v/>
      </c>
      <c r="AJ231">
        <v>0</v>
      </c>
      <c r="AK231">
        <v>0</v>
      </c>
      <c r="AL231">
        <f t="shared" si="126"/>
        <v>0</v>
      </c>
      <c r="AM231">
        <f t="shared" si="127"/>
        <v>1</v>
      </c>
      <c r="AN231">
        <f t="shared" si="128"/>
        <v>0</v>
      </c>
      <c r="AO231">
        <f t="shared" si="130"/>
        <v>2</v>
      </c>
      <c r="AP231" s="1">
        <f t="shared" si="131"/>
        <v>4.9844236760124616</v>
      </c>
      <c r="AQ231">
        <f t="shared" si="138"/>
        <v>0</v>
      </c>
      <c r="AR231">
        <f t="shared" si="139"/>
        <v>0</v>
      </c>
      <c r="AS231">
        <f t="shared" si="140"/>
        <v>1</v>
      </c>
      <c r="AT231" t="str">
        <f t="shared" si="172"/>
        <v>klein</v>
      </c>
    </row>
    <row r="232" spans="1:46" customFormat="1" x14ac:dyDescent="0.25">
      <c r="A232" s="14">
        <v>40</v>
      </c>
      <c r="B232">
        <v>20</v>
      </c>
      <c r="C232">
        <v>84</v>
      </c>
      <c r="D232" t="s">
        <v>267</v>
      </c>
      <c r="E232" t="s">
        <v>86</v>
      </c>
      <c r="F232" t="s">
        <v>269</v>
      </c>
      <c r="G232" s="3">
        <v>1217</v>
      </c>
      <c r="H232" s="21"/>
      <c r="I232" t="s">
        <v>95</v>
      </c>
      <c r="J232" s="21">
        <v>0</v>
      </c>
      <c r="K232" s="21">
        <v>0</v>
      </c>
      <c r="L232">
        <v>2019</v>
      </c>
      <c r="M232">
        <v>2020</v>
      </c>
      <c r="N232">
        <v>2020</v>
      </c>
      <c r="O232">
        <v>2021</v>
      </c>
      <c r="P232">
        <v>2021</v>
      </c>
      <c r="Q232">
        <v>2023</v>
      </c>
      <c r="R232">
        <f t="shared" si="167"/>
        <v>1</v>
      </c>
      <c r="S232">
        <f t="shared" si="168"/>
        <v>1</v>
      </c>
      <c r="T232">
        <f t="shared" si="169"/>
        <v>2</v>
      </c>
      <c r="U232" s="6">
        <f t="shared" si="170"/>
        <v>4</v>
      </c>
      <c r="V232" s="6">
        <f>U232-U233</f>
        <v>1</v>
      </c>
      <c r="Y232" s="19">
        <v>2.2999999999999998</v>
      </c>
      <c r="Z232" s="19">
        <v>0.5</v>
      </c>
      <c r="AA232" s="19">
        <v>2.2999999999999998</v>
      </c>
      <c r="AB232" s="2">
        <f t="shared" si="164"/>
        <v>5.0999999999999996</v>
      </c>
      <c r="AC232" s="2">
        <f t="shared" si="171"/>
        <v>9.9999999999999645E-2</v>
      </c>
      <c r="AE232" s="2" t="str">
        <f>IF(ISNUMBER(X232),AC232-#REF!,"")</f>
        <v/>
      </c>
      <c r="AF232" s="3"/>
      <c r="AG232" s="2" t="str">
        <f>IF(ISNUMBER(X232),G232-#REF!,"")</f>
        <v/>
      </c>
      <c r="AI232" s="1" t="str">
        <f>IF(ISNUMBER(X232),((AB232)/(G232/1000))-((#REF!)/(G235/1000)),"")</f>
        <v/>
      </c>
      <c r="AJ232">
        <v>0</v>
      </c>
      <c r="AK232">
        <v>0</v>
      </c>
      <c r="AL232">
        <f t="shared" si="126"/>
        <v>0</v>
      </c>
      <c r="AM232">
        <f t="shared" si="127"/>
        <v>1</v>
      </c>
      <c r="AN232">
        <f t="shared" si="128"/>
        <v>0</v>
      </c>
      <c r="AO232">
        <f t="shared" si="130"/>
        <v>1</v>
      </c>
      <c r="AP232" s="1">
        <f t="shared" si="131"/>
        <v>4.190632703368939</v>
      </c>
      <c r="AQ232">
        <f t="shared" si="138"/>
        <v>0</v>
      </c>
      <c r="AR232">
        <f t="shared" si="139"/>
        <v>0</v>
      </c>
      <c r="AS232">
        <f t="shared" si="140"/>
        <v>1</v>
      </c>
      <c r="AT232" t="str">
        <f t="shared" si="172"/>
        <v>klein</v>
      </c>
    </row>
    <row r="233" spans="1:46" customFormat="1" x14ac:dyDescent="0.25">
      <c r="A233" s="14">
        <v>40</v>
      </c>
      <c r="B233">
        <v>19</v>
      </c>
      <c r="C233">
        <v>57</v>
      </c>
      <c r="D233" t="s">
        <v>267</v>
      </c>
      <c r="E233" t="s">
        <v>86</v>
      </c>
      <c r="F233" t="s">
        <v>270</v>
      </c>
      <c r="G233" s="3">
        <v>1324</v>
      </c>
      <c r="H233" s="21"/>
      <c r="I233" t="s">
        <v>129</v>
      </c>
      <c r="J233" s="21">
        <v>0</v>
      </c>
      <c r="K233" s="21">
        <v>0</v>
      </c>
      <c r="L233">
        <v>2019</v>
      </c>
      <c r="M233">
        <v>2020</v>
      </c>
      <c r="N233">
        <v>2020</v>
      </c>
      <c r="O233">
        <v>2021</v>
      </c>
      <c r="P233">
        <v>2021</v>
      </c>
      <c r="Q233">
        <v>2022</v>
      </c>
      <c r="R233">
        <f t="shared" si="167"/>
        <v>1</v>
      </c>
      <c r="S233">
        <f t="shared" si="168"/>
        <v>1</v>
      </c>
      <c r="T233">
        <f t="shared" si="169"/>
        <v>1</v>
      </c>
      <c r="U233" s="6">
        <f t="shared" si="170"/>
        <v>3</v>
      </c>
      <c r="V233" s="6">
        <f>U233-U234</f>
        <v>3</v>
      </c>
      <c r="Y233" s="19">
        <v>0.3</v>
      </c>
      <c r="Z233" s="19">
        <v>0.5</v>
      </c>
      <c r="AA233" s="19">
        <v>4.2</v>
      </c>
      <c r="AB233" s="2">
        <f t="shared" si="164"/>
        <v>5</v>
      </c>
      <c r="AE233" s="2" t="str">
        <f>IF(ISNUMBER(X233),AC233-#REF!,"")</f>
        <v/>
      </c>
      <c r="AF233" s="3"/>
      <c r="AG233" s="2" t="str">
        <f>IF(ISNUMBER(X233),G233-#REF!,"")</f>
        <v/>
      </c>
      <c r="AI233" s="1" t="str">
        <f>IF(ISNUMBER(X233),((AB233)/(G233/1000))-((#REF!)/(#REF!/1000)),"")</f>
        <v/>
      </c>
      <c r="AJ233">
        <v>0</v>
      </c>
      <c r="AK233">
        <v>0</v>
      </c>
      <c r="AL233">
        <f t="shared" si="126"/>
        <v>0</v>
      </c>
      <c r="AM233">
        <f t="shared" si="127"/>
        <v>1</v>
      </c>
      <c r="AN233">
        <f t="shared" si="128"/>
        <v>0</v>
      </c>
      <c r="AO233">
        <f t="shared" si="130"/>
        <v>1</v>
      </c>
      <c r="AP233" s="1">
        <f t="shared" si="131"/>
        <v>3.7764350453172204</v>
      </c>
      <c r="AQ233">
        <f t="shared" si="138"/>
        <v>0</v>
      </c>
      <c r="AR233">
        <f t="shared" si="139"/>
        <v>0</v>
      </c>
      <c r="AS233">
        <f t="shared" si="140"/>
        <v>1</v>
      </c>
      <c r="AT233" t="str">
        <f t="shared" si="172"/>
        <v>klein</v>
      </c>
    </row>
    <row r="234" spans="1:46" customFormat="1" x14ac:dyDescent="0.25">
      <c r="A234" s="14">
        <v>40</v>
      </c>
      <c r="B234">
        <v>18</v>
      </c>
      <c r="G234" s="3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2"/>
      <c r="AE234" s="2" t="str">
        <f>IF(ISNUMBER(X234),AC234-#REF!,"")</f>
        <v/>
      </c>
      <c r="AF234" s="3"/>
      <c r="AG234" s="2" t="str">
        <f>IF(ISNUMBER(X234),G234-#REF!,"")</f>
        <v/>
      </c>
      <c r="AI234" s="1" t="str">
        <f>IF(ISNUMBER(X234),((AB234)/(G234/1000))-((#REF!)/(#REF!/1000)),"")</f>
        <v/>
      </c>
      <c r="AP234" s="1"/>
    </row>
    <row r="235" spans="1:46" customFormat="1" x14ac:dyDescent="0.25">
      <c r="A235" s="14">
        <v>40</v>
      </c>
      <c r="B235">
        <v>17</v>
      </c>
      <c r="G235" s="3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K235" s="14"/>
      <c r="AP235" s="1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652A-E298-46B7-A0A5-AAEBDCD204AF}">
  <dimension ref="A1:B239"/>
  <sheetViews>
    <sheetView topLeftCell="A212" workbookViewId="0">
      <selection activeCell="B237" sqref="B237"/>
    </sheetView>
  </sheetViews>
  <sheetFormatPr defaultRowHeight="15" x14ac:dyDescent="0.25"/>
  <sheetData>
    <row r="1" spans="1:1" x14ac:dyDescent="0.25">
      <c r="A1" s="14">
        <f>IF('Input data'!B2=22,'Input data'!AB2,"")</f>
        <v>31.888888888888889</v>
      </c>
    </row>
    <row r="2" spans="1:1" x14ac:dyDescent="0.25">
      <c r="A2" s="14" t="str">
        <f>IF('Input data'!B3=22,'Input data'!AB3,"")</f>
        <v/>
      </c>
    </row>
    <row r="3" spans="1:1" x14ac:dyDescent="0.25">
      <c r="A3" s="14" t="str">
        <f>IF('Input data'!B4=22,'Input data'!AB4,"")</f>
        <v/>
      </c>
    </row>
    <row r="4" spans="1:1" x14ac:dyDescent="0.25">
      <c r="A4" s="14" t="str">
        <f>IF('Input data'!B5=22,'Input data'!AB5,"")</f>
        <v/>
      </c>
    </row>
    <row r="5" spans="1:1" x14ac:dyDescent="0.25">
      <c r="A5" s="14" t="str">
        <f>IF('Input data'!B6=22,'Input data'!AB6,"")</f>
        <v/>
      </c>
    </row>
    <row r="6" spans="1:1" x14ac:dyDescent="0.25">
      <c r="A6" s="14" t="str">
        <f>IF('Input data'!B7=22,'Input data'!AB7,"")</f>
        <v/>
      </c>
    </row>
    <row r="7" spans="1:1" x14ac:dyDescent="0.25">
      <c r="A7" s="14">
        <f>IF('Input data'!B8=22,'Input data'!AB8,"")</f>
        <v>58.5</v>
      </c>
    </row>
    <row r="8" spans="1:1" x14ac:dyDescent="0.25">
      <c r="A8" s="14" t="str">
        <f>IF('Input data'!B9=22,'Input data'!AB9,"")</f>
        <v/>
      </c>
    </row>
    <row r="9" spans="1:1" x14ac:dyDescent="0.25">
      <c r="A9" s="14" t="str">
        <f>IF('Input data'!B10=22,'Input data'!AB10,"")</f>
        <v/>
      </c>
    </row>
    <row r="10" spans="1:1" x14ac:dyDescent="0.25">
      <c r="A10" s="14" t="str">
        <f>IF('Input data'!B11=22,'Input data'!AB11,"")</f>
        <v/>
      </c>
    </row>
    <row r="11" spans="1:1" x14ac:dyDescent="0.25">
      <c r="A11" s="14" t="str">
        <f>IF('Input data'!B12=22,'Input data'!AB12,"")</f>
        <v/>
      </c>
    </row>
    <row r="12" spans="1:1" x14ac:dyDescent="0.25">
      <c r="A12" s="14" t="str">
        <f>IF('Input data'!B13=22,'Input data'!AB13,"")</f>
        <v/>
      </c>
    </row>
    <row r="13" spans="1:1" x14ac:dyDescent="0.25">
      <c r="A13" s="14">
        <f>IF('Input data'!B14=22,'Input data'!AB14,"")</f>
        <v>212.55555555555554</v>
      </c>
    </row>
    <row r="14" spans="1:1" x14ac:dyDescent="0.25">
      <c r="A14" s="14" t="str">
        <f>IF('Input data'!B15=22,'Input data'!AB15,"")</f>
        <v/>
      </c>
    </row>
    <row r="15" spans="1:1" x14ac:dyDescent="0.25">
      <c r="A15" s="14" t="str">
        <f>IF('Input data'!B16=22,'Input data'!AB16,"")</f>
        <v/>
      </c>
    </row>
    <row r="16" spans="1:1" x14ac:dyDescent="0.25">
      <c r="A16" s="14" t="str">
        <f>IF('Input data'!B17=22,'Input data'!AB17,"")</f>
        <v/>
      </c>
    </row>
    <row r="17" spans="1:1" x14ac:dyDescent="0.25">
      <c r="A17" s="14" t="str">
        <f>IF('Input data'!B18=22,'Input data'!AB18,"")</f>
        <v/>
      </c>
    </row>
    <row r="18" spans="1:1" x14ac:dyDescent="0.25">
      <c r="A18" s="14" t="str">
        <f>IF('Input data'!B19=22,'Input data'!AB19,"")</f>
        <v/>
      </c>
    </row>
    <row r="19" spans="1:1" x14ac:dyDescent="0.25">
      <c r="A19" s="14">
        <f>IF('Input data'!B20=22,'Input data'!AB20,"")</f>
        <v>22.444444444444443</v>
      </c>
    </row>
    <row r="20" spans="1:1" x14ac:dyDescent="0.25">
      <c r="A20" s="14" t="str">
        <f>IF('Input data'!B21=22,'Input data'!AB21,"")</f>
        <v/>
      </c>
    </row>
    <row r="21" spans="1:1" x14ac:dyDescent="0.25">
      <c r="A21" s="14" t="str">
        <f>IF('Input data'!B22=22,'Input data'!AB22,"")</f>
        <v/>
      </c>
    </row>
    <row r="22" spans="1:1" x14ac:dyDescent="0.25">
      <c r="A22" s="14" t="str">
        <f>IF('Input data'!B23=22,'Input data'!AB23,"")</f>
        <v/>
      </c>
    </row>
    <row r="23" spans="1:1" x14ac:dyDescent="0.25">
      <c r="A23" s="14" t="str">
        <f>IF('Input data'!B24=22,'Input data'!AB24,"")</f>
        <v/>
      </c>
    </row>
    <row r="24" spans="1:1" x14ac:dyDescent="0.25">
      <c r="A24" s="14" t="str">
        <f>IF('Input data'!B25=22,'Input data'!AB25,"")</f>
        <v/>
      </c>
    </row>
    <row r="25" spans="1:1" x14ac:dyDescent="0.25">
      <c r="A25" s="14">
        <f>IF('Input data'!B26=22,'Input data'!AB26,"")</f>
        <v>217.22222222222223</v>
      </c>
    </row>
    <row r="26" spans="1:1" x14ac:dyDescent="0.25">
      <c r="A26" s="14" t="str">
        <f>IF('Input data'!B27=22,'Input data'!AB27,"")</f>
        <v/>
      </c>
    </row>
    <row r="27" spans="1:1" x14ac:dyDescent="0.25">
      <c r="A27" s="14" t="str">
        <f>IF('Input data'!B28=22,'Input data'!AB28,"")</f>
        <v/>
      </c>
    </row>
    <row r="28" spans="1:1" x14ac:dyDescent="0.25">
      <c r="A28" s="14" t="str">
        <f>IF('Input data'!B29=22,'Input data'!AB29,"")</f>
        <v/>
      </c>
    </row>
    <row r="29" spans="1:1" x14ac:dyDescent="0.25">
      <c r="A29" s="14" t="str">
        <f>IF('Input data'!B30=22,'Input data'!AB30,"")</f>
        <v/>
      </c>
    </row>
    <row r="30" spans="1:1" x14ac:dyDescent="0.25">
      <c r="A30" s="14" t="str">
        <f>IF('Input data'!B31=22,'Input data'!AB31,"")</f>
        <v/>
      </c>
    </row>
    <row r="31" spans="1:1" x14ac:dyDescent="0.25">
      <c r="A31" s="14">
        <f>IF('Input data'!B32=22,'Input data'!AB32,"")</f>
        <v>40.623333333333335</v>
      </c>
    </row>
    <row r="32" spans="1:1" x14ac:dyDescent="0.25">
      <c r="A32" s="14" t="str">
        <f>IF('Input data'!B33=22,'Input data'!AB33,"")</f>
        <v/>
      </c>
    </row>
    <row r="33" spans="1:1" x14ac:dyDescent="0.25">
      <c r="A33" s="14" t="str">
        <f>IF('Input data'!B34=22,'Input data'!AB34,"")</f>
        <v/>
      </c>
    </row>
    <row r="34" spans="1:1" x14ac:dyDescent="0.25">
      <c r="A34" s="14" t="str">
        <f>IF('Input data'!B35=22,'Input data'!AB35,"")</f>
        <v/>
      </c>
    </row>
    <row r="35" spans="1:1" x14ac:dyDescent="0.25">
      <c r="A35" s="14" t="str">
        <f>IF('Input data'!B36=22,'Input data'!AB36,"")</f>
        <v/>
      </c>
    </row>
    <row r="36" spans="1:1" x14ac:dyDescent="0.25">
      <c r="A36" s="14" t="str">
        <f>IF('Input data'!B37=22,'Input data'!AB37,"")</f>
        <v/>
      </c>
    </row>
    <row r="37" spans="1:1" x14ac:dyDescent="0.25">
      <c r="A37" s="14">
        <f>IF('Input data'!B38=22,'Input data'!AB38,"")</f>
        <v>40.55555555555555</v>
      </c>
    </row>
    <row r="38" spans="1:1" x14ac:dyDescent="0.25">
      <c r="A38" s="14" t="str">
        <f>IF('Input data'!B39=22,'Input data'!AB39,"")</f>
        <v/>
      </c>
    </row>
    <row r="39" spans="1:1" x14ac:dyDescent="0.25">
      <c r="A39" s="14" t="str">
        <f>IF('Input data'!B40=22,'Input data'!AB40,"")</f>
        <v/>
      </c>
    </row>
    <row r="40" spans="1:1" x14ac:dyDescent="0.25">
      <c r="A40" s="14" t="str">
        <f>IF('Input data'!B41=22,'Input data'!AB41,"")</f>
        <v/>
      </c>
    </row>
    <row r="41" spans="1:1" x14ac:dyDescent="0.25">
      <c r="A41" s="14" t="str">
        <f>IF('Input data'!B42=22,'Input data'!AB42,"")</f>
        <v/>
      </c>
    </row>
    <row r="42" spans="1:1" x14ac:dyDescent="0.25">
      <c r="A42" s="14" t="str">
        <f>IF('Input data'!B43=22,'Input data'!AB43,"")</f>
        <v/>
      </c>
    </row>
    <row r="43" spans="1:1" x14ac:dyDescent="0.25">
      <c r="A43" s="14">
        <f>IF('Input data'!B44=22,'Input data'!AB44,"")</f>
        <v>139.22222222222223</v>
      </c>
    </row>
    <row r="44" spans="1:1" x14ac:dyDescent="0.25">
      <c r="A44" s="14" t="str">
        <f>IF('Input data'!B45=22,'Input data'!AB45,"")</f>
        <v/>
      </c>
    </row>
    <row r="45" spans="1:1" x14ac:dyDescent="0.25">
      <c r="A45" s="14" t="str">
        <f>IF('Input data'!B46=22,'Input data'!AB46,"")</f>
        <v/>
      </c>
    </row>
    <row r="46" spans="1:1" x14ac:dyDescent="0.25">
      <c r="A46" s="14" t="str">
        <f>IF('Input data'!B47=22,'Input data'!AB47,"")</f>
        <v/>
      </c>
    </row>
    <row r="47" spans="1:1" x14ac:dyDescent="0.25">
      <c r="A47" s="14" t="str">
        <f>IF('Input data'!B48=22,'Input data'!AB48,"")</f>
        <v/>
      </c>
    </row>
    <row r="48" spans="1:1" x14ac:dyDescent="0.25">
      <c r="A48" s="14" t="str">
        <f>IF('Input data'!B49=22,'Input data'!AB49,"")</f>
        <v/>
      </c>
    </row>
    <row r="49" spans="1:1" x14ac:dyDescent="0.25">
      <c r="A49" s="14">
        <f>IF('Input data'!B50=22,'Input data'!AB50,"")</f>
        <v>222</v>
      </c>
    </row>
    <row r="50" spans="1:1" x14ac:dyDescent="0.25">
      <c r="A50" s="14" t="str">
        <f>IF('Input data'!B51=22,'Input data'!AB51,"")</f>
        <v/>
      </c>
    </row>
    <row r="51" spans="1:1" x14ac:dyDescent="0.25">
      <c r="A51" s="14" t="str">
        <f>IF('Input data'!B52=22,'Input data'!AB52,"")</f>
        <v/>
      </c>
    </row>
    <row r="52" spans="1:1" x14ac:dyDescent="0.25">
      <c r="A52" s="14" t="str">
        <f>IF('Input data'!B53=22,'Input data'!AB53,"")</f>
        <v/>
      </c>
    </row>
    <row r="53" spans="1:1" x14ac:dyDescent="0.25">
      <c r="A53" s="14" t="str">
        <f>IF('Input data'!B54=22,'Input data'!AB54,"")</f>
        <v/>
      </c>
    </row>
    <row r="54" spans="1:1" x14ac:dyDescent="0.25">
      <c r="A54" s="14" t="str">
        <f>IF('Input data'!B55=22,'Input data'!AB55,"")</f>
        <v/>
      </c>
    </row>
    <row r="55" spans="1:1" x14ac:dyDescent="0.25">
      <c r="A55" s="14">
        <f>IF('Input data'!B56=22,'Input data'!AB56,"")</f>
        <v>262</v>
      </c>
    </row>
    <row r="56" spans="1:1" x14ac:dyDescent="0.25">
      <c r="A56" s="14" t="str">
        <f>IF('Input data'!B57=22,'Input data'!AB57,"")</f>
        <v/>
      </c>
    </row>
    <row r="57" spans="1:1" x14ac:dyDescent="0.25">
      <c r="A57" s="14" t="str">
        <f>IF('Input data'!B58=22,'Input data'!AB58,"")</f>
        <v/>
      </c>
    </row>
    <row r="58" spans="1:1" x14ac:dyDescent="0.25">
      <c r="A58" s="14" t="str">
        <f>IF('Input data'!B59=22,'Input data'!AB59,"")</f>
        <v/>
      </c>
    </row>
    <row r="59" spans="1:1" x14ac:dyDescent="0.25">
      <c r="A59" s="14" t="str">
        <f>IF('Input data'!B60=22,'Input data'!AB60,"")</f>
        <v/>
      </c>
    </row>
    <row r="60" spans="1:1" x14ac:dyDescent="0.25">
      <c r="A60" s="14" t="str">
        <f>IF('Input data'!B61=22,'Input data'!AB61,"")</f>
        <v/>
      </c>
    </row>
    <row r="61" spans="1:1" x14ac:dyDescent="0.25">
      <c r="A61" s="14">
        <f>IF('Input data'!B62=22,'Input data'!AB62,"")</f>
        <v>116.66666666666666</v>
      </c>
    </row>
    <row r="62" spans="1:1" x14ac:dyDescent="0.25">
      <c r="A62" s="14" t="str">
        <f>IF('Input data'!B63=22,'Input data'!AB63,"")</f>
        <v/>
      </c>
    </row>
    <row r="63" spans="1:1" x14ac:dyDescent="0.25">
      <c r="A63" s="14" t="str">
        <f>IF('Input data'!B64=22,'Input data'!AB64,"")</f>
        <v/>
      </c>
    </row>
    <row r="64" spans="1:1" x14ac:dyDescent="0.25">
      <c r="A64" s="14" t="str">
        <f>IF('Input data'!B65=22,'Input data'!AB65,"")</f>
        <v/>
      </c>
    </row>
    <row r="65" spans="1:1" x14ac:dyDescent="0.25">
      <c r="A65" s="14" t="str">
        <f>IF('Input data'!B66=22,'Input data'!AB66,"")</f>
        <v/>
      </c>
    </row>
    <row r="66" spans="1:1" x14ac:dyDescent="0.25">
      <c r="A66" s="14" t="str">
        <f>IF('Input data'!B67=22,'Input data'!AB67,"")</f>
        <v/>
      </c>
    </row>
    <row r="67" spans="1:1" x14ac:dyDescent="0.25">
      <c r="A67" s="14">
        <f>IF('Input data'!B68=22,'Input data'!AB68,"")</f>
        <v>65.888888888888886</v>
      </c>
    </row>
    <row r="68" spans="1:1" x14ac:dyDescent="0.25">
      <c r="A68" s="14" t="str">
        <f>IF('Input data'!B69=22,'Input data'!AB69,"")</f>
        <v/>
      </c>
    </row>
    <row r="69" spans="1:1" x14ac:dyDescent="0.25">
      <c r="A69" s="14" t="str">
        <f>IF('Input data'!B70=22,'Input data'!AB70,"")</f>
        <v/>
      </c>
    </row>
    <row r="70" spans="1:1" x14ac:dyDescent="0.25">
      <c r="A70" s="14" t="str">
        <f>IF('Input data'!B71=22,'Input data'!AB71,"")</f>
        <v/>
      </c>
    </row>
    <row r="71" spans="1:1" x14ac:dyDescent="0.25">
      <c r="A71" s="14" t="str">
        <f>IF('Input data'!B72=22,'Input data'!AB72,"")</f>
        <v/>
      </c>
    </row>
    <row r="72" spans="1:1" x14ac:dyDescent="0.25">
      <c r="A72" s="14" t="str">
        <f>IF('Input data'!B73=22,'Input data'!AB73,"")</f>
        <v/>
      </c>
    </row>
    <row r="73" spans="1:1" x14ac:dyDescent="0.25">
      <c r="A73" s="14">
        <f>IF('Input data'!B74=22,'Input data'!AB74,"")</f>
        <v>64.111111111111114</v>
      </c>
    </row>
    <row r="74" spans="1:1" x14ac:dyDescent="0.25">
      <c r="A74" s="14" t="str">
        <f>IF('Input data'!B75=22,'Input data'!AB75,"")</f>
        <v/>
      </c>
    </row>
    <row r="75" spans="1:1" x14ac:dyDescent="0.25">
      <c r="A75" s="14" t="str">
        <f>IF('Input data'!B76=22,'Input data'!AB76,"")</f>
        <v/>
      </c>
    </row>
    <row r="76" spans="1:1" x14ac:dyDescent="0.25">
      <c r="A76" s="14" t="str">
        <f>IF('Input data'!B77=22,'Input data'!AB77,"")</f>
        <v/>
      </c>
    </row>
    <row r="77" spans="1:1" x14ac:dyDescent="0.25">
      <c r="A77" s="14" t="str">
        <f>IF('Input data'!B78=22,'Input data'!AB78,"")</f>
        <v/>
      </c>
    </row>
    <row r="78" spans="1:1" x14ac:dyDescent="0.25">
      <c r="A78" s="14" t="str">
        <f>IF('Input data'!B79=22,'Input data'!AB79,"")</f>
        <v/>
      </c>
    </row>
    <row r="79" spans="1:1" x14ac:dyDescent="0.25">
      <c r="A79" s="14">
        <f>IF('Input data'!B80=22,'Input data'!AB80,"")</f>
        <v>8.6188888888888897</v>
      </c>
    </row>
    <row r="80" spans="1:1" x14ac:dyDescent="0.25">
      <c r="A80" s="14" t="str">
        <f>IF('Input data'!B81=22,'Input data'!AB81,"")</f>
        <v/>
      </c>
    </row>
    <row r="81" spans="1:1" x14ac:dyDescent="0.25">
      <c r="A81" s="14" t="str">
        <f>IF('Input data'!B82=22,'Input data'!AB82,"")</f>
        <v/>
      </c>
    </row>
    <row r="82" spans="1:1" x14ac:dyDescent="0.25">
      <c r="A82" s="14" t="str">
        <f>IF('Input data'!B83=22,'Input data'!AB83,"")</f>
        <v/>
      </c>
    </row>
    <row r="83" spans="1:1" x14ac:dyDescent="0.25">
      <c r="A83" s="14" t="str">
        <f>IF('Input data'!B84=22,'Input data'!AB84,"")</f>
        <v/>
      </c>
    </row>
    <row r="84" spans="1:1" x14ac:dyDescent="0.25">
      <c r="A84" s="14" t="str">
        <f>IF('Input data'!B85=22,'Input data'!AB85,"")</f>
        <v/>
      </c>
    </row>
    <row r="85" spans="1:1" x14ac:dyDescent="0.25">
      <c r="A85" s="14">
        <f>IF('Input data'!B86=22,'Input data'!AB86,"")</f>
        <v>22.977777777777778</v>
      </c>
    </row>
    <row r="86" spans="1:1" x14ac:dyDescent="0.25">
      <c r="A86" s="14" t="str">
        <f>IF('Input data'!B87=22,'Input data'!AB87,"")</f>
        <v/>
      </c>
    </row>
    <row r="87" spans="1:1" x14ac:dyDescent="0.25">
      <c r="A87" s="14" t="str">
        <f>IF('Input data'!B88=22,'Input data'!AB88,"")</f>
        <v/>
      </c>
    </row>
    <row r="88" spans="1:1" x14ac:dyDescent="0.25">
      <c r="A88" s="14" t="str">
        <f>IF('Input data'!B89=22,'Input data'!AB89,"")</f>
        <v/>
      </c>
    </row>
    <row r="89" spans="1:1" x14ac:dyDescent="0.25">
      <c r="A89" s="14" t="str">
        <f>IF('Input data'!B90=22,'Input data'!AB90,"")</f>
        <v/>
      </c>
    </row>
    <row r="90" spans="1:1" x14ac:dyDescent="0.25">
      <c r="A90" s="14" t="str">
        <f>IF('Input data'!B91=22,'Input data'!AB91,"")</f>
        <v/>
      </c>
    </row>
    <row r="91" spans="1:1" x14ac:dyDescent="0.25">
      <c r="A91" s="14">
        <f>IF('Input data'!B92=22,'Input data'!AB92,"")</f>
        <v>61.211111111111109</v>
      </c>
    </row>
    <row r="92" spans="1:1" x14ac:dyDescent="0.25">
      <c r="A92" s="14" t="str">
        <f>IF('Input data'!B93=22,'Input data'!AB93,"")</f>
        <v/>
      </c>
    </row>
    <row r="93" spans="1:1" x14ac:dyDescent="0.25">
      <c r="A93" s="14" t="str">
        <f>IF('Input data'!B94=22,'Input data'!AB94,"")</f>
        <v/>
      </c>
    </row>
    <row r="94" spans="1:1" x14ac:dyDescent="0.25">
      <c r="A94" s="14" t="str">
        <f>IF('Input data'!B95=22,'Input data'!AB95,"")</f>
        <v/>
      </c>
    </row>
    <row r="95" spans="1:1" x14ac:dyDescent="0.25">
      <c r="A95" s="14" t="str">
        <f>IF('Input data'!B96=22,'Input data'!AB96,"")</f>
        <v/>
      </c>
    </row>
    <row r="96" spans="1:1" x14ac:dyDescent="0.25">
      <c r="A96" s="14" t="str">
        <f>IF('Input data'!B97=22,'Input data'!AB97,"")</f>
        <v/>
      </c>
    </row>
    <row r="97" spans="1:1" x14ac:dyDescent="0.25">
      <c r="A97" s="14">
        <f>IF('Input data'!B98=22,'Input data'!AB98,"")</f>
        <v>105.44444444444444</v>
      </c>
    </row>
    <row r="98" spans="1:1" x14ac:dyDescent="0.25">
      <c r="A98" s="14" t="str">
        <f>IF('Input data'!B99=22,'Input data'!AB99,"")</f>
        <v/>
      </c>
    </row>
    <row r="99" spans="1:1" x14ac:dyDescent="0.25">
      <c r="A99" s="14" t="str">
        <f>IF('Input data'!B100=22,'Input data'!AB100,"")</f>
        <v/>
      </c>
    </row>
    <row r="100" spans="1:1" x14ac:dyDescent="0.25">
      <c r="A100" s="14" t="str">
        <f>IF('Input data'!B101=22,'Input data'!AB101,"")</f>
        <v/>
      </c>
    </row>
    <row r="101" spans="1:1" x14ac:dyDescent="0.25">
      <c r="A101" s="14" t="str">
        <f>IF('Input data'!B102=22,'Input data'!AB102,"")</f>
        <v/>
      </c>
    </row>
    <row r="102" spans="1:1" x14ac:dyDescent="0.25">
      <c r="A102" s="14" t="str">
        <f>IF('Input data'!B103=22,'Input data'!AB103,"")</f>
        <v/>
      </c>
    </row>
    <row r="103" spans="1:1" x14ac:dyDescent="0.25">
      <c r="A103" s="14">
        <f>IF('Input data'!B104=22,'Input data'!AB104,"")</f>
        <v>75.444444444444443</v>
      </c>
    </row>
    <row r="104" spans="1:1" x14ac:dyDescent="0.25">
      <c r="A104" s="14" t="str">
        <f>IF('Input data'!B105=22,'Input data'!AB105,"")</f>
        <v/>
      </c>
    </row>
    <row r="105" spans="1:1" x14ac:dyDescent="0.25">
      <c r="A105" s="14" t="str">
        <f>IF('Input data'!B106=22,'Input data'!AB106,"")</f>
        <v/>
      </c>
    </row>
    <row r="106" spans="1:1" x14ac:dyDescent="0.25">
      <c r="A106" s="14" t="str">
        <f>IF('Input data'!B107=22,'Input data'!AB107,"")</f>
        <v/>
      </c>
    </row>
    <row r="107" spans="1:1" x14ac:dyDescent="0.25">
      <c r="A107" s="14" t="str">
        <f>IF('Input data'!B108=22,'Input data'!AB108,"")</f>
        <v/>
      </c>
    </row>
    <row r="108" spans="1:1" x14ac:dyDescent="0.25">
      <c r="A108" s="14" t="str">
        <f>IF('Input data'!B109=22,'Input data'!AB109,"")</f>
        <v/>
      </c>
    </row>
    <row r="109" spans="1:1" x14ac:dyDescent="0.25">
      <c r="A109" s="14">
        <f>IF('Input data'!B110=22,'Input data'!AB110,"")</f>
        <v>11.888888888888889</v>
      </c>
    </row>
    <row r="110" spans="1:1" x14ac:dyDescent="0.25">
      <c r="A110" s="14" t="str">
        <f>IF('Input data'!B111=22,'Input data'!AB111,"")</f>
        <v/>
      </c>
    </row>
    <row r="111" spans="1:1" x14ac:dyDescent="0.25">
      <c r="A111" s="14" t="str">
        <f>IF('Input data'!B112=22,'Input data'!AB112,"")</f>
        <v/>
      </c>
    </row>
    <row r="112" spans="1:1" x14ac:dyDescent="0.25">
      <c r="A112" s="14" t="str">
        <f>IF('Input data'!B113=22,'Input data'!AB113,"")</f>
        <v/>
      </c>
    </row>
    <row r="113" spans="1:1" x14ac:dyDescent="0.25">
      <c r="A113" s="14" t="str">
        <f>IF('Input data'!B114=22,'Input data'!AB114,"")</f>
        <v/>
      </c>
    </row>
    <row r="114" spans="1:1" x14ac:dyDescent="0.25">
      <c r="A114" s="14" t="str">
        <f>IF('Input data'!B115=22,'Input data'!AB115,"")</f>
        <v/>
      </c>
    </row>
    <row r="115" spans="1:1" x14ac:dyDescent="0.25">
      <c r="A115" s="14">
        <f>IF('Input data'!B116=22,'Input data'!AB116,"")</f>
        <v>136.22222222222223</v>
      </c>
    </row>
    <row r="116" spans="1:1" x14ac:dyDescent="0.25">
      <c r="A116" s="14" t="str">
        <f>IF('Input data'!B117=22,'Input data'!AB117,"")</f>
        <v/>
      </c>
    </row>
    <row r="117" spans="1:1" x14ac:dyDescent="0.25">
      <c r="A117" s="14" t="str">
        <f>IF('Input data'!B118=22,'Input data'!AB118,"")</f>
        <v/>
      </c>
    </row>
    <row r="118" spans="1:1" x14ac:dyDescent="0.25">
      <c r="A118" s="14" t="str">
        <f>IF('Input data'!B119=22,'Input data'!AB119,"")</f>
        <v/>
      </c>
    </row>
    <row r="119" spans="1:1" x14ac:dyDescent="0.25">
      <c r="A119" s="14" t="str">
        <f>IF('Input data'!B120=22,'Input data'!AB120,"")</f>
        <v/>
      </c>
    </row>
    <row r="120" spans="1:1" x14ac:dyDescent="0.25">
      <c r="A120" s="14" t="str">
        <f>IF('Input data'!B121=22,'Input data'!AB121,"")</f>
        <v/>
      </c>
    </row>
    <row r="121" spans="1:1" x14ac:dyDescent="0.25">
      <c r="A121" s="14">
        <f>IF('Input data'!B122=22,'Input data'!AB122,"")</f>
        <v>15</v>
      </c>
    </row>
    <row r="122" spans="1:1" x14ac:dyDescent="0.25">
      <c r="A122" s="14" t="str">
        <f>IF('Input data'!B123=22,'Input data'!AB123,"")</f>
        <v/>
      </c>
    </row>
    <row r="123" spans="1:1" x14ac:dyDescent="0.25">
      <c r="A123" s="14" t="str">
        <f>IF('Input data'!B124=22,'Input data'!AB124,"")</f>
        <v/>
      </c>
    </row>
    <row r="124" spans="1:1" x14ac:dyDescent="0.25">
      <c r="A124" s="14" t="str">
        <f>IF('Input data'!B125=22,'Input data'!AB125,"")</f>
        <v/>
      </c>
    </row>
    <row r="125" spans="1:1" x14ac:dyDescent="0.25">
      <c r="A125" s="14" t="str">
        <f>IF('Input data'!B126=22,'Input data'!AB126,"")</f>
        <v/>
      </c>
    </row>
    <row r="126" spans="1:1" x14ac:dyDescent="0.25">
      <c r="A126" s="14" t="str">
        <f>IF('Input data'!B127=22,'Input data'!AB127,"")</f>
        <v/>
      </c>
    </row>
    <row r="127" spans="1:1" x14ac:dyDescent="0.25">
      <c r="A127" s="14">
        <f>IF('Input data'!B128=22,'Input data'!AB128,"")</f>
        <v>327</v>
      </c>
    </row>
    <row r="128" spans="1:1" x14ac:dyDescent="0.25">
      <c r="A128" s="14" t="str">
        <f>IF('Input data'!B129=22,'Input data'!AB129,"")</f>
        <v/>
      </c>
    </row>
    <row r="129" spans="1:1" x14ac:dyDescent="0.25">
      <c r="A129" s="14" t="str">
        <f>IF('Input data'!B130=22,'Input data'!AB130,"")</f>
        <v/>
      </c>
    </row>
    <row r="130" spans="1:1" x14ac:dyDescent="0.25">
      <c r="A130" s="14" t="str">
        <f>IF('Input data'!B131=22,'Input data'!AB131,"")</f>
        <v/>
      </c>
    </row>
    <row r="131" spans="1:1" x14ac:dyDescent="0.25">
      <c r="A131" s="14" t="str">
        <f>IF('Input data'!B132=22,'Input data'!AB132,"")</f>
        <v/>
      </c>
    </row>
    <row r="132" spans="1:1" x14ac:dyDescent="0.25">
      <c r="A132" s="14" t="str">
        <f>IF('Input data'!B133=22,'Input data'!AB133,"")</f>
        <v/>
      </c>
    </row>
    <row r="133" spans="1:1" x14ac:dyDescent="0.25">
      <c r="A133" s="14">
        <f>IF('Input data'!B134=22,'Input data'!AB134,"")</f>
        <v>332.55555555555554</v>
      </c>
    </row>
    <row r="134" spans="1:1" x14ac:dyDescent="0.25">
      <c r="A134" s="14" t="str">
        <f>IF('Input data'!B135=22,'Input data'!AB135,"")</f>
        <v/>
      </c>
    </row>
    <row r="135" spans="1:1" x14ac:dyDescent="0.25">
      <c r="A135" s="14" t="str">
        <f>IF('Input data'!B136=22,'Input data'!AB136,"")</f>
        <v/>
      </c>
    </row>
    <row r="136" spans="1:1" x14ac:dyDescent="0.25">
      <c r="A136" s="14" t="str">
        <f>IF('Input data'!B137=22,'Input data'!AB137,"")</f>
        <v/>
      </c>
    </row>
    <row r="137" spans="1:1" x14ac:dyDescent="0.25">
      <c r="A137" s="14" t="str">
        <f>IF('Input data'!B138=22,'Input data'!AB138,"")</f>
        <v/>
      </c>
    </row>
    <row r="138" spans="1:1" x14ac:dyDescent="0.25">
      <c r="A138" s="14" t="str">
        <f>IF('Input data'!B139=22,'Input data'!AB139,"")</f>
        <v/>
      </c>
    </row>
    <row r="139" spans="1:1" x14ac:dyDescent="0.25">
      <c r="A139" s="14">
        <f>IF('Input data'!B140=22,'Input data'!AB140,"")</f>
        <v>6.7</v>
      </c>
    </row>
    <row r="140" spans="1:1" x14ac:dyDescent="0.25">
      <c r="A140" s="14" t="str">
        <f>IF('Input data'!B141=22,'Input data'!AB141,"")</f>
        <v/>
      </c>
    </row>
    <row r="141" spans="1:1" x14ac:dyDescent="0.25">
      <c r="A141" s="14" t="str">
        <f>IF('Input data'!B142=22,'Input data'!AB142,"")</f>
        <v/>
      </c>
    </row>
    <row r="142" spans="1:1" x14ac:dyDescent="0.25">
      <c r="A142" s="14" t="str">
        <f>IF('Input data'!B143=22,'Input data'!AB143,"")</f>
        <v/>
      </c>
    </row>
    <row r="143" spans="1:1" x14ac:dyDescent="0.25">
      <c r="A143" s="14" t="str">
        <f>IF('Input data'!B144=22,'Input data'!AB144,"")</f>
        <v/>
      </c>
    </row>
    <row r="144" spans="1:1" x14ac:dyDescent="0.25">
      <c r="A144" s="14" t="str">
        <f>IF('Input data'!B145=22,'Input data'!AB145,"")</f>
        <v/>
      </c>
    </row>
    <row r="145" spans="1:1" x14ac:dyDescent="0.25">
      <c r="A145" s="14">
        <f>IF('Input data'!B146=22,'Input data'!AB146,"")</f>
        <v>96.777777777777771</v>
      </c>
    </row>
    <row r="146" spans="1:1" x14ac:dyDescent="0.25">
      <c r="A146" s="14" t="str">
        <f>IF('Input data'!B147=22,'Input data'!AB147,"")</f>
        <v/>
      </c>
    </row>
    <row r="147" spans="1:1" x14ac:dyDescent="0.25">
      <c r="A147" s="14" t="str">
        <f>IF('Input data'!B148=22,'Input data'!AB148,"")</f>
        <v/>
      </c>
    </row>
    <row r="148" spans="1:1" x14ac:dyDescent="0.25">
      <c r="A148" s="14" t="str">
        <f>IF('Input data'!B149=22,'Input data'!AB149,"")</f>
        <v/>
      </c>
    </row>
    <row r="149" spans="1:1" x14ac:dyDescent="0.25">
      <c r="A149" s="14" t="str">
        <f>IF('Input data'!B150=22,'Input data'!AB150,"")</f>
        <v/>
      </c>
    </row>
    <row r="150" spans="1:1" x14ac:dyDescent="0.25">
      <c r="A150" s="14" t="str">
        <f>IF('Input data'!B151=22,'Input data'!AB151,"")</f>
        <v/>
      </c>
    </row>
    <row r="151" spans="1:1" x14ac:dyDescent="0.25">
      <c r="A151" s="14">
        <f>IF('Input data'!B152=22,'Input data'!AB152,"")</f>
        <v>37.888888888888886</v>
      </c>
    </row>
    <row r="152" spans="1:1" x14ac:dyDescent="0.25">
      <c r="A152" s="14" t="str">
        <f>IF('Input data'!B153=22,'Input data'!AB153,"")</f>
        <v/>
      </c>
    </row>
    <row r="153" spans="1:1" x14ac:dyDescent="0.25">
      <c r="A153" s="14" t="str">
        <f>IF('Input data'!B154=22,'Input data'!AB154,"")</f>
        <v/>
      </c>
    </row>
    <row r="154" spans="1:1" x14ac:dyDescent="0.25">
      <c r="A154" s="14" t="str">
        <f>IF('Input data'!B155=22,'Input data'!AB155,"")</f>
        <v/>
      </c>
    </row>
    <row r="155" spans="1:1" x14ac:dyDescent="0.25">
      <c r="A155" s="14" t="str">
        <f>IF('Input data'!B156=22,'Input data'!AB156,"")</f>
        <v/>
      </c>
    </row>
    <row r="156" spans="1:1" x14ac:dyDescent="0.25">
      <c r="A156" s="14" t="str">
        <f>IF('Input data'!B157=22,'Input data'!AB157,"")</f>
        <v/>
      </c>
    </row>
    <row r="157" spans="1:1" x14ac:dyDescent="0.25">
      <c r="A157" s="14">
        <f>IF('Input data'!B158=22,'Input data'!AB158,"")</f>
        <v>310.66666666666669</v>
      </c>
    </row>
    <row r="158" spans="1:1" x14ac:dyDescent="0.25">
      <c r="A158" s="14" t="str">
        <f>IF('Input data'!B159=22,'Input data'!AB159,"")</f>
        <v/>
      </c>
    </row>
    <row r="159" spans="1:1" x14ac:dyDescent="0.25">
      <c r="A159" s="14" t="str">
        <f>IF('Input data'!B160=22,'Input data'!AB160,"")</f>
        <v/>
      </c>
    </row>
    <row r="160" spans="1:1" x14ac:dyDescent="0.25">
      <c r="A160" s="14" t="str">
        <f>IF('Input data'!B161=22,'Input data'!AB161,"")</f>
        <v/>
      </c>
    </row>
    <row r="161" spans="1:1" x14ac:dyDescent="0.25">
      <c r="A161" s="14" t="str">
        <f>IF('Input data'!B162=22,'Input data'!AB162,"")</f>
        <v/>
      </c>
    </row>
    <row r="162" spans="1:1" x14ac:dyDescent="0.25">
      <c r="A162" s="14" t="str">
        <f>IF('Input data'!B163=22,'Input data'!AB163,"")</f>
        <v/>
      </c>
    </row>
    <row r="163" spans="1:1" x14ac:dyDescent="0.25">
      <c r="A163" s="14">
        <f>IF('Input data'!B164=22,'Input data'!AB164,"")</f>
        <v>78.633333333333326</v>
      </c>
    </row>
    <row r="164" spans="1:1" x14ac:dyDescent="0.25">
      <c r="A164" s="14" t="str">
        <f>IF('Input data'!B165=22,'Input data'!AB165,"")</f>
        <v/>
      </c>
    </row>
    <row r="165" spans="1:1" x14ac:dyDescent="0.25">
      <c r="A165" s="14" t="str">
        <f>IF('Input data'!B166=22,'Input data'!AB166,"")</f>
        <v/>
      </c>
    </row>
    <row r="166" spans="1:1" x14ac:dyDescent="0.25">
      <c r="A166" s="14" t="str">
        <f>IF('Input data'!B167=22,'Input data'!AB167,"")</f>
        <v/>
      </c>
    </row>
    <row r="167" spans="1:1" x14ac:dyDescent="0.25">
      <c r="A167" s="14" t="str">
        <f>IF('Input data'!B168=22,'Input data'!AB168,"")</f>
        <v/>
      </c>
    </row>
    <row r="168" spans="1:1" x14ac:dyDescent="0.25">
      <c r="A168" s="14" t="str">
        <f>IF('Input data'!B169=22,'Input data'!AB169,"")</f>
        <v/>
      </c>
    </row>
    <row r="169" spans="1:1" x14ac:dyDescent="0.25">
      <c r="A169" s="14">
        <f>IF('Input data'!B170=22,'Input data'!AB170,"")</f>
        <v>21.444444444444443</v>
      </c>
    </row>
    <row r="170" spans="1:1" x14ac:dyDescent="0.25">
      <c r="A170" s="14" t="str">
        <f>IF('Input data'!B171=22,'Input data'!AB171,"")</f>
        <v/>
      </c>
    </row>
    <row r="171" spans="1:1" x14ac:dyDescent="0.25">
      <c r="A171" s="14" t="str">
        <f>IF('Input data'!B172=22,'Input data'!AB172,"")</f>
        <v/>
      </c>
    </row>
    <row r="172" spans="1:1" x14ac:dyDescent="0.25">
      <c r="A172" s="14" t="str">
        <f>IF('Input data'!B173=22,'Input data'!AB173,"")</f>
        <v/>
      </c>
    </row>
    <row r="173" spans="1:1" x14ac:dyDescent="0.25">
      <c r="A173" s="14" t="str">
        <f>IF('Input data'!B174=22,'Input data'!AB174,"")</f>
        <v/>
      </c>
    </row>
    <row r="174" spans="1:1" x14ac:dyDescent="0.25">
      <c r="A174" s="14" t="str">
        <f>IF('Input data'!B175=22,'Input data'!AB175,"")</f>
        <v/>
      </c>
    </row>
    <row r="175" spans="1:1" x14ac:dyDescent="0.25">
      <c r="A175" s="14" t="e">
        <f>IF('Input data'!#REF!=22,'Input data'!#REF!,"")</f>
        <v>#REF!</v>
      </c>
    </row>
    <row r="176" spans="1:1" x14ac:dyDescent="0.25">
      <c r="A176" s="14" t="e">
        <f>IF('Input data'!#REF!=22,'Input data'!#REF!,"")</f>
        <v>#REF!</v>
      </c>
    </row>
    <row r="177" spans="1:1" x14ac:dyDescent="0.25">
      <c r="A177" s="14" t="e">
        <f>IF('Input data'!#REF!=22,'Input data'!#REF!,"")</f>
        <v>#REF!</v>
      </c>
    </row>
    <row r="178" spans="1:1" x14ac:dyDescent="0.25">
      <c r="A178" s="14" t="e">
        <f>IF('Input data'!#REF!=22,'Input data'!#REF!,"")</f>
        <v>#REF!</v>
      </c>
    </row>
    <row r="179" spans="1:1" x14ac:dyDescent="0.25">
      <c r="A179" s="14" t="e">
        <f>IF('Input data'!#REF!=22,'Input data'!#REF!,"")</f>
        <v>#REF!</v>
      </c>
    </row>
    <row r="180" spans="1:1" x14ac:dyDescent="0.25">
      <c r="A180" s="14" t="e">
        <f>IF('Input data'!#REF!=22,'Input data'!#REF!,"")</f>
        <v>#REF!</v>
      </c>
    </row>
    <row r="181" spans="1:1" x14ac:dyDescent="0.25">
      <c r="A181" s="14">
        <f>IF('Input data'!B176=22,'Input data'!AB176,"")</f>
        <v>8</v>
      </c>
    </row>
    <row r="182" spans="1:1" x14ac:dyDescent="0.25">
      <c r="A182" s="14" t="str">
        <f>IF('Input data'!B177=22,'Input data'!AB177,"")</f>
        <v/>
      </c>
    </row>
    <row r="183" spans="1:1" x14ac:dyDescent="0.25">
      <c r="A183" s="14" t="str">
        <f>IF('Input data'!B178=22,'Input data'!AB178,"")</f>
        <v/>
      </c>
    </row>
    <row r="184" spans="1:1" x14ac:dyDescent="0.25">
      <c r="A184" s="14" t="str">
        <f>IF('Input data'!B179=22,'Input data'!AB179,"")</f>
        <v/>
      </c>
    </row>
    <row r="185" spans="1:1" x14ac:dyDescent="0.25">
      <c r="A185" s="14" t="str">
        <f>IF('Input data'!B180=22,'Input data'!AB180,"")</f>
        <v/>
      </c>
    </row>
    <row r="186" spans="1:1" x14ac:dyDescent="0.25">
      <c r="A186" s="14" t="str">
        <f>IF('Input data'!B181=22,'Input data'!AB181,"")</f>
        <v/>
      </c>
    </row>
    <row r="187" spans="1:1" x14ac:dyDescent="0.25">
      <c r="A187" s="14">
        <f>IF('Input data'!B182=22,'Input data'!AB182,"")</f>
        <v>5.4355555555555553</v>
      </c>
    </row>
    <row r="188" spans="1:1" x14ac:dyDescent="0.25">
      <c r="A188" s="14" t="str">
        <f>IF('Input data'!B183=22,'Input data'!AB183,"")</f>
        <v/>
      </c>
    </row>
    <row r="189" spans="1:1" x14ac:dyDescent="0.25">
      <c r="A189" s="14" t="str">
        <f>IF('Input data'!B184=22,'Input data'!AB184,"")</f>
        <v/>
      </c>
    </row>
    <row r="190" spans="1:1" x14ac:dyDescent="0.25">
      <c r="A190" s="14" t="str">
        <f>IF('Input data'!B185=22,'Input data'!AB185,"")</f>
        <v/>
      </c>
    </row>
    <row r="191" spans="1:1" x14ac:dyDescent="0.25">
      <c r="A191" s="14" t="str">
        <f>IF('Input data'!B186=22,'Input data'!AB186,"")</f>
        <v/>
      </c>
    </row>
    <row r="192" spans="1:1" x14ac:dyDescent="0.25">
      <c r="A192" s="14" t="str">
        <f>IF('Input data'!B187=22,'Input data'!AB187,"")</f>
        <v/>
      </c>
    </row>
    <row r="193" spans="1:1" x14ac:dyDescent="0.25">
      <c r="A193" s="14">
        <f>IF('Input data'!B188=22,'Input data'!AB188,"")</f>
        <v>70.111111111111114</v>
      </c>
    </row>
    <row r="194" spans="1:1" x14ac:dyDescent="0.25">
      <c r="A194" s="14" t="str">
        <f>IF('Input data'!B189=22,'Input data'!AB189,"")</f>
        <v/>
      </c>
    </row>
    <row r="195" spans="1:1" x14ac:dyDescent="0.25">
      <c r="A195" s="14" t="str">
        <f>IF('Input data'!B190=22,'Input data'!AB190,"")</f>
        <v/>
      </c>
    </row>
    <row r="196" spans="1:1" x14ac:dyDescent="0.25">
      <c r="A196" s="14" t="str">
        <f>IF('Input data'!B191=22,'Input data'!AB191,"")</f>
        <v/>
      </c>
    </row>
    <row r="197" spans="1:1" x14ac:dyDescent="0.25">
      <c r="A197" s="14" t="str">
        <f>IF('Input data'!B192=22,'Input data'!AB192,"")</f>
        <v/>
      </c>
    </row>
    <row r="198" spans="1:1" x14ac:dyDescent="0.25">
      <c r="A198" s="14" t="str">
        <f>IF('Input data'!B193=22,'Input data'!AB193,"")</f>
        <v/>
      </c>
    </row>
    <row r="199" spans="1:1" x14ac:dyDescent="0.25">
      <c r="A199" s="14">
        <f>IF('Input data'!B194=22,'Input data'!AB194,"")</f>
        <v>21</v>
      </c>
    </row>
    <row r="200" spans="1:1" x14ac:dyDescent="0.25">
      <c r="A200" s="14" t="str">
        <f>IF('Input data'!B195=22,'Input data'!AB195,"")</f>
        <v/>
      </c>
    </row>
    <row r="201" spans="1:1" x14ac:dyDescent="0.25">
      <c r="A201" s="14" t="str">
        <f>IF('Input data'!B196=22,'Input data'!AB196,"")</f>
        <v/>
      </c>
    </row>
    <row r="202" spans="1:1" x14ac:dyDescent="0.25">
      <c r="A202" s="14" t="str">
        <f>IF('Input data'!B197=22,'Input data'!AB197,"")</f>
        <v/>
      </c>
    </row>
    <row r="203" spans="1:1" x14ac:dyDescent="0.25">
      <c r="A203" s="14" t="str">
        <f>IF('Input data'!B198=22,'Input data'!AB198,"")</f>
        <v/>
      </c>
    </row>
    <row r="204" spans="1:1" x14ac:dyDescent="0.25">
      <c r="A204" s="14" t="str">
        <f>IF('Input data'!B199=22,'Input data'!AB199,"")</f>
        <v/>
      </c>
    </row>
    <row r="205" spans="1:1" x14ac:dyDescent="0.25">
      <c r="A205" s="14">
        <f>IF('Input data'!B200=22,'Input data'!AB200,"")</f>
        <v>64.301111111111112</v>
      </c>
    </row>
    <row r="206" spans="1:1" x14ac:dyDescent="0.25">
      <c r="A206" s="14" t="str">
        <f>IF('Input data'!B201=22,'Input data'!AB201,"")</f>
        <v/>
      </c>
    </row>
    <row r="207" spans="1:1" x14ac:dyDescent="0.25">
      <c r="A207" s="14" t="str">
        <f>IF('Input data'!B202=22,'Input data'!AB202,"")</f>
        <v/>
      </c>
    </row>
    <row r="208" spans="1:1" x14ac:dyDescent="0.25">
      <c r="A208" s="14" t="str">
        <f>IF('Input data'!B203=22,'Input data'!AB203,"")</f>
        <v/>
      </c>
    </row>
    <row r="209" spans="1:1" x14ac:dyDescent="0.25">
      <c r="A209" s="14" t="str">
        <f>IF('Input data'!B204=22,'Input data'!AB204,"")</f>
        <v/>
      </c>
    </row>
    <row r="210" spans="1:1" x14ac:dyDescent="0.25">
      <c r="A210" s="14" t="str">
        <f>IF('Input data'!B205=22,'Input data'!AB205,"")</f>
        <v/>
      </c>
    </row>
    <row r="211" spans="1:1" x14ac:dyDescent="0.25">
      <c r="A211" s="14">
        <f>IF('Input data'!B206=22,'Input data'!AB206,"")</f>
        <v>101.11111111111111</v>
      </c>
    </row>
    <row r="212" spans="1:1" x14ac:dyDescent="0.25">
      <c r="A212" s="14" t="str">
        <f>IF('Input data'!B207=22,'Input data'!AB207,"")</f>
        <v/>
      </c>
    </row>
    <row r="213" spans="1:1" x14ac:dyDescent="0.25">
      <c r="A213" s="14" t="str">
        <f>IF('Input data'!B208=22,'Input data'!AB208,"")</f>
        <v/>
      </c>
    </row>
    <row r="214" spans="1:1" x14ac:dyDescent="0.25">
      <c r="A214" s="14" t="str">
        <f>IF('Input data'!B209=22,'Input data'!AB209,"")</f>
        <v/>
      </c>
    </row>
    <row r="215" spans="1:1" x14ac:dyDescent="0.25">
      <c r="A215" s="14" t="str">
        <f>IF('Input data'!B210=22,'Input data'!AB210,"")</f>
        <v/>
      </c>
    </row>
    <row r="216" spans="1:1" x14ac:dyDescent="0.25">
      <c r="A216" s="14" t="str">
        <f>IF('Input data'!B211=22,'Input data'!AB211,"")</f>
        <v/>
      </c>
    </row>
    <row r="217" spans="1:1" x14ac:dyDescent="0.25">
      <c r="A217" s="14">
        <f>IF('Input data'!B212=22,'Input data'!AB212,"")</f>
        <v>94.8</v>
      </c>
    </row>
    <row r="218" spans="1:1" x14ac:dyDescent="0.25">
      <c r="A218" s="14" t="str">
        <f>IF('Input data'!B213=22,'Input data'!AB213,"")</f>
        <v/>
      </c>
    </row>
    <row r="219" spans="1:1" x14ac:dyDescent="0.25">
      <c r="A219" s="14" t="str">
        <f>IF('Input data'!B214=22,'Input data'!AB214,"")</f>
        <v/>
      </c>
    </row>
    <row r="220" spans="1:1" x14ac:dyDescent="0.25">
      <c r="A220" s="14" t="str">
        <f>IF('Input data'!B215=22,'Input data'!AB215,"")</f>
        <v/>
      </c>
    </row>
    <row r="221" spans="1:1" x14ac:dyDescent="0.25">
      <c r="A221" s="14" t="str">
        <f>IF('Input data'!B216=22,'Input data'!AB216,"")</f>
        <v/>
      </c>
    </row>
    <row r="222" spans="1:1" x14ac:dyDescent="0.25">
      <c r="A222" s="14" t="str">
        <f>IF('Input data'!B217=22,'Input data'!AB217,"")</f>
        <v/>
      </c>
    </row>
    <row r="223" spans="1:1" x14ac:dyDescent="0.25">
      <c r="A223" s="14">
        <f>IF('Input data'!B218=22,'Input data'!AB218,"")</f>
        <v>60.6</v>
      </c>
    </row>
    <row r="224" spans="1:1" x14ac:dyDescent="0.25">
      <c r="A224" s="14" t="str">
        <f>IF('Input data'!B219=22,'Input data'!AB219,"")</f>
        <v/>
      </c>
    </row>
    <row r="225" spans="1:2" x14ac:dyDescent="0.25">
      <c r="A225" s="14" t="str">
        <f>IF('Input data'!B220=22,'Input data'!AB220,"")</f>
        <v/>
      </c>
    </row>
    <row r="226" spans="1:2" x14ac:dyDescent="0.25">
      <c r="A226" s="14" t="str">
        <f>IF('Input data'!B221=22,'Input data'!AB221,"")</f>
        <v/>
      </c>
    </row>
    <row r="227" spans="1:2" x14ac:dyDescent="0.25">
      <c r="A227" s="14" t="str">
        <f>IF('Input data'!B222=22,'Input data'!AB222,"")</f>
        <v/>
      </c>
    </row>
    <row r="228" spans="1:2" x14ac:dyDescent="0.25">
      <c r="A228" s="14" t="str">
        <f>IF('Input data'!B223=22,'Input data'!AB223,"")</f>
        <v/>
      </c>
    </row>
    <row r="229" spans="1:2" x14ac:dyDescent="0.25">
      <c r="A229" s="14">
        <f>IF('Input data'!B224=22,'Input data'!AB224,"")</f>
        <v>1</v>
      </c>
    </row>
    <row r="230" spans="1:2" x14ac:dyDescent="0.25">
      <c r="A230" s="14" t="str">
        <f>IF('Input data'!B225=22,'Input data'!AB225,"")</f>
        <v/>
      </c>
    </row>
    <row r="231" spans="1:2" x14ac:dyDescent="0.25">
      <c r="A231" s="14" t="str">
        <f>IF('Input data'!B226=22,'Input data'!AB226,"")</f>
        <v/>
      </c>
    </row>
    <row r="232" spans="1:2" x14ac:dyDescent="0.25">
      <c r="A232" s="14" t="str">
        <f>IF('Input data'!B227=22,'Input data'!AB227,"")</f>
        <v/>
      </c>
    </row>
    <row r="233" spans="1:2" x14ac:dyDescent="0.25">
      <c r="A233" s="14" t="str">
        <f>IF('Input data'!B228=22,'Input data'!AB228,"")</f>
        <v/>
      </c>
    </row>
    <row r="234" spans="1:2" x14ac:dyDescent="0.25">
      <c r="A234" s="14" t="str">
        <f>IF('Input data'!B229=22,'Input data'!AB229,"")</f>
        <v/>
      </c>
    </row>
    <row r="235" spans="1:2" x14ac:dyDescent="0.25">
      <c r="A235" s="14">
        <f>IF('Input data'!B230=22,'Input data'!AB230,"")</f>
        <v>12.055555555555554</v>
      </c>
    </row>
    <row r="237" spans="1:2" x14ac:dyDescent="0.25">
      <c r="A237" s="31" t="e">
        <f>MEDIAN(A1:A235)</f>
        <v>#REF!</v>
      </c>
      <c r="B237">
        <v>64.206111111111099</v>
      </c>
    </row>
    <row r="239" spans="1:2" x14ac:dyDescent="0.25">
      <c r="A239">
        <f>COUNT(A1:A235)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EBB8-3AFB-4ED9-9DEF-F0766EE0B8FA}">
  <dimension ref="A1:E39"/>
  <sheetViews>
    <sheetView topLeftCell="A7" workbookViewId="0">
      <selection activeCell="B36" sqref="B36"/>
    </sheetView>
  </sheetViews>
  <sheetFormatPr defaultRowHeight="15" x14ac:dyDescent="0.25"/>
  <cols>
    <col min="1" max="1" width="52.85546875" customWidth="1"/>
    <col min="2" max="2" width="55" customWidth="1"/>
  </cols>
  <sheetData>
    <row r="1" spans="1:5" x14ac:dyDescent="0.25">
      <c r="A1" s="8" t="s">
        <v>219</v>
      </c>
      <c r="B1" s="9" t="s">
        <v>218</v>
      </c>
    </row>
    <row r="2" spans="1:5" x14ac:dyDescent="0.25">
      <c r="A2" s="7" t="s">
        <v>0</v>
      </c>
      <c r="B2" s="10" t="s">
        <v>5</v>
      </c>
    </row>
    <row r="3" spans="1:5" x14ac:dyDescent="0.25">
      <c r="A3" s="7" t="s">
        <v>1</v>
      </c>
      <c r="B3" s="10" t="s">
        <v>220</v>
      </c>
    </row>
    <row r="4" spans="1:5" x14ac:dyDescent="0.25">
      <c r="A4" s="7" t="s">
        <v>2</v>
      </c>
      <c r="B4" s="10" t="s">
        <v>221</v>
      </c>
    </row>
    <row r="5" spans="1:5" x14ac:dyDescent="0.25">
      <c r="A5" s="7" t="s">
        <v>3</v>
      </c>
      <c r="B5" s="10" t="s">
        <v>3</v>
      </c>
    </row>
    <row r="6" spans="1:5" x14ac:dyDescent="0.25">
      <c r="A6" s="7" t="s">
        <v>4</v>
      </c>
      <c r="B6" s="10" t="s">
        <v>222</v>
      </c>
    </row>
    <row r="7" spans="1:5" x14ac:dyDescent="0.25">
      <c r="A7" s="7" t="s">
        <v>5</v>
      </c>
      <c r="B7" s="10" t="s">
        <v>5</v>
      </c>
      <c r="E7" t="s">
        <v>247</v>
      </c>
    </row>
    <row r="8" spans="1:5" x14ac:dyDescent="0.25">
      <c r="A8" s="7" t="s">
        <v>6</v>
      </c>
      <c r="B8" s="10" t="s">
        <v>223</v>
      </c>
      <c r="E8" t="s">
        <v>248</v>
      </c>
    </row>
    <row r="9" spans="1:5" x14ac:dyDescent="0.25">
      <c r="A9" s="7" t="s">
        <v>207</v>
      </c>
      <c r="B9" s="10" t="s">
        <v>224</v>
      </c>
    </row>
    <row r="10" spans="1:5" x14ac:dyDescent="0.25">
      <c r="A10" s="7" t="s">
        <v>7</v>
      </c>
      <c r="B10" s="10" t="s">
        <v>225</v>
      </c>
    </row>
    <row r="11" spans="1:5" x14ac:dyDescent="0.25">
      <c r="A11" s="7" t="s">
        <v>8</v>
      </c>
      <c r="B11" s="10" t="s">
        <v>225</v>
      </c>
    </row>
    <row r="12" spans="1:5" x14ac:dyDescent="0.25">
      <c r="A12" s="7" t="s">
        <v>9</v>
      </c>
      <c r="B12" s="10" t="s">
        <v>225</v>
      </c>
    </row>
    <row r="13" spans="1:5" x14ac:dyDescent="0.25">
      <c r="A13" s="7" t="s">
        <v>10</v>
      </c>
      <c r="B13" s="10" t="s">
        <v>225</v>
      </c>
    </row>
    <row r="14" spans="1:5" x14ac:dyDescent="0.25">
      <c r="A14" s="7" t="s">
        <v>11</v>
      </c>
      <c r="B14" s="10" t="s">
        <v>226</v>
      </c>
    </row>
    <row r="15" spans="1:5" x14ac:dyDescent="0.25">
      <c r="A15" s="7" t="s">
        <v>12</v>
      </c>
      <c r="B15" s="10" t="s">
        <v>227</v>
      </c>
    </row>
    <row r="16" spans="1:5" x14ac:dyDescent="0.25">
      <c r="A16" s="7" t="s">
        <v>13</v>
      </c>
      <c r="B16" s="10" t="s">
        <v>228</v>
      </c>
    </row>
    <row r="17" spans="1:2" x14ac:dyDescent="0.25">
      <c r="A17" s="7" t="s">
        <v>14</v>
      </c>
      <c r="B17" s="10" t="s">
        <v>229</v>
      </c>
    </row>
    <row r="18" spans="1:2" x14ac:dyDescent="0.25">
      <c r="A18" s="7" t="s">
        <v>15</v>
      </c>
      <c r="B18" s="10" t="s">
        <v>230</v>
      </c>
    </row>
    <row r="19" spans="1:2" x14ac:dyDescent="0.25">
      <c r="A19" s="7" t="s">
        <v>16</v>
      </c>
      <c r="B19" s="10" t="s">
        <v>231</v>
      </c>
    </row>
    <row r="20" spans="1:2" x14ac:dyDescent="0.25">
      <c r="A20" s="7" t="s">
        <v>17</v>
      </c>
      <c r="B20" s="10" t="s">
        <v>232</v>
      </c>
    </row>
    <row r="21" spans="1:2" x14ac:dyDescent="0.25">
      <c r="A21" s="7" t="s">
        <v>18</v>
      </c>
      <c r="B21" s="10" t="s">
        <v>233</v>
      </c>
    </row>
    <row r="22" spans="1:2" x14ac:dyDescent="0.25">
      <c r="A22" s="7" t="s">
        <v>19</v>
      </c>
      <c r="B22" s="10" t="s">
        <v>234</v>
      </c>
    </row>
    <row r="23" spans="1:2" x14ac:dyDescent="0.25">
      <c r="A23" s="7" t="s">
        <v>20</v>
      </c>
      <c r="B23" s="10" t="s">
        <v>235</v>
      </c>
    </row>
    <row r="24" spans="1:2" x14ac:dyDescent="0.25">
      <c r="A24" s="7" t="s">
        <v>21</v>
      </c>
      <c r="B24" s="10" t="s">
        <v>225</v>
      </c>
    </row>
    <row r="25" spans="1:2" x14ac:dyDescent="0.25">
      <c r="A25" s="7" t="s">
        <v>22</v>
      </c>
      <c r="B25" s="10" t="s">
        <v>225</v>
      </c>
    </row>
    <row r="26" spans="1:2" x14ac:dyDescent="0.25">
      <c r="A26" s="7" t="s">
        <v>23</v>
      </c>
      <c r="B26" s="10" t="s">
        <v>236</v>
      </c>
    </row>
    <row r="27" spans="1:2" x14ac:dyDescent="0.25">
      <c r="A27" s="7" t="s">
        <v>24</v>
      </c>
      <c r="B27" s="10" t="s">
        <v>237</v>
      </c>
    </row>
    <row r="28" spans="1:2" x14ac:dyDescent="0.25">
      <c r="A28" s="7" t="s">
        <v>25</v>
      </c>
      <c r="B28" s="10" t="s">
        <v>238</v>
      </c>
    </row>
    <row r="29" spans="1:2" x14ac:dyDescent="0.25">
      <c r="A29" s="7" t="s">
        <v>26</v>
      </c>
      <c r="B29" s="10" t="s">
        <v>239</v>
      </c>
    </row>
    <row r="30" spans="1:2" x14ac:dyDescent="0.25">
      <c r="A30" s="7" t="s">
        <v>27</v>
      </c>
      <c r="B30" s="10" t="s">
        <v>240</v>
      </c>
    </row>
    <row r="31" spans="1:2" x14ac:dyDescent="0.25">
      <c r="A31" s="7" t="s">
        <v>212</v>
      </c>
      <c r="B31" s="10" t="s">
        <v>241</v>
      </c>
    </row>
    <row r="32" spans="1:2" x14ac:dyDescent="0.25">
      <c r="A32" s="7" t="s">
        <v>208</v>
      </c>
      <c r="B32" s="10" t="s">
        <v>242</v>
      </c>
    </row>
    <row r="33" spans="1:2" x14ac:dyDescent="0.25">
      <c r="A33" s="7" t="s">
        <v>209</v>
      </c>
      <c r="B33" s="10" t="s">
        <v>243</v>
      </c>
    </row>
    <row r="34" spans="1:2" x14ac:dyDescent="0.25">
      <c r="A34" s="7" t="s">
        <v>210</v>
      </c>
      <c r="B34" s="10" t="s">
        <v>244</v>
      </c>
    </row>
    <row r="35" spans="1:2" x14ac:dyDescent="0.25">
      <c r="A35" s="7" t="s">
        <v>211</v>
      </c>
      <c r="B35" s="10" t="s">
        <v>249</v>
      </c>
    </row>
    <row r="36" spans="1:2" x14ac:dyDescent="0.25">
      <c r="A36" s="7" t="s">
        <v>213</v>
      </c>
      <c r="B36" s="10" t="s">
        <v>245</v>
      </c>
    </row>
    <row r="37" spans="1:2" x14ac:dyDescent="0.25">
      <c r="A37" s="7" t="s">
        <v>214</v>
      </c>
      <c r="B37" s="10" t="s">
        <v>246</v>
      </c>
    </row>
    <row r="38" spans="1:2" x14ac:dyDescent="0.25">
      <c r="A38" s="7" t="s">
        <v>215</v>
      </c>
      <c r="B38" s="10" t="s">
        <v>246</v>
      </c>
    </row>
    <row r="39" spans="1:2" x14ac:dyDescent="0.25">
      <c r="A39" s="7" t="s">
        <v>216</v>
      </c>
      <c r="B39" s="10" t="s">
        <v>246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315E-BA87-453F-A4F4-E9806B9F4CF5}">
  <dimension ref="A3:E10"/>
  <sheetViews>
    <sheetView workbookViewId="0">
      <selection activeCell="C10" sqref="C10"/>
    </sheetView>
  </sheetViews>
  <sheetFormatPr defaultRowHeight="15" x14ac:dyDescent="0.25"/>
  <cols>
    <col min="1" max="1" width="10.85546875" bestFit="1" customWidth="1"/>
    <col min="2" max="2" width="25.140625" bestFit="1" customWidth="1"/>
    <col min="3" max="3" width="62.42578125" bestFit="1" customWidth="1"/>
    <col min="4" max="4" width="25.140625" bestFit="1" customWidth="1"/>
    <col min="5" max="5" width="62.42578125" bestFit="1" customWidth="1"/>
    <col min="6" max="6" width="7.42578125" bestFit="1" customWidth="1"/>
    <col min="7" max="10" width="6.42578125" bestFit="1" customWidth="1"/>
    <col min="11" max="13" width="5.42578125" bestFit="1" customWidth="1"/>
    <col min="14" max="14" width="6.28515625" bestFit="1" customWidth="1"/>
    <col min="15" max="15" width="7.85546875" bestFit="1" customWidth="1"/>
    <col min="16" max="18" width="5.42578125" bestFit="1" customWidth="1"/>
    <col min="19" max="23" width="6.42578125" bestFit="1" customWidth="1"/>
    <col min="24" max="25" width="5.42578125" bestFit="1" customWidth="1"/>
    <col min="26" max="26" width="6.28515625" bestFit="1" customWidth="1"/>
    <col min="27" max="27" width="7.85546875" bestFit="1" customWidth="1"/>
    <col min="28" max="36" width="12" bestFit="1" customWidth="1"/>
    <col min="37" max="37" width="11" bestFit="1" customWidth="1"/>
    <col min="38" max="38" width="6.42578125" bestFit="1" customWidth="1"/>
  </cols>
  <sheetData>
    <row r="3" spans="1:5" x14ac:dyDescent="0.25">
      <c r="B3" s="4" t="s">
        <v>281</v>
      </c>
    </row>
    <row r="4" spans="1:5" x14ac:dyDescent="0.25">
      <c r="B4">
        <v>0</v>
      </c>
      <c r="D4">
        <v>1</v>
      </c>
    </row>
    <row r="5" spans="1:5" x14ac:dyDescent="0.25">
      <c r="A5" s="4" t="s">
        <v>217</v>
      </c>
      <c r="B5" t="s">
        <v>283</v>
      </c>
      <c r="C5" t="s">
        <v>284</v>
      </c>
      <c r="D5" t="s">
        <v>283</v>
      </c>
      <c r="E5" t="s">
        <v>284</v>
      </c>
    </row>
    <row r="6" spans="1:5" x14ac:dyDescent="0.25">
      <c r="A6" s="5">
        <v>18</v>
      </c>
      <c r="B6" s="37">
        <v>10.832954505966921</v>
      </c>
      <c r="C6" s="37">
        <v>1</v>
      </c>
      <c r="D6" s="37">
        <v>7.2584017498775975</v>
      </c>
      <c r="E6" s="37">
        <v>-4</v>
      </c>
    </row>
    <row r="7" spans="1:5" x14ac:dyDescent="0.25">
      <c r="A7" s="5">
        <v>19</v>
      </c>
      <c r="B7" s="37">
        <v>12.665622525553744</v>
      </c>
      <c r="C7" s="37">
        <v>17</v>
      </c>
      <c r="D7" s="37">
        <v>6.5751941936664622</v>
      </c>
      <c r="E7" s="37">
        <v>16</v>
      </c>
    </row>
    <row r="8" spans="1:5" x14ac:dyDescent="0.25">
      <c r="A8" s="5">
        <v>20</v>
      </c>
      <c r="B8" s="37">
        <v>11.527950951186364</v>
      </c>
      <c r="C8" s="37">
        <v>13</v>
      </c>
      <c r="D8" s="37">
        <v>8.9876878895502745</v>
      </c>
      <c r="E8" s="37">
        <v>19</v>
      </c>
    </row>
    <row r="9" spans="1:5" x14ac:dyDescent="0.25">
      <c r="A9" s="5">
        <v>21</v>
      </c>
      <c r="B9" s="37">
        <v>12.98572787550439</v>
      </c>
      <c r="C9" s="37">
        <v>-2</v>
      </c>
      <c r="D9" s="37">
        <v>9.4588820805872995</v>
      </c>
      <c r="E9" s="37">
        <v>10</v>
      </c>
    </row>
    <row r="10" spans="1:5" x14ac:dyDescent="0.25">
      <c r="A10" s="5">
        <v>22</v>
      </c>
      <c r="B10" s="37">
        <v>14.647045697646869</v>
      </c>
      <c r="C10" s="37">
        <v>8</v>
      </c>
      <c r="D10" s="37">
        <v>9.9167763100518265</v>
      </c>
      <c r="E10" s="37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B35D-D8A7-415A-AFE7-14E94CE1981E}">
  <dimension ref="A3:E17"/>
  <sheetViews>
    <sheetView workbookViewId="0">
      <selection activeCell="D8" sqref="D8"/>
    </sheetView>
  </sheetViews>
  <sheetFormatPr defaultRowHeight="15" x14ac:dyDescent="0.25"/>
  <cols>
    <col min="1" max="1" width="10.85546875" bestFit="1" customWidth="1"/>
    <col min="2" max="2" width="25.140625" bestFit="1" customWidth="1"/>
    <col min="3" max="3" width="25.85546875" bestFit="1" customWidth="1"/>
    <col min="4" max="4" width="24.28515625" bestFit="1" customWidth="1"/>
    <col min="5" max="5" width="62.42578125" bestFit="1" customWidth="1"/>
    <col min="6" max="6" width="7.42578125" bestFit="1" customWidth="1"/>
    <col min="7" max="10" width="6.42578125" bestFit="1" customWidth="1"/>
    <col min="11" max="13" width="5.42578125" bestFit="1" customWidth="1"/>
    <col min="14" max="14" width="6.28515625" bestFit="1" customWidth="1"/>
    <col min="15" max="15" width="7.85546875" bestFit="1" customWidth="1"/>
    <col min="16" max="18" width="5.42578125" bestFit="1" customWidth="1"/>
    <col min="19" max="23" width="6.42578125" bestFit="1" customWidth="1"/>
    <col min="24" max="25" width="5.42578125" bestFit="1" customWidth="1"/>
    <col min="26" max="26" width="6.28515625" bestFit="1" customWidth="1"/>
    <col min="27" max="27" width="7.85546875" bestFit="1" customWidth="1"/>
    <col min="28" max="36" width="12" bestFit="1" customWidth="1"/>
    <col min="37" max="37" width="11" bestFit="1" customWidth="1"/>
    <col min="38" max="38" width="6.42578125" bestFit="1" customWidth="1"/>
  </cols>
  <sheetData>
    <row r="3" spans="1:5" x14ac:dyDescent="0.25">
      <c r="A3" s="4" t="s">
        <v>217</v>
      </c>
      <c r="B3" t="s">
        <v>285</v>
      </c>
      <c r="C3" t="s">
        <v>286</v>
      </c>
      <c r="D3" t="s">
        <v>287</v>
      </c>
    </row>
    <row r="4" spans="1:5" x14ac:dyDescent="0.25">
      <c r="A4" s="5">
        <v>18</v>
      </c>
      <c r="B4" s="37">
        <v>2.2169779090909092</v>
      </c>
      <c r="C4" s="37">
        <v>5.1218987803805245</v>
      </c>
      <c r="D4" s="37">
        <v>50.138456280293283</v>
      </c>
    </row>
    <row r="5" spans="1:5" x14ac:dyDescent="0.25">
      <c r="A5" s="5">
        <v>19</v>
      </c>
      <c r="B5" s="37">
        <v>3.2136242282282281</v>
      </c>
      <c r="C5" s="37">
        <v>7.2651828654970751</v>
      </c>
      <c r="D5" s="37">
        <v>55.871947368421068</v>
      </c>
    </row>
    <row r="6" spans="1:5" x14ac:dyDescent="0.25">
      <c r="A6" s="5">
        <v>20</v>
      </c>
      <c r="B6" s="37">
        <v>5.7098585754985756</v>
      </c>
      <c r="C6" s="37">
        <v>8.5528774928774922</v>
      </c>
      <c r="D6" s="37">
        <v>64.557333333333318</v>
      </c>
    </row>
    <row r="7" spans="1:5" x14ac:dyDescent="0.25">
      <c r="A7" s="5">
        <v>21</v>
      </c>
      <c r="B7" s="37">
        <v>5.9135740935672505</v>
      </c>
      <c r="C7" s="37">
        <v>10.401549707602335</v>
      </c>
      <c r="D7" s="37">
        <v>71.87749287749287</v>
      </c>
    </row>
    <row r="8" spans="1:5" x14ac:dyDescent="0.25">
      <c r="A8" s="5">
        <v>22</v>
      </c>
      <c r="B8" s="37">
        <v>5.8650712250712242</v>
      </c>
      <c r="C8" s="37">
        <v>10.595204678362574</v>
      </c>
      <c r="D8" s="37">
        <v>75.620826210826209</v>
      </c>
    </row>
    <row r="10" spans="1:5" x14ac:dyDescent="0.25">
      <c r="A10" t="s">
        <v>288</v>
      </c>
      <c r="B10" t="s">
        <v>289</v>
      </c>
      <c r="C10" t="s">
        <v>290</v>
      </c>
      <c r="D10" t="s">
        <v>291</v>
      </c>
    </row>
    <row r="11" spans="1:5" x14ac:dyDescent="0.25">
      <c r="A11" s="40">
        <v>18</v>
      </c>
      <c r="B11" s="19">
        <v>2.1517726764705887</v>
      </c>
      <c r="C11" s="19">
        <v>5.0812731009410799</v>
      </c>
      <c r="D11" s="19">
        <v>51.171643243713476</v>
      </c>
      <c r="E11" s="39">
        <f>SUM(B11:D11)</f>
        <v>58.404689021125144</v>
      </c>
    </row>
    <row r="12" spans="1:5" x14ac:dyDescent="0.25">
      <c r="A12" s="40">
        <v>22</v>
      </c>
      <c r="B12" s="19">
        <v>6.0239999999999991</v>
      </c>
      <c r="C12" s="19">
        <v>10.930370370370371</v>
      </c>
      <c r="D12" s="19">
        <v>81.169194444444457</v>
      </c>
      <c r="E12" s="39">
        <f>SUM(B12:D12)</f>
        <v>98.123564814814827</v>
      </c>
    </row>
    <row r="15" spans="1:5" x14ac:dyDescent="0.25">
      <c r="B15" s="38">
        <f>(B12-B11)/B11</f>
        <v>1.7995522323857975</v>
      </c>
      <c r="C15" s="38">
        <f t="shared" ref="C15:E15" si="0">(C12-C11)/C11</f>
        <v>1.1511086204648213</v>
      </c>
      <c r="D15" s="38">
        <f t="shared" si="0"/>
        <v>0.58621434253855498</v>
      </c>
      <c r="E15" s="38">
        <f t="shared" si="0"/>
        <v>0.68006313293309806</v>
      </c>
    </row>
    <row r="17" spans="2:5" x14ac:dyDescent="0.25">
      <c r="B17" s="19">
        <f>B12/B11</f>
        <v>2.7995522323857975</v>
      </c>
      <c r="C17" s="19">
        <f t="shared" ref="C17:E17" si="1">C12/C11</f>
        <v>2.1511086204648211</v>
      </c>
      <c r="D17" s="19">
        <f t="shared" si="1"/>
        <v>1.5862143425385549</v>
      </c>
      <c r="E17" s="19">
        <f t="shared" si="1"/>
        <v>1.6800631329330982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924F-966D-4BD0-898A-1D4D59A40EA9}">
  <dimension ref="A2:M46"/>
  <sheetViews>
    <sheetView workbookViewId="0">
      <selection activeCell="E13" sqref="E13"/>
    </sheetView>
  </sheetViews>
  <sheetFormatPr defaultRowHeight="15" x14ac:dyDescent="0.25"/>
  <cols>
    <col min="1" max="1" width="44.28515625" bestFit="1" customWidth="1"/>
    <col min="2" max="3" width="20.85546875" bestFit="1" customWidth="1"/>
    <col min="4" max="4" width="7.42578125" bestFit="1" customWidth="1"/>
    <col min="5" max="5" width="9.85546875" customWidth="1"/>
    <col min="6" max="6" width="7.42578125" bestFit="1" customWidth="1"/>
    <col min="7" max="7" width="10" bestFit="1" customWidth="1"/>
    <col min="8" max="8" width="6.42578125" bestFit="1" customWidth="1"/>
    <col min="9" max="9" width="7.42578125" bestFit="1" customWidth="1"/>
    <col min="10" max="10" width="18.85546875" customWidth="1"/>
    <col min="11" max="11" width="10.85546875" customWidth="1"/>
    <col min="12" max="12" width="24.42578125" bestFit="1" customWidth="1"/>
    <col min="13" max="13" width="33.7109375" bestFit="1" customWidth="1"/>
    <col min="14" max="15" width="7.42578125" bestFit="1" customWidth="1"/>
    <col min="16" max="16" width="38" bestFit="1" customWidth="1"/>
    <col min="17" max="17" width="23.85546875" bestFit="1" customWidth="1"/>
    <col min="18" max="21" width="7.42578125" bestFit="1" customWidth="1"/>
    <col min="22" max="22" width="28" bestFit="1" customWidth="1"/>
    <col min="23" max="23" width="43.5703125" bestFit="1" customWidth="1"/>
    <col min="24" max="27" width="7.42578125" bestFit="1" customWidth="1"/>
    <col min="28" max="28" width="47.85546875" bestFit="1" customWidth="1"/>
    <col min="29" max="29" width="28.28515625" bestFit="1" customWidth="1"/>
    <col min="30" max="33" width="6.42578125" bestFit="1" customWidth="1"/>
    <col min="34" max="34" width="32.42578125" bestFit="1" customWidth="1"/>
    <col min="35" max="35" width="20.140625" bestFit="1" customWidth="1"/>
    <col min="36" max="39" width="6.42578125" bestFit="1" customWidth="1"/>
    <col min="40" max="40" width="24.28515625" bestFit="1" customWidth="1"/>
    <col min="41" max="41" width="16.140625" bestFit="1" customWidth="1"/>
    <col min="42" max="45" width="7.42578125" bestFit="1" customWidth="1"/>
    <col min="46" max="46" width="20.28515625" bestFit="1" customWidth="1"/>
    <col min="47" max="47" width="17.7109375" bestFit="1" customWidth="1"/>
    <col min="48" max="51" width="7.42578125" bestFit="1" customWidth="1"/>
    <col min="52" max="52" width="22" bestFit="1" customWidth="1"/>
    <col min="53" max="53" width="30.140625" bestFit="1" customWidth="1"/>
    <col min="54" max="54" width="6.42578125" bestFit="1" customWidth="1"/>
    <col min="55" max="55" width="34.42578125" bestFit="1" customWidth="1"/>
    <col min="56" max="56" width="20.140625" bestFit="1" customWidth="1"/>
    <col min="57" max="57" width="6.42578125" bestFit="1" customWidth="1"/>
    <col min="58" max="58" width="24.28515625" bestFit="1" customWidth="1"/>
    <col min="59" max="59" width="36.85546875" bestFit="1" customWidth="1"/>
    <col min="60" max="60" width="41" bestFit="1" customWidth="1"/>
    <col min="61" max="61" width="28.42578125" bestFit="1" customWidth="1"/>
    <col min="62" max="62" width="7.42578125" bestFit="1" customWidth="1"/>
    <col min="63" max="63" width="32.5703125" bestFit="1" customWidth="1"/>
    <col min="64" max="64" width="19.85546875" bestFit="1" customWidth="1"/>
    <col min="65" max="65" width="7.42578125" bestFit="1" customWidth="1"/>
    <col min="66" max="66" width="24" bestFit="1" customWidth="1"/>
    <col min="67" max="67" width="40" bestFit="1" customWidth="1"/>
    <col min="68" max="68" width="44.140625" bestFit="1" customWidth="1"/>
    <col min="69" max="69" width="26.7109375" bestFit="1" customWidth="1"/>
    <col min="70" max="73" width="7.42578125" bestFit="1" customWidth="1"/>
    <col min="74" max="74" width="31" bestFit="1" customWidth="1"/>
    <col min="75" max="75" width="20.140625" bestFit="1" customWidth="1"/>
    <col min="76" max="76" width="24.28515625" bestFit="1" customWidth="1"/>
    <col min="77" max="77" width="20.85546875" bestFit="1" customWidth="1"/>
    <col min="78" max="78" width="25" bestFit="1" customWidth="1"/>
    <col min="79" max="79" width="22.28515625" bestFit="1" customWidth="1"/>
    <col min="80" max="80" width="7.42578125" bestFit="1" customWidth="1"/>
    <col min="81" max="81" width="26.5703125" bestFit="1" customWidth="1"/>
    <col min="82" max="82" width="12.5703125" bestFit="1" customWidth="1"/>
    <col min="83" max="83" width="16.7109375" bestFit="1" customWidth="1"/>
    <col min="84" max="84" width="37.42578125" bestFit="1" customWidth="1"/>
    <col min="85" max="85" width="6.42578125" bestFit="1" customWidth="1"/>
    <col min="86" max="86" width="41.5703125" bestFit="1" customWidth="1"/>
    <col min="87" max="87" width="43.42578125" bestFit="1" customWidth="1"/>
    <col min="88" max="88" width="6.42578125" bestFit="1" customWidth="1"/>
    <col min="89" max="89" width="47.7109375" bestFit="1" customWidth="1"/>
    <col min="90" max="90" width="24.5703125" bestFit="1" customWidth="1"/>
    <col min="91" max="91" width="6.42578125" bestFit="1" customWidth="1"/>
    <col min="92" max="92" width="28.7109375" bestFit="1" customWidth="1"/>
    <col min="93" max="93" width="22.42578125" bestFit="1" customWidth="1"/>
    <col min="94" max="95" width="6.42578125" bestFit="1" customWidth="1"/>
    <col min="96" max="96" width="26.7109375" bestFit="1" customWidth="1"/>
    <col min="97" max="97" width="17.28515625" bestFit="1" customWidth="1"/>
    <col min="98" max="98" width="6.42578125" bestFit="1" customWidth="1"/>
    <col min="99" max="99" width="7.42578125" bestFit="1" customWidth="1"/>
    <col min="100" max="100" width="21.5703125" bestFit="1" customWidth="1"/>
    <col min="101" max="101" width="30.5703125" bestFit="1" customWidth="1"/>
    <col min="102" max="102" width="34.85546875" bestFit="1" customWidth="1"/>
    <col min="103" max="103" width="25.85546875" bestFit="1" customWidth="1"/>
    <col min="104" max="104" width="30.140625" bestFit="1" customWidth="1"/>
    <col min="105" max="105" width="34.5703125" bestFit="1" customWidth="1"/>
    <col min="106" max="106" width="6.42578125" bestFit="1" customWidth="1"/>
    <col min="107" max="107" width="38.85546875" bestFit="1" customWidth="1"/>
    <col min="108" max="108" width="36.140625" bestFit="1" customWidth="1"/>
    <col min="109" max="109" width="40.28515625" bestFit="1" customWidth="1"/>
    <col min="110" max="110" width="46.42578125" bestFit="1" customWidth="1"/>
    <col min="111" max="111" width="6.42578125" bestFit="1" customWidth="1"/>
    <col min="112" max="112" width="50.7109375" bestFit="1" customWidth="1"/>
    <col min="113" max="113" width="8.85546875" bestFit="1" customWidth="1"/>
    <col min="114" max="115" width="6.42578125" bestFit="1" customWidth="1"/>
    <col min="116" max="116" width="12.85546875" bestFit="1" customWidth="1"/>
    <col min="117" max="117" width="13.140625" bestFit="1" customWidth="1"/>
    <col min="118" max="121" width="7.42578125" bestFit="1" customWidth="1"/>
    <col min="122" max="122" width="17.42578125" bestFit="1" customWidth="1"/>
    <col min="123" max="123" width="8.140625" bestFit="1" customWidth="1"/>
    <col min="124" max="124" width="3" bestFit="1" customWidth="1"/>
    <col min="125" max="125" width="12.140625" bestFit="1" customWidth="1"/>
    <col min="126" max="126" width="10" bestFit="1" customWidth="1"/>
  </cols>
  <sheetData>
    <row r="2" spans="1:13" x14ac:dyDescent="0.25">
      <c r="A2" s="4" t="s">
        <v>1</v>
      </c>
      <c r="B2" s="5">
        <v>22</v>
      </c>
    </row>
    <row r="3" spans="1:13" x14ac:dyDescent="0.25">
      <c r="J3" s="43" t="s">
        <v>0</v>
      </c>
      <c r="K3" s="43" t="s">
        <v>293</v>
      </c>
      <c r="L3" s="43" t="s">
        <v>294</v>
      </c>
      <c r="M3" s="43" t="s">
        <v>295</v>
      </c>
    </row>
    <row r="4" spans="1:13" x14ac:dyDescent="0.25">
      <c r="A4" s="4" t="s">
        <v>217</v>
      </c>
      <c r="B4" t="s">
        <v>292</v>
      </c>
      <c r="J4" s="41" t="s">
        <v>87</v>
      </c>
      <c r="K4" s="42">
        <v>167</v>
      </c>
      <c r="L4" s="42">
        <v>262</v>
      </c>
      <c r="M4">
        <v>0</v>
      </c>
    </row>
    <row r="5" spans="1:13" x14ac:dyDescent="0.25">
      <c r="A5" s="5" t="s">
        <v>205</v>
      </c>
      <c r="B5" s="37">
        <v>101.11111111111111</v>
      </c>
      <c r="C5" s="44" t="s">
        <v>146</v>
      </c>
      <c r="E5" t="str">
        <f>_xlfn.XLOOKUP(C5,$A$5:$A$19,$A$5:$A$19,0)</f>
        <v>Gorinchem-Waardenburg (GoWa)</v>
      </c>
      <c r="H5" s="5"/>
      <c r="I5" s="37"/>
      <c r="J5" s="41" t="s">
        <v>258</v>
      </c>
      <c r="K5" s="42">
        <v>9.4</v>
      </c>
      <c r="L5" s="42">
        <v>94.8</v>
      </c>
      <c r="M5">
        <v>1</v>
      </c>
    </row>
    <row r="6" spans="1:13" x14ac:dyDescent="0.25">
      <c r="A6" s="5" t="s">
        <v>157</v>
      </c>
      <c r="B6" s="37">
        <v>96.777777777777771</v>
      </c>
      <c r="C6" s="44" t="s">
        <v>150</v>
      </c>
      <c r="E6" t="str">
        <f t="shared" ref="E6:E19" si="0">_xlfn.XLOOKUP(C6,$A$5:$A$19,$A$5:$A$19,0)</f>
        <v>Tiel - Waardenburg (TiWa)</v>
      </c>
      <c r="H6" s="5"/>
      <c r="I6" s="37"/>
      <c r="J6" s="41" t="s">
        <v>138</v>
      </c>
      <c r="K6" s="42">
        <v>50.300000000000004</v>
      </c>
      <c r="L6" s="42">
        <v>136.22222222222223</v>
      </c>
      <c r="M6">
        <v>1</v>
      </c>
    </row>
    <row r="7" spans="1:13" x14ac:dyDescent="0.25">
      <c r="A7" s="5" t="s">
        <v>146</v>
      </c>
      <c r="B7" s="37">
        <v>327</v>
      </c>
      <c r="C7" s="44" t="s">
        <v>167</v>
      </c>
      <c r="E7" t="str">
        <f t="shared" si="0"/>
        <v>Koehool- Lauwersmeer</v>
      </c>
      <c r="H7" s="5"/>
      <c r="I7" s="37"/>
      <c r="J7" s="41" t="s">
        <v>102</v>
      </c>
      <c r="K7" s="42">
        <v>101.2</v>
      </c>
      <c r="L7" s="42">
        <v>64.301111111111112</v>
      </c>
      <c r="M7">
        <v>1</v>
      </c>
    </row>
    <row r="8" spans="1:13" x14ac:dyDescent="0.25">
      <c r="A8" s="5" t="s">
        <v>167</v>
      </c>
      <c r="B8" s="37">
        <v>310.66666666666669</v>
      </c>
      <c r="C8" s="44" t="s">
        <v>87</v>
      </c>
      <c r="E8" t="str">
        <f t="shared" si="0"/>
        <v>Zwolle-Olst</v>
      </c>
      <c r="H8" s="5"/>
      <c r="I8" s="37"/>
      <c r="J8" s="41" t="s">
        <v>134</v>
      </c>
      <c r="K8" s="42"/>
      <c r="L8" s="42">
        <v>75.444444444444443</v>
      </c>
      <c r="M8">
        <v>1</v>
      </c>
    </row>
    <row r="9" spans="1:13" x14ac:dyDescent="0.25">
      <c r="A9" s="5" t="s">
        <v>81</v>
      </c>
      <c r="B9" s="37">
        <v>222</v>
      </c>
      <c r="C9" s="44" t="s">
        <v>81</v>
      </c>
      <c r="E9" t="str">
        <f t="shared" si="0"/>
        <v>Krachtige IJsseldijken Krimpenerwaard (KIJK)</v>
      </c>
      <c r="H9" s="5"/>
      <c r="I9" s="37"/>
      <c r="J9" s="41" t="s">
        <v>130</v>
      </c>
      <c r="K9" s="42">
        <v>38.5</v>
      </c>
      <c r="L9" s="42">
        <v>105.44444444444444</v>
      </c>
      <c r="M9">
        <v>0</v>
      </c>
    </row>
    <row r="10" spans="1:13" x14ac:dyDescent="0.25">
      <c r="A10" s="5" t="s">
        <v>43</v>
      </c>
      <c r="B10" s="37">
        <v>212.55555555555554</v>
      </c>
      <c r="C10" s="45" t="s">
        <v>52</v>
      </c>
      <c r="E10" t="str">
        <f t="shared" si="0"/>
        <v>Sprok-Sterreschans-Heteren</v>
      </c>
      <c r="H10" s="5"/>
      <c r="I10" s="37"/>
      <c r="J10" s="41" t="s">
        <v>150</v>
      </c>
      <c r="K10" s="42">
        <v>90</v>
      </c>
      <c r="L10" s="42">
        <v>332.55555555555554</v>
      </c>
      <c r="M10">
        <v>1</v>
      </c>
    </row>
    <row r="11" spans="1:13" x14ac:dyDescent="0.25">
      <c r="A11" s="5" t="s">
        <v>72</v>
      </c>
      <c r="B11" s="37">
        <v>139.22222222222223</v>
      </c>
      <c r="C11" s="45" t="s">
        <v>43</v>
      </c>
      <c r="E11" t="str">
        <f t="shared" si="0"/>
        <v>Neder-Betuwe</v>
      </c>
      <c r="H11" s="5"/>
      <c r="I11" s="37"/>
      <c r="J11" s="41" t="s">
        <v>92</v>
      </c>
      <c r="K11" s="42">
        <v>107</v>
      </c>
      <c r="L11" s="42">
        <v>116.66666666666666</v>
      </c>
      <c r="M11">
        <v>1</v>
      </c>
    </row>
    <row r="12" spans="1:13" x14ac:dyDescent="0.25">
      <c r="A12" s="5" t="s">
        <v>52</v>
      </c>
      <c r="B12" s="37">
        <v>217.22222222222223</v>
      </c>
      <c r="C12" s="44" t="s">
        <v>297</v>
      </c>
      <c r="E12">
        <f t="shared" si="0"/>
        <v>0</v>
      </c>
      <c r="H12" s="5"/>
      <c r="I12" s="37"/>
      <c r="J12" s="41" t="s">
        <v>57</v>
      </c>
      <c r="K12" s="42">
        <v>83.73</v>
      </c>
      <c r="L12" s="42">
        <v>217.22222222222223</v>
      </c>
      <c r="M12">
        <v>0</v>
      </c>
    </row>
    <row r="13" spans="1:13" x14ac:dyDescent="0.25">
      <c r="A13" s="5" t="s">
        <v>92</v>
      </c>
      <c r="B13" s="37">
        <v>116.66666666666666</v>
      </c>
      <c r="C13" s="44" t="s">
        <v>126</v>
      </c>
      <c r="E13" t="str">
        <f t="shared" si="0"/>
        <v xml:space="preserve">Vecht Dalfsen Zwolle </v>
      </c>
      <c r="H13" s="5"/>
      <c r="I13" s="37"/>
      <c r="J13" s="41" t="s">
        <v>122</v>
      </c>
      <c r="K13" s="42"/>
      <c r="L13" s="42">
        <v>70.111111111111114</v>
      </c>
      <c r="M13">
        <v>1</v>
      </c>
    </row>
    <row r="14" spans="1:13" x14ac:dyDescent="0.25">
      <c r="A14" s="5" t="s">
        <v>150</v>
      </c>
      <c r="B14" s="37">
        <v>332.55555555555554</v>
      </c>
      <c r="C14" s="44" t="s">
        <v>298</v>
      </c>
      <c r="E14">
        <f t="shared" si="0"/>
        <v>0</v>
      </c>
      <c r="H14" s="5"/>
      <c r="I14" s="37"/>
      <c r="J14" s="41" t="s">
        <v>72</v>
      </c>
      <c r="K14" s="42">
        <v>138.19999999999999</v>
      </c>
      <c r="L14" s="42">
        <v>139.22222222222223</v>
      </c>
      <c r="M14">
        <v>1</v>
      </c>
    </row>
    <row r="15" spans="1:13" x14ac:dyDescent="0.25">
      <c r="A15" s="5" t="s">
        <v>126</v>
      </c>
      <c r="B15" s="37">
        <v>105.44444444444444</v>
      </c>
      <c r="C15" s="44" t="s">
        <v>72</v>
      </c>
      <c r="E15" t="str">
        <f t="shared" si="0"/>
        <v>Ravenstein - Lith</v>
      </c>
      <c r="H15" s="5"/>
      <c r="I15" s="37"/>
      <c r="J15" s="41" t="s">
        <v>43</v>
      </c>
      <c r="K15" s="42">
        <v>124.942475</v>
      </c>
      <c r="L15" s="42">
        <v>212.55555555555554</v>
      </c>
      <c r="M15">
        <v>1</v>
      </c>
    </row>
    <row r="16" spans="1:13" x14ac:dyDescent="0.25">
      <c r="A16" s="5" t="s">
        <v>102</v>
      </c>
      <c r="B16" s="37">
        <v>128.41222222222223</v>
      </c>
      <c r="C16" s="44" t="s">
        <v>273</v>
      </c>
      <c r="E16" t="str">
        <f t="shared" si="0"/>
        <v>Wolferen-Sprok incl. DTO</v>
      </c>
      <c r="H16" s="5"/>
      <c r="I16" s="37"/>
      <c r="J16" s="41" t="s">
        <v>175</v>
      </c>
      <c r="K16" s="42">
        <v>69.400000000000006</v>
      </c>
      <c r="L16" s="42">
        <v>78.633333333333326</v>
      </c>
      <c r="M16">
        <v>0</v>
      </c>
    </row>
    <row r="17" spans="1:13" x14ac:dyDescent="0.25">
      <c r="A17" s="5" t="s">
        <v>273</v>
      </c>
      <c r="B17" s="37">
        <v>136.22222222222223</v>
      </c>
      <c r="C17" s="44" t="s">
        <v>299</v>
      </c>
      <c r="E17">
        <f t="shared" si="0"/>
        <v>0</v>
      </c>
      <c r="H17" s="5"/>
      <c r="I17" s="37"/>
      <c r="J17" s="41" t="s">
        <v>98</v>
      </c>
      <c r="K17" s="42">
        <v>54.199999999999996</v>
      </c>
      <c r="L17" s="42">
        <v>65.888888888888886</v>
      </c>
      <c r="M17">
        <v>0</v>
      </c>
    </row>
    <row r="18" spans="1:13" x14ac:dyDescent="0.25">
      <c r="A18" s="5" t="s">
        <v>255</v>
      </c>
      <c r="B18" s="37">
        <v>94.8</v>
      </c>
      <c r="C18" s="44" t="s">
        <v>296</v>
      </c>
      <c r="E18">
        <f t="shared" si="0"/>
        <v>0</v>
      </c>
      <c r="H18" s="5"/>
      <c r="I18" s="37"/>
      <c r="J18" s="41" t="s">
        <v>81</v>
      </c>
      <c r="K18" s="42">
        <v>203.9</v>
      </c>
      <c r="L18" s="42">
        <v>222</v>
      </c>
      <c r="M18">
        <v>0</v>
      </c>
    </row>
    <row r="19" spans="1:13" x14ac:dyDescent="0.25">
      <c r="A19" s="5" t="s">
        <v>87</v>
      </c>
      <c r="B19" s="37">
        <v>262</v>
      </c>
      <c r="C19" s="44" t="s">
        <v>205</v>
      </c>
      <c r="E19" t="str">
        <f t="shared" si="0"/>
        <v>Cuijk - Ravenstein</v>
      </c>
      <c r="H19" s="5"/>
      <c r="I19" s="37"/>
      <c r="J19" s="41" t="s">
        <v>167</v>
      </c>
      <c r="K19" s="42">
        <v>86.399999999999991</v>
      </c>
      <c r="L19" s="42">
        <v>310.66666666666669</v>
      </c>
      <c r="M19">
        <v>0</v>
      </c>
    </row>
    <row r="20" spans="1:13" x14ac:dyDescent="0.25">
      <c r="H20" s="5"/>
      <c r="I20" s="37"/>
      <c r="J20" s="41" t="s">
        <v>146</v>
      </c>
      <c r="K20" s="42">
        <v>107.7</v>
      </c>
      <c r="L20" s="42">
        <v>327</v>
      </c>
      <c r="M20">
        <v>0</v>
      </c>
    </row>
    <row r="21" spans="1:13" x14ac:dyDescent="0.25">
      <c r="H21" s="5"/>
      <c r="I21" s="37"/>
      <c r="J21" s="41" t="s">
        <v>157</v>
      </c>
      <c r="K21" s="42">
        <v>77.400000000000006</v>
      </c>
      <c r="L21" s="42">
        <v>96.777777777777771</v>
      </c>
      <c r="M21">
        <v>1</v>
      </c>
    </row>
    <row r="22" spans="1:13" x14ac:dyDescent="0.25">
      <c r="H22" s="5"/>
      <c r="I22" s="37"/>
      <c r="J22" s="41" t="s">
        <v>205</v>
      </c>
      <c r="K22" s="42"/>
      <c r="L22" s="42">
        <v>101.11111111111111</v>
      </c>
      <c r="M22">
        <v>0</v>
      </c>
    </row>
    <row r="23" spans="1:13" x14ac:dyDescent="0.25">
      <c r="H23" s="5"/>
      <c r="I23" s="37"/>
      <c r="J23" s="37"/>
      <c r="K23" s="37"/>
      <c r="L23" s="37"/>
      <c r="M23" s="37"/>
    </row>
    <row r="24" spans="1:13" x14ac:dyDescent="0.25">
      <c r="A24" s="43" t="s">
        <v>305</v>
      </c>
      <c r="B24" s="43" t="s">
        <v>303</v>
      </c>
      <c r="C24" s="43" t="s">
        <v>304</v>
      </c>
      <c r="H24" s="5"/>
      <c r="I24" s="37"/>
      <c r="J24" s="37"/>
      <c r="K24" s="37"/>
      <c r="L24" s="37"/>
      <c r="M24" s="37"/>
    </row>
    <row r="25" spans="1:13" x14ac:dyDescent="0.25">
      <c r="A25" t="s">
        <v>205</v>
      </c>
      <c r="B25" t="s">
        <v>146</v>
      </c>
      <c r="C25" t="s">
        <v>146</v>
      </c>
      <c r="H25" s="5"/>
      <c r="I25" s="37"/>
      <c r="J25" s="37"/>
      <c r="K25" s="37"/>
      <c r="L25" s="37"/>
      <c r="M25" s="37"/>
    </row>
    <row r="26" spans="1:13" x14ac:dyDescent="0.25">
      <c r="A26" t="s">
        <v>157</v>
      </c>
      <c r="B26" t="s">
        <v>150</v>
      </c>
      <c r="C26" t="s">
        <v>150</v>
      </c>
      <c r="H26" s="5"/>
      <c r="I26" s="37"/>
      <c r="J26" s="37"/>
      <c r="K26" s="37"/>
      <c r="L26" s="37"/>
      <c r="M26" s="37"/>
    </row>
    <row r="27" spans="1:13" x14ac:dyDescent="0.25">
      <c r="A27" t="s">
        <v>146</v>
      </c>
      <c r="B27" t="s">
        <v>167</v>
      </c>
      <c r="C27" t="s">
        <v>167</v>
      </c>
      <c r="H27" s="5"/>
      <c r="I27" s="37"/>
      <c r="J27" s="37"/>
      <c r="K27" s="37"/>
      <c r="L27" s="37"/>
      <c r="M27" s="37"/>
    </row>
    <row r="28" spans="1:13" x14ac:dyDescent="0.25">
      <c r="A28" t="s">
        <v>167</v>
      </c>
      <c r="B28" t="s">
        <v>87</v>
      </c>
      <c r="C28" t="s">
        <v>87</v>
      </c>
      <c r="H28" s="5"/>
      <c r="I28" s="37"/>
      <c r="J28" s="37"/>
      <c r="K28" s="37"/>
      <c r="L28" s="37"/>
      <c r="M28" s="37"/>
    </row>
    <row r="29" spans="1:13" x14ac:dyDescent="0.25">
      <c r="A29" t="s">
        <v>81</v>
      </c>
      <c r="B29" t="s">
        <v>81</v>
      </c>
      <c r="C29" t="s">
        <v>81</v>
      </c>
    </row>
    <row r="30" spans="1:13" x14ac:dyDescent="0.25">
      <c r="A30" t="s">
        <v>43</v>
      </c>
      <c r="B30" t="s">
        <v>52</v>
      </c>
      <c r="C30" t="s">
        <v>52</v>
      </c>
    </row>
    <row r="31" spans="1:13" x14ac:dyDescent="0.25">
      <c r="A31" t="s">
        <v>72</v>
      </c>
      <c r="B31" t="s">
        <v>43</v>
      </c>
      <c r="C31" t="s">
        <v>43</v>
      </c>
    </row>
    <row r="32" spans="1:13" x14ac:dyDescent="0.25">
      <c r="A32" t="s">
        <v>52</v>
      </c>
      <c r="B32" t="s">
        <v>297</v>
      </c>
      <c r="C32">
        <v>0</v>
      </c>
    </row>
    <row r="33" spans="1:3" x14ac:dyDescent="0.25">
      <c r="A33" t="s">
        <v>92</v>
      </c>
      <c r="B33" t="s">
        <v>126</v>
      </c>
      <c r="C33" t="s">
        <v>126</v>
      </c>
    </row>
    <row r="34" spans="1:3" x14ac:dyDescent="0.25">
      <c r="A34" t="s">
        <v>150</v>
      </c>
      <c r="B34" t="s">
        <v>298</v>
      </c>
      <c r="C34">
        <v>0</v>
      </c>
    </row>
    <row r="35" spans="1:3" x14ac:dyDescent="0.25">
      <c r="A35" t="s">
        <v>126</v>
      </c>
      <c r="B35" t="s">
        <v>72</v>
      </c>
      <c r="C35" t="s">
        <v>72</v>
      </c>
    </row>
    <row r="36" spans="1:3" x14ac:dyDescent="0.25">
      <c r="A36" t="s">
        <v>102</v>
      </c>
      <c r="B36" t="s">
        <v>273</v>
      </c>
      <c r="C36" t="s">
        <v>273</v>
      </c>
    </row>
    <row r="37" spans="1:3" x14ac:dyDescent="0.25">
      <c r="A37" t="s">
        <v>273</v>
      </c>
      <c r="B37" t="s">
        <v>299</v>
      </c>
      <c r="C37">
        <v>0</v>
      </c>
    </row>
    <row r="38" spans="1:3" x14ac:dyDescent="0.25">
      <c r="A38" t="s">
        <v>255</v>
      </c>
      <c r="B38" t="s">
        <v>296</v>
      </c>
      <c r="C38">
        <v>0</v>
      </c>
    </row>
    <row r="39" spans="1:3" x14ac:dyDescent="0.25">
      <c r="A39" t="s">
        <v>87</v>
      </c>
      <c r="B39" t="s">
        <v>205</v>
      </c>
      <c r="C39" t="s">
        <v>205</v>
      </c>
    </row>
    <row r="42" spans="1:3" x14ac:dyDescent="0.25">
      <c r="B42" t="s">
        <v>300</v>
      </c>
    </row>
    <row r="43" spans="1:3" x14ac:dyDescent="0.25">
      <c r="A43" s="44" t="s">
        <v>297</v>
      </c>
      <c r="B43" t="s">
        <v>301</v>
      </c>
    </row>
    <row r="44" spans="1:3" x14ac:dyDescent="0.25">
      <c r="A44" s="44" t="s">
        <v>298</v>
      </c>
      <c r="B44" t="s">
        <v>301</v>
      </c>
    </row>
    <row r="45" spans="1:3" x14ac:dyDescent="0.25">
      <c r="A45" s="44" t="s">
        <v>299</v>
      </c>
    </row>
    <row r="46" spans="1:3" x14ac:dyDescent="0.25">
      <c r="A46" s="44" t="s">
        <v>296</v>
      </c>
      <c r="B46" t="s">
        <v>302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AEC-1FCC-4B76-9022-1A5D3854DE3C}">
  <dimension ref="A4:N46"/>
  <sheetViews>
    <sheetView workbookViewId="0">
      <selection activeCell="J24" sqref="J24"/>
    </sheetView>
  </sheetViews>
  <sheetFormatPr defaultRowHeight="15" x14ac:dyDescent="0.25"/>
  <cols>
    <col min="1" max="1" width="20.85546875" bestFit="1" customWidth="1"/>
    <col min="2" max="2" width="14.28515625" bestFit="1" customWidth="1"/>
    <col min="3" max="6" width="7.42578125" bestFit="1" customWidth="1"/>
    <col min="7" max="7" width="10" bestFit="1" customWidth="1"/>
    <col min="8" max="8" width="6.42578125" bestFit="1" customWidth="1"/>
    <col min="9" max="9" width="29.140625" customWidth="1"/>
    <col min="10" max="17" width="7.42578125" bestFit="1" customWidth="1"/>
    <col min="18" max="18" width="28" bestFit="1" customWidth="1"/>
    <col min="19" max="19" width="43.5703125" bestFit="1" customWidth="1"/>
    <col min="20" max="23" width="7.42578125" bestFit="1" customWidth="1"/>
    <col min="24" max="24" width="47.85546875" bestFit="1" customWidth="1"/>
    <col min="25" max="25" width="28.28515625" bestFit="1" customWidth="1"/>
    <col min="26" max="29" width="6.42578125" bestFit="1" customWidth="1"/>
    <col min="30" max="30" width="32.42578125" bestFit="1" customWidth="1"/>
    <col min="31" max="31" width="20.140625" bestFit="1" customWidth="1"/>
    <col min="32" max="35" width="6.42578125" bestFit="1" customWidth="1"/>
    <col min="36" max="36" width="24.28515625" bestFit="1" customWidth="1"/>
    <col min="37" max="37" width="16.140625" bestFit="1" customWidth="1"/>
    <col min="38" max="41" width="7.42578125" bestFit="1" customWidth="1"/>
    <col min="42" max="42" width="20.28515625" bestFit="1" customWidth="1"/>
    <col min="43" max="43" width="17.7109375" bestFit="1" customWidth="1"/>
    <col min="44" max="47" width="7.42578125" bestFit="1" customWidth="1"/>
    <col min="48" max="48" width="22" bestFit="1" customWidth="1"/>
    <col min="49" max="49" width="30.140625" bestFit="1" customWidth="1"/>
    <col min="50" max="50" width="6.42578125" bestFit="1" customWidth="1"/>
    <col min="51" max="51" width="34.42578125" bestFit="1" customWidth="1"/>
    <col min="52" max="52" width="20.140625" bestFit="1" customWidth="1"/>
    <col min="53" max="53" width="6.42578125" bestFit="1" customWidth="1"/>
    <col min="54" max="54" width="24.28515625" bestFit="1" customWidth="1"/>
    <col min="55" max="55" width="36.85546875" bestFit="1" customWidth="1"/>
    <col min="56" max="56" width="41" bestFit="1" customWidth="1"/>
    <col min="57" max="57" width="28.42578125" bestFit="1" customWidth="1"/>
    <col min="58" max="58" width="7.42578125" bestFit="1" customWidth="1"/>
    <col min="59" max="59" width="32.5703125" bestFit="1" customWidth="1"/>
    <col min="60" max="60" width="19.85546875" bestFit="1" customWidth="1"/>
    <col min="61" max="61" width="7.42578125" bestFit="1" customWidth="1"/>
    <col min="62" max="62" width="24" bestFit="1" customWidth="1"/>
    <col min="63" max="63" width="40" bestFit="1" customWidth="1"/>
    <col min="64" max="64" width="44.140625" bestFit="1" customWidth="1"/>
    <col min="65" max="65" width="26.7109375" bestFit="1" customWidth="1"/>
    <col min="66" max="69" width="7.42578125" bestFit="1" customWidth="1"/>
    <col min="70" max="70" width="31" bestFit="1" customWidth="1"/>
    <col min="71" max="71" width="20.140625" bestFit="1" customWidth="1"/>
    <col min="72" max="72" width="24.28515625" bestFit="1" customWidth="1"/>
    <col min="73" max="73" width="20.85546875" bestFit="1" customWidth="1"/>
    <col min="74" max="74" width="25" bestFit="1" customWidth="1"/>
    <col min="75" max="75" width="22.28515625" bestFit="1" customWidth="1"/>
    <col min="76" max="76" width="7.42578125" bestFit="1" customWidth="1"/>
    <col min="77" max="77" width="26.5703125" bestFit="1" customWidth="1"/>
    <col min="78" max="78" width="12.5703125" bestFit="1" customWidth="1"/>
    <col min="79" max="79" width="16.7109375" bestFit="1" customWidth="1"/>
    <col min="80" max="80" width="37.42578125" bestFit="1" customWidth="1"/>
    <col min="81" max="81" width="6.42578125" bestFit="1" customWidth="1"/>
    <col min="82" max="82" width="41.5703125" bestFit="1" customWidth="1"/>
    <col min="83" max="83" width="43.42578125" bestFit="1" customWidth="1"/>
    <col min="84" max="84" width="6.42578125" bestFit="1" customWidth="1"/>
    <col min="85" max="85" width="47.7109375" bestFit="1" customWidth="1"/>
    <col min="86" max="86" width="24.5703125" bestFit="1" customWidth="1"/>
    <col min="87" max="87" width="6.42578125" bestFit="1" customWidth="1"/>
    <col min="88" max="88" width="28.7109375" bestFit="1" customWidth="1"/>
    <col min="89" max="89" width="22.42578125" bestFit="1" customWidth="1"/>
    <col min="90" max="91" width="6.42578125" bestFit="1" customWidth="1"/>
    <col min="92" max="92" width="26.7109375" bestFit="1" customWidth="1"/>
    <col min="93" max="93" width="17.28515625" bestFit="1" customWidth="1"/>
    <col min="94" max="94" width="6.42578125" bestFit="1" customWidth="1"/>
    <col min="95" max="95" width="7.42578125" bestFit="1" customWidth="1"/>
    <col min="96" max="96" width="21.5703125" bestFit="1" customWidth="1"/>
    <col min="97" max="97" width="30.5703125" bestFit="1" customWidth="1"/>
    <col min="98" max="98" width="34.85546875" bestFit="1" customWidth="1"/>
    <col min="99" max="99" width="25.85546875" bestFit="1" customWidth="1"/>
    <col min="100" max="100" width="30.140625" bestFit="1" customWidth="1"/>
    <col min="101" max="101" width="34.5703125" bestFit="1" customWidth="1"/>
    <col min="102" max="102" width="6.42578125" bestFit="1" customWidth="1"/>
    <col min="103" max="103" width="38.85546875" bestFit="1" customWidth="1"/>
    <col min="104" max="104" width="36.140625" bestFit="1" customWidth="1"/>
    <col min="105" max="105" width="40.28515625" bestFit="1" customWidth="1"/>
    <col min="106" max="106" width="46.42578125" bestFit="1" customWidth="1"/>
    <col min="107" max="107" width="6.42578125" bestFit="1" customWidth="1"/>
    <col min="108" max="108" width="50.7109375" bestFit="1" customWidth="1"/>
    <col min="109" max="109" width="8.85546875" bestFit="1" customWidth="1"/>
    <col min="110" max="111" width="6.42578125" bestFit="1" customWidth="1"/>
    <col min="112" max="112" width="12.85546875" bestFit="1" customWidth="1"/>
    <col min="113" max="113" width="13.140625" bestFit="1" customWidth="1"/>
    <col min="114" max="117" width="7.42578125" bestFit="1" customWidth="1"/>
    <col min="118" max="118" width="17.42578125" bestFit="1" customWidth="1"/>
    <col min="119" max="119" width="8.140625" bestFit="1" customWidth="1"/>
    <col min="120" max="120" width="3" bestFit="1" customWidth="1"/>
    <col min="121" max="121" width="12.140625" bestFit="1" customWidth="1"/>
    <col min="122" max="122" width="10" bestFit="1" customWidth="1"/>
  </cols>
  <sheetData>
    <row r="4" spans="1:14" x14ac:dyDescent="0.25">
      <c r="A4" s="4" t="s">
        <v>292</v>
      </c>
      <c r="B4" s="4" t="s">
        <v>281</v>
      </c>
    </row>
    <row r="5" spans="1:14" x14ac:dyDescent="0.25">
      <c r="A5" s="4" t="s">
        <v>217</v>
      </c>
      <c r="B5">
        <v>18</v>
      </c>
      <c r="C5">
        <v>19</v>
      </c>
      <c r="D5">
        <v>20</v>
      </c>
      <c r="E5">
        <v>21</v>
      </c>
      <c r="F5">
        <v>22</v>
      </c>
      <c r="H5" s="5"/>
      <c r="I5" s="47" t="s">
        <v>0</v>
      </c>
      <c r="J5" s="43">
        <v>2018</v>
      </c>
      <c r="K5" s="43">
        <v>2019</v>
      </c>
      <c r="L5" s="43">
        <v>2020</v>
      </c>
      <c r="M5" s="43">
        <v>2021</v>
      </c>
      <c r="N5" s="43">
        <v>2022</v>
      </c>
    </row>
    <row r="6" spans="1:14" x14ac:dyDescent="0.25">
      <c r="A6" s="5">
        <v>1</v>
      </c>
      <c r="B6" s="37">
        <v>30</v>
      </c>
      <c r="C6" s="37">
        <v>29.2</v>
      </c>
      <c r="D6" s="37">
        <v>30.000000000000004</v>
      </c>
      <c r="E6" s="37">
        <v>30</v>
      </c>
      <c r="F6" s="37">
        <v>31.888888888888889</v>
      </c>
      <c r="H6" s="5"/>
      <c r="I6" t="s">
        <v>146</v>
      </c>
      <c r="J6" s="3">
        <v>107.7</v>
      </c>
      <c r="K6" s="3">
        <v>120</v>
      </c>
      <c r="L6" s="3">
        <v>269.40777777777782</v>
      </c>
      <c r="M6" s="3">
        <v>269.41000000000003</v>
      </c>
      <c r="N6" s="3">
        <v>327</v>
      </c>
    </row>
    <row r="7" spans="1:14" x14ac:dyDescent="0.25">
      <c r="A7" s="5">
        <v>2</v>
      </c>
      <c r="B7" s="37">
        <v>37.4</v>
      </c>
      <c r="C7" s="37">
        <v>79.393999999999991</v>
      </c>
      <c r="D7" s="37">
        <v>84.928888888888892</v>
      </c>
      <c r="E7" s="37">
        <v>85.587777777777774</v>
      </c>
      <c r="F7" s="37">
        <v>58.5</v>
      </c>
      <c r="H7" s="5"/>
      <c r="I7" t="s">
        <v>150</v>
      </c>
      <c r="J7" s="3">
        <v>90</v>
      </c>
      <c r="K7" s="3">
        <v>76.498999999999995</v>
      </c>
      <c r="L7" s="3">
        <v>213.78155555555557</v>
      </c>
      <c r="M7" s="3">
        <v>333.55574888888896</v>
      </c>
      <c r="N7" s="3">
        <v>332.55555555555554</v>
      </c>
    </row>
    <row r="8" spans="1:14" x14ac:dyDescent="0.25">
      <c r="A8" s="5">
        <v>3</v>
      </c>
      <c r="B8" s="37">
        <v>124.942475</v>
      </c>
      <c r="C8" s="37">
        <v>124.906271</v>
      </c>
      <c r="D8" s="37">
        <v>128.65777777777777</v>
      </c>
      <c r="E8" s="37">
        <v>128.61888888888888</v>
      </c>
      <c r="F8" s="37">
        <v>212.55555555555554</v>
      </c>
      <c r="H8" s="5"/>
      <c r="I8" t="s">
        <v>167</v>
      </c>
      <c r="J8" s="3">
        <v>86.399999999999991</v>
      </c>
      <c r="K8" s="3">
        <v>304.731381</v>
      </c>
      <c r="L8" s="3">
        <v>310.93490777777777</v>
      </c>
      <c r="M8" s="3">
        <v>311.13888888888891</v>
      </c>
      <c r="N8" s="3">
        <v>310.66666666666669</v>
      </c>
    </row>
    <row r="9" spans="1:14" x14ac:dyDescent="0.25">
      <c r="A9" s="5">
        <v>4</v>
      </c>
      <c r="B9" s="37">
        <v>23.700000000000003</v>
      </c>
      <c r="C9" s="37">
        <v>23.715</v>
      </c>
      <c r="D9" s="37">
        <v>23.770000000000003</v>
      </c>
      <c r="E9" s="37">
        <v>22.514444444444447</v>
      </c>
      <c r="F9" s="37">
        <v>22.444444444444443</v>
      </c>
      <c r="H9" s="5"/>
      <c r="I9" t="s">
        <v>87</v>
      </c>
      <c r="J9" s="3">
        <v>167</v>
      </c>
      <c r="K9" s="3">
        <v>190.56800000000001</v>
      </c>
      <c r="L9" s="3">
        <v>193.61222222222221</v>
      </c>
      <c r="M9" s="3">
        <v>193.52777777777774</v>
      </c>
      <c r="N9" s="3">
        <v>262</v>
      </c>
    </row>
    <row r="10" spans="1:14" x14ac:dyDescent="0.25">
      <c r="A10" s="5">
        <v>5</v>
      </c>
      <c r="B10" s="37">
        <v>83.73</v>
      </c>
      <c r="C10" s="37">
        <v>85.75</v>
      </c>
      <c r="D10" s="37">
        <v>103.78888888888888</v>
      </c>
      <c r="E10" s="37">
        <v>213.31444444444446</v>
      </c>
      <c r="F10" s="37">
        <v>217.22222222222223</v>
      </c>
      <c r="H10" s="5"/>
      <c r="I10" t="s">
        <v>81</v>
      </c>
      <c r="J10" s="3">
        <v>203.9</v>
      </c>
      <c r="K10" s="3">
        <v>204</v>
      </c>
      <c r="L10" s="3">
        <v>221.16777777777776</v>
      </c>
      <c r="M10" s="3">
        <v>222.09555555555556</v>
      </c>
      <c r="N10" s="3">
        <v>222</v>
      </c>
    </row>
    <row r="11" spans="1:14" x14ac:dyDescent="0.25">
      <c r="A11" s="5">
        <v>6</v>
      </c>
      <c r="B11" s="37">
        <v>24.700000000000003</v>
      </c>
      <c r="C11" s="37">
        <v>25.8</v>
      </c>
      <c r="D11" s="37">
        <v>66.667777777777772</v>
      </c>
      <c r="E11" s="37">
        <v>24.755555555555553</v>
      </c>
      <c r="F11" s="37">
        <v>40.623333333333335</v>
      </c>
      <c r="H11" s="5"/>
      <c r="I11" t="s">
        <v>52</v>
      </c>
      <c r="J11" s="3">
        <v>83.73</v>
      </c>
      <c r="K11" s="3">
        <v>85.75</v>
      </c>
      <c r="L11" s="3">
        <v>103.78888888888888</v>
      </c>
      <c r="M11" s="3">
        <v>213.31444444444446</v>
      </c>
      <c r="N11" s="3">
        <v>217.22222222222223</v>
      </c>
    </row>
    <row r="12" spans="1:14" x14ac:dyDescent="0.25">
      <c r="A12" s="5">
        <v>7</v>
      </c>
      <c r="B12" s="37">
        <v>48.900000000000006</v>
      </c>
      <c r="C12" s="37">
        <v>52.989000000000004</v>
      </c>
      <c r="D12" s="37">
        <v>53.033333333333339</v>
      </c>
      <c r="E12" s="37">
        <v>40</v>
      </c>
      <c r="F12" s="37">
        <v>40.55555555555555</v>
      </c>
      <c r="H12" s="5"/>
      <c r="I12" t="s">
        <v>43</v>
      </c>
      <c r="J12" s="3">
        <v>124.942475</v>
      </c>
      <c r="K12" s="3">
        <v>124.906271</v>
      </c>
      <c r="L12" s="3">
        <v>128.65777777777777</v>
      </c>
      <c r="M12" s="3">
        <v>128.61888888888888</v>
      </c>
      <c r="N12" s="3">
        <v>212.55555555555554</v>
      </c>
    </row>
    <row r="13" spans="1:14" x14ac:dyDescent="0.25">
      <c r="A13" s="5">
        <v>8</v>
      </c>
      <c r="B13" s="37">
        <v>138.19999999999999</v>
      </c>
      <c r="C13" s="37">
        <v>138.30000000000001</v>
      </c>
      <c r="D13" s="37">
        <v>143.02333333333334</v>
      </c>
      <c r="E13" s="37">
        <v>136.44444444444446</v>
      </c>
      <c r="F13" s="37">
        <v>139.22222222222223</v>
      </c>
      <c r="H13" s="5"/>
      <c r="I13" t="s">
        <v>126</v>
      </c>
      <c r="J13" s="3">
        <v>38.5</v>
      </c>
      <c r="K13" s="3">
        <v>27.900000000000002</v>
      </c>
      <c r="L13" s="3">
        <v>47.2</v>
      </c>
      <c r="M13" s="3">
        <v>105.56888888888889</v>
      </c>
      <c r="N13" s="3">
        <v>105.44444444444444</v>
      </c>
    </row>
    <row r="14" spans="1:14" x14ac:dyDescent="0.25">
      <c r="A14" s="5">
        <v>9</v>
      </c>
      <c r="B14" s="37">
        <v>203.9</v>
      </c>
      <c r="C14" s="37">
        <v>204</v>
      </c>
      <c r="D14" s="37">
        <v>221.16777777777776</v>
      </c>
      <c r="E14" s="37">
        <v>222.09555555555556</v>
      </c>
      <c r="F14" s="37">
        <v>222</v>
      </c>
      <c r="H14" s="5"/>
      <c r="I14" t="s">
        <v>72</v>
      </c>
      <c r="J14" s="3">
        <v>138.19999999999999</v>
      </c>
      <c r="K14" s="3">
        <v>138.30000000000001</v>
      </c>
      <c r="L14" s="3">
        <v>143.02333333333334</v>
      </c>
      <c r="M14" s="3">
        <v>136.44444444444446</v>
      </c>
      <c r="N14" s="3">
        <v>139.22222222222223</v>
      </c>
    </row>
    <row r="15" spans="1:14" x14ac:dyDescent="0.25">
      <c r="A15" s="5">
        <v>10</v>
      </c>
      <c r="B15" s="37">
        <v>167</v>
      </c>
      <c r="C15" s="37">
        <v>190.56800000000001</v>
      </c>
      <c r="D15" s="37">
        <v>193.61222222222221</v>
      </c>
      <c r="E15" s="37">
        <v>193.52777777777774</v>
      </c>
      <c r="F15" s="37">
        <v>262</v>
      </c>
      <c r="H15" s="5"/>
      <c r="I15" t="s">
        <v>273</v>
      </c>
      <c r="J15" s="3">
        <v>50.300000000000004</v>
      </c>
      <c r="K15" s="3">
        <v>50.800000000000004</v>
      </c>
      <c r="L15" s="3">
        <v>108.80444444444444</v>
      </c>
      <c r="M15" s="3">
        <v>136.30888888888887</v>
      </c>
      <c r="N15" s="3">
        <v>136.22222222222223</v>
      </c>
    </row>
    <row r="16" spans="1:14" x14ac:dyDescent="0.25">
      <c r="A16" s="5">
        <v>11</v>
      </c>
      <c r="B16" s="37">
        <v>107</v>
      </c>
      <c r="C16" s="37">
        <v>77.699999999999989</v>
      </c>
      <c r="D16" s="37">
        <v>73.00888888888889</v>
      </c>
      <c r="E16" s="37">
        <v>98.11</v>
      </c>
      <c r="F16" s="37">
        <v>116.66666666666666</v>
      </c>
      <c r="H16" s="5"/>
      <c r="I16" t="s">
        <v>205</v>
      </c>
      <c r="J16" s="3"/>
      <c r="K16" s="3">
        <v>105</v>
      </c>
      <c r="L16" s="3">
        <v>145.86888888888888</v>
      </c>
      <c r="M16" s="3">
        <v>143.82</v>
      </c>
      <c r="N16" s="3">
        <v>101.11111111111111</v>
      </c>
    </row>
    <row r="17" spans="1:14" x14ac:dyDescent="0.25">
      <c r="A17" s="5">
        <v>12</v>
      </c>
      <c r="B17" s="37">
        <v>54.199999999999996</v>
      </c>
      <c r="C17" s="37">
        <v>59.5</v>
      </c>
      <c r="D17" s="37">
        <v>62.36346555555555</v>
      </c>
      <c r="E17" s="37">
        <v>66.057777777777773</v>
      </c>
      <c r="F17" s="37">
        <v>65.888888888888886</v>
      </c>
      <c r="H17" s="5"/>
      <c r="I17" t="s">
        <v>306</v>
      </c>
      <c r="J17" s="46">
        <f>AVERAGE(J6:J16)</f>
        <v>109.06724750000001</v>
      </c>
      <c r="K17" s="46">
        <f>AVERAGE(K6:K16)</f>
        <v>129.8595138181818</v>
      </c>
      <c r="L17" s="46">
        <f>AVERAGE(L6:L16)</f>
        <v>171.47705222222223</v>
      </c>
      <c r="M17" s="46">
        <f>AVERAGE(M6:M16)</f>
        <v>199.43668424242426</v>
      </c>
      <c r="N17" s="46">
        <f>AVERAGE(N6:N16)</f>
        <v>215.09090909090909</v>
      </c>
    </row>
    <row r="18" spans="1:14" x14ac:dyDescent="0.25">
      <c r="A18" s="5">
        <v>13</v>
      </c>
      <c r="B18" s="37">
        <v>101.2</v>
      </c>
      <c r="C18" s="37">
        <v>101.2</v>
      </c>
      <c r="D18" s="37">
        <v>64.298888888888897</v>
      </c>
      <c r="E18" s="37">
        <v>64.301111111111112</v>
      </c>
      <c r="F18" s="37">
        <v>64.111111111111114</v>
      </c>
      <c r="H18" s="5"/>
      <c r="J18" s="3"/>
      <c r="K18" s="3"/>
      <c r="L18" s="3"/>
      <c r="M18" s="3"/>
      <c r="N18" s="3"/>
    </row>
    <row r="19" spans="1:14" x14ac:dyDescent="0.25">
      <c r="A19" s="5">
        <v>15</v>
      </c>
      <c r="B19" s="37">
        <v>45.8</v>
      </c>
      <c r="C19" s="37">
        <v>29.599999999999998</v>
      </c>
      <c r="D19" s="37">
        <v>42.422222222222217</v>
      </c>
      <c r="E19" s="37">
        <v>42.435622222222221</v>
      </c>
      <c r="F19" s="37">
        <v>22.977777777777778</v>
      </c>
      <c r="H19" s="5"/>
      <c r="J19" s="3"/>
      <c r="K19" s="3"/>
      <c r="L19" s="3"/>
      <c r="M19" s="3"/>
      <c r="N19" s="3"/>
    </row>
    <row r="20" spans="1:14" x14ac:dyDescent="0.25">
      <c r="A20" s="5">
        <v>16</v>
      </c>
      <c r="B20" s="37"/>
      <c r="C20" s="37">
        <v>42.6</v>
      </c>
      <c r="D20" s="37">
        <v>50.022222222222219</v>
      </c>
      <c r="E20" s="37">
        <v>80.711111111111109</v>
      </c>
      <c r="F20" s="37">
        <v>61.211111111111109</v>
      </c>
      <c r="H20" s="5"/>
    </row>
    <row r="21" spans="1:14" x14ac:dyDescent="0.25">
      <c r="A21" s="5">
        <v>17</v>
      </c>
      <c r="B21" s="37">
        <v>38.5</v>
      </c>
      <c r="C21" s="37">
        <v>27.900000000000002</v>
      </c>
      <c r="D21" s="37">
        <v>47.2</v>
      </c>
      <c r="E21" s="37">
        <v>105.56888888888889</v>
      </c>
      <c r="F21" s="37">
        <v>105.44444444444444</v>
      </c>
      <c r="H21" s="5"/>
      <c r="I21" s="37"/>
    </row>
    <row r="22" spans="1:14" x14ac:dyDescent="0.25">
      <c r="A22" s="5">
        <v>18</v>
      </c>
      <c r="B22" s="37"/>
      <c r="C22" s="37">
        <v>92.5</v>
      </c>
      <c r="D22" s="37">
        <v>88.149999999999991</v>
      </c>
      <c r="E22" s="37">
        <v>84</v>
      </c>
      <c r="F22" s="37">
        <v>75.444444444444443</v>
      </c>
      <c r="H22" s="5"/>
      <c r="I22" s="37"/>
    </row>
    <row r="23" spans="1:14" x14ac:dyDescent="0.25">
      <c r="A23" s="5">
        <v>20</v>
      </c>
      <c r="B23" s="37">
        <v>50.300000000000004</v>
      </c>
      <c r="C23" s="37">
        <v>50.800000000000004</v>
      </c>
      <c r="D23" s="37">
        <v>108.80444444444444</v>
      </c>
      <c r="E23" s="37">
        <v>136.30888888888887</v>
      </c>
      <c r="F23" s="37">
        <v>136.22222222222223</v>
      </c>
      <c r="H23" s="5"/>
      <c r="I23" s="37"/>
    </row>
    <row r="24" spans="1:14" x14ac:dyDescent="0.25">
      <c r="A24" s="5">
        <v>22</v>
      </c>
      <c r="B24" s="37">
        <v>107.7</v>
      </c>
      <c r="C24" s="37">
        <v>120</v>
      </c>
      <c r="D24" s="37">
        <v>269.40777777777782</v>
      </c>
      <c r="E24" s="37">
        <v>269.41000000000003</v>
      </c>
      <c r="F24" s="37">
        <v>327</v>
      </c>
      <c r="H24" s="5"/>
      <c r="I24" s="37"/>
    </row>
    <row r="25" spans="1:14" x14ac:dyDescent="0.25">
      <c r="A25" s="5">
        <v>23</v>
      </c>
      <c r="B25" s="37">
        <v>90</v>
      </c>
      <c r="C25" s="37">
        <v>76.498999999999995</v>
      </c>
      <c r="D25" s="37">
        <v>213.78155555555557</v>
      </c>
      <c r="E25" s="37">
        <v>333.55574888888896</v>
      </c>
      <c r="F25" s="37">
        <v>332.55555555555554</v>
      </c>
      <c r="H25" s="5"/>
      <c r="I25" s="37"/>
    </row>
    <row r="26" spans="1:14" x14ac:dyDescent="0.25">
      <c r="A26" s="5">
        <v>25</v>
      </c>
      <c r="B26" s="37">
        <v>77.400000000000006</v>
      </c>
      <c r="C26" s="37">
        <v>76.73</v>
      </c>
      <c r="D26" s="37">
        <v>103.33333333333334</v>
      </c>
      <c r="E26" s="37">
        <v>103.33333333333334</v>
      </c>
      <c r="F26" s="37">
        <v>96.777777777777771</v>
      </c>
      <c r="H26" s="5"/>
      <c r="I26" s="37"/>
    </row>
    <row r="27" spans="1:14" x14ac:dyDescent="0.25">
      <c r="A27" s="5">
        <v>26</v>
      </c>
      <c r="B27" s="37">
        <v>10.8</v>
      </c>
      <c r="C27" s="37">
        <v>55.511000000000003</v>
      </c>
      <c r="D27" s="37">
        <v>89.303333333333342</v>
      </c>
      <c r="E27" s="37">
        <v>16.503333333333334</v>
      </c>
      <c r="F27" s="37">
        <v>37.888888888888886</v>
      </c>
      <c r="H27" s="5"/>
      <c r="I27" s="37"/>
    </row>
    <row r="28" spans="1:14" x14ac:dyDescent="0.25">
      <c r="A28" s="5">
        <v>27</v>
      </c>
      <c r="B28" s="37">
        <v>86.399999999999991</v>
      </c>
      <c r="C28" s="37">
        <v>304.731381</v>
      </c>
      <c r="D28" s="37">
        <v>310.93490777777777</v>
      </c>
      <c r="E28" s="37">
        <v>311.13888888888891</v>
      </c>
      <c r="F28" s="37">
        <v>310.66666666666669</v>
      </c>
      <c r="H28" s="5"/>
      <c r="I28" s="37"/>
    </row>
    <row r="29" spans="1:14" x14ac:dyDescent="0.25">
      <c r="A29" s="5">
        <v>28</v>
      </c>
      <c r="B29" s="37">
        <v>69.400000000000006</v>
      </c>
      <c r="C29" s="37">
        <v>68.352000000000004</v>
      </c>
      <c r="D29" s="37">
        <v>68.352222222222224</v>
      </c>
      <c r="E29" s="37">
        <v>78</v>
      </c>
      <c r="F29" s="37">
        <v>78.633333333333326</v>
      </c>
    </row>
    <row r="30" spans="1:14" x14ac:dyDescent="0.25">
      <c r="A30" s="5">
        <v>33</v>
      </c>
      <c r="B30" s="37"/>
      <c r="C30" s="37"/>
      <c r="D30" s="37">
        <v>58.87</v>
      </c>
      <c r="E30" s="37">
        <v>70.24444444444444</v>
      </c>
      <c r="F30" s="37">
        <v>70.111111111111114</v>
      </c>
    </row>
    <row r="31" spans="1:14" x14ac:dyDescent="0.25">
      <c r="A31" s="5">
        <v>35</v>
      </c>
      <c r="B31" s="37">
        <v>101.2</v>
      </c>
      <c r="C31" s="37">
        <v>98.61</v>
      </c>
      <c r="D31" s="37">
        <v>64.298888888888897</v>
      </c>
      <c r="E31" s="37">
        <v>64.301111111111112</v>
      </c>
      <c r="F31" s="37">
        <v>64.301111111111112</v>
      </c>
    </row>
    <row r="32" spans="1:14" x14ac:dyDescent="0.25">
      <c r="A32" s="5">
        <v>36</v>
      </c>
      <c r="B32" s="37"/>
      <c r="C32" s="37">
        <v>105</v>
      </c>
      <c r="D32" s="37">
        <v>145.86888888888888</v>
      </c>
      <c r="E32" s="37">
        <v>143.82</v>
      </c>
      <c r="F32" s="37">
        <v>101.11111111111111</v>
      </c>
    </row>
    <row r="33" spans="1:6" x14ac:dyDescent="0.25">
      <c r="A33" s="5">
        <v>37</v>
      </c>
      <c r="B33" s="37">
        <v>9.4</v>
      </c>
      <c r="C33" s="37">
        <v>14.2</v>
      </c>
      <c r="D33" s="37">
        <v>66.8</v>
      </c>
      <c r="E33" s="37">
        <v>94.8</v>
      </c>
      <c r="F33" s="37">
        <v>94.8</v>
      </c>
    </row>
    <row r="34" spans="1:6" x14ac:dyDescent="0.25">
      <c r="A34" s="5">
        <v>38</v>
      </c>
      <c r="B34" s="37">
        <v>9.3000000000000007</v>
      </c>
      <c r="C34" s="37">
        <v>43.1</v>
      </c>
      <c r="D34" s="37">
        <v>3.1</v>
      </c>
      <c r="E34" s="37">
        <v>60.6</v>
      </c>
      <c r="F34" s="37">
        <v>60.6</v>
      </c>
    </row>
    <row r="42" spans="1:6" x14ac:dyDescent="0.25">
      <c r="B42" t="s">
        <v>300</v>
      </c>
    </row>
    <row r="43" spans="1:6" x14ac:dyDescent="0.25">
      <c r="A43" s="44" t="s">
        <v>297</v>
      </c>
      <c r="B43" t="s">
        <v>301</v>
      </c>
    </row>
    <row r="44" spans="1:6" x14ac:dyDescent="0.25">
      <c r="A44" s="44" t="s">
        <v>298</v>
      </c>
      <c r="B44" t="s">
        <v>301</v>
      </c>
    </row>
    <row r="45" spans="1:6" x14ac:dyDescent="0.25">
      <c r="A45" s="44" t="s">
        <v>299</v>
      </c>
    </row>
    <row r="46" spans="1:6" x14ac:dyDescent="0.25">
      <c r="A46" s="44" t="s">
        <v>296</v>
      </c>
      <c r="B46" t="s">
        <v>302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1D87-8D54-42D4-A85D-186F7D91F0DA}">
  <dimension ref="A4:O20"/>
  <sheetViews>
    <sheetView workbookViewId="0">
      <selection activeCell="G20" sqref="G20"/>
    </sheetView>
  </sheetViews>
  <sheetFormatPr defaultRowHeight="15" x14ac:dyDescent="0.25"/>
  <cols>
    <col min="1" max="1" width="28.42578125" bestFit="1" customWidth="1"/>
    <col min="2" max="2" width="14.28515625" bestFit="1" customWidth="1"/>
    <col min="3" max="5" width="7.42578125" bestFit="1" customWidth="1"/>
    <col min="6" max="6" width="6.42578125" bestFit="1" customWidth="1"/>
    <col min="7" max="7" width="7.42578125" bestFit="1" customWidth="1"/>
    <col min="8" max="8" width="6.42578125" bestFit="1" customWidth="1"/>
    <col min="9" max="9" width="7.42578125" bestFit="1" customWidth="1"/>
    <col min="10" max="11" width="6.42578125" bestFit="1" customWidth="1"/>
    <col min="12" max="12" width="5.42578125" bestFit="1" customWidth="1"/>
    <col min="13" max="13" width="6.42578125" bestFit="1" customWidth="1"/>
    <col min="14" max="17" width="7.42578125" bestFit="1" customWidth="1"/>
    <col min="18" max="18" width="6.42578125" bestFit="1" customWidth="1"/>
    <col min="19" max="19" width="7.42578125" bestFit="1" customWidth="1"/>
    <col min="20" max="22" width="6.42578125" bestFit="1" customWidth="1"/>
    <col min="23" max="23" width="6.28515625" bestFit="1" customWidth="1"/>
    <col min="24" max="24" width="8.85546875" bestFit="1" customWidth="1"/>
    <col min="25" max="29" width="7.42578125" bestFit="1" customWidth="1"/>
    <col min="30" max="30" width="6.42578125" bestFit="1" customWidth="1"/>
    <col min="31" max="31" width="7.42578125" bestFit="1" customWidth="1"/>
    <col min="32" max="32" width="6.42578125" bestFit="1" customWidth="1"/>
    <col min="33" max="33" width="2" bestFit="1" customWidth="1"/>
    <col min="34" max="34" width="6.42578125" bestFit="1" customWidth="1"/>
    <col min="35" max="35" width="5.42578125" bestFit="1" customWidth="1"/>
    <col min="36" max="36" width="8.85546875" bestFit="1" customWidth="1"/>
    <col min="37" max="40" width="7.42578125" bestFit="1" customWidth="1"/>
    <col min="41" max="41" width="6.42578125" bestFit="1" customWidth="1"/>
    <col min="42" max="43" width="7.42578125" bestFit="1" customWidth="1"/>
    <col min="44" max="44" width="2" bestFit="1" customWidth="1"/>
    <col min="45" max="46" width="6.42578125" bestFit="1" customWidth="1"/>
    <col min="47" max="47" width="7.42578125" bestFit="1" customWidth="1"/>
    <col min="48" max="48" width="8.85546875" bestFit="1" customWidth="1"/>
    <col min="49" max="49" width="4.85546875" bestFit="1" customWidth="1"/>
    <col min="50" max="50" width="7.42578125" bestFit="1" customWidth="1"/>
    <col min="51" max="51" width="6.42578125" bestFit="1" customWidth="1"/>
    <col min="52" max="53" width="7.42578125" bestFit="1" customWidth="1"/>
    <col min="54" max="54" width="6.42578125" bestFit="1" customWidth="1"/>
    <col min="55" max="55" width="7.42578125" bestFit="1" customWidth="1"/>
    <col min="56" max="56" width="6.42578125" bestFit="1" customWidth="1"/>
    <col min="57" max="57" width="2" bestFit="1" customWidth="1"/>
    <col min="58" max="60" width="6.42578125" bestFit="1" customWidth="1"/>
    <col min="61" max="61" width="8.85546875" bestFit="1" customWidth="1"/>
    <col min="62" max="63" width="6.42578125" bestFit="1" customWidth="1"/>
    <col min="64" max="64" width="8.85546875" bestFit="1" customWidth="1"/>
    <col min="65" max="65" width="8.140625" bestFit="1" customWidth="1"/>
    <col min="66" max="66" width="3" bestFit="1" customWidth="1"/>
    <col min="67" max="67" width="7.42578125" bestFit="1" customWidth="1"/>
    <col min="68" max="68" width="6.42578125" bestFit="1" customWidth="1"/>
    <col min="69" max="69" width="12.140625" bestFit="1" customWidth="1"/>
    <col min="70" max="70" width="31" bestFit="1" customWidth="1"/>
    <col min="71" max="71" width="20.140625" bestFit="1" customWidth="1"/>
    <col min="72" max="72" width="24.28515625" bestFit="1" customWidth="1"/>
    <col min="73" max="73" width="20.85546875" bestFit="1" customWidth="1"/>
    <col min="74" max="74" width="25" bestFit="1" customWidth="1"/>
    <col min="75" max="75" width="22.28515625" bestFit="1" customWidth="1"/>
    <col min="76" max="76" width="7.42578125" bestFit="1" customWidth="1"/>
    <col min="77" max="77" width="26.5703125" bestFit="1" customWidth="1"/>
    <col min="78" max="78" width="12.5703125" bestFit="1" customWidth="1"/>
    <col min="79" max="79" width="16.7109375" bestFit="1" customWidth="1"/>
    <col min="80" max="80" width="37.42578125" bestFit="1" customWidth="1"/>
    <col min="81" max="81" width="6.42578125" bestFit="1" customWidth="1"/>
    <col min="82" max="82" width="41.5703125" bestFit="1" customWidth="1"/>
    <col min="83" max="83" width="43.42578125" bestFit="1" customWidth="1"/>
    <col min="84" max="84" width="6.42578125" bestFit="1" customWidth="1"/>
    <col min="85" max="85" width="47.7109375" bestFit="1" customWidth="1"/>
    <col min="86" max="86" width="24.5703125" bestFit="1" customWidth="1"/>
    <col min="87" max="87" width="6.42578125" bestFit="1" customWidth="1"/>
    <col min="88" max="88" width="28.7109375" bestFit="1" customWidth="1"/>
    <col min="89" max="89" width="22.42578125" bestFit="1" customWidth="1"/>
    <col min="90" max="91" width="6.42578125" bestFit="1" customWidth="1"/>
    <col min="92" max="92" width="26.7109375" bestFit="1" customWidth="1"/>
    <col min="93" max="93" width="17.28515625" bestFit="1" customWidth="1"/>
    <col min="94" max="94" width="6.42578125" bestFit="1" customWidth="1"/>
    <col min="95" max="95" width="7.42578125" bestFit="1" customWidth="1"/>
    <col min="96" max="96" width="21.5703125" bestFit="1" customWidth="1"/>
    <col min="97" max="97" width="30.5703125" bestFit="1" customWidth="1"/>
    <col min="98" max="98" width="34.85546875" bestFit="1" customWidth="1"/>
    <col min="99" max="99" width="25.85546875" bestFit="1" customWidth="1"/>
    <col min="100" max="100" width="30.140625" bestFit="1" customWidth="1"/>
    <col min="101" max="101" width="34.5703125" bestFit="1" customWidth="1"/>
    <col min="102" max="102" width="6.42578125" bestFit="1" customWidth="1"/>
    <col min="103" max="103" width="38.85546875" bestFit="1" customWidth="1"/>
    <col min="104" max="104" width="36.140625" bestFit="1" customWidth="1"/>
    <col min="105" max="105" width="40.28515625" bestFit="1" customWidth="1"/>
    <col min="106" max="106" width="46.42578125" bestFit="1" customWidth="1"/>
    <col min="107" max="107" width="6.42578125" bestFit="1" customWidth="1"/>
    <col min="108" max="108" width="50.7109375" bestFit="1" customWidth="1"/>
    <col min="109" max="109" width="8.85546875" bestFit="1" customWidth="1"/>
    <col min="110" max="111" width="6.42578125" bestFit="1" customWidth="1"/>
    <col min="112" max="112" width="12.85546875" bestFit="1" customWidth="1"/>
    <col min="113" max="113" width="13.140625" bestFit="1" customWidth="1"/>
    <col min="114" max="117" width="7.42578125" bestFit="1" customWidth="1"/>
    <col min="118" max="118" width="17.42578125" bestFit="1" customWidth="1"/>
    <col min="119" max="119" width="8.140625" bestFit="1" customWidth="1"/>
    <col min="120" max="120" width="3" bestFit="1" customWidth="1"/>
    <col min="121" max="121" width="12.140625" bestFit="1" customWidth="1"/>
    <col min="122" max="122" width="10" bestFit="1" customWidth="1"/>
  </cols>
  <sheetData>
    <row r="4" spans="1:15" x14ac:dyDescent="0.25">
      <c r="A4" s="4" t="s">
        <v>313</v>
      </c>
      <c r="B4" s="4" t="s">
        <v>281</v>
      </c>
    </row>
    <row r="5" spans="1:15" x14ac:dyDescent="0.25">
      <c r="A5" s="4" t="s">
        <v>217</v>
      </c>
      <c r="B5">
        <v>22</v>
      </c>
      <c r="C5">
        <v>21</v>
      </c>
      <c r="D5">
        <v>20</v>
      </c>
      <c r="E5">
        <v>19</v>
      </c>
      <c r="F5">
        <v>18</v>
      </c>
    </row>
    <row r="6" spans="1:15" x14ac:dyDescent="0.25">
      <c r="A6" s="5">
        <v>0</v>
      </c>
      <c r="B6" s="37"/>
      <c r="C6" s="37"/>
      <c r="D6" s="37"/>
      <c r="E6" s="37"/>
      <c r="F6" s="37"/>
      <c r="O6" s="37"/>
    </row>
    <row r="7" spans="1:15" x14ac:dyDescent="0.25">
      <c r="A7" s="41" t="s">
        <v>311</v>
      </c>
      <c r="B7" s="37">
        <v>13.984074074074073</v>
      </c>
      <c r="C7" s="37">
        <v>17.829444444444444</v>
      </c>
      <c r="D7" s="37"/>
      <c r="E7" s="37"/>
      <c r="F7" s="37">
        <v>24.596659336828306</v>
      </c>
      <c r="O7" s="37"/>
    </row>
    <row r="8" spans="1:15" x14ac:dyDescent="0.25">
      <c r="A8" s="41" t="s">
        <v>312</v>
      </c>
      <c r="B8" s="37">
        <v>212.78333333333336</v>
      </c>
      <c r="C8" s="37">
        <v>235.43302740740748</v>
      </c>
      <c r="D8" s="37">
        <v>103.33333333333334</v>
      </c>
      <c r="E8" s="37"/>
      <c r="F8" s="37">
        <v>94.329529687500013</v>
      </c>
      <c r="O8" s="37"/>
    </row>
    <row r="9" spans="1:15" x14ac:dyDescent="0.25">
      <c r="A9" s="5">
        <v>1</v>
      </c>
      <c r="B9" s="37"/>
      <c r="C9" s="37"/>
      <c r="D9" s="37"/>
      <c r="E9" s="37"/>
      <c r="F9" s="37"/>
      <c r="O9" s="37"/>
    </row>
    <row r="10" spans="1:15" x14ac:dyDescent="0.25">
      <c r="A10" s="41" t="s">
        <v>311</v>
      </c>
      <c r="B10" s="37">
        <v>29.999542483660125</v>
      </c>
      <c r="C10" s="37">
        <v>29.111049673202615</v>
      </c>
      <c r="D10" s="37">
        <v>30.127916666666671</v>
      </c>
      <c r="E10" s="37">
        <v>31.304915438596492</v>
      </c>
      <c r="F10" s="37"/>
      <c r="O10" s="37"/>
    </row>
    <row r="11" spans="1:15" x14ac:dyDescent="0.25">
      <c r="A11" s="41" t="s">
        <v>312</v>
      </c>
      <c r="B11" s="37">
        <v>145.16600000000003</v>
      </c>
      <c r="C11" s="37">
        <v>134.14694444444444</v>
      </c>
      <c r="D11" s="37">
        <v>131.56061333333335</v>
      </c>
      <c r="E11" s="37">
        <v>106.44703622222222</v>
      </c>
      <c r="F11" s="37"/>
      <c r="O11" s="37"/>
    </row>
    <row r="13" spans="1:15" x14ac:dyDescent="0.25">
      <c r="O13" s="37"/>
    </row>
    <row r="14" spans="1:15" x14ac:dyDescent="0.25">
      <c r="O14" s="37"/>
    </row>
    <row r="16" spans="1:15" x14ac:dyDescent="0.25">
      <c r="O16" s="37"/>
    </row>
    <row r="17" spans="15:15" x14ac:dyDescent="0.25">
      <c r="O17" s="37"/>
    </row>
    <row r="19" spans="15:15" x14ac:dyDescent="0.25">
      <c r="O19" s="37"/>
    </row>
    <row r="20" spans="15:15" x14ac:dyDescent="0.25">
      <c r="O20" s="37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Input data</vt:lpstr>
      <vt:lpstr>Mediaan 2022</vt:lpstr>
      <vt:lpstr>Voorblad</vt:lpstr>
      <vt:lpstr>Blad2</vt:lpstr>
      <vt:lpstr>Blad2 (2)</vt:lpstr>
      <vt:lpstr>Blad2 (3)</vt:lpstr>
      <vt:lpstr>Blad2 (4)</vt:lpstr>
      <vt:lpstr>Blad2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twan de korte</dc:creator>
  <cp:lastModifiedBy>twan de korte</cp:lastModifiedBy>
  <dcterms:created xsi:type="dcterms:W3CDTF">2015-06-05T18:19:34Z</dcterms:created>
  <dcterms:modified xsi:type="dcterms:W3CDTF">2020-10-06T08:59:25Z</dcterms:modified>
</cp:coreProperties>
</file>