
<file path=[Content_Types].xml><?xml version="1.0" encoding="utf-8"?>
<Types xmlns="http://schemas.openxmlformats.org/package/2006/content-types"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39.xml" ContentType="application/vnd.openxmlformats-officedocument.drawingml.chartshapes+xml"/>
  <Override PartName="/xl/worksheets/sheet7.xml" ContentType="application/vnd.openxmlformats-officedocument.spreadsheetml.worksheet+xml"/>
  <Override PartName="/xl/drawings/drawing17.xml" ContentType="application/vnd.openxmlformats-officedocument.drawingml.chartshapes+xml"/>
  <Override PartName="/xl/drawings/drawing28.xml" ContentType="application/vnd.openxmlformats-officedocument.drawingml.chartshapes+xml"/>
  <Override PartName="/xl/charts/chart78.xml" ContentType="application/vnd.openxmlformats-officedocument.drawingml.chart+xml"/>
  <Override PartName="/xl/charts/chart89.xml" ContentType="application/vnd.openxmlformats-officedocument.drawingml.chart+xml"/>
  <Override PartName="/xl/drawings/drawing46.xml" ContentType="application/vnd.openxmlformats-officedocument.drawingml.chartshapes+xml"/>
  <Override PartName="/xl/charts/chart109.xml" ContentType="application/vnd.openxmlformats-officedocument.drawingml.chart+xml"/>
  <Default Extension="xml" ContentType="application/xml"/>
  <Override PartName="/xl/drawings/drawing2.xml" ContentType="application/vnd.openxmlformats-officedocument.drawing+xml"/>
  <Override PartName="/xl/charts/chart49.xml" ContentType="application/vnd.openxmlformats-officedocument.drawingml.chart+xml"/>
  <Override PartName="/xl/drawings/drawing35.xml" ContentType="application/vnd.openxmlformats-officedocument.drawingml.chartshapes+xml"/>
  <Override PartName="/xl/charts/chart67.xml" ContentType="application/vnd.openxmlformats-officedocument.drawingml.chart+xml"/>
  <Override PartName="/xl/charts/chart96.xml" ContentType="application/vnd.openxmlformats-officedocument.drawingml.chart+xml"/>
  <Override PartName="/xl/worksheets/sheet3.xml" ContentType="application/vnd.openxmlformats-officedocument.spreadsheetml.worksheet+xml"/>
  <Override PartName="/xl/drawings/drawing13.xml" ContentType="application/vnd.openxmlformats-officedocument.drawingml.chartshapes+xml"/>
  <Override PartName="/xl/charts/chart27.xml" ContentType="application/vnd.openxmlformats-officedocument.drawingml.chart+xml"/>
  <Override PartName="/xl/charts/chart38.xml" ContentType="application/vnd.openxmlformats-officedocument.drawingml.chart+xml"/>
  <Override PartName="/xl/drawings/drawing24.xml" ContentType="application/vnd.openxmlformats-officedocument.drawingml.chartshapes+xml"/>
  <Override PartName="/xl/charts/chart56.xml" ContentType="application/vnd.openxmlformats-officedocument.drawingml.chart+xml"/>
  <Override PartName="/xl/drawings/drawing42.xml" ContentType="application/vnd.openxmlformats-officedocument.drawingml.chartshapes+xml"/>
  <Override PartName="/xl/charts/chart74.xml" ContentType="application/vnd.openxmlformats-officedocument.drawingml.chart+xml"/>
  <Override PartName="/xl/charts/chart85.xml" ContentType="application/vnd.openxmlformats-officedocument.drawingml.chart+xml"/>
  <Override PartName="/xl/charts/chart105.xml" ContentType="application/vnd.openxmlformats-officedocument.drawingml.chart+xml"/>
  <Override PartName="/xl/charts/chart16.xml" ContentType="application/vnd.openxmlformats-officedocument.drawingml.chart+xml"/>
  <Override PartName="/xl/drawings/drawing20.xml" ContentType="application/vnd.openxmlformats-officedocument.drawingml.chartshapes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drawings/drawing31.xml" ContentType="application/vnd.openxmlformats-officedocument.drawingml.chartshapes+xml"/>
  <Override PartName="/xl/charts/chart63.xml" ContentType="application/vnd.openxmlformats-officedocument.drawingml.chart+xml"/>
  <Override PartName="/xl/charts/chart81.xml" ContentType="application/vnd.openxmlformats-officedocument.drawingml.chart+xml"/>
  <Override PartName="/xl/charts/chart92.xml" ContentType="application/vnd.openxmlformats-officedocument.drawingml.chart+xml"/>
  <Override PartName="/xl/sharedStrings.xml" ContentType="application/vnd.openxmlformats-officedocument.spreadsheetml.sharedStrings+xml"/>
  <Override PartName="/xl/charts/chart23.xml" ContentType="application/vnd.openxmlformats-officedocument.drawingml.chart+xml"/>
  <Override PartName="/xl/charts/chart52.xml" ContentType="application/vnd.openxmlformats-officedocument.drawingml.chart+xml"/>
  <Override PartName="/xl/charts/chart70.xml" ContentType="application/vnd.openxmlformats-officedocument.drawingml.chart+xml"/>
  <Override PartName="/xl/charts/chart101.xml" ContentType="application/vnd.openxmlformats-officedocument.drawingml.char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30.xml" ContentType="application/vnd.openxmlformats-officedocument.drawingml.chart+xml"/>
  <Override PartName="/xl/charts/chart41.xml" ContentType="application/vnd.openxmlformats-officedocument.drawingml.chart+xml"/>
  <Default Extension="bin" ContentType="application/vnd.openxmlformats-officedocument.spreadsheetml.printerSettings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drawings/drawing29.xml" ContentType="application/vnd.openxmlformats-officedocument.drawingml.chartshapes+xml"/>
  <Override PartName="/xl/worksheets/sheet8.xml" ContentType="application/vnd.openxmlformats-officedocument.spreadsheetml.worksheet+xml"/>
  <Override PartName="/xl/drawings/drawing18.xml" ContentType="application/vnd.openxmlformats-officedocument.drawingml.chartshapes+xml"/>
  <Override PartName="/xl/drawings/drawing36.xml" ContentType="application/vnd.openxmlformats-officedocument.drawingml.chartshapes+xml"/>
  <Override PartName="/xl/charts/chart79.xml" ContentType="application/vnd.openxmlformats-officedocument.drawingml.chart+xml"/>
  <Override PartName="/xl/charts/chart97.xml" ContentType="application/vnd.openxmlformats-officedocument.drawingml.chart+xml"/>
  <Override PartName="/xl/drawings/drawing47.xml" ContentType="application/vnd.openxmlformats-officedocument.drawingml.chartshape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39.xml" ContentType="application/vnd.openxmlformats-officedocument.drawingml.chart+xml"/>
  <Override PartName="/xl/drawings/drawing25.xml" ContentType="application/vnd.openxmlformats-officedocument.drawingml.chartshapes+xml"/>
  <Override PartName="/xl/charts/chart57.xml" ContentType="application/vnd.openxmlformats-officedocument.drawingml.chart+xml"/>
  <Override PartName="/xl/charts/chart68.xml" ContentType="application/vnd.openxmlformats-officedocument.drawingml.chart+xml"/>
  <Override PartName="/xl/drawings/drawing43.xml" ContentType="application/vnd.openxmlformats-officedocument.drawing+xml"/>
  <Override PartName="/xl/charts/chart86.xml" ContentType="application/vnd.openxmlformats-officedocument.drawingml.chart+xml"/>
  <Override PartName="/docProps/app.xml" ContentType="application/vnd.openxmlformats-officedocument.extended-properties+xml"/>
  <Override PartName="/xl/drawings/drawing14.xml" ContentType="application/vnd.openxmlformats-officedocument.drawingml.chartshapes+xml"/>
  <Override PartName="/xl/charts/chart28.xml" ContentType="application/vnd.openxmlformats-officedocument.drawingml.chart+xml"/>
  <Override PartName="/xl/charts/chart46.xml" ContentType="application/vnd.openxmlformats-officedocument.drawingml.chart+xml"/>
  <Override PartName="/xl/drawings/drawing32.xml" ContentType="application/vnd.openxmlformats-officedocument.drawingml.chartshapes+xml"/>
  <Override PartName="/xl/charts/chart75.xml" ContentType="application/vnd.openxmlformats-officedocument.drawingml.chart+xml"/>
  <Override PartName="/xl/charts/chart93.xml" ContentType="application/vnd.openxmlformats-officedocument.drawingml.chart+xml"/>
  <Override PartName="/xl/charts/chart106.xml" ContentType="application/vnd.openxmlformats-officedocument.drawingml.chart+xml"/>
  <Override PartName="/xl/charts/chart17.xml" ContentType="application/vnd.openxmlformats-officedocument.drawingml.chart+xml"/>
  <Override PartName="/xl/drawings/drawing21.xml" ContentType="application/vnd.openxmlformats-officedocument.drawingml.chartshapes+xml"/>
  <Override PartName="/xl/charts/chart35.xml" ContentType="application/vnd.openxmlformats-officedocument.drawingml.chart+xml"/>
  <Override PartName="/xl/charts/chart53.xml" ContentType="application/vnd.openxmlformats-officedocument.drawingml.chart+xml"/>
  <Override PartName="/xl/charts/chart64.xml" ContentType="application/vnd.openxmlformats-officedocument.drawingml.chart+xml"/>
  <Override PartName="/xl/charts/chart82.xml" ContentType="application/vnd.openxmlformats-officedocument.drawingml.chart+xml"/>
  <Override PartName="/xl/drawings/drawing50.xml" ContentType="application/vnd.openxmlformats-officedocument.drawing+xml"/>
  <Override PartName="/xl/calcChain.xml" ContentType="application/vnd.openxmlformats-officedocument.spreadsheetml.calcChain+xml"/>
  <Override PartName="/xl/charts/chart13.xml" ContentType="application/vnd.openxmlformats-officedocument.drawingml.chart+xml"/>
  <Override PartName="/xl/drawings/drawing10.xml" ContentType="application/vnd.openxmlformats-officedocument.drawingml.chartshapes+xml"/>
  <Override PartName="/xl/charts/chart24.xml" ContentType="application/vnd.openxmlformats-officedocument.drawingml.chart+xml"/>
  <Override PartName="/xl/charts/chart42.xml" ContentType="application/vnd.openxmlformats-officedocument.drawingml.chart+xml"/>
  <Override PartName="/xl/charts/chart71.xml" ContentType="application/vnd.openxmlformats-officedocument.drawingml.chart+xml"/>
  <Override PartName="/xl/charts/chart102.xml" ContentType="application/vnd.openxmlformats-officedocument.drawingml.char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xl/charts/chart60.xml" ContentType="application/vnd.openxmlformats-officedocument.drawingml.chart+xml"/>
  <Override PartName="/xl/charts/chart100.xml" ContentType="application/vnd.openxmlformats-officedocument.drawingml.chart+xml"/>
  <Override PartName="/docProps/core.xml" ContentType="application/vnd.openxmlformats-package.core-properties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ml.chartshapes+xml"/>
  <Override PartName="/xl/drawings/drawing19.xml" ContentType="application/vnd.openxmlformats-officedocument.drawingml.chartshapes+xml"/>
  <Override PartName="/xl/drawings/drawing48.xml" ContentType="application/vnd.openxmlformats-officedocument.drawingml.chartshapes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37.xml" ContentType="application/vnd.openxmlformats-officedocument.drawingml.chartshapes+xml"/>
  <Override PartName="/xl/charts/chart69.xml" ContentType="application/vnd.openxmlformats-officedocument.drawingml.chart+xml"/>
  <Override PartName="/xl/charts/chart98.xml" ContentType="application/vnd.openxmlformats-officedocument.drawingml.chart+xml"/>
  <Default Extension="rels" ContentType="application/vnd.openxmlformats-package.relationships+xml"/>
  <Override PartName="/xl/worksheets/sheet5.xml" ContentType="application/vnd.openxmlformats-officedocument.spreadsheetml.worksheet+xml"/>
  <Override PartName="/xl/drawings/drawing15.xml" ContentType="application/vnd.openxmlformats-officedocument.drawingml.chartshapes+xml"/>
  <Override PartName="/xl/charts/chart29.xml" ContentType="application/vnd.openxmlformats-officedocument.drawingml.chart+xml"/>
  <Override PartName="/xl/drawings/drawing26.xml" ContentType="application/vnd.openxmlformats-officedocument.drawingml.chartshapes+xml"/>
  <Override PartName="/xl/charts/chart58.xml" ContentType="application/vnd.openxmlformats-officedocument.drawingml.chart+xml"/>
  <Override PartName="/xl/drawings/drawing44.xml" ContentType="application/vnd.openxmlformats-officedocument.drawingml.chartshapes+xml"/>
  <Override PartName="/xl/charts/chart76.xml" ContentType="application/vnd.openxmlformats-officedocument.drawingml.chart+xml"/>
  <Override PartName="/xl/charts/chart87.xml" ContentType="application/vnd.openxmlformats-officedocument.drawingml.chart+xml"/>
  <Override PartName="/xl/charts/chart107.xml" ContentType="application/vnd.openxmlformats-officedocument.drawingml.chart+xml"/>
  <Override PartName="/xl/charts/chart18.xml" ContentType="application/vnd.openxmlformats-officedocument.drawingml.chart+xml"/>
  <Override PartName="/xl/drawings/drawing22.xml" ContentType="application/vnd.openxmlformats-officedocument.drawingml.chartshapes+xml"/>
  <Override PartName="/xl/charts/chart36.xml" ContentType="application/vnd.openxmlformats-officedocument.drawingml.chart+xml"/>
  <Override PartName="/xl/charts/chart47.xml" ContentType="application/vnd.openxmlformats-officedocument.drawingml.chart+xml"/>
  <Override PartName="/xl/drawings/drawing33.xml" ContentType="application/vnd.openxmlformats-officedocument.drawingml.chartshapes+xml"/>
  <Override PartName="/xl/charts/chart65.xml" ContentType="application/vnd.openxmlformats-officedocument.drawingml.chart+xml"/>
  <Override PartName="/xl/charts/chart83.xml" ContentType="application/vnd.openxmlformats-officedocument.drawingml.chart+xml"/>
  <Override PartName="/xl/charts/chart94.xml" ContentType="application/vnd.openxmlformats-officedocument.drawingml.chart+xml"/>
  <Override PartName="/xl/worksheets/sheet1.xml" ContentType="application/vnd.openxmlformats-officedocument.spreadsheetml.worksheet+xml"/>
  <Override PartName="/xl/drawings/drawing11.xml" ContentType="application/vnd.openxmlformats-officedocument.drawingml.chartshapes+xml"/>
  <Override PartName="/xl/charts/chart25.xml" ContentType="application/vnd.openxmlformats-officedocument.drawingml.chart+xml"/>
  <Override PartName="/xl/charts/chart54.xml" ContentType="application/vnd.openxmlformats-officedocument.drawingml.chart+xml"/>
  <Override PartName="/xl/drawings/drawing40.xml" ContentType="application/vnd.openxmlformats-officedocument.drawingml.chartshapes+xml"/>
  <Override PartName="/xl/charts/chart72.xml" ContentType="application/vnd.openxmlformats-officedocument.drawingml.chart+xml"/>
  <Override PartName="/xl/charts/chart103.xml" ContentType="application/vnd.openxmlformats-officedocument.drawingml.chart+xml"/>
  <Override PartName="/xl/charts/chart14.xml" ContentType="application/vnd.openxmlformats-officedocument.drawingml.char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charts/chart61.xml" ContentType="application/vnd.openxmlformats-officedocument.drawingml.chart+xml"/>
  <Override PartName="/xl/charts/chart90.xml" ContentType="application/vnd.openxmlformats-officedocument.drawingml.chart+xml"/>
  <Override PartName="/xl/charts/chart110.xml" ContentType="application/vnd.openxmlformats-officedocument.drawingml.chart+xml"/>
  <Override PartName="/xl/charts/chart21.xml" ContentType="application/vnd.openxmlformats-officedocument.drawingml.chart+xml"/>
  <Override PartName="/xl/charts/chart50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ml.chartshapes+xml"/>
  <Override PartName="/xl/drawings/drawing38.xml" ContentType="application/vnd.openxmlformats-officedocument.drawingml.chartshapes+xml"/>
  <Override PartName="/xl/charts/chart99.xml" ContentType="application/vnd.openxmlformats-officedocument.drawingml.chart+xml"/>
  <Override PartName="/xl/drawings/drawing49.xml" ContentType="application/vnd.openxmlformats-officedocument.drawingml.chartshapes+xml"/>
  <Override PartName="/xl/worksheets/sheet6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27.xml" ContentType="application/vnd.openxmlformats-officedocument.drawingml.chartshapes+xml"/>
  <Override PartName="/xl/charts/chart59.xml" ContentType="application/vnd.openxmlformats-officedocument.drawingml.chart+xml"/>
  <Override PartName="/xl/charts/chart88.xml" ContentType="application/vnd.openxmlformats-officedocument.drawingml.chart+xml"/>
  <Override PartName="/xl/drawings/drawing45.xml" ContentType="application/vnd.openxmlformats-officedocument.drawingml.chartshapes+xml"/>
  <Override PartName="/xl/drawings/drawing16.xml" ContentType="application/vnd.openxmlformats-officedocument.drawingml.chartshapes+xml"/>
  <Override PartName="/xl/charts/chart48.xml" ContentType="application/vnd.openxmlformats-officedocument.drawingml.chart+xml"/>
  <Override PartName="/xl/drawings/drawing34.xml" ContentType="application/vnd.openxmlformats-officedocument.drawingml.chartshapes+xml"/>
  <Override PartName="/xl/charts/chart77.xml" ContentType="application/vnd.openxmlformats-officedocument.drawingml.chart+xml"/>
  <Override PartName="/xl/charts/chart95.xml" ContentType="application/vnd.openxmlformats-officedocument.drawingml.chart+xml"/>
  <Override PartName="/xl/charts/chart108.xml" ContentType="application/vnd.openxmlformats-officedocument.drawingml.char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drawings/drawing23.xml" ContentType="application/vnd.openxmlformats-officedocument.drawingml.chartshapes+xml"/>
  <Override PartName="/xl/charts/chart37.xml" ContentType="application/vnd.openxmlformats-officedocument.drawingml.chart+xml"/>
  <Override PartName="/xl/charts/chart55.xml" ContentType="application/vnd.openxmlformats-officedocument.drawingml.chart+xml"/>
  <Override PartName="/xl/charts/chart66.xml" ContentType="application/vnd.openxmlformats-officedocument.drawingml.chart+xml"/>
  <Override PartName="/xl/drawings/drawing41.xml" ContentType="application/vnd.openxmlformats-officedocument.drawingml.chartshapes+xml"/>
  <Override PartName="/xl/charts/chart84.xml" ContentType="application/vnd.openxmlformats-officedocument.drawingml.chart+xml"/>
  <Override PartName="/xl/drawings/drawing12.xml" ContentType="application/vnd.openxmlformats-officedocument.drawingml.chartshapes+xml"/>
  <Override PartName="/xl/charts/chart26.xml" ContentType="application/vnd.openxmlformats-officedocument.drawingml.chart+xml"/>
  <Override PartName="/xl/charts/chart44.xml" ContentType="application/vnd.openxmlformats-officedocument.drawingml.chart+xml"/>
  <Override PartName="/xl/drawings/drawing30.xml" ContentType="application/vnd.openxmlformats-officedocument.drawingml.chartshapes+xml"/>
  <Override PartName="/xl/charts/chart73.xml" ContentType="application/vnd.openxmlformats-officedocument.drawingml.chart+xml"/>
  <Override PartName="/xl/charts/chart91.xml" ContentType="application/vnd.openxmlformats-officedocument.drawingml.chart+xml"/>
  <Override PartName="/xl/charts/chart104.xml" ContentType="application/vnd.openxmlformats-officedocument.drawingml.chart+xml"/>
  <Override PartName="/xl/charts/chart15.xml" ContentType="application/vnd.openxmlformats-officedocument.drawingml.chart+xml"/>
  <Override PartName="/xl/charts/chart33.xml" ContentType="application/vnd.openxmlformats-officedocument.drawingml.chart+xml"/>
  <Override PartName="/xl/charts/chart51.xml" ContentType="application/vnd.openxmlformats-officedocument.drawingml.chart+xml"/>
  <Override PartName="/xl/charts/chart62.xml" ContentType="application/vnd.openxmlformats-officedocument.drawingml.chart+xml"/>
  <Override PartName="/xl/charts/chart80.xml" ContentType="application/vnd.openxmlformats-officedocument.drawingml.chart+xml"/>
  <Override PartName="/xl/charts/chart111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4005" windowHeight="2700" tabRatio="482" firstSheet="6" activeTab="6"/>
  </bookViews>
  <sheets>
    <sheet name="870" sheetId="1" r:id="rId1"/>
    <sheet name="3770K" sheetId="2" r:id="rId2"/>
    <sheet name="8350" sheetId="3" r:id="rId3"/>
    <sheet name="8350m" sheetId="4" r:id="rId4"/>
    <sheet name="870m" sheetId="5" r:id="rId5"/>
    <sheet name="3770m" sheetId="6" r:id="rId6"/>
    <sheet name="骨骼动画时间分布-508" sheetId="7" r:id="rId7"/>
    <sheet name="草稿" sheetId="8" state="hidden" r:id="rId8"/>
    <sheet name="骨骼动画时间分布-503" sheetId="9" r:id="rId9"/>
    <sheet name="Particle" sheetId="10" r:id="rId10"/>
  </sheets>
  <definedNames>
    <definedName name="OLE_LINK15" localSheetId="0">'870'!$H$13</definedName>
  </definedNames>
  <calcPr calcId="124519"/>
</workbook>
</file>

<file path=xl/calcChain.xml><?xml version="1.0" encoding="utf-8"?>
<calcChain xmlns="http://schemas.openxmlformats.org/spreadsheetml/2006/main">
  <c r="J417" i="9"/>
  <c r="J414"/>
  <c r="J411"/>
  <c r="J408"/>
  <c r="K417"/>
  <c r="K414"/>
  <c r="K411"/>
  <c r="K408"/>
  <c r="M426"/>
  <c r="M425"/>
  <c r="M424"/>
  <c r="AI417"/>
  <c r="AI414"/>
  <c r="AI411"/>
  <c r="AI408"/>
  <c r="M423" s="1"/>
  <c r="L425"/>
  <c r="L426"/>
  <c r="L424"/>
  <c r="L423"/>
  <c r="AB414"/>
  <c r="AB411"/>
  <c r="AB408"/>
  <c r="AB417"/>
  <c r="K426"/>
  <c r="K425"/>
  <c r="K424"/>
  <c r="J426"/>
  <c r="J425"/>
  <c r="U417"/>
  <c r="U414"/>
  <c r="U411"/>
  <c r="J423"/>
  <c r="U408"/>
  <c r="K423"/>
  <c r="H417"/>
  <c r="H414"/>
  <c r="H411"/>
  <c r="H408"/>
  <c r="R426"/>
  <c r="I417"/>
  <c r="R425"/>
  <c r="R424"/>
  <c r="R423"/>
  <c r="I414"/>
  <c r="I411"/>
  <c r="I408"/>
  <c r="AA408"/>
  <c r="Y423" s="1"/>
  <c r="G417"/>
  <c r="W425"/>
  <c r="W423"/>
  <c r="AH417"/>
  <c r="T426" s="1"/>
  <c r="AG417"/>
  <c r="AA417"/>
  <c r="Y426" s="1"/>
  <c r="Z417"/>
  <c r="T417"/>
  <c r="S417"/>
  <c r="X426"/>
  <c r="AH414"/>
  <c r="AG414"/>
  <c r="AA414"/>
  <c r="Y425" s="1"/>
  <c r="Z414"/>
  <c r="T414"/>
  <c r="S414"/>
  <c r="G414"/>
  <c r="X425" s="1"/>
  <c r="AH411"/>
  <c r="T424" s="1"/>
  <c r="AG411"/>
  <c r="AA411"/>
  <c r="Y424" s="1"/>
  <c r="Z411"/>
  <c r="T411"/>
  <c r="W424" s="1"/>
  <c r="S411"/>
  <c r="G411"/>
  <c r="AH408"/>
  <c r="T423" s="1"/>
  <c r="AG408"/>
  <c r="Z408"/>
  <c r="T408"/>
  <c r="S408"/>
  <c r="Q423" s="1"/>
  <c r="G408"/>
  <c r="AA391" i="7"/>
  <c r="AA389"/>
  <c r="Z393"/>
  <c r="Z391"/>
  <c r="Z389"/>
  <c r="Y393"/>
  <c r="Y391"/>
  <c r="Y389"/>
  <c r="X393"/>
  <c r="X391"/>
  <c r="X389"/>
  <c r="F377" i="9"/>
  <c r="G377"/>
  <c r="X392" s="1"/>
  <c r="S377"/>
  <c r="T377"/>
  <c r="W392" s="1"/>
  <c r="Z377"/>
  <c r="AA377"/>
  <c r="Y392" s="1"/>
  <c r="AG377"/>
  <c r="AH377"/>
  <c r="F380"/>
  <c r="R393" s="1"/>
  <c r="G380"/>
  <c r="X393" s="1"/>
  <c r="S380"/>
  <c r="T380"/>
  <c r="W393" s="1"/>
  <c r="Z380"/>
  <c r="AA380"/>
  <c r="Y393" s="1"/>
  <c r="AG380"/>
  <c r="AH380"/>
  <c r="F383"/>
  <c r="R394" s="1"/>
  <c r="G383"/>
  <c r="X394" s="1"/>
  <c r="S383"/>
  <c r="T383"/>
  <c r="W394" s="1"/>
  <c r="Z383"/>
  <c r="AA383"/>
  <c r="Y394" s="1"/>
  <c r="AG383"/>
  <c r="AH383"/>
  <c r="F386"/>
  <c r="R395" s="1"/>
  <c r="G386"/>
  <c r="X395" s="1"/>
  <c r="S386"/>
  <c r="T386"/>
  <c r="W395" s="1"/>
  <c r="Z386"/>
  <c r="AA386"/>
  <c r="Y395" s="1"/>
  <c r="AG386"/>
  <c r="AH386"/>
  <c r="Q392"/>
  <c r="S392"/>
  <c r="T392"/>
  <c r="Z392"/>
  <c r="Q393"/>
  <c r="S393"/>
  <c r="T393"/>
  <c r="Z393"/>
  <c r="Q394"/>
  <c r="S394"/>
  <c r="T394"/>
  <c r="Z394"/>
  <c r="Q395"/>
  <c r="S395"/>
  <c r="T395"/>
  <c r="Z395"/>
  <c r="K94" i="4"/>
  <c r="J94"/>
  <c r="J79" i="7"/>
  <c r="J44"/>
  <c r="J78" i="9"/>
  <c r="J43"/>
  <c r="K13"/>
  <c r="J13"/>
  <c r="I13"/>
  <c r="G13"/>
  <c r="E13"/>
  <c r="K24"/>
  <c r="I24"/>
  <c r="G24"/>
  <c r="E24"/>
  <c r="J24"/>
  <c r="J119"/>
  <c r="AA94" i="4"/>
  <c r="AA93"/>
  <c r="AA92"/>
  <c r="Z94"/>
  <c r="Z93"/>
  <c r="Z92"/>
  <c r="Z91"/>
  <c r="Y94"/>
  <c r="Y93"/>
  <c r="Y92"/>
  <c r="Y91"/>
  <c r="X94"/>
  <c r="X93"/>
  <c r="X92"/>
  <c r="X91"/>
  <c r="U94"/>
  <c r="U93"/>
  <c r="T91"/>
  <c r="R94"/>
  <c r="R91"/>
  <c r="AB85"/>
  <c r="AA85"/>
  <c r="T94" s="1"/>
  <c r="AB82"/>
  <c r="AA82"/>
  <c r="T93" s="1"/>
  <c r="AI85"/>
  <c r="AH85"/>
  <c r="AI82"/>
  <c r="AH82"/>
  <c r="AI79"/>
  <c r="AH79"/>
  <c r="AI76"/>
  <c r="AA91" s="1"/>
  <c r="AH76"/>
  <c r="AB79"/>
  <c r="AA79"/>
  <c r="T92" s="1"/>
  <c r="AB76"/>
  <c r="AA76"/>
  <c r="U85"/>
  <c r="T85"/>
  <c r="U82"/>
  <c r="T82"/>
  <c r="R93" s="1"/>
  <c r="U79"/>
  <c r="T79"/>
  <c r="R92" s="1"/>
  <c r="U76"/>
  <c r="T76"/>
  <c r="H100"/>
  <c r="G100"/>
  <c r="H97"/>
  <c r="G97"/>
  <c r="H94"/>
  <c r="G94"/>
  <c r="H91"/>
  <c r="G91"/>
  <c r="H85"/>
  <c r="G85"/>
  <c r="S94" s="1"/>
  <c r="H82"/>
  <c r="G82"/>
  <c r="H79"/>
  <c r="S92" s="1"/>
  <c r="G79"/>
  <c r="H76"/>
  <c r="S91" s="1"/>
  <c r="G76"/>
  <c r="H393" i="7"/>
  <c r="G393"/>
  <c r="I392"/>
  <c r="I393" s="1"/>
  <c r="J424" i="9" l="1"/>
  <c r="T425"/>
  <c r="Q426"/>
  <c r="Q425"/>
  <c r="S426"/>
  <c r="S425"/>
  <c r="S424"/>
  <c r="S423"/>
  <c r="Q424"/>
  <c r="W426"/>
  <c r="Z426"/>
  <c r="Z423"/>
  <c r="Z424"/>
  <c r="Z425"/>
  <c r="X423"/>
  <c r="X424"/>
  <c r="R392"/>
  <c r="U91" i="4"/>
  <c r="U92"/>
  <c r="S93"/>
  <c r="K144" i="10"/>
  <c r="J144"/>
  <c r="H144"/>
  <c r="I144"/>
  <c r="G144"/>
  <c r="W198" i="9" l="1"/>
  <c r="X206" l="1"/>
  <c r="X205"/>
  <c r="X204"/>
  <c r="X203"/>
  <c r="X202"/>
  <c r="W206"/>
  <c r="W205"/>
  <c r="W204"/>
  <c r="W203"/>
  <c r="W202"/>
  <c r="V188"/>
  <c r="X191" s="1"/>
  <c r="U188"/>
  <c r="W195" s="1"/>
  <c r="N122"/>
  <c r="N96"/>
  <c r="W196" l="1"/>
  <c r="W197"/>
  <c r="W189"/>
  <c r="X194"/>
  <c r="X189"/>
  <c r="X195"/>
  <c r="W193"/>
  <c r="X196"/>
  <c r="X193"/>
  <c r="X197"/>
  <c r="W190"/>
  <c r="W194"/>
  <c r="W191"/>
  <c r="W192"/>
  <c r="X192"/>
  <c r="I368"/>
  <c r="G370"/>
  <c r="E370"/>
  <c r="G369"/>
  <c r="E369"/>
  <c r="G368"/>
  <c r="E368"/>
  <c r="G367"/>
  <c r="E367"/>
  <c r="U26" l="1"/>
  <c r="U25"/>
  <c r="W26" s="1"/>
  <c r="T26"/>
  <c r="T25"/>
  <c r="V26" s="1"/>
  <c r="U31" l="1"/>
  <c r="T31"/>
  <c r="V36" l="1"/>
  <c r="V35"/>
  <c r="W36"/>
  <c r="W35"/>
  <c r="V32"/>
  <c r="V33"/>
  <c r="V34"/>
  <c r="W32"/>
  <c r="W33"/>
  <c r="W34"/>
  <c r="J138" i="10"/>
  <c r="H138"/>
  <c r="G138"/>
  <c r="J137"/>
  <c r="I137"/>
  <c r="H137"/>
  <c r="G137"/>
  <c r="J135"/>
  <c r="I135"/>
  <c r="H135"/>
  <c r="G135"/>
  <c r="J128"/>
  <c r="S127" s="1"/>
  <c r="I128"/>
  <c r="R127" s="1"/>
  <c r="H128"/>
  <c r="Q127" s="1"/>
  <c r="G128"/>
  <c r="P127" s="1"/>
  <c r="I75"/>
  <c r="I73"/>
  <c r="S133"/>
  <c r="J131"/>
  <c r="J130"/>
  <c r="H131"/>
  <c r="G131"/>
  <c r="P133"/>
  <c r="I130"/>
  <c r="R133" s="1"/>
  <c r="H130"/>
  <c r="Q133" s="1"/>
  <c r="G130"/>
  <c r="G358" i="9"/>
  <c r="F358"/>
  <c r="E355"/>
  <c r="F356" s="1"/>
  <c r="G360"/>
  <c r="F360"/>
  <c r="H116" i="10"/>
  <c r="G116"/>
  <c r="F116"/>
  <c r="H114"/>
  <c r="G114"/>
  <c r="F114"/>
  <c r="H100"/>
  <c r="G100"/>
  <c r="F100"/>
  <c r="H98"/>
  <c r="G98"/>
  <c r="F98"/>
  <c r="H109"/>
  <c r="G109"/>
  <c r="F109"/>
  <c r="H107"/>
  <c r="G107"/>
  <c r="F107"/>
  <c r="G108" s="1"/>
  <c r="M98" s="1"/>
  <c r="O87"/>
  <c r="O89"/>
  <c r="N89"/>
  <c r="I77"/>
  <c r="O45"/>
  <c r="O43"/>
  <c r="N43"/>
  <c r="M43"/>
  <c r="I43"/>
  <c r="F43"/>
  <c r="G43" s="1"/>
  <c r="E43"/>
  <c r="N42"/>
  <c r="M42"/>
  <c r="I42"/>
  <c r="F42"/>
  <c r="G42" s="1"/>
  <c r="E42"/>
  <c r="I30"/>
  <c r="H29"/>
  <c r="F29"/>
  <c r="E29"/>
  <c r="D29"/>
  <c r="C29"/>
  <c r="I28"/>
  <c r="H28"/>
  <c r="F28"/>
  <c r="E28"/>
  <c r="D28"/>
  <c r="C28"/>
  <c r="H27"/>
  <c r="F27"/>
  <c r="E27"/>
  <c r="D27"/>
  <c r="C27"/>
  <c r="G15"/>
  <c r="G29" s="1"/>
  <c r="G14"/>
  <c r="G28" s="1"/>
  <c r="G13"/>
  <c r="G27" s="1"/>
  <c r="I26"/>
  <c r="O41"/>
  <c r="K388" i="7"/>
  <c r="J388"/>
  <c r="I388"/>
  <c r="F388"/>
  <c r="H389" s="1"/>
  <c r="K390"/>
  <c r="K391" s="1"/>
  <c r="J390"/>
  <c r="J391" s="1"/>
  <c r="I390"/>
  <c r="I391" s="1"/>
  <c r="F390"/>
  <c r="H390"/>
  <c r="H391" s="1"/>
  <c r="G391"/>
  <c r="J389" l="1"/>
  <c r="G115" i="10"/>
  <c r="N98" s="1"/>
  <c r="G389" i="7"/>
  <c r="K389"/>
  <c r="I389"/>
  <c r="H117" i="10"/>
  <c r="N108" s="1"/>
  <c r="G356" i="9"/>
  <c r="G117" i="10"/>
  <c r="N107" s="1"/>
  <c r="G101"/>
  <c r="L107" s="1"/>
  <c r="G110"/>
  <c r="M107" s="1"/>
  <c r="H110"/>
  <c r="M108" s="1"/>
  <c r="H115"/>
  <c r="N99" s="1"/>
  <c r="H108"/>
  <c r="M99" s="1"/>
  <c r="G99"/>
  <c r="L98" s="1"/>
  <c r="H99"/>
  <c r="L99" s="1"/>
  <c r="H101"/>
  <c r="L108" s="1"/>
  <c r="J42"/>
  <c r="K42" s="1"/>
  <c r="J43"/>
  <c r="K43" s="1"/>
  <c r="O85"/>
  <c r="O84"/>
  <c r="N39"/>
  <c r="O39"/>
  <c r="I24"/>
  <c r="L19" i="9"/>
  <c r="L21"/>
  <c r="L22"/>
  <c r="L10"/>
  <c r="L8"/>
  <c r="J174"/>
  <c r="K174" s="1"/>
  <c r="J175"/>
  <c r="K175" s="1"/>
  <c r="J176"/>
  <c r="K176" s="1"/>
  <c r="Q293"/>
  <c r="Q292"/>
  <c r="Q290"/>
  <c r="Q291"/>
  <c r="C303"/>
  <c r="C302"/>
  <c r="C301"/>
  <c r="C300"/>
  <c r="C299"/>
  <c r="Q176"/>
  <c r="Q175"/>
  <c r="Q174"/>
  <c r="Q173"/>
  <c r="Q203"/>
  <c r="Q202"/>
  <c r="Q201"/>
  <c r="Q200"/>
  <c r="Q223"/>
  <c r="Q226"/>
  <c r="Q225"/>
  <c r="Q224"/>
  <c r="Q244"/>
  <c r="Q245"/>
  <c r="Q246"/>
  <c r="Q247"/>
  <c r="Q270"/>
  <c r="Q269"/>
  <c r="Q268"/>
  <c r="Q267"/>
  <c r="Q312" i="7"/>
  <c r="Q313"/>
  <c r="Q314"/>
  <c r="Q315"/>
  <c r="Q338"/>
  <c r="Q337"/>
  <c r="Q336"/>
  <c r="Q335"/>
  <c r="L20" i="9"/>
  <c r="L7"/>
  <c r="L9"/>
  <c r="N76"/>
  <c r="N75"/>
  <c r="N74"/>
  <c r="N73"/>
  <c r="N51"/>
  <c r="N85" i="10"/>
  <c r="G58"/>
  <c r="G71" s="1"/>
  <c r="M85"/>
  <c r="I85"/>
  <c r="F85"/>
  <c r="G85" s="1"/>
  <c r="E85"/>
  <c r="N84"/>
  <c r="M84"/>
  <c r="I84"/>
  <c r="F84"/>
  <c r="G84" s="1"/>
  <c r="E84"/>
  <c r="H74"/>
  <c r="F74"/>
  <c r="E74"/>
  <c r="D74"/>
  <c r="C74"/>
  <c r="H73"/>
  <c r="F73"/>
  <c r="E73"/>
  <c r="D73"/>
  <c r="C73"/>
  <c r="I72"/>
  <c r="H72"/>
  <c r="F72"/>
  <c r="E72"/>
  <c r="D72"/>
  <c r="C72"/>
  <c r="I71"/>
  <c r="H71"/>
  <c r="F71"/>
  <c r="E71"/>
  <c r="D71"/>
  <c r="C71"/>
  <c r="G61"/>
  <c r="G74" s="1"/>
  <c r="G60"/>
  <c r="G73" s="1"/>
  <c r="G59"/>
  <c r="G72" s="1"/>
  <c r="F25"/>
  <c r="E25"/>
  <c r="D25"/>
  <c r="F24"/>
  <c r="E24"/>
  <c r="D24"/>
  <c r="F23"/>
  <c r="E23"/>
  <c r="D23"/>
  <c r="I23"/>
  <c r="I22"/>
  <c r="C23"/>
  <c r="C24"/>
  <c r="C25"/>
  <c r="H23"/>
  <c r="H24"/>
  <c r="H25"/>
  <c r="H22"/>
  <c r="F22"/>
  <c r="E22"/>
  <c r="D22"/>
  <c r="C22"/>
  <c r="G10"/>
  <c r="G24" s="1"/>
  <c r="G11"/>
  <c r="G25" s="1"/>
  <c r="G8"/>
  <c r="G22" s="1"/>
  <c r="G9"/>
  <c r="G23" s="1"/>
  <c r="N38"/>
  <c r="M39"/>
  <c r="M38"/>
  <c r="I39"/>
  <c r="F39"/>
  <c r="G39" s="1"/>
  <c r="E39"/>
  <c r="I38"/>
  <c r="F38"/>
  <c r="G38" s="1"/>
  <c r="E38"/>
  <c r="F87" i="9"/>
  <c r="G87" s="1"/>
  <c r="F86"/>
  <c r="G86" s="1"/>
  <c r="F84"/>
  <c r="G84" s="1"/>
  <c r="Q87"/>
  <c r="Q86"/>
  <c r="Q85"/>
  <c r="Q84"/>
  <c r="F110"/>
  <c r="G110" s="1"/>
  <c r="F112"/>
  <c r="G112" s="1"/>
  <c r="F113"/>
  <c r="G113" s="1"/>
  <c r="Q113"/>
  <c r="Q112"/>
  <c r="Q111"/>
  <c r="Q110"/>
  <c r="F146"/>
  <c r="G146" s="1"/>
  <c r="F145"/>
  <c r="G145" s="1"/>
  <c r="Q146"/>
  <c r="Q145"/>
  <c r="Q144"/>
  <c r="Q143"/>
  <c r="Q343"/>
  <c r="Q342"/>
  <c r="Q341"/>
  <c r="Q340"/>
  <c r="Q337"/>
  <c r="O337"/>
  <c r="M337"/>
  <c r="J337"/>
  <c r="K337" s="1"/>
  <c r="I337"/>
  <c r="G337"/>
  <c r="E337"/>
  <c r="Q336"/>
  <c r="O336"/>
  <c r="M336"/>
  <c r="J336"/>
  <c r="K336" s="1"/>
  <c r="I336"/>
  <c r="G336"/>
  <c r="E336"/>
  <c r="Q335"/>
  <c r="O335"/>
  <c r="M335"/>
  <c r="J335"/>
  <c r="K335" s="1"/>
  <c r="I335"/>
  <c r="G335"/>
  <c r="E335"/>
  <c r="Q334"/>
  <c r="O334"/>
  <c r="M334"/>
  <c r="J334"/>
  <c r="K334" s="1"/>
  <c r="I334"/>
  <c r="G334"/>
  <c r="E334"/>
  <c r="Q320"/>
  <c r="Q319"/>
  <c r="Q318"/>
  <c r="Q317"/>
  <c r="Q314"/>
  <c r="O314"/>
  <c r="M314"/>
  <c r="J314"/>
  <c r="K314" s="1"/>
  <c r="I314"/>
  <c r="G314"/>
  <c r="E314"/>
  <c r="Q313"/>
  <c r="O313"/>
  <c r="M313"/>
  <c r="J313"/>
  <c r="K313" s="1"/>
  <c r="I313"/>
  <c r="G313"/>
  <c r="E313"/>
  <c r="Q312"/>
  <c r="O312"/>
  <c r="M312"/>
  <c r="J312"/>
  <c r="K312" s="1"/>
  <c r="I312"/>
  <c r="G312"/>
  <c r="E312"/>
  <c r="Q311"/>
  <c r="O311"/>
  <c r="M311"/>
  <c r="J311"/>
  <c r="K311" s="1"/>
  <c r="I311"/>
  <c r="G311"/>
  <c r="E311"/>
  <c r="O293"/>
  <c r="M293"/>
  <c r="J293"/>
  <c r="K293" s="1"/>
  <c r="I293"/>
  <c r="G293"/>
  <c r="E293"/>
  <c r="O292"/>
  <c r="M292"/>
  <c r="J292"/>
  <c r="K292" s="1"/>
  <c r="I292"/>
  <c r="G292"/>
  <c r="E292"/>
  <c r="O291"/>
  <c r="M291"/>
  <c r="J291"/>
  <c r="K291" s="1"/>
  <c r="I291"/>
  <c r="G291"/>
  <c r="E291"/>
  <c r="O290"/>
  <c r="M290"/>
  <c r="J290"/>
  <c r="K290" s="1"/>
  <c r="I290"/>
  <c r="G290"/>
  <c r="E290"/>
  <c r="G277"/>
  <c r="D277"/>
  <c r="O270"/>
  <c r="M270"/>
  <c r="J270"/>
  <c r="K270" s="1"/>
  <c r="I270"/>
  <c r="G270"/>
  <c r="E270"/>
  <c r="O269"/>
  <c r="M269"/>
  <c r="J269"/>
  <c r="K269" s="1"/>
  <c r="I269"/>
  <c r="G269"/>
  <c r="E269"/>
  <c r="O268"/>
  <c r="M268"/>
  <c r="J268"/>
  <c r="K268" s="1"/>
  <c r="I268"/>
  <c r="G268"/>
  <c r="E268"/>
  <c r="O267"/>
  <c r="M267"/>
  <c r="J267"/>
  <c r="K267" s="1"/>
  <c r="I267"/>
  <c r="G267"/>
  <c r="E267"/>
  <c r="G254"/>
  <c r="D254"/>
  <c r="O247"/>
  <c r="M247"/>
  <c r="J247"/>
  <c r="K247" s="1"/>
  <c r="I247"/>
  <c r="G247"/>
  <c r="E247"/>
  <c r="O246"/>
  <c r="M246"/>
  <c r="J246"/>
  <c r="K246" s="1"/>
  <c r="I246"/>
  <c r="G246"/>
  <c r="E246"/>
  <c r="O245"/>
  <c r="M245"/>
  <c r="J245"/>
  <c r="K245" s="1"/>
  <c r="I245"/>
  <c r="G245"/>
  <c r="E245"/>
  <c r="O244"/>
  <c r="M244"/>
  <c r="J244"/>
  <c r="K244" s="1"/>
  <c r="I244"/>
  <c r="G244"/>
  <c r="E244"/>
  <c r="G233"/>
  <c r="D233"/>
  <c r="O226"/>
  <c r="M226"/>
  <c r="J226"/>
  <c r="K226" s="1"/>
  <c r="I226"/>
  <c r="G226"/>
  <c r="E226"/>
  <c r="O225"/>
  <c r="M225"/>
  <c r="J225"/>
  <c r="K225" s="1"/>
  <c r="I225"/>
  <c r="G225"/>
  <c r="E225"/>
  <c r="O224"/>
  <c r="M224"/>
  <c r="J224"/>
  <c r="K224" s="1"/>
  <c r="I224"/>
  <c r="G224"/>
  <c r="E224"/>
  <c r="O223"/>
  <c r="M223"/>
  <c r="J223"/>
  <c r="K223" s="1"/>
  <c r="I223"/>
  <c r="G223"/>
  <c r="E223"/>
  <c r="G211"/>
  <c r="G210"/>
  <c r="O203"/>
  <c r="M203"/>
  <c r="J203"/>
  <c r="K203" s="1"/>
  <c r="I203"/>
  <c r="G203"/>
  <c r="E203"/>
  <c r="O202"/>
  <c r="M202"/>
  <c r="J202"/>
  <c r="K202" s="1"/>
  <c r="I202"/>
  <c r="G202"/>
  <c r="E202"/>
  <c r="O201"/>
  <c r="M201"/>
  <c r="J201"/>
  <c r="K201" s="1"/>
  <c r="I201"/>
  <c r="G201"/>
  <c r="E201"/>
  <c r="O200"/>
  <c r="M200"/>
  <c r="J200"/>
  <c r="K200" s="1"/>
  <c r="I200"/>
  <c r="G200"/>
  <c r="E200"/>
  <c r="O176"/>
  <c r="M176"/>
  <c r="I176"/>
  <c r="G176"/>
  <c r="E176"/>
  <c r="O175"/>
  <c r="M175"/>
  <c r="I175"/>
  <c r="G175"/>
  <c r="E175"/>
  <c r="O174"/>
  <c r="M174"/>
  <c r="I174"/>
  <c r="G174"/>
  <c r="E174"/>
  <c r="O173"/>
  <c r="M173"/>
  <c r="J173"/>
  <c r="K173" s="1"/>
  <c r="I173"/>
  <c r="G173"/>
  <c r="E173"/>
  <c r="N163"/>
  <c r="N162"/>
  <c r="N161"/>
  <c r="N159"/>
  <c r="N158"/>
  <c r="N157"/>
  <c r="N154"/>
  <c r="N153"/>
  <c r="N152"/>
  <c r="N150"/>
  <c r="N149"/>
  <c r="N148"/>
  <c r="O146"/>
  <c r="M146"/>
  <c r="I146"/>
  <c r="E146"/>
  <c r="O145"/>
  <c r="M145"/>
  <c r="I145"/>
  <c r="E145"/>
  <c r="O144"/>
  <c r="M144"/>
  <c r="J144"/>
  <c r="K144" s="1"/>
  <c r="I144"/>
  <c r="G144"/>
  <c r="E144"/>
  <c r="O143"/>
  <c r="M143"/>
  <c r="J143"/>
  <c r="K143" s="1"/>
  <c r="I143"/>
  <c r="G143"/>
  <c r="E143"/>
  <c r="N121"/>
  <c r="F121"/>
  <c r="N120"/>
  <c r="F120"/>
  <c r="N117"/>
  <c r="F117"/>
  <c r="N116"/>
  <c r="F116"/>
  <c r="N115"/>
  <c r="F115"/>
  <c r="O113"/>
  <c r="M113"/>
  <c r="I113"/>
  <c r="E113"/>
  <c r="O112"/>
  <c r="M112"/>
  <c r="I112"/>
  <c r="E112"/>
  <c r="O111"/>
  <c r="M111"/>
  <c r="J111"/>
  <c r="K111" s="1"/>
  <c r="I111"/>
  <c r="G111"/>
  <c r="E111"/>
  <c r="O110"/>
  <c r="M110"/>
  <c r="I110"/>
  <c r="E110"/>
  <c r="N104"/>
  <c r="F104"/>
  <c r="N103"/>
  <c r="F103"/>
  <c r="N102"/>
  <c r="F102"/>
  <c r="N100"/>
  <c r="F100"/>
  <c r="N99"/>
  <c r="F99"/>
  <c r="N98"/>
  <c r="F98"/>
  <c r="N95"/>
  <c r="F95"/>
  <c r="N94"/>
  <c r="F94"/>
  <c r="N93"/>
  <c r="F93"/>
  <c r="N91"/>
  <c r="F91"/>
  <c r="N90"/>
  <c r="F90"/>
  <c r="N89"/>
  <c r="F89"/>
  <c r="O87"/>
  <c r="M87"/>
  <c r="I87"/>
  <c r="E87"/>
  <c r="O86"/>
  <c r="M86"/>
  <c r="I86"/>
  <c r="E86"/>
  <c r="O85"/>
  <c r="M85"/>
  <c r="I85"/>
  <c r="G85"/>
  <c r="E85"/>
  <c r="O84"/>
  <c r="M84"/>
  <c r="I84"/>
  <c r="E84"/>
  <c r="M76"/>
  <c r="I76"/>
  <c r="F76"/>
  <c r="E76"/>
  <c r="M75"/>
  <c r="I75"/>
  <c r="F75"/>
  <c r="J75" s="1"/>
  <c r="K75" s="1"/>
  <c r="E75"/>
  <c r="M74"/>
  <c r="I74"/>
  <c r="E74"/>
  <c r="M73"/>
  <c r="I73"/>
  <c r="F73"/>
  <c r="G73" s="1"/>
  <c r="E73"/>
  <c r="N67"/>
  <c r="M67"/>
  <c r="I67"/>
  <c r="F67"/>
  <c r="G67" s="1"/>
  <c r="E67"/>
  <c r="N66"/>
  <c r="M66"/>
  <c r="I66"/>
  <c r="F66"/>
  <c r="G66" s="1"/>
  <c r="E66"/>
  <c r="N65"/>
  <c r="M65"/>
  <c r="I65"/>
  <c r="G65"/>
  <c r="E65"/>
  <c r="N64"/>
  <c r="M64"/>
  <c r="I64"/>
  <c r="F64"/>
  <c r="G64" s="1"/>
  <c r="E64"/>
  <c r="N53"/>
  <c r="M53"/>
  <c r="I53"/>
  <c r="F53"/>
  <c r="J53" s="1"/>
  <c r="K53" s="1"/>
  <c r="E53"/>
  <c r="N52"/>
  <c r="M52"/>
  <c r="I52"/>
  <c r="F52"/>
  <c r="J52" s="1"/>
  <c r="K52" s="1"/>
  <c r="E52"/>
  <c r="M51"/>
  <c r="I51"/>
  <c r="E51"/>
  <c r="N50"/>
  <c r="M50"/>
  <c r="I50"/>
  <c r="F50"/>
  <c r="G50" s="1"/>
  <c r="E50"/>
  <c r="M44"/>
  <c r="F44"/>
  <c r="M42"/>
  <c r="F42"/>
  <c r="L247" s="1"/>
  <c r="N41"/>
  <c r="M41"/>
  <c r="I41"/>
  <c r="F41"/>
  <c r="L246" s="1"/>
  <c r="E41"/>
  <c r="N40"/>
  <c r="M40"/>
  <c r="I40"/>
  <c r="F40"/>
  <c r="L245" s="1"/>
  <c r="E40"/>
  <c r="N39"/>
  <c r="M39"/>
  <c r="I39"/>
  <c r="G39"/>
  <c r="E39"/>
  <c r="N38"/>
  <c r="M38"/>
  <c r="I38"/>
  <c r="F38"/>
  <c r="J38" s="1"/>
  <c r="K38" s="1"/>
  <c r="E38"/>
  <c r="J22"/>
  <c r="K22" s="1"/>
  <c r="I22"/>
  <c r="G22"/>
  <c r="E22"/>
  <c r="I21"/>
  <c r="G21"/>
  <c r="E21"/>
  <c r="I20"/>
  <c r="G20"/>
  <c r="E20"/>
  <c r="I19"/>
  <c r="E19"/>
  <c r="J10"/>
  <c r="K10" s="1"/>
  <c r="I10"/>
  <c r="G10"/>
  <c r="E10"/>
  <c r="I9"/>
  <c r="G9"/>
  <c r="E9"/>
  <c r="J8"/>
  <c r="K8" s="1"/>
  <c r="I8"/>
  <c r="E8"/>
  <c r="I7"/>
  <c r="G7"/>
  <c r="E7"/>
  <c r="Q344" i="7"/>
  <c r="Q343"/>
  <c r="Q342"/>
  <c r="Q341"/>
  <c r="Q320"/>
  <c r="Q321"/>
  <c r="Q318"/>
  <c r="Q319"/>
  <c r="T336"/>
  <c r="T337"/>
  <c r="T338"/>
  <c r="T335"/>
  <c r="M336"/>
  <c r="M337"/>
  <c r="M338"/>
  <c r="M335"/>
  <c r="W338"/>
  <c r="U338"/>
  <c r="O338"/>
  <c r="J338"/>
  <c r="K338" s="1"/>
  <c r="I338"/>
  <c r="G338"/>
  <c r="E338"/>
  <c r="W337"/>
  <c r="U337"/>
  <c r="O337"/>
  <c r="J337"/>
  <c r="K337" s="1"/>
  <c r="I337"/>
  <c r="G337"/>
  <c r="E337"/>
  <c r="W336"/>
  <c r="U336"/>
  <c r="O336"/>
  <c r="J336"/>
  <c r="K336" s="1"/>
  <c r="I336"/>
  <c r="G336"/>
  <c r="E336"/>
  <c r="W335"/>
  <c r="U335"/>
  <c r="O335"/>
  <c r="J335"/>
  <c r="K335" s="1"/>
  <c r="I335"/>
  <c r="G335"/>
  <c r="E335"/>
  <c r="T313"/>
  <c r="T314"/>
  <c r="T315"/>
  <c r="T312"/>
  <c r="M313"/>
  <c r="M314"/>
  <c r="M315"/>
  <c r="M312"/>
  <c r="M292"/>
  <c r="M293"/>
  <c r="M294"/>
  <c r="M291"/>
  <c r="W315"/>
  <c r="U315"/>
  <c r="O315"/>
  <c r="J315"/>
  <c r="K315" s="1"/>
  <c r="I315"/>
  <c r="G315"/>
  <c r="E315"/>
  <c r="W314"/>
  <c r="U314"/>
  <c r="O314"/>
  <c r="J314"/>
  <c r="K314" s="1"/>
  <c r="I314"/>
  <c r="G314"/>
  <c r="E314"/>
  <c r="W313"/>
  <c r="U313"/>
  <c r="O313"/>
  <c r="J313"/>
  <c r="K313" s="1"/>
  <c r="I313"/>
  <c r="G313"/>
  <c r="E313"/>
  <c r="W312"/>
  <c r="U312"/>
  <c r="O312"/>
  <c r="J312"/>
  <c r="K312" s="1"/>
  <c r="I312"/>
  <c r="G312"/>
  <c r="E312"/>
  <c r="Z303"/>
  <c r="Z301"/>
  <c r="Z302"/>
  <c r="Z300"/>
  <c r="T292"/>
  <c r="T293"/>
  <c r="T294"/>
  <c r="T291"/>
  <c r="Q291"/>
  <c r="Q294"/>
  <c r="Q293"/>
  <c r="Q292"/>
  <c r="W294"/>
  <c r="U294"/>
  <c r="O294"/>
  <c r="K294"/>
  <c r="J294"/>
  <c r="I294"/>
  <c r="G294"/>
  <c r="E294"/>
  <c r="W293"/>
  <c r="U293"/>
  <c r="O293"/>
  <c r="J293"/>
  <c r="K293" s="1"/>
  <c r="I293"/>
  <c r="G293"/>
  <c r="E293"/>
  <c r="W292"/>
  <c r="U292"/>
  <c r="O292"/>
  <c r="J292"/>
  <c r="K292" s="1"/>
  <c r="I292"/>
  <c r="G292"/>
  <c r="E292"/>
  <c r="W291"/>
  <c r="U291"/>
  <c r="O291"/>
  <c r="J291"/>
  <c r="K291" s="1"/>
  <c r="I291"/>
  <c r="G291"/>
  <c r="E291"/>
  <c r="Q227"/>
  <c r="Q226"/>
  <c r="Q225"/>
  <c r="Q224"/>
  <c r="Q245"/>
  <c r="Q246"/>
  <c r="Q247"/>
  <c r="Q248"/>
  <c r="Q271"/>
  <c r="Q270"/>
  <c r="Q269"/>
  <c r="Q268"/>
  <c r="Q177"/>
  <c r="Q176"/>
  <c r="Q175"/>
  <c r="Q174"/>
  <c r="T269"/>
  <c r="T270"/>
  <c r="T271"/>
  <c r="T268"/>
  <c r="V268"/>
  <c r="M246"/>
  <c r="M247"/>
  <c r="M248"/>
  <c r="M245"/>
  <c r="M269"/>
  <c r="M270"/>
  <c r="M271"/>
  <c r="M268"/>
  <c r="G278"/>
  <c r="D278"/>
  <c r="W271"/>
  <c r="U271"/>
  <c r="O271"/>
  <c r="J271"/>
  <c r="K271" s="1"/>
  <c r="I271"/>
  <c r="G271"/>
  <c r="E271"/>
  <c r="W270"/>
  <c r="U270"/>
  <c r="O270"/>
  <c r="J270"/>
  <c r="K270" s="1"/>
  <c r="I270"/>
  <c r="G270"/>
  <c r="E270"/>
  <c r="W269"/>
  <c r="U269"/>
  <c r="O269"/>
  <c r="J269"/>
  <c r="K269" s="1"/>
  <c r="I269"/>
  <c r="G269"/>
  <c r="E269"/>
  <c r="W268"/>
  <c r="U268"/>
  <c r="O268"/>
  <c r="J268"/>
  <c r="K268" s="1"/>
  <c r="I268"/>
  <c r="G268"/>
  <c r="E268"/>
  <c r="T246"/>
  <c r="T247"/>
  <c r="T248"/>
  <c r="T245"/>
  <c r="G255"/>
  <c r="D255"/>
  <c r="W248"/>
  <c r="U248"/>
  <c r="O248"/>
  <c r="J248"/>
  <c r="K248" s="1"/>
  <c r="I248"/>
  <c r="G248"/>
  <c r="E248"/>
  <c r="W247"/>
  <c r="U247"/>
  <c r="O247"/>
  <c r="J247"/>
  <c r="K247" s="1"/>
  <c r="I247"/>
  <c r="G247"/>
  <c r="E247"/>
  <c r="W246"/>
  <c r="U246"/>
  <c r="O246"/>
  <c r="J246"/>
  <c r="K246" s="1"/>
  <c r="I246"/>
  <c r="G246"/>
  <c r="E246"/>
  <c r="W245"/>
  <c r="U245"/>
  <c r="O245"/>
  <c r="J245"/>
  <c r="K245" s="1"/>
  <c r="I245"/>
  <c r="G245"/>
  <c r="E245"/>
  <c r="D234"/>
  <c r="G212"/>
  <c r="G211"/>
  <c r="G234"/>
  <c r="T225"/>
  <c r="T226"/>
  <c r="T227"/>
  <c r="T224"/>
  <c r="M225"/>
  <c r="M226"/>
  <c r="M227"/>
  <c r="M224"/>
  <c r="W227"/>
  <c r="U227"/>
  <c r="O227"/>
  <c r="J227"/>
  <c r="K227" s="1"/>
  <c r="I227"/>
  <c r="G227"/>
  <c r="E227"/>
  <c r="W226"/>
  <c r="U226"/>
  <c r="Z226" s="1"/>
  <c r="O226"/>
  <c r="J226"/>
  <c r="K226" s="1"/>
  <c r="I226"/>
  <c r="G226"/>
  <c r="E226"/>
  <c r="W225"/>
  <c r="U225"/>
  <c r="O225"/>
  <c r="J225"/>
  <c r="K225" s="1"/>
  <c r="I225"/>
  <c r="G225"/>
  <c r="E225"/>
  <c r="W224"/>
  <c r="U224"/>
  <c r="O224"/>
  <c r="K224"/>
  <c r="J224"/>
  <c r="I224"/>
  <c r="G224"/>
  <c r="E224"/>
  <c r="Q201"/>
  <c r="Q202"/>
  <c r="Q203"/>
  <c r="Q204"/>
  <c r="T202"/>
  <c r="T203"/>
  <c r="T204"/>
  <c r="T201"/>
  <c r="M202"/>
  <c r="M203"/>
  <c r="M204"/>
  <c r="M201"/>
  <c r="W204"/>
  <c r="U204"/>
  <c r="O204"/>
  <c r="J204"/>
  <c r="K204" s="1"/>
  <c r="I204"/>
  <c r="G204"/>
  <c r="E204"/>
  <c r="W203"/>
  <c r="U203"/>
  <c r="O203"/>
  <c r="J203"/>
  <c r="K203" s="1"/>
  <c r="I203"/>
  <c r="G203"/>
  <c r="E203"/>
  <c r="W202"/>
  <c r="U202"/>
  <c r="O202"/>
  <c r="N208" s="1"/>
  <c r="J202"/>
  <c r="K202" s="1"/>
  <c r="M208" s="1"/>
  <c r="I202"/>
  <c r="L208" s="1"/>
  <c r="G202"/>
  <c r="K208" s="1"/>
  <c r="E202"/>
  <c r="J208" s="1"/>
  <c r="W201"/>
  <c r="U201"/>
  <c r="O201"/>
  <c r="J201"/>
  <c r="K201" s="1"/>
  <c r="I201"/>
  <c r="G201"/>
  <c r="E201"/>
  <c r="T175"/>
  <c r="T176"/>
  <c r="T177"/>
  <c r="T174"/>
  <c r="M175"/>
  <c r="M176"/>
  <c r="M177"/>
  <c r="M174"/>
  <c r="M147"/>
  <c r="M146"/>
  <c r="M145"/>
  <c r="M144"/>
  <c r="U177"/>
  <c r="O177"/>
  <c r="I177"/>
  <c r="G177"/>
  <c r="J177"/>
  <c r="K177" s="1"/>
  <c r="E177"/>
  <c r="U176"/>
  <c r="O176"/>
  <c r="I176"/>
  <c r="G176"/>
  <c r="J176"/>
  <c r="K176" s="1"/>
  <c r="E176"/>
  <c r="W175"/>
  <c r="U175"/>
  <c r="O175"/>
  <c r="N186" s="1"/>
  <c r="J175"/>
  <c r="K175" s="1"/>
  <c r="M186" s="1"/>
  <c r="I175"/>
  <c r="L186" s="1"/>
  <c r="G175"/>
  <c r="K186" s="1"/>
  <c r="E175"/>
  <c r="J186" s="1"/>
  <c r="W174"/>
  <c r="U174"/>
  <c r="O174"/>
  <c r="J174"/>
  <c r="K174" s="1"/>
  <c r="I174"/>
  <c r="G174"/>
  <c r="E174"/>
  <c r="K112"/>
  <c r="M118" s="1"/>
  <c r="F146"/>
  <c r="W146" s="1"/>
  <c r="F147"/>
  <c r="G147" s="1"/>
  <c r="T145"/>
  <c r="T146"/>
  <c r="T147"/>
  <c r="T144"/>
  <c r="U147"/>
  <c r="Q147"/>
  <c r="O147"/>
  <c r="I147"/>
  <c r="E147"/>
  <c r="U146"/>
  <c r="Q146"/>
  <c r="O146"/>
  <c r="I146"/>
  <c r="E146"/>
  <c r="W145"/>
  <c r="U145"/>
  <c r="Q145"/>
  <c r="O145"/>
  <c r="N151" s="1"/>
  <c r="J145"/>
  <c r="K145" s="1"/>
  <c r="M151" s="1"/>
  <c r="I145"/>
  <c r="L151" s="1"/>
  <c r="G145"/>
  <c r="K151" s="1"/>
  <c r="E145"/>
  <c r="J151" s="1"/>
  <c r="W144"/>
  <c r="U144"/>
  <c r="Q144"/>
  <c r="O144"/>
  <c r="J144"/>
  <c r="K144" s="1"/>
  <c r="I144"/>
  <c r="G144"/>
  <c r="E144"/>
  <c r="F111"/>
  <c r="G111" s="1"/>
  <c r="F113"/>
  <c r="W113" s="1"/>
  <c r="T112"/>
  <c r="T113"/>
  <c r="T114"/>
  <c r="T111"/>
  <c r="M112"/>
  <c r="M113"/>
  <c r="M114"/>
  <c r="M111"/>
  <c r="Q114"/>
  <c r="Q113"/>
  <c r="Q112"/>
  <c r="Q111"/>
  <c r="F131"/>
  <c r="F130"/>
  <c r="F129"/>
  <c r="F127"/>
  <c r="F126"/>
  <c r="F125"/>
  <c r="F122"/>
  <c r="F121"/>
  <c r="F118"/>
  <c r="F117"/>
  <c r="F116"/>
  <c r="U114"/>
  <c r="O114"/>
  <c r="I114"/>
  <c r="F114"/>
  <c r="W114" s="1"/>
  <c r="E114"/>
  <c r="U113"/>
  <c r="O113"/>
  <c r="J113"/>
  <c r="K113" s="1"/>
  <c r="I113"/>
  <c r="E113"/>
  <c r="W112"/>
  <c r="U112"/>
  <c r="O112"/>
  <c r="N118" s="1"/>
  <c r="J112"/>
  <c r="I112"/>
  <c r="L118" s="1"/>
  <c r="G112"/>
  <c r="K118" s="1"/>
  <c r="E112"/>
  <c r="J118" s="1"/>
  <c r="U111"/>
  <c r="O111"/>
  <c r="I111"/>
  <c r="E111"/>
  <c r="F85"/>
  <c r="F88"/>
  <c r="J88" s="1"/>
  <c r="F86"/>
  <c r="J86" s="1"/>
  <c r="K86" s="1"/>
  <c r="M92" s="1"/>
  <c r="F87"/>
  <c r="J87" s="1"/>
  <c r="O85"/>
  <c r="G88"/>
  <c r="F92"/>
  <c r="F91"/>
  <c r="F90"/>
  <c r="F103"/>
  <c r="F104"/>
  <c r="F105"/>
  <c r="F101"/>
  <c r="F100"/>
  <c r="F99"/>
  <c r="F96"/>
  <c r="F95"/>
  <c r="F94"/>
  <c r="Q86"/>
  <c r="Q87"/>
  <c r="Q88"/>
  <c r="Q85"/>
  <c r="U86"/>
  <c r="U87"/>
  <c r="U88"/>
  <c r="U85"/>
  <c r="T86"/>
  <c r="T87"/>
  <c r="T88"/>
  <c r="T85"/>
  <c r="M86"/>
  <c r="M87"/>
  <c r="M88"/>
  <c r="M85"/>
  <c r="I88"/>
  <c r="E88"/>
  <c r="I87"/>
  <c r="E87"/>
  <c r="I86"/>
  <c r="L92" s="1"/>
  <c r="E86"/>
  <c r="J92" s="1"/>
  <c r="I85"/>
  <c r="E85"/>
  <c r="N74"/>
  <c r="N77"/>
  <c r="F77"/>
  <c r="G77" s="1"/>
  <c r="F76"/>
  <c r="G76" s="1"/>
  <c r="N76"/>
  <c r="N75"/>
  <c r="F75"/>
  <c r="J75" s="1"/>
  <c r="N66"/>
  <c r="N65"/>
  <c r="N67"/>
  <c r="N68"/>
  <c r="F68"/>
  <c r="J68" s="1"/>
  <c r="K68" s="1"/>
  <c r="F67"/>
  <c r="G67" s="1"/>
  <c r="F66"/>
  <c r="W62" s="1"/>
  <c r="F65"/>
  <c r="W61" s="1"/>
  <c r="N51"/>
  <c r="F54"/>
  <c r="G54" s="1"/>
  <c r="N54"/>
  <c r="N53"/>
  <c r="F52"/>
  <c r="G52" s="1"/>
  <c r="N52"/>
  <c r="F51"/>
  <c r="G51" s="1"/>
  <c r="L22"/>
  <c r="L21"/>
  <c r="L20"/>
  <c r="L19"/>
  <c r="L7"/>
  <c r="L8"/>
  <c r="L9"/>
  <c r="L10"/>
  <c r="F20"/>
  <c r="Y302" s="1"/>
  <c r="F30"/>
  <c r="J30" s="1"/>
  <c r="K30" s="1"/>
  <c r="F10"/>
  <c r="J10" s="1"/>
  <c r="K10" s="1"/>
  <c r="F9"/>
  <c r="J9" s="1"/>
  <c r="K9" s="1"/>
  <c r="F8"/>
  <c r="G8" s="1"/>
  <c r="F7"/>
  <c r="J7" s="1"/>
  <c r="K7" s="1"/>
  <c r="F19"/>
  <c r="L335" s="1"/>
  <c r="F31"/>
  <c r="G31" s="1"/>
  <c r="F21"/>
  <c r="J21" s="1"/>
  <c r="F22"/>
  <c r="V64" s="1"/>
  <c r="F53"/>
  <c r="W45" s="1"/>
  <c r="U62"/>
  <c r="U63"/>
  <c r="U64"/>
  <c r="U61"/>
  <c r="T62"/>
  <c r="T63"/>
  <c r="T64"/>
  <c r="T61"/>
  <c r="M67"/>
  <c r="M68"/>
  <c r="M65"/>
  <c r="M66"/>
  <c r="I66"/>
  <c r="E66"/>
  <c r="I68"/>
  <c r="E68"/>
  <c r="I67"/>
  <c r="E67"/>
  <c r="I65"/>
  <c r="E65"/>
  <c r="F32"/>
  <c r="G32" s="1"/>
  <c r="L32"/>
  <c r="L31"/>
  <c r="N31"/>
  <c r="N32"/>
  <c r="N30"/>
  <c r="L30"/>
  <c r="I30"/>
  <c r="E30"/>
  <c r="F39"/>
  <c r="G39" s="1"/>
  <c r="F40"/>
  <c r="L245" s="1"/>
  <c r="F41"/>
  <c r="L246" s="1"/>
  <c r="F42"/>
  <c r="W34" s="1"/>
  <c r="N41"/>
  <c r="N42"/>
  <c r="N40"/>
  <c r="N39"/>
  <c r="M45"/>
  <c r="M44"/>
  <c r="F43"/>
  <c r="L248" s="1"/>
  <c r="F45"/>
  <c r="M43"/>
  <c r="I32"/>
  <c r="E32"/>
  <c r="I31"/>
  <c r="E31"/>
  <c r="T76"/>
  <c r="T77"/>
  <c r="T78"/>
  <c r="T75"/>
  <c r="U78"/>
  <c r="U77"/>
  <c r="U76"/>
  <c r="U75"/>
  <c r="U44"/>
  <c r="U45"/>
  <c r="U46"/>
  <c r="U43"/>
  <c r="T44"/>
  <c r="T45"/>
  <c r="T46"/>
  <c r="T43"/>
  <c r="U32"/>
  <c r="U33"/>
  <c r="U34"/>
  <c r="U31"/>
  <c r="T32"/>
  <c r="T33"/>
  <c r="T34"/>
  <c r="T31"/>
  <c r="M75"/>
  <c r="M76"/>
  <c r="M77"/>
  <c r="M74"/>
  <c r="M52"/>
  <c r="M53"/>
  <c r="M54"/>
  <c r="M51"/>
  <c r="M40"/>
  <c r="M41"/>
  <c r="M42"/>
  <c r="M39"/>
  <c r="F74"/>
  <c r="G74" s="1"/>
  <c r="AL20" i="8"/>
  <c r="AM20" s="1"/>
  <c r="AK20"/>
  <c r="AI20"/>
  <c r="AH20"/>
  <c r="AG20"/>
  <c r="AK19"/>
  <c r="AI19"/>
  <c r="AH19"/>
  <c r="AL19" s="1"/>
  <c r="AM19" s="1"/>
  <c r="AG19"/>
  <c r="AK18"/>
  <c r="AH18"/>
  <c r="AI18" s="1"/>
  <c r="AG18"/>
  <c r="AK17"/>
  <c r="AH17"/>
  <c r="AL17" s="1"/>
  <c r="AM17" s="1"/>
  <c r="AG17"/>
  <c r="AK10"/>
  <c r="AH10"/>
  <c r="AN10" s="1"/>
  <c r="AO10" s="1"/>
  <c r="AG10"/>
  <c r="AK9"/>
  <c r="AH9"/>
  <c r="AN9" s="1"/>
  <c r="AO9" s="1"/>
  <c r="AG9"/>
  <c r="AK8"/>
  <c r="AH8"/>
  <c r="AI8" s="1"/>
  <c r="AG8"/>
  <c r="AN7"/>
  <c r="AO7" s="1"/>
  <c r="AK7"/>
  <c r="AI7"/>
  <c r="AH7"/>
  <c r="AG7"/>
  <c r="I77" i="7"/>
  <c r="E77"/>
  <c r="I76"/>
  <c r="E76"/>
  <c r="I75"/>
  <c r="E75"/>
  <c r="I74"/>
  <c r="E74"/>
  <c r="I54"/>
  <c r="E54"/>
  <c r="I53"/>
  <c r="E53"/>
  <c r="I52"/>
  <c r="E52"/>
  <c r="I51"/>
  <c r="E51"/>
  <c r="I42"/>
  <c r="E42"/>
  <c r="I41"/>
  <c r="E41"/>
  <c r="I40"/>
  <c r="E40"/>
  <c r="I39"/>
  <c r="E39"/>
  <c r="I22"/>
  <c r="E22"/>
  <c r="I21"/>
  <c r="E21"/>
  <c r="I20"/>
  <c r="E20"/>
  <c r="I19"/>
  <c r="E19"/>
  <c r="I10"/>
  <c r="E10"/>
  <c r="I9"/>
  <c r="E9"/>
  <c r="I8"/>
  <c r="E8"/>
  <c r="I7"/>
  <c r="E7"/>
  <c r="W20" i="8"/>
  <c r="T20"/>
  <c r="X20" s="1"/>
  <c r="Y20" s="1"/>
  <c r="S20"/>
  <c r="W19"/>
  <c r="T19"/>
  <c r="X19" s="1"/>
  <c r="Y19" s="1"/>
  <c r="S19"/>
  <c r="W18"/>
  <c r="T18"/>
  <c r="U18" s="1"/>
  <c r="S18"/>
  <c r="W17"/>
  <c r="T17"/>
  <c r="X17" s="1"/>
  <c r="Y17" s="1"/>
  <c r="S17"/>
  <c r="Z10"/>
  <c r="AA10" s="1"/>
  <c r="W10"/>
  <c r="T10"/>
  <c r="U10" s="1"/>
  <c r="S10"/>
  <c r="W9"/>
  <c r="T9"/>
  <c r="Z9" s="1"/>
  <c r="AA9" s="1"/>
  <c r="S9"/>
  <c r="W8"/>
  <c r="T8"/>
  <c r="U8" s="1"/>
  <c r="S8"/>
  <c r="W7"/>
  <c r="T7"/>
  <c r="Z7" s="1"/>
  <c r="AA7" s="1"/>
  <c r="S7"/>
  <c r="F17"/>
  <c r="J17" s="1"/>
  <c r="K17" s="1"/>
  <c r="F18"/>
  <c r="G18" s="1"/>
  <c r="J19"/>
  <c r="K19" s="1"/>
  <c r="J20"/>
  <c r="K20" s="1"/>
  <c r="F19"/>
  <c r="F20"/>
  <c r="I20"/>
  <c r="G20"/>
  <c r="E20"/>
  <c r="I19"/>
  <c r="G19"/>
  <c r="E19"/>
  <c r="I18"/>
  <c r="E18"/>
  <c r="I17"/>
  <c r="E17"/>
  <c r="I10"/>
  <c r="G10"/>
  <c r="F10"/>
  <c r="L10" s="1"/>
  <c r="M10" s="1"/>
  <c r="E10"/>
  <c r="I9"/>
  <c r="G9"/>
  <c r="F9"/>
  <c r="L9" s="1"/>
  <c r="M9" s="1"/>
  <c r="E9"/>
  <c r="I8"/>
  <c r="F8"/>
  <c r="G8" s="1"/>
  <c r="E8"/>
  <c r="L7"/>
  <c r="M7" s="1"/>
  <c r="I7"/>
  <c r="F7"/>
  <c r="G7" s="1"/>
  <c r="E7"/>
  <c r="U170" i="6"/>
  <c r="U169"/>
  <c r="U168"/>
  <c r="U167"/>
  <c r="V111" i="7" l="1"/>
  <c r="Y111" s="1"/>
  <c r="W63"/>
  <c r="J111"/>
  <c r="K111" s="1"/>
  <c r="W147"/>
  <c r="J147"/>
  <c r="K147" s="1"/>
  <c r="L204"/>
  <c r="L201"/>
  <c r="Z337"/>
  <c r="J145" i="9"/>
  <c r="K145" s="1"/>
  <c r="J73"/>
  <c r="K73" s="1"/>
  <c r="J67"/>
  <c r="K67" s="1"/>
  <c r="L67"/>
  <c r="G41"/>
  <c r="L73"/>
  <c r="L66"/>
  <c r="J65"/>
  <c r="K65" s="1"/>
  <c r="L270"/>
  <c r="J51"/>
  <c r="K51" s="1"/>
  <c r="G75"/>
  <c r="G52"/>
  <c r="J74"/>
  <c r="K74" s="1"/>
  <c r="J66"/>
  <c r="K66" s="1"/>
  <c r="J50"/>
  <c r="K50" s="1"/>
  <c r="L45" i="7"/>
  <c r="U7" i="8"/>
  <c r="U20"/>
  <c r="G65" i="7"/>
  <c r="G114"/>
  <c r="V112"/>
  <c r="Y112" s="1"/>
  <c r="L175"/>
  <c r="L271"/>
  <c r="V269"/>
  <c r="Y269" s="1"/>
  <c r="Y280" s="1"/>
  <c r="Z293"/>
  <c r="Y303"/>
  <c r="G38" i="9"/>
  <c r="G53"/>
  <c r="U9" i="8"/>
  <c r="AI17"/>
  <c r="V86" i="7"/>
  <c r="W111"/>
  <c r="Z144"/>
  <c r="V174"/>
  <c r="Y174" s="1"/>
  <c r="L202"/>
  <c r="V202"/>
  <c r="Y202" s="1"/>
  <c r="J76" i="9"/>
  <c r="K76" s="1"/>
  <c r="L112" i="7"/>
  <c r="L292"/>
  <c r="J114"/>
  <c r="K114" s="1"/>
  <c r="V292"/>
  <c r="Y292" s="1"/>
  <c r="U17" i="8"/>
  <c r="AI10"/>
  <c r="L145" i="7"/>
  <c r="U19" i="8"/>
  <c r="V144" i="7"/>
  <c r="Y144" s="1"/>
  <c r="L225"/>
  <c r="V224"/>
  <c r="Y300"/>
  <c r="V315"/>
  <c r="Y315" s="1"/>
  <c r="V336"/>
  <c r="J40" i="9"/>
  <c r="K40" s="1"/>
  <c r="J41"/>
  <c r="K41" s="1"/>
  <c r="G51"/>
  <c r="L269" i="7"/>
  <c r="AI9" i="8"/>
  <c r="W87" i="7"/>
  <c r="L313"/>
  <c r="L336"/>
  <c r="W78"/>
  <c r="L86"/>
  <c r="V246"/>
  <c r="Y246" s="1"/>
  <c r="Z85"/>
  <c r="L111"/>
  <c r="V225"/>
  <c r="Y225" s="1"/>
  <c r="Z247"/>
  <c r="Y301"/>
  <c r="V313"/>
  <c r="Y313" s="1"/>
  <c r="G74" i="9"/>
  <c r="J146"/>
  <c r="K146" s="1"/>
  <c r="J85" i="10"/>
  <c r="K85" s="1"/>
  <c r="J84"/>
  <c r="K84" s="1"/>
  <c r="V146" i="7"/>
  <c r="V147"/>
  <c r="Y147" s="1"/>
  <c r="V177"/>
  <c r="V227"/>
  <c r="Y227" s="1"/>
  <c r="V270"/>
  <c r="Y270" s="1"/>
  <c r="V338"/>
  <c r="V87"/>
  <c r="V114"/>
  <c r="Y114" s="1"/>
  <c r="Z145"/>
  <c r="L147"/>
  <c r="V247"/>
  <c r="Y247" s="1"/>
  <c r="V271"/>
  <c r="Y271" s="1"/>
  <c r="L293"/>
  <c r="L314"/>
  <c r="V335"/>
  <c r="V337"/>
  <c r="V113"/>
  <c r="Y113" s="1"/>
  <c r="V88"/>
  <c r="Z204"/>
  <c r="V203"/>
  <c r="Y203" s="1"/>
  <c r="V204"/>
  <c r="Y204" s="1"/>
  <c r="Z338"/>
  <c r="V176"/>
  <c r="V226"/>
  <c r="G113"/>
  <c r="L146"/>
  <c r="L176"/>
  <c r="L226"/>
  <c r="V248"/>
  <c r="Y248" s="1"/>
  <c r="V293"/>
  <c r="Y293" s="1"/>
  <c r="L294"/>
  <c r="L315"/>
  <c r="L177"/>
  <c r="L227"/>
  <c r="V245"/>
  <c r="Y245" s="1"/>
  <c r="V294"/>
  <c r="Y294" s="1"/>
  <c r="L291"/>
  <c r="L312"/>
  <c r="V312"/>
  <c r="Y312" s="1"/>
  <c r="L337"/>
  <c r="L113"/>
  <c r="L144"/>
  <c r="L174"/>
  <c r="Z174"/>
  <c r="V201"/>
  <c r="Y201" s="1"/>
  <c r="L270"/>
  <c r="V291"/>
  <c r="Y291" s="1"/>
  <c r="Z313"/>
  <c r="Y336" s="1"/>
  <c r="L338"/>
  <c r="L114"/>
  <c r="V145"/>
  <c r="Y145" s="1"/>
  <c r="V175"/>
  <c r="Y175" s="1"/>
  <c r="L203"/>
  <c r="L224"/>
  <c r="L247"/>
  <c r="L268"/>
  <c r="V314"/>
  <c r="L41" i="9"/>
  <c r="L76"/>
  <c r="J9"/>
  <c r="K9" s="1"/>
  <c r="J7"/>
  <c r="K7" s="1"/>
  <c r="Z336" i="7"/>
  <c r="J38" i="10"/>
  <c r="K38" s="1"/>
  <c r="J39"/>
  <c r="K39" s="1"/>
  <c r="J110" i="9"/>
  <c r="K110" s="1"/>
  <c r="L64"/>
  <c r="L86"/>
  <c r="L112"/>
  <c r="L224"/>
  <c r="L293"/>
  <c r="L312"/>
  <c r="L335"/>
  <c r="G8"/>
  <c r="L38"/>
  <c r="L53"/>
  <c r="G76"/>
  <c r="L143"/>
  <c r="L175"/>
  <c r="L200"/>
  <c r="L225"/>
  <c r="L313"/>
  <c r="L336"/>
  <c r="L267"/>
  <c r="L268"/>
  <c r="L223"/>
  <c r="L292"/>
  <c r="L311"/>
  <c r="L334"/>
  <c r="L39"/>
  <c r="J19"/>
  <c r="K19" s="1"/>
  <c r="J39"/>
  <c r="K39" s="1"/>
  <c r="L42"/>
  <c r="L52"/>
  <c r="J64"/>
  <c r="K64" s="1"/>
  <c r="J84"/>
  <c r="K84" s="1"/>
  <c r="J85"/>
  <c r="K85" s="1"/>
  <c r="J86"/>
  <c r="K86" s="1"/>
  <c r="J87"/>
  <c r="K87" s="1"/>
  <c r="J112"/>
  <c r="K112" s="1"/>
  <c r="J113"/>
  <c r="K113" s="1"/>
  <c r="L144"/>
  <c r="L145"/>
  <c r="L146"/>
  <c r="L176"/>
  <c r="L201"/>
  <c r="L226"/>
  <c r="L314"/>
  <c r="L337"/>
  <c r="L291"/>
  <c r="L40"/>
  <c r="L65"/>
  <c r="L110"/>
  <c r="L173"/>
  <c r="L269"/>
  <c r="L85"/>
  <c r="L87"/>
  <c r="L174"/>
  <c r="J20"/>
  <c r="K20" s="1"/>
  <c r="G40"/>
  <c r="L51"/>
  <c r="L74"/>
  <c r="L202"/>
  <c r="L244"/>
  <c r="L290"/>
  <c r="L44"/>
  <c r="L84"/>
  <c r="L111"/>
  <c r="L113"/>
  <c r="G19"/>
  <c r="J21"/>
  <c r="K21" s="1"/>
  <c r="L50"/>
  <c r="L75"/>
  <c r="L203"/>
  <c r="Z335" i="7"/>
  <c r="Y314"/>
  <c r="Z315"/>
  <c r="Y338" s="1"/>
  <c r="Z314"/>
  <c r="Y337" s="1"/>
  <c r="Z312"/>
  <c r="Y335" s="1"/>
  <c r="Z294"/>
  <c r="Z292"/>
  <c r="Z291"/>
  <c r="Z224"/>
  <c r="Z271"/>
  <c r="Z269"/>
  <c r="Z280" s="1"/>
  <c r="Y224"/>
  <c r="Y268"/>
  <c r="Z270"/>
  <c r="Z268"/>
  <c r="Z246"/>
  <c r="Z248"/>
  <c r="Z245"/>
  <c r="Y226"/>
  <c r="Z227"/>
  <c r="Z225"/>
  <c r="Z201"/>
  <c r="Z202"/>
  <c r="Z203"/>
  <c r="Z175"/>
  <c r="Z299" s="1"/>
  <c r="Z176"/>
  <c r="Z177"/>
  <c r="W176"/>
  <c r="W177"/>
  <c r="Z146"/>
  <c r="Z147"/>
  <c r="Y146"/>
  <c r="G146"/>
  <c r="J146"/>
  <c r="K146" s="1"/>
  <c r="Z111"/>
  <c r="Z112"/>
  <c r="Z113"/>
  <c r="Z114"/>
  <c r="O87"/>
  <c r="O88"/>
  <c r="J85"/>
  <c r="K85" s="1"/>
  <c r="O86"/>
  <c r="N92" s="1"/>
  <c r="W31"/>
  <c r="W88"/>
  <c r="L39"/>
  <c r="L88"/>
  <c r="V85"/>
  <c r="L85"/>
  <c r="W86"/>
  <c r="Y86" s="1"/>
  <c r="G86"/>
  <c r="K92" s="1"/>
  <c r="G85"/>
  <c r="W85"/>
  <c r="L87"/>
  <c r="G87"/>
  <c r="Y87"/>
  <c r="Z86"/>
  <c r="Z87"/>
  <c r="Z88"/>
  <c r="K88"/>
  <c r="K87"/>
  <c r="J77"/>
  <c r="K77" s="1"/>
  <c r="J76"/>
  <c r="K76" s="1"/>
  <c r="G68"/>
  <c r="W64"/>
  <c r="Y64" s="1"/>
  <c r="G66"/>
  <c r="Z44"/>
  <c r="G7"/>
  <c r="G22"/>
  <c r="V63"/>
  <c r="G20"/>
  <c r="L44"/>
  <c r="V62"/>
  <c r="Y62" s="1"/>
  <c r="L43"/>
  <c r="J20"/>
  <c r="K20" s="1"/>
  <c r="J19"/>
  <c r="K19" s="1"/>
  <c r="V31"/>
  <c r="V43"/>
  <c r="L65"/>
  <c r="G19"/>
  <c r="V75"/>
  <c r="V61"/>
  <c r="Y61" s="1"/>
  <c r="J53"/>
  <c r="K53" s="1"/>
  <c r="W46"/>
  <c r="J54"/>
  <c r="K54" s="1"/>
  <c r="Z62"/>
  <c r="Z63"/>
  <c r="Z64"/>
  <c r="Z61"/>
  <c r="V78"/>
  <c r="Y78" s="1"/>
  <c r="M30"/>
  <c r="V34"/>
  <c r="Y34" s="1"/>
  <c r="Z45"/>
  <c r="L51"/>
  <c r="Z46"/>
  <c r="M31"/>
  <c r="J39"/>
  <c r="K39" s="1"/>
  <c r="Z43"/>
  <c r="J32"/>
  <c r="K32" s="1"/>
  <c r="J22"/>
  <c r="K22" s="1"/>
  <c r="L68"/>
  <c r="J67"/>
  <c r="K67" s="1"/>
  <c r="L67"/>
  <c r="L66"/>
  <c r="J66"/>
  <c r="K66" s="1"/>
  <c r="J65"/>
  <c r="K65" s="1"/>
  <c r="Z76"/>
  <c r="J52"/>
  <c r="K52" s="1"/>
  <c r="M32"/>
  <c r="G30"/>
  <c r="V76"/>
  <c r="V44"/>
  <c r="G10"/>
  <c r="G9"/>
  <c r="V33"/>
  <c r="W75"/>
  <c r="J74"/>
  <c r="K74" s="1"/>
  <c r="V77"/>
  <c r="J8"/>
  <c r="K8" s="1"/>
  <c r="L40"/>
  <c r="W77"/>
  <c r="L41"/>
  <c r="J51"/>
  <c r="K51" s="1"/>
  <c r="L53"/>
  <c r="L76"/>
  <c r="W76"/>
  <c r="J31"/>
  <c r="K31" s="1"/>
  <c r="G40"/>
  <c r="L54"/>
  <c r="L77"/>
  <c r="W43"/>
  <c r="Z78"/>
  <c r="L74"/>
  <c r="W32"/>
  <c r="V45"/>
  <c r="Y45" s="1"/>
  <c r="L52"/>
  <c r="L75"/>
  <c r="W33"/>
  <c r="V46"/>
  <c r="L42"/>
  <c r="W44"/>
  <c r="Z77"/>
  <c r="G21"/>
  <c r="V32"/>
  <c r="Z75"/>
  <c r="Z32"/>
  <c r="Z33"/>
  <c r="Z34"/>
  <c r="Z31"/>
  <c r="J40"/>
  <c r="K40" s="1"/>
  <c r="G42"/>
  <c r="J41"/>
  <c r="K41" s="1"/>
  <c r="J42"/>
  <c r="K42" s="1"/>
  <c r="K21"/>
  <c r="G75"/>
  <c r="G53"/>
  <c r="G41"/>
  <c r="AN8" i="8"/>
  <c r="AO8" s="1"/>
  <c r="AL18"/>
  <c r="AM18" s="1"/>
  <c r="K75" i="7"/>
  <c r="Z8" i="8"/>
  <c r="AA8" s="1"/>
  <c r="X18"/>
  <c r="Y18" s="1"/>
  <c r="G17"/>
  <c r="J18"/>
  <c r="K18" s="1"/>
  <c r="L8"/>
  <c r="M8" s="1"/>
  <c r="U160" i="6"/>
  <c r="U161"/>
  <c r="U162"/>
  <c r="U159"/>
  <c r="S162"/>
  <c r="S161"/>
  <c r="S160"/>
  <c r="S159"/>
  <c r="AA162"/>
  <c r="Y162"/>
  <c r="AA161"/>
  <c r="Y161"/>
  <c r="AA160"/>
  <c r="Y160"/>
  <c r="AA159"/>
  <c r="Y159"/>
  <c r="AA153"/>
  <c r="AA154"/>
  <c r="AA155"/>
  <c r="AA152"/>
  <c r="AG153"/>
  <c r="AG154"/>
  <c r="AG155"/>
  <c r="AG152"/>
  <c r="Y63" i="7" l="1"/>
  <c r="Y88"/>
  <c r="Y75"/>
  <c r="Y254"/>
  <c r="Y277"/>
  <c r="Y233"/>
  <c r="Y210"/>
  <c r="Y232"/>
  <c r="Y182"/>
  <c r="Y253"/>
  <c r="Y209"/>
  <c r="Y299"/>
  <c r="Y276"/>
  <c r="Y177"/>
  <c r="Y85"/>
  <c r="Z210"/>
  <c r="Z277"/>
  <c r="Z233"/>
  <c r="Z254"/>
  <c r="Y176"/>
  <c r="Z255"/>
  <c r="Z234"/>
  <c r="Z278"/>
  <c r="Z256"/>
  <c r="Z279"/>
  <c r="Y279"/>
  <c r="Y256"/>
  <c r="Y278"/>
  <c r="Y255"/>
  <c r="Y234"/>
  <c r="Z209"/>
  <c r="Z276"/>
  <c r="Z253"/>
  <c r="Z182"/>
  <c r="Z232"/>
  <c r="Y31"/>
  <c r="Y43"/>
  <c r="Y46"/>
  <c r="Y76"/>
  <c r="Y33"/>
  <c r="Y44"/>
  <c r="Y32"/>
  <c r="Y77"/>
  <c r="AE155" i="6"/>
  <c r="AE154"/>
  <c r="AE153"/>
  <c r="AE152"/>
  <c r="Y155"/>
  <c r="Y154"/>
  <c r="Y153"/>
  <c r="Y152"/>
  <c r="F154" l="1"/>
  <c r="G157"/>
  <c r="D157"/>
  <c r="E156"/>
  <c r="D156"/>
  <c r="L155"/>
  <c r="J155"/>
  <c r="F155"/>
  <c r="F157" s="1"/>
  <c r="E155"/>
  <c r="E157" s="1"/>
  <c r="J154"/>
  <c r="G154"/>
  <c r="G156" s="1"/>
  <c r="F156"/>
  <c r="C156" l="1"/>
  <c r="C157"/>
  <c r="W147"/>
  <c r="V147"/>
  <c r="S147"/>
  <c r="W146"/>
  <c r="V146"/>
  <c r="S146"/>
  <c r="W145"/>
  <c r="V145"/>
  <c r="S145"/>
  <c r="W144"/>
  <c r="V144"/>
  <c r="S144"/>
  <c r="G107" l="1"/>
  <c r="E106"/>
  <c r="D106"/>
  <c r="L105"/>
  <c r="J105"/>
  <c r="F105"/>
  <c r="F107" s="1"/>
  <c r="E105"/>
  <c r="E107" s="1"/>
  <c r="D107"/>
  <c r="J104"/>
  <c r="G104"/>
  <c r="G106" s="1"/>
  <c r="F104"/>
  <c r="F106" s="1"/>
  <c r="D96"/>
  <c r="E96"/>
  <c r="F96"/>
  <c r="C107" l="1"/>
  <c r="C106"/>
  <c r="F98"/>
  <c r="G95"/>
  <c r="G97" s="1"/>
  <c r="F95"/>
  <c r="F97" s="1"/>
  <c r="G98"/>
  <c r="D98"/>
  <c r="L96"/>
  <c r="J96"/>
  <c r="E98"/>
  <c r="J95"/>
  <c r="D97"/>
  <c r="C98" l="1"/>
  <c r="E97"/>
  <c r="C97" s="1"/>
  <c r="AF128"/>
  <c r="AF129"/>
  <c r="AF130"/>
  <c r="AF127"/>
  <c r="AE128"/>
  <c r="AE129"/>
  <c r="AE130"/>
  <c r="AE127"/>
  <c r="AD128"/>
  <c r="AD129"/>
  <c r="AD130"/>
  <c r="AC128"/>
  <c r="AC129"/>
  <c r="AC130"/>
  <c r="AB128"/>
  <c r="AB129"/>
  <c r="AB130"/>
  <c r="AD127"/>
  <c r="AC127"/>
  <c r="AB127"/>
  <c r="W138"/>
  <c r="V138"/>
  <c r="U138"/>
  <c r="W137"/>
  <c r="V137"/>
  <c r="U137"/>
  <c r="W136"/>
  <c r="V136"/>
  <c r="U136"/>
  <c r="W135"/>
  <c r="V135"/>
  <c r="U135"/>
  <c r="W130" l="1"/>
  <c r="V130"/>
  <c r="U130"/>
  <c r="W129"/>
  <c r="V129"/>
  <c r="U129"/>
  <c r="W128"/>
  <c r="V128"/>
  <c r="U128"/>
  <c r="W127"/>
  <c r="V127"/>
  <c r="U127"/>
  <c r="W134" i="5"/>
  <c r="W135"/>
  <c r="W136"/>
  <c r="W133"/>
  <c r="V134"/>
  <c r="V135"/>
  <c r="V136"/>
  <c r="V133"/>
  <c r="U134"/>
  <c r="U135"/>
  <c r="U136"/>
  <c r="U133"/>
  <c r="X130"/>
  <c r="AA129"/>
  <c r="Y129"/>
  <c r="X129"/>
  <c r="V129"/>
  <c r="S129"/>
  <c r="S128"/>
  <c r="Y127"/>
  <c r="V127"/>
  <c r="AA125"/>
  <c r="Y125"/>
  <c r="X125"/>
  <c r="V125"/>
  <c r="S125"/>
  <c r="S124"/>
  <c r="S121" i="6"/>
  <c r="S120"/>
  <c r="S117"/>
  <c r="S116"/>
  <c r="AA121" l="1"/>
  <c r="Y121"/>
  <c r="X121"/>
  <c r="V121"/>
  <c r="Y119"/>
  <c r="V119"/>
  <c r="AA117"/>
  <c r="Y117"/>
  <c r="X117"/>
  <c r="V117"/>
  <c r="Y107"/>
  <c r="V107"/>
  <c r="AA105"/>
  <c r="Y105"/>
  <c r="X105"/>
  <c r="V105"/>
  <c r="T105"/>
  <c r="T104"/>
  <c r="U94"/>
  <c r="U96" s="1"/>
  <c r="Y92"/>
  <c r="U92"/>
  <c r="G89"/>
  <c r="D89"/>
  <c r="U88"/>
  <c r="X92" s="1"/>
  <c r="R88"/>
  <c r="V96" s="1"/>
  <c r="G88"/>
  <c r="L87"/>
  <c r="J87"/>
  <c r="D87"/>
  <c r="F87" s="1"/>
  <c r="L86"/>
  <c r="J86"/>
  <c r="F86"/>
  <c r="F88" s="1"/>
  <c r="G80"/>
  <c r="G79"/>
  <c r="F79"/>
  <c r="L78"/>
  <c r="J78"/>
  <c r="D78"/>
  <c r="D80" s="1"/>
  <c r="L77"/>
  <c r="J77"/>
  <c r="F77"/>
  <c r="D77"/>
  <c r="E77" s="1"/>
  <c r="E79" s="1"/>
  <c r="AA71"/>
  <c r="G71"/>
  <c r="S70"/>
  <c r="R70"/>
  <c r="G70"/>
  <c r="AA69"/>
  <c r="T69"/>
  <c r="S81" s="1"/>
  <c r="S69"/>
  <c r="Q69"/>
  <c r="U80" s="1"/>
  <c r="L69"/>
  <c r="J69"/>
  <c r="D69"/>
  <c r="F69" s="1"/>
  <c r="Y68"/>
  <c r="U68"/>
  <c r="U70" s="1"/>
  <c r="L68"/>
  <c r="J68"/>
  <c r="F68"/>
  <c r="F70" s="1"/>
  <c r="T62"/>
  <c r="R62"/>
  <c r="T61"/>
  <c r="R61"/>
  <c r="T60"/>
  <c r="R60"/>
  <c r="R59"/>
  <c r="R58"/>
  <c r="R57"/>
  <c r="G57"/>
  <c r="R56"/>
  <c r="G56"/>
  <c r="R55"/>
  <c r="L55"/>
  <c r="J55"/>
  <c r="D55"/>
  <c r="D57" s="1"/>
  <c r="T54"/>
  <c r="L54"/>
  <c r="J54"/>
  <c r="F54"/>
  <c r="F56" s="1"/>
  <c r="J47"/>
  <c r="H47"/>
  <c r="F47"/>
  <c r="D47"/>
  <c r="B47"/>
  <c r="J41"/>
  <c r="H41"/>
  <c r="F41"/>
  <c r="D41"/>
  <c r="B41"/>
  <c r="G30"/>
  <c r="F30"/>
  <c r="E30"/>
  <c r="D30"/>
  <c r="C30"/>
  <c r="D32" s="1"/>
  <c r="J17"/>
  <c r="I17"/>
  <c r="H17"/>
  <c r="G17"/>
  <c r="F17"/>
  <c r="E17"/>
  <c r="D17"/>
  <c r="C17"/>
  <c r="J15"/>
  <c r="I15"/>
  <c r="H15"/>
  <c r="G15"/>
  <c r="F15"/>
  <c r="E15"/>
  <c r="D15"/>
  <c r="C15"/>
  <c r="M9"/>
  <c r="J9"/>
  <c r="H9"/>
  <c r="F9"/>
  <c r="C9"/>
  <c r="M8"/>
  <c r="J8"/>
  <c r="H8"/>
  <c r="F8"/>
  <c r="C8"/>
  <c r="M7"/>
  <c r="G29" s="1"/>
  <c r="J7"/>
  <c r="F29" s="1"/>
  <c r="H7"/>
  <c r="E29" s="1"/>
  <c r="F7"/>
  <c r="D29" s="1"/>
  <c r="C7"/>
  <c r="C29" s="1"/>
  <c r="M6"/>
  <c r="J6"/>
  <c r="H6"/>
  <c r="F6"/>
  <c r="C6"/>
  <c r="R121" i="5"/>
  <c r="R120"/>
  <c r="Y121" s="1"/>
  <c r="AA121"/>
  <c r="X121"/>
  <c r="S121"/>
  <c r="S117"/>
  <c r="S116"/>
  <c r="AA117"/>
  <c r="X117"/>
  <c r="Y119"/>
  <c r="V119"/>
  <c r="Y117"/>
  <c r="V117"/>
  <c r="Y107"/>
  <c r="V107"/>
  <c r="AA105"/>
  <c r="Y105"/>
  <c r="X105"/>
  <c r="V105"/>
  <c r="T105"/>
  <c r="T104"/>
  <c r="Z105" s="1"/>
  <c r="T69"/>
  <c r="Q69"/>
  <c r="R62"/>
  <c r="R61"/>
  <c r="T62"/>
  <c r="T61"/>
  <c r="R60"/>
  <c r="R59"/>
  <c r="S69"/>
  <c r="U68"/>
  <c r="T68" s="1"/>
  <c r="AA71"/>
  <c r="W105" l="1"/>
  <c r="S71" i="6"/>
  <c r="R71"/>
  <c r="F78"/>
  <c r="F80" s="1"/>
  <c r="D54"/>
  <c r="D56" s="1"/>
  <c r="U71"/>
  <c r="F55"/>
  <c r="E55" s="1"/>
  <c r="E57" s="1"/>
  <c r="Y69"/>
  <c r="AA82"/>
  <c r="X84"/>
  <c r="AA81"/>
  <c r="E54"/>
  <c r="E56" s="1"/>
  <c r="C56" s="1"/>
  <c r="V92"/>
  <c r="C32"/>
  <c r="V94"/>
  <c r="D68"/>
  <c r="V89"/>
  <c r="X89"/>
  <c r="W105"/>
  <c r="Y89"/>
  <c r="F71"/>
  <c r="E69"/>
  <c r="E71" s="1"/>
  <c r="V71"/>
  <c r="G31"/>
  <c r="C31"/>
  <c r="E31"/>
  <c r="F31"/>
  <c r="D31"/>
  <c r="F89"/>
  <c r="E87"/>
  <c r="E89" s="1"/>
  <c r="C89" s="1"/>
  <c r="E78"/>
  <c r="E80" s="1"/>
  <c r="C80" s="1"/>
  <c r="AA96"/>
  <c r="D71"/>
  <c r="S80"/>
  <c r="X81"/>
  <c r="AA94"/>
  <c r="Z105"/>
  <c r="G32"/>
  <c r="F57"/>
  <c r="C57" s="1"/>
  <c r="T68"/>
  <c r="T71"/>
  <c r="R80"/>
  <c r="S84"/>
  <c r="D86"/>
  <c r="AA92"/>
  <c r="Y96"/>
  <c r="X83"/>
  <c r="X82"/>
  <c r="F32"/>
  <c r="D79"/>
  <c r="C79" s="1"/>
  <c r="S83"/>
  <c r="AA84"/>
  <c r="AA89"/>
  <c r="Y94"/>
  <c r="X96"/>
  <c r="S82"/>
  <c r="AA83"/>
  <c r="X94"/>
  <c r="E32"/>
  <c r="V121" i="5"/>
  <c r="S120"/>
  <c r="S96"/>
  <c r="T96" s="1"/>
  <c r="U88"/>
  <c r="R88"/>
  <c r="V92" s="1"/>
  <c r="U80"/>
  <c r="S88"/>
  <c r="S80"/>
  <c r="T54"/>
  <c r="T60"/>
  <c r="R58"/>
  <c r="R57"/>
  <c r="R56"/>
  <c r="R55"/>
  <c r="U71"/>
  <c r="U70"/>
  <c r="AA69"/>
  <c r="Y69"/>
  <c r="Y68"/>
  <c r="T70"/>
  <c r="Q71" i="6" l="1"/>
  <c r="V94" i="5"/>
  <c r="T88"/>
  <c r="Z96" s="1"/>
  <c r="V96"/>
  <c r="D70" i="6"/>
  <c r="E68"/>
  <c r="E70" s="1"/>
  <c r="C71"/>
  <c r="T70"/>
  <c r="S92"/>
  <c r="T92" s="1"/>
  <c r="S89"/>
  <c r="T89" s="1"/>
  <c r="S88"/>
  <c r="T88" s="1"/>
  <c r="S94"/>
  <c r="T94" s="1"/>
  <c r="S96"/>
  <c r="T96" s="1"/>
  <c r="T80"/>
  <c r="R81"/>
  <c r="V81" s="1"/>
  <c r="Y81"/>
  <c r="D88"/>
  <c r="C88" s="1"/>
  <c r="E86"/>
  <c r="E88" s="1"/>
  <c r="Y92" i="5"/>
  <c r="Y94"/>
  <c r="Y96"/>
  <c r="W96"/>
  <c r="S94"/>
  <c r="T94" s="1"/>
  <c r="W94" s="1"/>
  <c r="S92"/>
  <c r="T92" s="1"/>
  <c r="W92" s="1"/>
  <c r="S89"/>
  <c r="S84"/>
  <c r="S83"/>
  <c r="S82"/>
  <c r="S81"/>
  <c r="AA89"/>
  <c r="X89"/>
  <c r="AA83"/>
  <c r="AA84"/>
  <c r="X81"/>
  <c r="X82"/>
  <c r="X83"/>
  <c r="X84"/>
  <c r="AA81"/>
  <c r="AA82"/>
  <c r="R71"/>
  <c r="C70" i="6" l="1"/>
  <c r="W94"/>
  <c r="W92"/>
  <c r="W96"/>
  <c r="Z89"/>
  <c r="Z92"/>
  <c r="W89"/>
  <c r="Z94"/>
  <c r="Z96"/>
  <c r="Q70"/>
  <c r="V70"/>
  <c r="R82"/>
  <c r="T81"/>
  <c r="W81" s="1"/>
  <c r="Z92" i="5"/>
  <c r="Z94"/>
  <c r="Y89"/>
  <c r="V89"/>
  <c r="T89"/>
  <c r="U92"/>
  <c r="T71"/>
  <c r="S70"/>
  <c r="V70" s="1"/>
  <c r="R70"/>
  <c r="R83" i="6" l="1"/>
  <c r="T82"/>
  <c r="V82"/>
  <c r="Y82"/>
  <c r="Z81"/>
  <c r="Z89" i="5"/>
  <c r="W89"/>
  <c r="U94"/>
  <c r="X92"/>
  <c r="AA92"/>
  <c r="S71"/>
  <c r="R80"/>
  <c r="R81" s="1"/>
  <c r="Q70"/>
  <c r="R84" i="6" l="1"/>
  <c r="T83"/>
  <c r="V83"/>
  <c r="Y83"/>
  <c r="Z82"/>
  <c r="W82"/>
  <c r="U96" i="5"/>
  <c r="X94"/>
  <c r="AA94"/>
  <c r="V71"/>
  <c r="Q71"/>
  <c r="V81"/>
  <c r="T80"/>
  <c r="F86"/>
  <c r="F88" s="1"/>
  <c r="D87"/>
  <c r="D89" s="1"/>
  <c r="G89"/>
  <c r="G88"/>
  <c r="L87"/>
  <c r="J87"/>
  <c r="L86"/>
  <c r="J86"/>
  <c r="F77"/>
  <c r="F79" s="1"/>
  <c r="D78"/>
  <c r="D80" s="1"/>
  <c r="G80"/>
  <c r="G79"/>
  <c r="L78"/>
  <c r="J78"/>
  <c r="L77"/>
  <c r="J77"/>
  <c r="F68"/>
  <c r="D68" s="1"/>
  <c r="E68" s="1"/>
  <c r="D69"/>
  <c r="F69" s="1"/>
  <c r="E69" s="1"/>
  <c r="L69"/>
  <c r="J69"/>
  <c r="L68"/>
  <c r="J68"/>
  <c r="F54"/>
  <c r="D54" s="1"/>
  <c r="E54" s="1"/>
  <c r="L55"/>
  <c r="D55"/>
  <c r="F55" l="1"/>
  <c r="E55" s="1"/>
  <c r="F87"/>
  <c r="E87" s="1"/>
  <c r="E89" s="1"/>
  <c r="D77"/>
  <c r="F78"/>
  <c r="W83" i="6"/>
  <c r="Z83"/>
  <c r="T84"/>
  <c r="Y84"/>
  <c r="V84"/>
  <c r="D86" i="5"/>
  <c r="X96"/>
  <c r="AA96"/>
  <c r="T81"/>
  <c r="Z81" s="1"/>
  <c r="R82"/>
  <c r="Y81"/>
  <c r="E78"/>
  <c r="E80" s="1"/>
  <c r="L54"/>
  <c r="F89" l="1"/>
  <c r="C89" s="1"/>
  <c r="Z84" i="6"/>
  <c r="W84"/>
  <c r="R83" i="5"/>
  <c r="V82"/>
  <c r="Y82"/>
  <c r="W81"/>
  <c r="E86"/>
  <c r="E88" s="1"/>
  <c r="D88"/>
  <c r="F80"/>
  <c r="C80" s="1"/>
  <c r="E77"/>
  <c r="E79" s="1"/>
  <c r="D79"/>
  <c r="J54"/>
  <c r="J55"/>
  <c r="G71"/>
  <c r="F71"/>
  <c r="E71"/>
  <c r="D71"/>
  <c r="G70"/>
  <c r="F70"/>
  <c r="E70"/>
  <c r="D70"/>
  <c r="G57"/>
  <c r="F57"/>
  <c r="D57"/>
  <c r="G56"/>
  <c r="F56"/>
  <c r="E56"/>
  <c r="D56"/>
  <c r="J47"/>
  <c r="H47"/>
  <c r="F47"/>
  <c r="D47"/>
  <c r="B47"/>
  <c r="J41"/>
  <c r="H41"/>
  <c r="F41"/>
  <c r="D41"/>
  <c r="B41"/>
  <c r="G30"/>
  <c r="F30"/>
  <c r="E30"/>
  <c r="D30"/>
  <c r="C30"/>
  <c r="C32" s="1"/>
  <c r="J17"/>
  <c r="I17"/>
  <c r="H17"/>
  <c r="G17"/>
  <c r="F17"/>
  <c r="E17"/>
  <c r="D17"/>
  <c r="C17"/>
  <c r="J15"/>
  <c r="I15"/>
  <c r="H15"/>
  <c r="G15"/>
  <c r="F15"/>
  <c r="E15"/>
  <c r="D15"/>
  <c r="C15"/>
  <c r="M9"/>
  <c r="J9"/>
  <c r="H9"/>
  <c r="F9"/>
  <c r="C9"/>
  <c r="M8"/>
  <c r="J8"/>
  <c r="H8"/>
  <c r="F8"/>
  <c r="C8"/>
  <c r="M7"/>
  <c r="G29" s="1"/>
  <c r="J7"/>
  <c r="F29" s="1"/>
  <c r="H7"/>
  <c r="E29" s="1"/>
  <c r="F7"/>
  <c r="D29" s="1"/>
  <c r="C7"/>
  <c r="C29" s="1"/>
  <c r="M6"/>
  <c r="J6"/>
  <c r="H6"/>
  <c r="F6"/>
  <c r="C6"/>
  <c r="G66" i="4"/>
  <c r="F66"/>
  <c r="E66"/>
  <c r="D66"/>
  <c r="G65"/>
  <c r="F65"/>
  <c r="E65"/>
  <c r="D65"/>
  <c r="G57"/>
  <c r="F57"/>
  <c r="E57"/>
  <c r="D57"/>
  <c r="G56"/>
  <c r="F56"/>
  <c r="E56"/>
  <c r="D56"/>
  <c r="J47"/>
  <c r="H47"/>
  <c r="F47"/>
  <c r="D47"/>
  <c r="B47"/>
  <c r="J41"/>
  <c r="H41"/>
  <c r="F41"/>
  <c r="D41"/>
  <c r="B41"/>
  <c r="G30"/>
  <c r="F30"/>
  <c r="E30"/>
  <c r="D30"/>
  <c r="C30"/>
  <c r="C32" s="1"/>
  <c r="J17"/>
  <c r="I17"/>
  <c r="H17"/>
  <c r="G17"/>
  <c r="F17"/>
  <c r="E17"/>
  <c r="D17"/>
  <c r="C17"/>
  <c r="J15"/>
  <c r="I15"/>
  <c r="H15"/>
  <c r="G15"/>
  <c r="F15"/>
  <c r="E15"/>
  <c r="D15"/>
  <c r="C15"/>
  <c r="M9"/>
  <c r="J9"/>
  <c r="H9"/>
  <c r="F9"/>
  <c r="C9"/>
  <c r="M8"/>
  <c r="J8"/>
  <c r="H8"/>
  <c r="F8"/>
  <c r="C8"/>
  <c r="M7"/>
  <c r="G29" s="1"/>
  <c r="J7"/>
  <c r="F29" s="1"/>
  <c r="H7"/>
  <c r="E29" s="1"/>
  <c r="F7"/>
  <c r="D29" s="1"/>
  <c r="C7"/>
  <c r="C29" s="1"/>
  <c r="M6"/>
  <c r="J6"/>
  <c r="H6"/>
  <c r="F6"/>
  <c r="C6"/>
  <c r="G57" i="3"/>
  <c r="F57"/>
  <c r="E57"/>
  <c r="D57"/>
  <c r="G56"/>
  <c r="F56"/>
  <c r="E56"/>
  <c r="D56"/>
  <c r="J47"/>
  <c r="H47"/>
  <c r="F47"/>
  <c r="D47"/>
  <c r="B47"/>
  <c r="J41"/>
  <c r="H41"/>
  <c r="F41"/>
  <c r="D41"/>
  <c r="B41"/>
  <c r="G30"/>
  <c r="F30"/>
  <c r="E30"/>
  <c r="D30"/>
  <c r="C30"/>
  <c r="J17"/>
  <c r="I17"/>
  <c r="H17"/>
  <c r="G17"/>
  <c r="F17"/>
  <c r="E17"/>
  <c r="D17"/>
  <c r="C17"/>
  <c r="J15"/>
  <c r="I15"/>
  <c r="H15"/>
  <c r="G15"/>
  <c r="F15"/>
  <c r="E15"/>
  <c r="D15"/>
  <c r="C15"/>
  <c r="M9"/>
  <c r="J9"/>
  <c r="H9"/>
  <c r="F9"/>
  <c r="C9"/>
  <c r="M8"/>
  <c r="J8"/>
  <c r="H8"/>
  <c r="F8"/>
  <c r="C8"/>
  <c r="M7"/>
  <c r="G29" s="1"/>
  <c r="J7"/>
  <c r="F29" s="1"/>
  <c r="H7"/>
  <c r="E29" s="1"/>
  <c r="F7"/>
  <c r="D29" s="1"/>
  <c r="C7"/>
  <c r="C29" s="1"/>
  <c r="M6"/>
  <c r="J6"/>
  <c r="H6"/>
  <c r="F6"/>
  <c r="C6"/>
  <c r="J41" i="2"/>
  <c r="H41"/>
  <c r="F41"/>
  <c r="D41"/>
  <c r="B41"/>
  <c r="H47"/>
  <c r="F47"/>
  <c r="D47"/>
  <c r="B47"/>
  <c r="J47"/>
  <c r="C32"/>
  <c r="G30"/>
  <c r="F30"/>
  <c r="E30"/>
  <c r="D30"/>
  <c r="C30"/>
  <c r="J17"/>
  <c r="I17"/>
  <c r="H17"/>
  <c r="G17"/>
  <c r="F17"/>
  <c r="E17"/>
  <c r="D17"/>
  <c r="C17"/>
  <c r="J15"/>
  <c r="I15"/>
  <c r="H15"/>
  <c r="G15"/>
  <c r="F15"/>
  <c r="E15"/>
  <c r="D15"/>
  <c r="C15"/>
  <c r="M9"/>
  <c r="J9"/>
  <c r="H9"/>
  <c r="F9"/>
  <c r="C9"/>
  <c r="M8"/>
  <c r="J8"/>
  <c r="H8"/>
  <c r="F8"/>
  <c r="C8"/>
  <c r="M7"/>
  <c r="G29" s="1"/>
  <c r="J7"/>
  <c r="F29" s="1"/>
  <c r="H7"/>
  <c r="E29" s="1"/>
  <c r="F7"/>
  <c r="D29" s="1"/>
  <c r="C7"/>
  <c r="C29" s="1"/>
  <c r="C31" s="1"/>
  <c r="M6"/>
  <c r="J6"/>
  <c r="H6"/>
  <c r="F6"/>
  <c r="C6"/>
  <c r="D17" i="1"/>
  <c r="E17"/>
  <c r="F17"/>
  <c r="G17"/>
  <c r="H17"/>
  <c r="I17"/>
  <c r="J17"/>
  <c r="C17"/>
  <c r="D15"/>
  <c r="E15"/>
  <c r="F15"/>
  <c r="G15"/>
  <c r="H15"/>
  <c r="I15"/>
  <c r="J15"/>
  <c r="C15"/>
  <c r="G30"/>
  <c r="F30"/>
  <c r="E30"/>
  <c r="D30"/>
  <c r="M9"/>
  <c r="M8"/>
  <c r="M7"/>
  <c r="G29" s="1"/>
  <c r="M6"/>
  <c r="C30"/>
  <c r="C32" s="1"/>
  <c r="H7"/>
  <c r="E29" s="1"/>
  <c r="H8"/>
  <c r="H9"/>
  <c r="J9"/>
  <c r="J8"/>
  <c r="J7"/>
  <c r="F29" s="1"/>
  <c r="J6"/>
  <c r="H6"/>
  <c r="F6"/>
  <c r="F9"/>
  <c r="F8"/>
  <c r="F7"/>
  <c r="C9"/>
  <c r="C8"/>
  <c r="C7"/>
  <c r="C29" s="1"/>
  <c r="C6"/>
  <c r="D32" i="4" l="1"/>
  <c r="E32"/>
  <c r="F32"/>
  <c r="G32"/>
  <c r="E32" i="1"/>
  <c r="F32"/>
  <c r="G32"/>
  <c r="C56" i="5"/>
  <c r="C70"/>
  <c r="F32"/>
  <c r="C71"/>
  <c r="R84"/>
  <c r="V83"/>
  <c r="Y83"/>
  <c r="C88"/>
  <c r="C79"/>
  <c r="G31"/>
  <c r="D31"/>
  <c r="F31"/>
  <c r="C31"/>
  <c r="E31"/>
  <c r="G32"/>
  <c r="E32"/>
  <c r="D32"/>
  <c r="G31" i="4"/>
  <c r="D31"/>
  <c r="F31"/>
  <c r="C31"/>
  <c r="E31"/>
  <c r="D32" i="3"/>
  <c r="G31"/>
  <c r="D31"/>
  <c r="E31"/>
  <c r="F31"/>
  <c r="C31"/>
  <c r="G32"/>
  <c r="F32"/>
  <c r="E32"/>
  <c r="C32"/>
  <c r="D32" i="2"/>
  <c r="G31"/>
  <c r="F31"/>
  <c r="D31"/>
  <c r="G32"/>
  <c r="E31"/>
  <c r="F32"/>
  <c r="E32"/>
  <c r="D32" i="1"/>
  <c r="F31"/>
  <c r="G31"/>
  <c r="C31"/>
  <c r="E31"/>
  <c r="D29"/>
  <c r="D31" s="1"/>
  <c r="Y84" i="5" l="1"/>
  <c r="V84"/>
  <c r="E57"/>
  <c r="C57" s="1"/>
  <c r="T83"/>
  <c r="T82"/>
  <c r="T84"/>
  <c r="W82" l="1"/>
  <c r="Z82"/>
  <c r="W83"/>
  <c r="Z83"/>
  <c r="Z84"/>
  <c r="W84"/>
</calcChain>
</file>

<file path=xl/sharedStrings.xml><?xml version="1.0" encoding="utf-8"?>
<sst xmlns="http://schemas.openxmlformats.org/spreadsheetml/2006/main" count="2961" uniqueCount="457">
  <si>
    <t>mse</t>
  </si>
  <si>
    <t>Kernel</t>
    <phoneticPr fontId="3" type="noConversion"/>
  </si>
  <si>
    <t>Frame</t>
    <phoneticPr fontId="3" type="noConversion"/>
  </si>
  <si>
    <t>cpu</t>
    <phoneticPr fontId="3" type="noConversion"/>
  </si>
  <si>
    <t>openmp</t>
    <phoneticPr fontId="3" type="noConversion"/>
  </si>
  <si>
    <t>sse</t>
    <phoneticPr fontId="3" type="noConversion"/>
  </si>
  <si>
    <t>openmp+sse</t>
    <phoneticPr fontId="3" type="noConversion"/>
  </si>
  <si>
    <t>opencl</t>
    <phoneticPr fontId="3" type="noConversion"/>
  </si>
  <si>
    <t>openmp</t>
    <phoneticPr fontId="3" type="noConversion"/>
  </si>
  <si>
    <t>openmp+sse</t>
    <phoneticPr fontId="3" type="noConversion"/>
  </si>
  <si>
    <t>Bone/
Vertex</t>
    <phoneticPr fontId="3" type="noConversion"/>
  </si>
  <si>
    <t>2K</t>
  </si>
  <si>
    <t>8K</t>
  </si>
  <si>
    <t>32K</t>
  </si>
  <si>
    <t>128K</t>
  </si>
  <si>
    <t>256K</t>
  </si>
  <si>
    <t>512K</t>
  </si>
  <si>
    <t>1M</t>
  </si>
  <si>
    <t>2M</t>
  </si>
  <si>
    <t>数据量
(点数)</t>
    <phoneticPr fontId="3" type="noConversion"/>
  </si>
  <si>
    <r>
      <t xml:space="preserve">渲染
</t>
    </r>
    <r>
      <rPr>
        <sz val="10.5"/>
        <color theme="1"/>
        <rFont val="Calibri"/>
        <family val="2"/>
      </rPr>
      <t>(</t>
    </r>
    <r>
      <rPr>
        <sz val="10.5"/>
        <color theme="1"/>
        <rFont val="宋体"/>
        <family val="3"/>
        <charset val="134"/>
      </rPr>
      <t>毫秒</t>
    </r>
    <r>
      <rPr>
        <sz val="10.5"/>
        <color theme="1"/>
        <rFont val="Calibri"/>
        <family val="2"/>
      </rPr>
      <t>)</t>
    </r>
    <phoneticPr fontId="3" type="noConversion"/>
  </si>
  <si>
    <t>frame</t>
  </si>
  <si>
    <t>openmp
+sse</t>
    <phoneticPr fontId="3" type="noConversion"/>
  </si>
  <si>
    <t>openmp+sse</t>
  </si>
  <si>
    <t>kernel
(ms)</t>
    <phoneticPr fontId="3" type="noConversion"/>
  </si>
  <si>
    <t>frame
(ms)</t>
    <phoneticPr fontId="3" type="noConversion"/>
  </si>
  <si>
    <t>B/V=2
Speed-Up</t>
    <phoneticPr fontId="3" type="noConversion"/>
  </si>
  <si>
    <t>openmp</t>
  </si>
  <si>
    <t>openmp</t>
    <phoneticPr fontId="3" type="noConversion"/>
  </si>
  <si>
    <t>kernel
speedup</t>
    <phoneticPr fontId="3" type="noConversion"/>
  </si>
  <si>
    <t>frame
speedup</t>
    <phoneticPr fontId="3" type="noConversion"/>
  </si>
  <si>
    <t>opencl</t>
    <phoneticPr fontId="3" type="noConversion"/>
  </si>
  <si>
    <r>
      <rPr>
        <sz val="10.5"/>
        <color theme="1"/>
        <rFont val="Calibri"/>
        <family val="2"/>
      </rPr>
      <t>OGL-CPP</t>
    </r>
    <r>
      <rPr>
        <sz val="10.5"/>
        <color theme="1"/>
        <rFont val="宋体"/>
        <family val="3"/>
        <charset val="134"/>
      </rPr>
      <t>总耗时</t>
    </r>
    <r>
      <rPr>
        <sz val="10.5"/>
        <color theme="1"/>
        <rFont val="Calibri"/>
        <family val="2"/>
      </rPr>
      <t>(</t>
    </r>
    <r>
      <rPr>
        <sz val="10.5"/>
        <color theme="1"/>
        <rFont val="宋体"/>
        <family val="3"/>
        <charset val="134"/>
      </rPr>
      <t>毫秒</t>
    </r>
    <r>
      <rPr>
        <sz val="10.5"/>
        <color theme="1"/>
        <rFont val="Calibri"/>
        <family val="2"/>
      </rPr>
      <t>)</t>
    </r>
    <phoneticPr fontId="3" type="noConversion"/>
  </si>
  <si>
    <r>
      <rPr>
        <sz val="10.5"/>
        <color theme="1"/>
        <rFont val="Calibri"/>
        <family val="2"/>
      </rPr>
      <t>OGL-OCL</t>
    </r>
    <r>
      <rPr>
        <sz val="10.5"/>
        <color theme="1"/>
        <rFont val="宋体"/>
        <family val="3"/>
        <charset val="134"/>
      </rPr>
      <t>总耗时</t>
    </r>
    <r>
      <rPr>
        <sz val="10.5"/>
        <color theme="1"/>
        <rFont val="Calibri"/>
        <family val="2"/>
      </rPr>
      <t>(</t>
    </r>
    <r>
      <rPr>
        <sz val="10.5"/>
        <color theme="1"/>
        <rFont val="宋体"/>
        <family val="3"/>
        <charset val="134"/>
      </rPr>
      <t>毫秒</t>
    </r>
    <r>
      <rPr>
        <sz val="10.5"/>
        <color theme="1"/>
        <rFont val="Calibri"/>
        <family val="2"/>
      </rPr>
      <t>)</t>
    </r>
    <phoneticPr fontId="3" type="noConversion"/>
  </si>
  <si>
    <t>OpenGL耗时</t>
    <phoneticPr fontId="3" type="noConversion"/>
  </si>
  <si>
    <t>CPU: intel
i7 870</t>
    <phoneticPr fontId="3" type="noConversion"/>
  </si>
  <si>
    <t>CPU: intel
i7 3370K</t>
    <phoneticPr fontId="3" type="noConversion"/>
  </si>
  <si>
    <r>
      <rPr>
        <sz val="10.5"/>
        <color theme="1"/>
        <rFont val="Calibri"/>
        <family val="2"/>
      </rPr>
      <t>OpenCL</t>
    </r>
    <r>
      <rPr>
        <sz val="10.5"/>
        <color theme="1"/>
        <rFont val="宋体"/>
        <family val="3"/>
        <charset val="134"/>
      </rPr>
      <t>总</t>
    </r>
    <phoneticPr fontId="3" type="noConversion"/>
  </si>
  <si>
    <r>
      <rPr>
        <sz val="10.5"/>
        <color theme="1"/>
        <rFont val="Calibri"/>
        <family val="2"/>
      </rPr>
      <t>CPP</t>
    </r>
    <r>
      <rPr>
        <sz val="10.5"/>
        <color theme="1"/>
        <rFont val="宋体"/>
        <family val="3"/>
        <charset val="134"/>
      </rPr>
      <t>总</t>
    </r>
    <phoneticPr fontId="3" type="noConversion"/>
  </si>
  <si>
    <t>cpu</t>
  </si>
  <si>
    <t>sse</t>
  </si>
  <si>
    <t>opencl-intel</t>
  </si>
  <si>
    <t>kernel</t>
  </si>
  <si>
    <t>极限性能1
仅读写顶点</t>
    <phoneticPr fontId="3" type="noConversion"/>
  </si>
  <si>
    <t>极限性能2
一次矩阵运算</t>
    <phoneticPr fontId="3" type="noConversion"/>
  </si>
  <si>
    <t>kernel</t>
    <phoneticPr fontId="3" type="noConversion"/>
  </si>
  <si>
    <t>OpenCL</t>
    <phoneticPr fontId="3" type="noConversion"/>
  </si>
  <si>
    <r>
      <rPr>
        <sz val="10.5"/>
        <color theme="1"/>
        <rFont val="Calibri"/>
        <family val="2"/>
      </rPr>
      <t>CPP</t>
    </r>
    <r>
      <rPr>
        <sz val="10.5"/>
        <color theme="1"/>
        <rFont val="Calibri"/>
        <family val="2"/>
      </rPr>
      <t/>
    </r>
    <phoneticPr fontId="3" type="noConversion"/>
  </si>
  <si>
    <t>CPP</t>
    <phoneticPr fontId="3" type="noConversion"/>
  </si>
  <si>
    <t>CPU: AMD
FX 8350</t>
    <phoneticPr fontId="3" type="noConversion"/>
  </si>
  <si>
    <t>单帧
总耗时</t>
    <phoneticPr fontId="3" type="noConversion"/>
  </si>
  <si>
    <t>渲染</t>
    <phoneticPr fontId="3" type="noConversion"/>
  </si>
  <si>
    <t>计算
骨骼</t>
    <phoneticPr fontId="3" type="noConversion"/>
  </si>
  <si>
    <t>计算
顶点</t>
    <phoneticPr fontId="3" type="noConversion"/>
  </si>
  <si>
    <t>传输
顶点</t>
    <phoneticPr fontId="3" type="noConversion"/>
  </si>
  <si>
    <t>非vbo
耗时
ms</t>
    <phoneticPr fontId="3" type="noConversion"/>
  </si>
  <si>
    <t>vbo
耗时
ms</t>
    <phoneticPr fontId="3" type="noConversion"/>
  </si>
  <si>
    <t>非vbo
耗时
%</t>
    <phoneticPr fontId="3" type="noConversion"/>
  </si>
  <si>
    <t>vbo
耗时
%</t>
    <phoneticPr fontId="3" type="noConversion"/>
  </si>
  <si>
    <t>单个模型24K顶点
43个模型1M顶点</t>
    <phoneticPr fontId="3" type="noConversion"/>
  </si>
  <si>
    <t>单个模型24K顶点
1个模型</t>
    <phoneticPr fontId="3" type="noConversion"/>
  </si>
  <si>
    <t>单个模型24K顶点
重复43遍 1M顶点</t>
    <phoneticPr fontId="3" type="noConversion"/>
  </si>
  <si>
    <t>CPU: INTEL
i7 870</t>
    <phoneticPr fontId="3" type="noConversion"/>
  </si>
  <si>
    <t>加速前评估</t>
    <phoneticPr fontId="3" type="noConversion"/>
  </si>
  <si>
    <t>单帧
总耗时</t>
    <phoneticPr fontId="3" type="noConversion"/>
  </si>
  <si>
    <r>
      <t>总耗时
标准差</t>
    </r>
    <r>
      <rPr>
        <sz val="11"/>
        <color theme="1"/>
        <rFont val="宋体"/>
        <family val="3"/>
        <charset val="134"/>
      </rPr>
      <t>σ</t>
    </r>
    <phoneticPr fontId="3" type="noConversion"/>
  </si>
  <si>
    <t>离散
系数
cv</t>
    <phoneticPr fontId="3" type="noConversion"/>
  </si>
  <si>
    <r>
      <t>渲染</t>
    </r>
    <r>
      <rPr>
        <sz val="11"/>
        <color theme="1"/>
        <rFont val="宋体"/>
        <family val="3"/>
        <charset val="134"/>
      </rPr>
      <t>σ</t>
    </r>
    <phoneticPr fontId="3" type="noConversion"/>
  </si>
  <si>
    <t>离散
系数
cv</t>
    <phoneticPr fontId="3" type="noConversion"/>
  </si>
  <si>
    <t>单个模型1M顶点
1个模型</t>
    <phoneticPr fontId="3" type="noConversion"/>
  </si>
  <si>
    <t>单个模型24K顶点
43个模型1M顶点</t>
    <phoneticPr fontId="3" type="noConversion"/>
  </si>
  <si>
    <t>单个模型1M顶点
10个模型10M顶点</t>
    <phoneticPr fontId="3" type="noConversion"/>
  </si>
  <si>
    <t>vbo优化</t>
    <phoneticPr fontId="3" type="noConversion"/>
  </si>
  <si>
    <t>优化前</t>
    <phoneticPr fontId="3" type="noConversion"/>
  </si>
  <si>
    <t>去除分支
if未绑骨骼</t>
    <phoneticPr fontId="3" type="noConversion"/>
  </si>
  <si>
    <t>改进
幅度</t>
    <phoneticPr fontId="3" type="noConversion"/>
  </si>
  <si>
    <t>去除语句
法线运算</t>
    <phoneticPr fontId="3" type="noConversion"/>
  </si>
  <si>
    <t>1叠加2</t>
    <phoneticPr fontId="3" type="noConversion"/>
  </si>
  <si>
    <t>展平循环
直达顶点</t>
    <phoneticPr fontId="3" type="noConversion"/>
  </si>
  <si>
    <t>顶点
传输和
计算</t>
    <phoneticPr fontId="3" type="noConversion"/>
  </si>
  <si>
    <t>优化预备</t>
    <phoneticPr fontId="3" type="noConversion"/>
  </si>
  <si>
    <t>优化传统</t>
    <phoneticPr fontId="3" type="noConversion"/>
  </si>
  <si>
    <t>openmp</t>
    <phoneticPr fontId="3" type="noConversion"/>
  </si>
  <si>
    <t>sse</t>
    <phoneticPr fontId="3" type="noConversion"/>
  </si>
  <si>
    <t>顶点
计算</t>
    <phoneticPr fontId="3" type="noConversion"/>
  </si>
  <si>
    <t>顶点
传输</t>
    <phoneticPr fontId="3" type="noConversion"/>
  </si>
  <si>
    <t>展开函数</t>
    <phoneticPr fontId="3" type="noConversion"/>
  </si>
  <si>
    <t>顶点
总共</t>
    <phoneticPr fontId="3" type="noConversion"/>
  </si>
  <si>
    <t>单帧
总共</t>
    <phoneticPr fontId="3" type="noConversion"/>
  </si>
  <si>
    <t>opencl</t>
    <phoneticPr fontId="3" type="noConversion"/>
  </si>
  <si>
    <t>顶点总共
改进幅度</t>
    <phoneticPr fontId="3" type="noConversion"/>
  </si>
  <si>
    <t>顶点计算
改进幅度</t>
    <phoneticPr fontId="3" type="noConversion"/>
  </si>
  <si>
    <t>非vbo优化</t>
    <phoneticPr fontId="3" type="noConversion"/>
  </si>
  <si>
    <t>x</t>
    <phoneticPr fontId="3" type="noConversion"/>
  </si>
  <si>
    <t>单帧总共
改进幅度</t>
    <phoneticPr fontId="3" type="noConversion"/>
  </si>
  <si>
    <t>顶点计算
加速比</t>
    <phoneticPr fontId="3" type="noConversion"/>
  </si>
  <si>
    <t>顶点总共
加速比</t>
    <phoneticPr fontId="3" type="noConversion"/>
  </si>
  <si>
    <t>单帧总共
加速比</t>
    <phoneticPr fontId="3" type="noConversion"/>
  </si>
  <si>
    <t>传输时差</t>
    <phoneticPr fontId="3" type="noConversion"/>
  </si>
  <si>
    <t>x</t>
    <phoneticPr fontId="3" type="noConversion"/>
  </si>
  <si>
    <t>骨骼矩阵
合并存储</t>
    <phoneticPr fontId="3" type="noConversion"/>
  </si>
  <si>
    <t>交错数组
拆分</t>
    <phoneticPr fontId="3" type="noConversion"/>
  </si>
  <si>
    <t>openmp</t>
    <phoneticPr fontId="3" type="noConversion"/>
  </si>
  <si>
    <t>idea pre</t>
    <phoneticPr fontId="3" type="noConversion"/>
  </si>
  <si>
    <t>idea now</t>
    <phoneticPr fontId="3" type="noConversion"/>
  </si>
  <si>
    <t>单个模型0.1M顶点
1个模型</t>
    <phoneticPr fontId="3" type="noConversion"/>
  </si>
  <si>
    <t>顶点
计算ratio</t>
    <phoneticPr fontId="3" type="noConversion"/>
  </si>
  <si>
    <t>openmp</t>
    <phoneticPr fontId="3" type="noConversion"/>
  </si>
  <si>
    <t>非vbo优化</t>
  </si>
  <si>
    <t>no openmp</t>
    <phoneticPr fontId="3" type="noConversion"/>
  </si>
  <si>
    <t>f4</t>
    <phoneticPr fontId="3" type="noConversion"/>
  </si>
  <si>
    <t>SIZE_BONE</t>
    <phoneticPr fontId="3" type="noConversion"/>
  </si>
  <si>
    <t>unvbo</t>
    <phoneticPr fontId="3" type="noConversion"/>
  </si>
  <si>
    <t>openmp</t>
    <phoneticPr fontId="3" type="noConversion"/>
  </si>
  <si>
    <t>sse</t>
    <phoneticPr fontId="3" type="noConversion"/>
  </si>
  <si>
    <t>omp+sse</t>
    <phoneticPr fontId="3" type="noConversion"/>
  </si>
  <si>
    <t>openmp
speedup</t>
    <phoneticPr fontId="3" type="noConversion"/>
  </si>
  <si>
    <t>sse
speedup</t>
    <phoneticPr fontId="3" type="noConversion"/>
  </si>
  <si>
    <t>omp+sse
speedup</t>
    <phoneticPr fontId="3" type="noConversion"/>
  </si>
  <si>
    <t>kernel</t>
    <phoneticPr fontId="3" type="noConversion"/>
  </si>
  <si>
    <t>kernel
omp</t>
    <phoneticPr fontId="3" type="noConversion"/>
  </si>
  <si>
    <t>kernel
sse</t>
    <phoneticPr fontId="3" type="noConversion"/>
  </si>
  <si>
    <t>kernel
omp+sse</t>
    <phoneticPr fontId="3" type="noConversion"/>
  </si>
  <si>
    <t>kernel
openmp
speedup</t>
    <phoneticPr fontId="3" type="noConversion"/>
  </si>
  <si>
    <t>kernel
sse
speedup</t>
    <phoneticPr fontId="3" type="noConversion"/>
  </si>
  <si>
    <t>kernel
omp+sse
speedup</t>
    <phoneticPr fontId="3" type="noConversion"/>
  </si>
  <si>
    <t>kernel
ratio</t>
    <phoneticPr fontId="3" type="noConversion"/>
  </si>
  <si>
    <t>kernel
ratio
omp+sse</t>
    <phoneticPr fontId="3" type="noConversion"/>
  </si>
  <si>
    <t>优化前</t>
    <phoneticPr fontId="3" type="noConversion"/>
  </si>
  <si>
    <t>单骨骼</t>
    <phoneticPr fontId="3" type="noConversion"/>
  </si>
  <si>
    <t>vbo</t>
    <phoneticPr fontId="3" type="noConversion"/>
  </si>
  <si>
    <t>优化后</t>
    <phoneticPr fontId="3" type="noConversion"/>
  </si>
  <si>
    <t>opencl</t>
    <phoneticPr fontId="3" type="noConversion"/>
  </si>
  <si>
    <t>opencl
speedup</t>
    <phoneticPr fontId="3" type="noConversion"/>
  </si>
  <si>
    <t>kernel
ocl</t>
    <phoneticPr fontId="3" type="noConversion"/>
  </si>
  <si>
    <t>kernel
opencl
speedup</t>
    <phoneticPr fontId="3" type="noConversion"/>
  </si>
  <si>
    <t>非vbo</t>
    <phoneticPr fontId="3" type="noConversion"/>
  </si>
  <si>
    <t>ocl</t>
    <phoneticPr fontId="3" type="noConversion"/>
  </si>
  <si>
    <t>x</t>
    <phoneticPr fontId="3" type="noConversion"/>
  </si>
  <si>
    <t>local size</t>
    <phoneticPr fontId="3" type="noConversion"/>
  </si>
  <si>
    <t>null</t>
    <phoneticPr fontId="3" type="noConversion"/>
  </si>
  <si>
    <t>8*8</t>
    <phoneticPr fontId="3" type="noConversion"/>
  </si>
  <si>
    <t>16*16</t>
    <phoneticPr fontId="3" type="noConversion"/>
  </si>
  <si>
    <t>32*32</t>
    <phoneticPr fontId="3" type="noConversion"/>
  </si>
  <si>
    <t>64*64</t>
    <phoneticPr fontId="3" type="noConversion"/>
  </si>
  <si>
    <t>128*128</t>
    <phoneticPr fontId="3" type="noConversion"/>
  </si>
  <si>
    <t>fail</t>
    <phoneticPr fontId="3" type="noConversion"/>
  </si>
  <si>
    <t>opencl</t>
  </si>
  <si>
    <t>opencl</t>
    <phoneticPr fontId="3" type="noConversion"/>
  </si>
  <si>
    <t>unvbo</t>
    <phoneticPr fontId="3" type="noConversion"/>
  </si>
  <si>
    <t>优化ocl</t>
    <phoneticPr fontId="3" type="noConversion"/>
  </si>
  <si>
    <t>单mesh</t>
    <phoneticPr fontId="3" type="noConversion"/>
  </si>
  <si>
    <t>多mesh</t>
    <phoneticPr fontId="3" type="noConversion"/>
  </si>
  <si>
    <t>优化</t>
    <phoneticPr fontId="3" type="noConversion"/>
  </si>
  <si>
    <t>合并mesh</t>
    <phoneticPr fontId="3" type="noConversion"/>
  </si>
  <si>
    <t>ocl优化前</t>
    <phoneticPr fontId="3" type="noConversion"/>
  </si>
  <si>
    <t>ocl优化后</t>
    <phoneticPr fontId="3" type="noConversion"/>
  </si>
  <si>
    <t>opencl
优化</t>
    <phoneticPr fontId="3" type="noConversion"/>
  </si>
  <si>
    <t>合并mesh</t>
    <phoneticPr fontId="3" type="noConversion"/>
  </si>
  <si>
    <t>gl-cl
interop</t>
    <phoneticPr fontId="3" type="noConversion"/>
  </si>
  <si>
    <t>sse+omp</t>
    <phoneticPr fontId="3" type="noConversion"/>
  </si>
  <si>
    <t>i870</t>
    <phoneticPr fontId="3" type="noConversion"/>
  </si>
  <si>
    <t>骨骼数目</t>
    <phoneticPr fontId="3" type="noConversion"/>
  </si>
  <si>
    <t>总共耗时</t>
    <phoneticPr fontId="3" type="noConversion"/>
  </si>
  <si>
    <t>计算骨骼</t>
    <phoneticPr fontId="3" type="noConversion"/>
  </si>
  <si>
    <t>计算顶点</t>
    <phoneticPr fontId="3" type="noConversion"/>
  </si>
  <si>
    <t>渲染面片</t>
    <phoneticPr fontId="3" type="noConversion"/>
  </si>
  <si>
    <t>耗时</t>
    <phoneticPr fontId="3" type="noConversion"/>
  </si>
  <si>
    <t>比率</t>
    <phoneticPr fontId="3" type="noConversion"/>
  </si>
  <si>
    <t>0.1M</t>
    <phoneticPr fontId="3" type="noConversion"/>
  </si>
  <si>
    <t>CPU和GPU重叠</t>
    <phoneticPr fontId="3" type="noConversion"/>
  </si>
  <si>
    <t>串行优化</t>
    <phoneticPr fontId="3" type="noConversion"/>
  </si>
  <si>
    <t>未优化</t>
    <phoneticPr fontId="3" type="noConversion"/>
  </si>
  <si>
    <t>CPU和GPU等待</t>
    <phoneticPr fontId="3" type="noConversion"/>
  </si>
  <si>
    <t>1M</t>
    <phoneticPr fontId="3" type="noConversion"/>
  </si>
  <si>
    <t>x</t>
    <phoneticPr fontId="3" type="noConversion"/>
  </si>
  <si>
    <t>x</t>
    <phoneticPr fontId="3" type="noConversion"/>
  </si>
  <si>
    <t>线程并行优化</t>
    <phoneticPr fontId="3" type="noConversion"/>
  </si>
  <si>
    <t>指令并行优化</t>
    <phoneticPr fontId="3" type="noConversion"/>
  </si>
  <si>
    <t>线程与指令并行优化</t>
    <phoneticPr fontId="3" type="noConversion"/>
  </si>
  <si>
    <t>10M</t>
    <phoneticPr fontId="3" type="noConversion"/>
  </si>
  <si>
    <t>10M</t>
    <phoneticPr fontId="3" type="noConversion"/>
  </si>
  <si>
    <t>局部</t>
    <phoneticPr fontId="3" type="noConversion"/>
  </si>
  <si>
    <t>全局</t>
    <phoneticPr fontId="3" type="noConversion"/>
  </si>
  <si>
    <t>加速比</t>
    <phoneticPr fontId="3" type="noConversion"/>
  </si>
  <si>
    <t>CPU计算顶点</t>
    <phoneticPr fontId="3" type="noConversion"/>
  </si>
  <si>
    <t>GPU渲染面片</t>
    <phoneticPr fontId="3" type="noConversion"/>
  </si>
  <si>
    <t>CPU计算骨骼</t>
    <phoneticPr fontId="3" type="noConversion"/>
  </si>
  <si>
    <t>骨骼数目</t>
    <phoneticPr fontId="3" type="noConversion"/>
  </si>
  <si>
    <t>线程并行</t>
    <phoneticPr fontId="3" type="noConversion"/>
  </si>
  <si>
    <t>总共耗时</t>
    <phoneticPr fontId="3" type="noConversion"/>
  </si>
  <si>
    <t>计算顶点</t>
    <phoneticPr fontId="3" type="noConversion"/>
  </si>
  <si>
    <t>串行</t>
    <phoneticPr fontId="3" type="noConversion"/>
  </si>
  <si>
    <t>线程串行</t>
    <phoneticPr fontId="3" type="noConversion"/>
  </si>
  <si>
    <t>指令串行</t>
    <phoneticPr fontId="3" type="noConversion"/>
  </si>
  <si>
    <t>指令并行</t>
    <phoneticPr fontId="3" type="noConversion"/>
  </si>
  <si>
    <t>完全并行</t>
    <phoneticPr fontId="3" type="noConversion"/>
  </si>
  <si>
    <t>GTX670</t>
    <phoneticPr fontId="3" type="noConversion"/>
  </si>
  <si>
    <t>GTS250</t>
    <phoneticPr fontId="3" type="noConversion"/>
  </si>
  <si>
    <t>代码简化</t>
    <phoneticPr fontId="3" type="noConversion"/>
  </si>
  <si>
    <t>去交错数组</t>
    <phoneticPr fontId="3" type="noConversion"/>
  </si>
  <si>
    <t>代码简化</t>
    <phoneticPr fontId="3" type="noConversion"/>
  </si>
  <si>
    <t>去交错</t>
    <phoneticPr fontId="3" type="noConversion"/>
  </si>
  <si>
    <t>偏差度</t>
    <phoneticPr fontId="3" type="noConversion"/>
  </si>
  <si>
    <t>其它</t>
    <phoneticPr fontId="3" type="noConversion"/>
  </si>
  <si>
    <t>未优</t>
    <phoneticPr fontId="3" type="noConversion"/>
  </si>
  <si>
    <t>去交4</t>
    <phoneticPr fontId="3" type="noConversion"/>
  </si>
  <si>
    <t>去交3</t>
    <phoneticPr fontId="3" type="noConversion"/>
  </si>
  <si>
    <t>全局耗时</t>
    <phoneticPr fontId="3" type="noConversion"/>
  </si>
  <si>
    <t>骨骼数目2</t>
    <phoneticPr fontId="3" type="noConversion"/>
  </si>
  <si>
    <t>未优化</t>
    <phoneticPr fontId="3" type="noConversion"/>
  </si>
  <si>
    <t>串行优化</t>
    <phoneticPr fontId="3" type="noConversion"/>
  </si>
  <si>
    <t>多线程</t>
    <phoneticPr fontId="3" type="noConversion"/>
  </si>
  <si>
    <t>宏累加</t>
    <phoneticPr fontId="3" type="noConversion"/>
  </si>
  <si>
    <t>未用宏</t>
    <phoneticPr fontId="3" type="noConversion"/>
  </si>
  <si>
    <t>2骨骼</t>
    <phoneticPr fontId="3" type="noConversion"/>
  </si>
  <si>
    <t>3骨骼</t>
    <phoneticPr fontId="3" type="noConversion"/>
  </si>
  <si>
    <t>4骨骼</t>
    <phoneticPr fontId="3" type="noConversion"/>
  </si>
  <si>
    <t>1骨骼</t>
    <phoneticPr fontId="3" type="noConversion"/>
  </si>
  <si>
    <t>OpenCL传输</t>
    <phoneticPr fontId="3" type="noConversion"/>
  </si>
  <si>
    <t>异步重叠</t>
    <phoneticPr fontId="3" type="noConversion"/>
  </si>
  <si>
    <t>gl-interop</t>
    <phoneticPr fontId="3" type="noConversion"/>
  </si>
  <si>
    <t>x</t>
    <phoneticPr fontId="3" type="noConversion"/>
  </si>
  <si>
    <t>测不准</t>
    <phoneticPr fontId="3" type="noConversion"/>
  </si>
  <si>
    <t>CPU</t>
    <phoneticPr fontId="3" type="noConversion"/>
  </si>
  <si>
    <t>GPU</t>
    <phoneticPr fontId="3" type="noConversion"/>
  </si>
  <si>
    <t>i7 870</t>
    <phoneticPr fontId="3" type="noConversion"/>
  </si>
  <si>
    <t>gts250</t>
    <phoneticPr fontId="3" type="noConversion"/>
  </si>
  <si>
    <t>异步等待</t>
    <phoneticPr fontId="3" type="noConversion"/>
  </si>
  <si>
    <t>CUDA</t>
    <phoneticPr fontId="3" type="noConversion"/>
  </si>
  <si>
    <t>未优化</t>
    <phoneticPr fontId="3" type="noConversion"/>
  </si>
  <si>
    <t>CUDA传输</t>
    <phoneticPr fontId="3" type="noConversion"/>
  </si>
  <si>
    <t>对齐优化</t>
    <phoneticPr fontId="3" type="noConversion"/>
  </si>
  <si>
    <t>CUDA</t>
    <phoneticPr fontId="3" type="noConversion"/>
  </si>
  <si>
    <t>静态block</t>
    <phoneticPr fontId="3" type="noConversion"/>
  </si>
  <si>
    <t>动态block</t>
    <phoneticPr fontId="3" type="noConversion"/>
  </si>
  <si>
    <t>连续</t>
    <phoneticPr fontId="3" type="noConversion"/>
  </si>
  <si>
    <t>间隔</t>
    <phoneticPr fontId="3" type="noConversion"/>
  </si>
  <si>
    <t>骨骼1</t>
    <phoneticPr fontId="3" type="noConversion"/>
  </si>
  <si>
    <t>索引权重</t>
    <phoneticPr fontId="3" type="noConversion"/>
  </si>
  <si>
    <t>顶点</t>
    <phoneticPr fontId="3" type="noConversion"/>
  </si>
  <si>
    <t>矩阵</t>
    <phoneticPr fontId="3" type="noConversion"/>
  </si>
  <si>
    <t>合并优化</t>
    <phoneticPr fontId="3" type="noConversion"/>
  </si>
  <si>
    <t>CUDA</t>
    <phoneticPr fontId="3" type="noConversion"/>
  </si>
  <si>
    <t>串行</t>
    <phoneticPr fontId="3" type="noConversion"/>
  </si>
  <si>
    <t>骨骼2</t>
    <phoneticPr fontId="3" type="noConversion"/>
  </si>
  <si>
    <t>常量显存</t>
    <phoneticPr fontId="3" type="noConversion"/>
  </si>
  <si>
    <t>共享显存</t>
    <phoneticPr fontId="3" type="noConversion"/>
  </si>
  <si>
    <t>加速比 优化</t>
    <phoneticPr fontId="3" type="noConversion"/>
  </si>
  <si>
    <t>未优化</t>
    <phoneticPr fontId="3" type="noConversion"/>
  </si>
  <si>
    <t>对齐</t>
    <phoneticPr fontId="3" type="noConversion"/>
  </si>
  <si>
    <t>合并</t>
    <phoneticPr fontId="3" type="noConversion"/>
  </si>
  <si>
    <t>常量</t>
    <phoneticPr fontId="3" type="noConversion"/>
  </si>
  <si>
    <t>共享</t>
    <phoneticPr fontId="3" type="noConversion"/>
  </si>
  <si>
    <t>CUDA</t>
    <phoneticPr fontId="3" type="noConversion"/>
  </si>
  <si>
    <t>叠加优化</t>
    <phoneticPr fontId="3" type="noConversion"/>
  </si>
  <si>
    <t>GLSL</t>
    <phoneticPr fontId="3" type="noConversion"/>
  </si>
  <si>
    <t>互操作</t>
    <phoneticPr fontId="3" type="noConversion"/>
  </si>
  <si>
    <t>GLSL传输</t>
    <phoneticPr fontId="3" type="noConversion"/>
  </si>
  <si>
    <t>未VBO</t>
    <phoneticPr fontId="3" type="noConversion"/>
  </si>
  <si>
    <t>VBO</t>
    <phoneticPr fontId="3" type="noConversion"/>
  </si>
  <si>
    <t>i3770</t>
    <phoneticPr fontId="3" type="noConversion"/>
  </si>
  <si>
    <t>gtx670</t>
    <phoneticPr fontId="3" type="noConversion"/>
  </si>
  <si>
    <t>x</t>
    <phoneticPr fontId="3" type="noConversion"/>
  </si>
  <si>
    <t>粒子系统 算法测时  508机器</t>
    <phoneticPr fontId="3" type="noConversion"/>
  </si>
  <si>
    <t>CPU重置顶点</t>
    <phoneticPr fontId="3" type="noConversion"/>
  </si>
  <si>
    <t>粒子数</t>
    <phoneticPr fontId="3" type="noConversion"/>
  </si>
  <si>
    <t>0.1M</t>
    <phoneticPr fontId="3" type="noConversion"/>
  </si>
  <si>
    <t>串行优化</t>
  </si>
  <si>
    <t>cpu</t>
    <phoneticPr fontId="3" type="noConversion"/>
  </si>
  <si>
    <t>OpenCL-int</t>
    <phoneticPr fontId="3" type="noConversion"/>
  </si>
  <si>
    <t>gts250</t>
    <phoneticPr fontId="3" type="noConversion"/>
  </si>
  <si>
    <t>gpu</t>
    <phoneticPr fontId="3" type="noConversion"/>
  </si>
  <si>
    <t>CPU重置顶点</t>
    <phoneticPr fontId="3" type="noConversion"/>
  </si>
  <si>
    <t>CPU计算顶点</t>
    <phoneticPr fontId="3" type="noConversion"/>
  </si>
  <si>
    <t>CPU
计算
顶点</t>
    <phoneticPr fontId="3" type="noConversion"/>
  </si>
  <si>
    <t>CPU
重置
顶点</t>
    <phoneticPr fontId="3" type="noConversion"/>
  </si>
  <si>
    <t>GPU
渲染
面片</t>
    <phoneticPr fontId="3" type="noConversion"/>
  </si>
  <si>
    <t>GPU渲染面片</t>
    <phoneticPr fontId="3" type="noConversion"/>
  </si>
  <si>
    <t>异步等待或重叠</t>
    <phoneticPr fontId="3" type="noConversion"/>
  </si>
  <si>
    <t>加速比</t>
    <phoneticPr fontId="3" type="noConversion"/>
  </si>
  <si>
    <t>索引改指针</t>
    <phoneticPr fontId="3" type="noConversion"/>
  </si>
  <si>
    <t>VBO</t>
    <phoneticPr fontId="3" type="noConversion"/>
  </si>
  <si>
    <t>主要改动</t>
    <phoneticPr fontId="3" type="noConversion"/>
  </si>
  <si>
    <t>粒子系统 算法测时  503机器</t>
    <phoneticPr fontId="3" type="noConversion"/>
  </si>
  <si>
    <t>叠加</t>
    <phoneticPr fontId="3" type="noConversion"/>
  </si>
  <si>
    <t>加速比</t>
    <phoneticPr fontId="3" type="noConversion"/>
  </si>
  <si>
    <t>加速比</t>
    <phoneticPr fontId="3" type="noConversion"/>
  </si>
  <si>
    <t>SSE</t>
    <phoneticPr fontId="3" type="noConversion"/>
  </si>
  <si>
    <t>OpenCL
CPU</t>
    <phoneticPr fontId="3" type="noConversion"/>
  </si>
  <si>
    <t>OpenCL
GPU</t>
    <phoneticPr fontId="3" type="noConversion"/>
  </si>
  <si>
    <t>GLSL</t>
    <phoneticPr fontId="3" type="noConversion"/>
  </si>
  <si>
    <t>CUDA</t>
    <phoneticPr fontId="3" type="noConversion"/>
  </si>
  <si>
    <t>time</t>
    <phoneticPr fontId="3" type="noConversion"/>
  </si>
  <si>
    <t>speedup</t>
    <phoneticPr fontId="3" type="noConversion"/>
  </si>
  <si>
    <t>Bench
mark</t>
    <phoneticPr fontId="3" type="noConversion"/>
  </si>
  <si>
    <t>配置一
CPU i7 3770K
GPU GTX 670</t>
    <phoneticPr fontId="3" type="noConversion"/>
  </si>
  <si>
    <t>配置二
CPU i7 870
GPU GTS 250</t>
    <phoneticPr fontId="3" type="noConversion"/>
  </si>
  <si>
    <t>x</t>
    <phoneticPr fontId="3" type="noConversion"/>
  </si>
  <si>
    <t>串行优化</t>
    <phoneticPr fontId="3" type="noConversion"/>
  </si>
  <si>
    <t>粒子数
100K</t>
    <phoneticPr fontId="3" type="noConversion"/>
  </si>
  <si>
    <t>粒子数
10K</t>
    <phoneticPr fontId="3" type="noConversion"/>
  </si>
  <si>
    <t>X</t>
    <phoneticPr fontId="3" type="noConversion"/>
  </si>
  <si>
    <t>粒子数
1K</t>
    <phoneticPr fontId="3" type="noConversion"/>
  </si>
  <si>
    <t>粒子数
1M</t>
    <phoneticPr fontId="3" type="noConversion"/>
  </si>
  <si>
    <t>100K</t>
    <phoneticPr fontId="3" type="noConversion"/>
  </si>
  <si>
    <t>10K</t>
    <phoneticPr fontId="3" type="noConversion"/>
  </si>
  <si>
    <t>1000K</t>
    <phoneticPr fontId="3" type="noConversion"/>
  </si>
  <si>
    <t>1000K</t>
    <phoneticPr fontId="3" type="noConversion"/>
  </si>
  <si>
    <t>500K</t>
    <phoneticPr fontId="3" type="noConversion"/>
  </si>
  <si>
    <t>CPU计算骨骼</t>
  </si>
  <si>
    <t>CPU计算顶点</t>
    <phoneticPr fontId="3" type="noConversion"/>
  </si>
  <si>
    <t>GPU渲染面片</t>
    <phoneticPr fontId="3" type="noConversion"/>
  </si>
  <si>
    <t>异步等待</t>
    <phoneticPr fontId="3" type="noConversion"/>
  </si>
  <si>
    <t>CUDA传输</t>
    <phoneticPr fontId="3" type="noConversion"/>
  </si>
  <si>
    <t>OpenCL传输</t>
    <phoneticPr fontId="3" type="noConversion"/>
  </si>
  <si>
    <t>加速比 503</t>
    <phoneticPr fontId="3" type="noConversion"/>
  </si>
  <si>
    <t>加速比 508</t>
    <phoneticPr fontId="3" type="noConversion"/>
  </si>
  <si>
    <t>粒子系统 算法测时  汇总  单柱喷泉</t>
    <phoneticPr fontId="3" type="noConversion"/>
  </si>
  <si>
    <t>纯CPU</t>
    <phoneticPr fontId="3" type="noConversion"/>
  </si>
  <si>
    <t>纯GPU</t>
    <phoneticPr fontId="3" type="noConversion"/>
  </si>
  <si>
    <t>CPU和
GPU
协同</t>
    <phoneticPr fontId="3" type="noConversion"/>
  </si>
  <si>
    <t>协同su</t>
    <phoneticPr fontId="3" type="noConversion"/>
  </si>
  <si>
    <t>CPU和
GPU平均</t>
    <phoneticPr fontId="3" type="noConversion"/>
  </si>
  <si>
    <t>2vs8</t>
    <phoneticPr fontId="3" type="noConversion"/>
  </si>
  <si>
    <t>1vs9</t>
    <phoneticPr fontId="3" type="noConversion"/>
  </si>
  <si>
    <t>粒子系统 算法测时  汇总  10柱喷泉</t>
    <phoneticPr fontId="3" type="noConversion"/>
  </si>
  <si>
    <t>20柱</t>
    <phoneticPr fontId="3" type="noConversion"/>
  </si>
  <si>
    <t>CPU计算骨骼</t>
    <phoneticPr fontId="3" type="noConversion"/>
  </si>
  <si>
    <t>CPU计算顶点</t>
    <phoneticPr fontId="3" type="noConversion"/>
  </si>
  <si>
    <t>CPU计算顶点</t>
    <phoneticPr fontId="3" type="noConversion"/>
  </si>
  <si>
    <t>GPU渲染面片</t>
    <phoneticPr fontId="3" type="noConversion"/>
  </si>
  <si>
    <t>GPU渲染面片</t>
    <phoneticPr fontId="3" type="noConversion"/>
  </si>
  <si>
    <t>其它</t>
    <phoneticPr fontId="3" type="noConversion"/>
  </si>
  <si>
    <t>其它</t>
    <phoneticPr fontId="3" type="noConversion"/>
  </si>
  <si>
    <t>时间</t>
    <phoneticPr fontId="3" type="noConversion"/>
  </si>
  <si>
    <t>全局
动画渲染</t>
    <phoneticPr fontId="3" type="noConversion"/>
  </si>
  <si>
    <t>局部
计算顶点</t>
    <phoneticPr fontId="3" type="noConversion"/>
  </si>
  <si>
    <t>局部</t>
    <phoneticPr fontId="3" type="noConversion"/>
  </si>
  <si>
    <t>算法版本</t>
    <phoneticPr fontId="3" type="noConversion"/>
  </si>
  <si>
    <t>串行
未优化</t>
    <phoneticPr fontId="3" type="noConversion"/>
  </si>
  <si>
    <t>串行
优化</t>
    <phoneticPr fontId="3" type="noConversion"/>
  </si>
  <si>
    <t>y</t>
    <phoneticPr fontId="3" type="noConversion"/>
  </si>
  <si>
    <t>y</t>
    <phoneticPr fontId="3" type="noConversion"/>
  </si>
  <si>
    <t>处理器占用率</t>
    <phoneticPr fontId="3" type="noConversion"/>
  </si>
  <si>
    <t>CPU</t>
    <phoneticPr fontId="3" type="noConversion"/>
  </si>
  <si>
    <t>GPU</t>
    <phoneticPr fontId="3" type="noConversion"/>
  </si>
  <si>
    <t>OpenCL传输</t>
    <phoneticPr fontId="3" type="noConversion"/>
  </si>
  <si>
    <t>传输</t>
  </si>
  <si>
    <t>CPU
OpenCL</t>
    <phoneticPr fontId="3" type="noConversion"/>
  </si>
  <si>
    <t>场景渲染时间分布图</t>
    <phoneticPr fontId="3" type="noConversion"/>
  </si>
  <si>
    <t>顶点数目</t>
    <phoneticPr fontId="3" type="noConversion"/>
  </si>
  <si>
    <t>10K</t>
    <phoneticPr fontId="3" type="noConversion"/>
  </si>
  <si>
    <t>100K</t>
    <phoneticPr fontId="3" type="noConversion"/>
  </si>
  <si>
    <t>1M</t>
    <phoneticPr fontId="3" type="noConversion"/>
  </si>
  <si>
    <t>10M</t>
    <phoneticPr fontId="3" type="noConversion"/>
  </si>
  <si>
    <t>静态模型</t>
  </si>
  <si>
    <t>骨骼动画</t>
    <phoneticPr fontId="3" type="noConversion"/>
  </si>
  <si>
    <t>其他模块</t>
  </si>
  <si>
    <t>其他模块</t>
    <phoneticPr fontId="3" type="noConversion"/>
  </si>
  <si>
    <t>静态模型</t>
    <phoneticPr fontId="3" type="noConversion"/>
  </si>
  <si>
    <t>骨骼动画</t>
    <phoneticPr fontId="3" type="noConversion"/>
  </si>
  <si>
    <t>总共耗时
ms</t>
    <phoneticPr fontId="3" type="noConversion"/>
  </si>
  <si>
    <t>算法版本
GPU</t>
    <phoneticPr fontId="3" type="noConversion"/>
  </si>
  <si>
    <t>算法版本
CPU</t>
    <phoneticPr fontId="3" type="noConversion"/>
  </si>
  <si>
    <t>CUDA</t>
    <phoneticPr fontId="3" type="noConversion"/>
  </si>
  <si>
    <t>GPU
OpenCL</t>
    <phoneticPr fontId="3" type="noConversion"/>
  </si>
  <si>
    <t>CUDA
未优化</t>
    <phoneticPr fontId="3" type="noConversion"/>
  </si>
  <si>
    <t>cuda</t>
    <phoneticPr fontId="3" type="noConversion"/>
  </si>
  <si>
    <t>加速比</t>
    <phoneticPr fontId="3" type="noConversion"/>
  </si>
  <si>
    <t>CUDA
对齐</t>
    <phoneticPr fontId="3" type="noConversion"/>
  </si>
  <si>
    <t>CUDA
合并</t>
    <phoneticPr fontId="3" type="noConversion"/>
  </si>
  <si>
    <t>CUDA
常量</t>
    <phoneticPr fontId="3" type="noConversion"/>
  </si>
  <si>
    <t>CUDA
共享</t>
    <phoneticPr fontId="3" type="noConversion"/>
  </si>
  <si>
    <t>CUDA独立优化</t>
    <phoneticPr fontId="3" type="noConversion"/>
  </si>
  <si>
    <t>叠加</t>
    <phoneticPr fontId="3" type="noConversion"/>
  </si>
  <si>
    <t>CUDA叠加优化</t>
    <phoneticPr fontId="3" type="noConversion"/>
  </si>
  <si>
    <t>GLSL</t>
    <phoneticPr fontId="3" type="noConversion"/>
  </si>
  <si>
    <t>GLSL
未互操作</t>
    <phoneticPr fontId="3" type="noConversion"/>
  </si>
  <si>
    <t>GPU
OpenCL
未互操作</t>
    <phoneticPr fontId="3" type="noConversion"/>
  </si>
  <si>
    <t>加速比</t>
    <phoneticPr fontId="3" type="noConversion"/>
  </si>
  <si>
    <t>时间</t>
    <phoneticPr fontId="3" type="noConversion"/>
  </si>
  <si>
    <t>串行
基准</t>
    <phoneticPr fontId="3" type="noConversion"/>
  </si>
  <si>
    <t>CPU占用率</t>
    <phoneticPr fontId="3" type="noConversion"/>
  </si>
  <si>
    <t>GPU占用率</t>
    <phoneticPr fontId="3" type="noConversion"/>
  </si>
  <si>
    <t>纯CPU</t>
    <phoneticPr fontId="3" type="noConversion"/>
  </si>
  <si>
    <t>CPU和GPU
平分</t>
    <phoneticPr fontId="3" type="noConversion"/>
  </si>
  <si>
    <t>串行
基准</t>
    <phoneticPr fontId="3" type="noConversion"/>
  </si>
  <si>
    <t>10K*20</t>
    <phoneticPr fontId="3" type="noConversion"/>
  </si>
  <si>
    <t>CPU和GPU
2:18</t>
    <phoneticPr fontId="3" type="noConversion"/>
  </si>
  <si>
    <t>CPU和GPU
1:19</t>
    <phoneticPr fontId="3" type="noConversion"/>
  </si>
  <si>
    <t>OpenCL
GL-inter</t>
    <phoneticPr fontId="3" type="noConversion"/>
  </si>
  <si>
    <t>并行
OMP多线程</t>
    <phoneticPr fontId="3" type="noConversion"/>
  </si>
  <si>
    <t>并行
SSE多指令</t>
    <phoneticPr fontId="3" type="noConversion"/>
  </si>
  <si>
    <t>并行
SSE与OMP</t>
    <phoneticPr fontId="3" type="noConversion"/>
  </si>
  <si>
    <t>小论文1</t>
    <phoneticPr fontId="3" type="noConversion"/>
  </si>
  <si>
    <t>x</t>
    <phoneticPr fontId="3" type="noConversion"/>
  </si>
  <si>
    <t>配置一
Intel CPU
i7 3770K</t>
    <phoneticPr fontId="3" type="noConversion"/>
  </si>
  <si>
    <t>配置二
Intel CPU
i7 870</t>
    <phoneticPr fontId="3" type="noConversion"/>
  </si>
  <si>
    <t>配置三
AMD CPU
FX 8350</t>
    <phoneticPr fontId="3" type="noConversion"/>
  </si>
  <si>
    <t>sse+omp</t>
    <phoneticPr fontId="3" type="noConversion"/>
  </si>
  <si>
    <t>sse</t>
    <phoneticPr fontId="3" type="noConversion"/>
  </si>
  <si>
    <t>omp</t>
    <phoneticPr fontId="3" type="noConversion"/>
  </si>
  <si>
    <t>serial</t>
    <phoneticPr fontId="3" type="noConversion"/>
  </si>
  <si>
    <t>amd</t>
    <phoneticPr fontId="3" type="noConversion"/>
  </si>
  <si>
    <t>骨骼数</t>
    <phoneticPr fontId="3" type="noConversion"/>
  </si>
  <si>
    <t>OpenCL
相对SSE
性能增幅</t>
    <phoneticPr fontId="3" type="noConversion"/>
  </si>
  <si>
    <t>顶点数</t>
    <phoneticPr fontId="3" type="noConversion"/>
  </si>
  <si>
    <t>100k</t>
    <phoneticPr fontId="3" type="noConversion"/>
  </si>
  <si>
    <t>20k</t>
    <phoneticPr fontId="3" type="noConversion"/>
  </si>
  <si>
    <t>400K</t>
    <phoneticPr fontId="3" type="noConversion"/>
  </si>
  <si>
    <t>1600K</t>
    <phoneticPr fontId="3" type="noConversion"/>
  </si>
  <si>
    <t>25k</t>
    <phoneticPr fontId="3" type="noConversion"/>
  </si>
  <si>
    <t>100k</t>
    <phoneticPr fontId="3" type="noConversion"/>
  </si>
  <si>
    <t>400k</t>
    <phoneticPr fontId="3" type="noConversion"/>
  </si>
  <si>
    <t>1600k</t>
    <phoneticPr fontId="3" type="noConversion"/>
  </si>
  <si>
    <t>400k</t>
    <phoneticPr fontId="3" type="noConversion"/>
  </si>
  <si>
    <t>1600k</t>
    <phoneticPr fontId="3" type="noConversion"/>
  </si>
  <si>
    <t>骨骼数</t>
    <phoneticPr fontId="3" type="noConversion"/>
  </si>
  <si>
    <t>顶点数</t>
    <phoneticPr fontId="3" type="noConversion"/>
  </si>
  <si>
    <t>25k</t>
    <phoneticPr fontId="3" type="noConversion"/>
  </si>
  <si>
    <t xml:space="preserve">    顶点
骨    数
骼数</t>
    <phoneticPr fontId="3" type="noConversion"/>
  </si>
  <si>
    <t>配置一
Intel CPU
i7 770K</t>
    <phoneticPr fontId="3" type="noConversion"/>
  </si>
  <si>
    <t>OpenCL
intel</t>
    <phoneticPr fontId="3" type="noConversion"/>
  </si>
  <si>
    <t>OpenCL
amd</t>
    <phoneticPr fontId="3" type="noConversion"/>
  </si>
  <si>
    <t>OpenCL
加速比</t>
    <phoneticPr fontId="3" type="noConversion"/>
  </si>
  <si>
    <t>图4 骨骼动画对比5组并行算法的加速比</t>
    <phoneticPr fontId="3" type="noConversion"/>
  </si>
  <si>
    <t>图3骨骼动画对比6组算法的时间</t>
    <phoneticPr fontId="3" type="noConversion"/>
  </si>
  <si>
    <t>表2 骨骼动画对比16组数据的OpenCL加速比</t>
    <phoneticPr fontId="3" type="noConversion"/>
  </si>
  <si>
    <t>小论文1</t>
    <phoneticPr fontId="3" type="noConversion"/>
  </si>
  <si>
    <t>表3 骨骼动画对比16组数据的OpenCL相对SSE加速比增幅</t>
    <phoneticPr fontId="3" type="noConversion"/>
  </si>
  <si>
    <t>图5 骨骼动画对比3组CPU的加速比</t>
    <phoneticPr fontId="3" type="noConversion"/>
  </si>
  <si>
    <t>2核对</t>
    <phoneticPr fontId="3" type="noConversion"/>
  </si>
  <si>
    <t>图2 串行算法初始和优化后的时间分布</t>
    <phoneticPr fontId="3" type="noConversion"/>
  </si>
  <si>
    <t>小论文1</t>
    <phoneticPr fontId="3" type="noConversion"/>
  </si>
  <si>
    <t>omp</t>
    <phoneticPr fontId="3" type="noConversion"/>
  </si>
  <si>
    <t>omp+sse</t>
    <phoneticPr fontId="3" type="noConversion"/>
  </si>
  <si>
    <t>数据100k</t>
    <phoneticPr fontId="3" type="noConversion"/>
  </si>
  <si>
    <t>骨骼2</t>
    <phoneticPr fontId="3" type="noConversion"/>
  </si>
  <si>
    <t>骨骼</t>
    <phoneticPr fontId="3" type="noConversion"/>
  </si>
  <si>
    <t>cpu%</t>
    <phoneticPr fontId="3" type="noConversion"/>
  </si>
  <si>
    <t>x</t>
    <phoneticPr fontId="3" type="noConversion"/>
  </si>
  <si>
    <t>?</t>
    <phoneticPr fontId="3" type="noConversion"/>
  </si>
  <si>
    <t>cpu&gt;gpu</t>
    <phoneticPr fontId="3" type="noConversion"/>
  </si>
  <si>
    <t>小论文2</t>
    <phoneticPr fontId="3" type="noConversion"/>
  </si>
  <si>
    <t>配置一
NVIDIA GPU
GTX 670</t>
    <phoneticPr fontId="3" type="noConversion"/>
  </si>
  <si>
    <t>GLSL</t>
    <phoneticPr fontId="3" type="noConversion"/>
  </si>
  <si>
    <t>OpenCL
no int</t>
    <phoneticPr fontId="3" type="noConversion"/>
  </si>
  <si>
    <t>OpenCL
CPU</t>
    <phoneticPr fontId="3" type="noConversion"/>
  </si>
  <si>
    <t>CUDA</t>
    <phoneticPr fontId="3" type="noConversion"/>
  </si>
  <si>
    <t>OpenCL
相对GLSL
性能增幅</t>
    <phoneticPr fontId="3" type="noConversion"/>
  </si>
  <si>
    <t>OpenCL
相对CUDA
性能增幅</t>
    <phoneticPr fontId="3" type="noConversion"/>
  </si>
  <si>
    <t>小论文2</t>
    <phoneticPr fontId="3" type="noConversion"/>
  </si>
  <si>
    <t>OpenCL
GPU inter</t>
    <phoneticPr fontId="3" type="noConversion"/>
  </si>
  <si>
    <t>GPU 1:
NVIDIA GPU
GTX 670</t>
    <phoneticPr fontId="3" type="noConversion"/>
  </si>
  <si>
    <t>GPU 2:
NVIDIA GPU
GTS 250</t>
    <phoneticPr fontId="3" type="noConversion"/>
  </si>
  <si>
    <t>GPU 3:
AMD GPU
HD 7750</t>
    <phoneticPr fontId="3" type="noConversion"/>
  </si>
</sst>
</file>

<file path=xl/styles.xml><?xml version="1.0" encoding="utf-8"?>
<styleSheet xmlns="http://schemas.openxmlformats.org/spreadsheetml/2006/main">
  <numFmts count="8">
    <numFmt numFmtId="176" formatCode="0.00_ "/>
    <numFmt numFmtId="177" formatCode="0.0_ "/>
    <numFmt numFmtId="178" formatCode="0.00;_"/>
    <numFmt numFmtId="179" formatCode="0.0%"/>
    <numFmt numFmtId="180" formatCode="0.0"/>
    <numFmt numFmtId="181" formatCode="0_ "/>
    <numFmt numFmtId="182" formatCode="0.000_ "/>
    <numFmt numFmtId="183" formatCode="0;_ÿ"/>
  </numFmts>
  <fonts count="1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.5"/>
      <color theme="1"/>
      <name val="Calibri"/>
      <family val="2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0.5"/>
      <color rgb="FFFF000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</cellStyleXfs>
  <cellXfs count="182">
    <xf numFmtId="0" fontId="0" fillId="0" borderId="0" xfId="0">
      <alignment vertical="center"/>
    </xf>
    <xf numFmtId="0" fontId="2" fillId="0" borderId="2" xfId="0" applyFont="1" applyBorder="1" applyAlignment="1">
      <alignment horizontal="justify" vertical="top" wrapText="1"/>
    </xf>
    <xf numFmtId="0" fontId="2" fillId="0" borderId="3" xfId="0" applyFont="1" applyBorder="1" applyAlignment="1">
      <alignment horizontal="justify" vertical="top" wrapText="1"/>
    </xf>
    <xf numFmtId="0" fontId="2" fillId="0" borderId="4" xfId="0" applyFont="1" applyBorder="1" applyAlignment="1">
      <alignment horizontal="justify" vertical="top" wrapText="1"/>
    </xf>
    <xf numFmtId="0" fontId="2" fillId="0" borderId="5" xfId="0" applyFont="1" applyBorder="1" applyAlignment="1">
      <alignment horizontal="justify" vertical="top" wrapText="1"/>
    </xf>
    <xf numFmtId="0" fontId="2" fillId="0" borderId="4" xfId="0" applyFont="1" applyBorder="1" applyAlignment="1">
      <alignment horizontal="justify" vertical="top" wrapText="1"/>
    </xf>
    <xf numFmtId="0" fontId="2" fillId="0" borderId="8" xfId="0" applyFont="1" applyBorder="1" applyAlignment="1">
      <alignment horizontal="justify" vertical="top" wrapText="1"/>
    </xf>
    <xf numFmtId="0" fontId="2" fillId="0" borderId="9" xfId="0" applyFont="1" applyBorder="1" applyAlignment="1">
      <alignment horizontal="justify" vertical="top" wrapText="1"/>
    </xf>
    <xf numFmtId="0" fontId="2" fillId="0" borderId="3" xfId="0" applyFont="1" applyBorder="1" applyAlignment="1">
      <alignment horizontal="justify" vertical="top" wrapText="1"/>
    </xf>
    <xf numFmtId="0" fontId="2" fillId="0" borderId="5" xfId="0" applyFont="1" applyBorder="1" applyAlignment="1">
      <alignment horizontal="justify" vertical="top" wrapText="1"/>
    </xf>
    <xf numFmtId="0" fontId="2" fillId="0" borderId="0" xfId="0" applyFont="1" applyBorder="1" applyAlignment="1">
      <alignment horizontal="justify" vertical="top" wrapText="1"/>
    </xf>
    <xf numFmtId="0" fontId="5" fillId="0" borderId="2" xfId="0" applyFont="1" applyBorder="1" applyAlignment="1">
      <alignment horizontal="justify" vertical="top" wrapText="1"/>
    </xf>
    <xf numFmtId="0" fontId="5" fillId="0" borderId="4" xfId="0" applyFont="1" applyBorder="1" applyAlignment="1">
      <alignment horizontal="justify" vertical="top" wrapText="1"/>
    </xf>
    <xf numFmtId="0" fontId="2" fillId="0" borderId="4" xfId="0" applyFont="1" applyBorder="1" applyAlignment="1">
      <alignment horizontal="justify" vertical="top" wrapText="1"/>
    </xf>
    <xf numFmtId="0" fontId="2" fillId="0" borderId="3" xfId="0" applyFont="1" applyBorder="1" applyAlignment="1">
      <alignment horizontal="justify" vertical="top" wrapText="1"/>
    </xf>
    <xf numFmtId="0" fontId="2" fillId="0" borderId="5" xfId="0" applyFont="1" applyBorder="1" applyAlignment="1">
      <alignment horizontal="justify" vertical="top" wrapText="1"/>
    </xf>
    <xf numFmtId="0" fontId="5" fillId="0" borderId="0" xfId="0" applyFont="1" applyBorder="1" applyAlignment="1">
      <alignment horizontal="justify" vertical="top" wrapText="1"/>
    </xf>
    <xf numFmtId="176" fontId="5" fillId="0" borderId="4" xfId="0" applyNumberFormat="1" applyFont="1" applyBorder="1" applyAlignment="1">
      <alignment horizontal="justify" vertical="top" wrapText="1"/>
    </xf>
    <xf numFmtId="177" fontId="5" fillId="0" borderId="4" xfId="0" applyNumberFormat="1" applyFont="1" applyBorder="1" applyAlignment="1">
      <alignment horizontal="justify" vertical="top" wrapText="1"/>
    </xf>
    <xf numFmtId="176" fontId="2" fillId="0" borderId="3" xfId="0" applyNumberFormat="1" applyFont="1" applyBorder="1" applyAlignment="1">
      <alignment horizontal="justify" vertical="top" wrapText="1"/>
    </xf>
    <xf numFmtId="176" fontId="2" fillId="0" borderId="5" xfId="0" applyNumberFormat="1" applyFont="1" applyBorder="1" applyAlignment="1">
      <alignment horizontal="justify" vertical="top" wrapText="1"/>
    </xf>
    <xf numFmtId="176" fontId="2" fillId="0" borderId="2" xfId="0" applyNumberFormat="1" applyFont="1" applyBorder="1" applyAlignment="1">
      <alignment horizontal="justify" vertical="top" wrapText="1"/>
    </xf>
    <xf numFmtId="176" fontId="2" fillId="0" borderId="4" xfId="0" applyNumberFormat="1" applyFont="1" applyBorder="1" applyAlignment="1">
      <alignment horizontal="justify" vertical="top" wrapText="1"/>
    </xf>
    <xf numFmtId="177" fontId="2" fillId="0" borderId="3" xfId="0" applyNumberFormat="1" applyFont="1" applyBorder="1" applyAlignment="1">
      <alignment horizontal="justify" vertical="top" wrapText="1"/>
    </xf>
    <xf numFmtId="178" fontId="2" fillId="0" borderId="4" xfId="0" applyNumberFormat="1" applyFont="1" applyBorder="1" applyAlignment="1">
      <alignment horizontal="justify" vertical="top" wrapText="1"/>
    </xf>
    <xf numFmtId="177" fontId="2" fillId="0" borderId="2" xfId="0" applyNumberFormat="1" applyFont="1" applyBorder="1" applyAlignment="1">
      <alignment horizontal="justify" vertical="top" wrapText="1"/>
    </xf>
    <xf numFmtId="177" fontId="2" fillId="0" borderId="4" xfId="0" applyNumberFormat="1" applyFont="1" applyBorder="1" applyAlignment="1">
      <alignment horizontal="justify" vertical="top" wrapText="1"/>
    </xf>
    <xf numFmtId="177" fontId="2" fillId="0" borderId="5" xfId="0" applyNumberFormat="1" applyFont="1" applyBorder="1" applyAlignment="1">
      <alignment horizontal="justify" vertical="top" wrapText="1"/>
    </xf>
    <xf numFmtId="0" fontId="2" fillId="0" borderId="4" xfId="0" applyFont="1" applyBorder="1" applyAlignment="1">
      <alignment horizontal="justify" vertical="top" wrapText="1"/>
    </xf>
    <xf numFmtId="0" fontId="2" fillId="0" borderId="3" xfId="0" applyFont="1" applyBorder="1" applyAlignment="1">
      <alignment horizontal="justify" vertical="top" wrapText="1"/>
    </xf>
    <xf numFmtId="0" fontId="2" fillId="0" borderId="5" xfId="0" applyFont="1" applyBorder="1" applyAlignment="1">
      <alignment horizontal="justify" vertical="top" wrapText="1"/>
    </xf>
    <xf numFmtId="9" fontId="5" fillId="0" borderId="4" xfId="3" applyFont="1" applyBorder="1" applyAlignment="1">
      <alignment horizontal="justify" vertical="top" wrapText="1"/>
    </xf>
    <xf numFmtId="9" fontId="7" fillId="0" borderId="4" xfId="3" applyFont="1" applyBorder="1" applyAlignment="1">
      <alignment horizontal="justify" vertical="top" wrapText="1"/>
    </xf>
    <xf numFmtId="177" fontId="7" fillId="0" borderId="4" xfId="0" applyNumberFormat="1" applyFont="1" applyBorder="1" applyAlignment="1">
      <alignment horizontal="justify" vertical="top" wrapText="1"/>
    </xf>
    <xf numFmtId="0" fontId="2" fillId="0" borderId="3" xfId="0" applyFont="1" applyBorder="1" applyAlignment="1">
      <alignment horizontal="justify" vertical="top" wrapText="1"/>
    </xf>
    <xf numFmtId="0" fontId="2" fillId="0" borderId="4" xfId="0" applyFont="1" applyBorder="1" applyAlignment="1">
      <alignment horizontal="justify" vertical="top" wrapText="1"/>
    </xf>
    <xf numFmtId="0" fontId="2" fillId="0" borderId="5" xfId="0" applyFont="1" applyBorder="1" applyAlignment="1">
      <alignment horizontal="justify" vertical="top" wrapText="1"/>
    </xf>
    <xf numFmtId="176" fontId="7" fillId="0" borderId="4" xfId="0" applyNumberFormat="1" applyFont="1" applyBorder="1" applyAlignment="1">
      <alignment horizontal="justify" vertical="top" wrapText="1"/>
    </xf>
    <xf numFmtId="0" fontId="0" fillId="0" borderId="0" xfId="0" applyAlignment="1">
      <alignment vertical="center" wrapText="1"/>
    </xf>
    <xf numFmtId="176" fontId="5" fillId="0" borderId="0" xfId="0" applyNumberFormat="1" applyFont="1" applyFill="1" applyBorder="1" applyAlignment="1">
      <alignment horizontal="left" vertical="top" wrapText="1"/>
    </xf>
    <xf numFmtId="179" fontId="0" fillId="0" borderId="0" xfId="3" applyNumberFormat="1" applyFont="1">
      <alignment vertical="center"/>
    </xf>
    <xf numFmtId="0" fontId="0" fillId="0" borderId="0" xfId="0" applyAlignment="1">
      <alignment horizontal="center" vertical="center"/>
    </xf>
    <xf numFmtId="176" fontId="5" fillId="0" borderId="18" xfId="0" applyNumberFormat="1" applyFont="1" applyFill="1" applyBorder="1" applyAlignment="1">
      <alignment horizontal="center" vertical="center" wrapText="1"/>
    </xf>
    <xf numFmtId="9" fontId="0" fillId="0" borderId="0" xfId="3" applyFont="1">
      <alignment vertical="center"/>
    </xf>
    <xf numFmtId="0" fontId="0" fillId="0" borderId="1" xfId="0" applyBorder="1">
      <alignment vertical="center"/>
    </xf>
    <xf numFmtId="176" fontId="5" fillId="0" borderId="1" xfId="0" applyNumberFormat="1" applyFont="1" applyBorder="1" applyAlignment="1">
      <alignment horizontal="justify" vertical="top" wrapText="1"/>
    </xf>
    <xf numFmtId="0" fontId="0" fillId="0" borderId="1" xfId="0" applyBorder="1" applyAlignment="1">
      <alignment vertical="center" wrapText="1"/>
    </xf>
    <xf numFmtId="9" fontId="0" fillId="0" borderId="1" xfId="3" applyNumberFormat="1" applyFont="1" applyBorder="1">
      <alignment vertical="center"/>
    </xf>
    <xf numFmtId="9" fontId="0" fillId="0" borderId="0" xfId="0" applyNumberFormat="1">
      <alignment vertical="center"/>
    </xf>
    <xf numFmtId="176" fontId="5" fillId="0" borderId="12" xfId="0" applyNumberFormat="1" applyFont="1" applyBorder="1" applyAlignment="1">
      <alignment horizontal="justify" vertical="top" wrapText="1"/>
    </xf>
    <xf numFmtId="9" fontId="5" fillId="0" borderId="12" xfId="3" applyFont="1" applyBorder="1" applyAlignment="1">
      <alignment horizontal="justify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9" fontId="0" fillId="0" borderId="1" xfId="0" applyNumberFormat="1" applyBorder="1" applyAlignment="1">
      <alignment horizontal="left" vertical="top"/>
    </xf>
    <xf numFmtId="176" fontId="5" fillId="0" borderId="1" xfId="0" applyNumberFormat="1" applyFont="1" applyBorder="1" applyAlignment="1">
      <alignment horizontal="justify" vertical="center" wrapText="1"/>
    </xf>
    <xf numFmtId="0" fontId="0" fillId="0" borderId="19" xfId="0" applyFill="1" applyBorder="1">
      <alignment vertical="center"/>
    </xf>
    <xf numFmtId="0" fontId="0" fillId="0" borderId="19" xfId="0" applyFill="1" applyBorder="1" applyAlignment="1">
      <alignment vertical="center" wrapText="1"/>
    </xf>
    <xf numFmtId="177" fontId="0" fillId="0" borderId="1" xfId="0" applyNumberFormat="1" applyBorder="1">
      <alignment vertical="center"/>
    </xf>
    <xf numFmtId="9" fontId="0" fillId="0" borderId="0" xfId="3" applyNumberFormat="1" applyFont="1">
      <alignment vertical="center"/>
    </xf>
    <xf numFmtId="176" fontId="0" fillId="0" borderId="1" xfId="0" applyNumberFormat="1" applyBorder="1">
      <alignment vertical="center"/>
    </xf>
    <xf numFmtId="177" fontId="0" fillId="2" borderId="1" xfId="0" applyNumberFormat="1" applyFill="1" applyBorder="1">
      <alignment vertical="center"/>
    </xf>
    <xf numFmtId="177" fontId="0" fillId="0" borderId="0" xfId="0" applyNumberFormat="1">
      <alignment vertical="center"/>
    </xf>
    <xf numFmtId="176" fontId="5" fillId="0" borderId="0" xfId="0" applyNumberFormat="1" applyFont="1" applyBorder="1" applyAlignment="1">
      <alignment horizontal="justify" vertical="top" wrapText="1"/>
    </xf>
    <xf numFmtId="9" fontId="5" fillId="0" borderId="0" xfId="3" applyFont="1" applyBorder="1" applyAlignment="1">
      <alignment horizontal="justify" vertical="top" wrapText="1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 wrapText="1"/>
    </xf>
    <xf numFmtId="0" fontId="2" fillId="0" borderId="3" xfId="0" applyFont="1" applyBorder="1" applyAlignment="1">
      <alignment horizontal="justify" vertical="top" wrapText="1"/>
    </xf>
    <xf numFmtId="0" fontId="2" fillId="0" borderId="4" xfId="0" applyFont="1" applyBorder="1" applyAlignment="1">
      <alignment horizontal="justify" vertical="top" wrapText="1"/>
    </xf>
    <xf numFmtId="0" fontId="2" fillId="0" borderId="5" xfId="0" applyFont="1" applyBorder="1" applyAlignment="1">
      <alignment horizontal="justify" vertical="top" wrapText="1"/>
    </xf>
    <xf numFmtId="0" fontId="0" fillId="0" borderId="20" xfId="0" applyFill="1" applyBorder="1">
      <alignment vertical="center"/>
    </xf>
    <xf numFmtId="2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9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176" fontId="7" fillId="0" borderId="0" xfId="0" applyNumberFormat="1" applyFont="1" applyBorder="1" applyAlignment="1">
      <alignment horizontal="justify" vertical="top" wrapText="1"/>
    </xf>
    <xf numFmtId="176" fontId="5" fillId="0" borderId="0" xfId="0" applyNumberFormat="1" applyFont="1" applyFill="1" applyBorder="1" applyAlignment="1">
      <alignment horizontal="center" vertical="center" wrapText="1"/>
    </xf>
    <xf numFmtId="179" fontId="0" fillId="0" borderId="0" xfId="3" applyNumberFormat="1" applyFont="1" applyBorder="1">
      <alignment vertical="center"/>
    </xf>
    <xf numFmtId="0" fontId="0" fillId="0" borderId="0" xfId="0" applyBorder="1" applyAlignment="1">
      <alignment horizontal="center" vertical="center"/>
    </xf>
    <xf numFmtId="9" fontId="7" fillId="0" borderId="0" xfId="3" applyFont="1" applyBorder="1" applyAlignment="1">
      <alignment horizontal="justify" vertical="top" wrapText="1"/>
    </xf>
    <xf numFmtId="0" fontId="9" fillId="0" borderId="0" xfId="0" applyFont="1" applyAlignment="1">
      <alignment vertical="center" wrapText="1"/>
    </xf>
    <xf numFmtId="0" fontId="10" fillId="0" borderId="0" xfId="0" applyFont="1">
      <alignment vertical="center"/>
    </xf>
    <xf numFmtId="181" fontId="5" fillId="0" borderId="4" xfId="0" applyNumberFormat="1" applyFont="1" applyBorder="1" applyAlignment="1">
      <alignment horizontal="justify" vertical="top" wrapText="1"/>
    </xf>
    <xf numFmtId="181" fontId="5" fillId="0" borderId="2" xfId="0" applyNumberFormat="1" applyFont="1" applyBorder="1" applyAlignment="1">
      <alignment horizontal="justify" vertical="top" wrapText="1"/>
    </xf>
    <xf numFmtId="181" fontId="5" fillId="0" borderId="0" xfId="0" applyNumberFormat="1" applyFont="1" applyBorder="1" applyAlignment="1">
      <alignment horizontal="justify" vertical="top" wrapText="1"/>
    </xf>
    <xf numFmtId="177" fontId="5" fillId="0" borderId="0" xfId="0" applyNumberFormat="1" applyFont="1" applyBorder="1" applyAlignment="1">
      <alignment horizontal="justify" vertical="top" wrapText="1"/>
    </xf>
    <xf numFmtId="0" fontId="0" fillId="0" borderId="0" xfId="0" applyBorder="1" applyAlignment="1">
      <alignment horizontal="center" vertical="center"/>
    </xf>
    <xf numFmtId="0" fontId="2" fillId="0" borderId="3" xfId="0" applyFont="1" applyBorder="1" applyAlignment="1">
      <alignment horizontal="justify" vertical="top" wrapText="1"/>
    </xf>
    <xf numFmtId="0" fontId="0" fillId="0" borderId="0" xfId="0" applyBorder="1" applyAlignment="1">
      <alignment horizontal="center" vertical="center" wrapText="1"/>
    </xf>
    <xf numFmtId="177" fontId="5" fillId="0" borderId="2" xfId="0" applyNumberFormat="1" applyFont="1" applyBorder="1" applyAlignment="1">
      <alignment horizontal="justify" vertical="top" wrapText="1"/>
    </xf>
    <xf numFmtId="9" fontId="5" fillId="0" borderId="0" xfId="3" applyNumberFormat="1" applyFont="1" applyBorder="1" applyAlignment="1">
      <alignment horizontal="justify" vertical="top" wrapText="1"/>
    </xf>
    <xf numFmtId="176" fontId="5" fillId="0" borderId="8" xfId="0" applyNumberFormat="1" applyFont="1" applyFill="1" applyBorder="1" applyAlignment="1">
      <alignment horizontal="justify" vertical="top" wrapText="1"/>
    </xf>
    <xf numFmtId="176" fontId="0" fillId="0" borderId="0" xfId="0" applyNumberFormat="1">
      <alignment vertical="center"/>
    </xf>
    <xf numFmtId="177" fontId="5" fillId="0" borderId="0" xfId="0" applyNumberFormat="1" applyFont="1" applyFill="1" applyBorder="1" applyAlignment="1">
      <alignment horizontal="justify" vertical="top" wrapText="1"/>
    </xf>
    <xf numFmtId="177" fontId="5" fillId="0" borderId="8" xfId="0" applyNumberFormat="1" applyFont="1" applyFill="1" applyBorder="1" applyAlignment="1">
      <alignment horizontal="justify" vertical="top" wrapText="1"/>
    </xf>
    <xf numFmtId="9" fontId="5" fillId="0" borderId="8" xfId="3" applyFont="1" applyFill="1" applyBorder="1" applyAlignment="1">
      <alignment horizontal="justify" vertical="top" wrapText="1"/>
    </xf>
    <xf numFmtId="181" fontId="5" fillId="0" borderId="8" xfId="0" applyNumberFormat="1" applyFont="1" applyBorder="1" applyAlignment="1">
      <alignment horizontal="justify" vertical="top" wrapText="1"/>
    </xf>
    <xf numFmtId="177" fontId="5" fillId="0" borderId="8" xfId="0" applyNumberFormat="1" applyFont="1" applyBorder="1" applyAlignment="1">
      <alignment horizontal="justify" vertical="top" wrapText="1"/>
    </xf>
    <xf numFmtId="176" fontId="5" fillId="0" borderId="8" xfId="0" applyNumberFormat="1" applyFont="1" applyBorder="1" applyAlignment="1">
      <alignment horizontal="justify" vertical="top" wrapText="1"/>
    </xf>
    <xf numFmtId="9" fontId="5" fillId="0" borderId="8" xfId="3" applyFont="1" applyBorder="1" applyAlignment="1">
      <alignment horizontal="justify" vertical="top" wrapText="1"/>
    </xf>
    <xf numFmtId="181" fontId="5" fillId="0" borderId="14" xfId="0" applyNumberFormat="1" applyFont="1" applyBorder="1" applyAlignment="1">
      <alignment horizontal="justify" vertical="top" wrapText="1"/>
    </xf>
    <xf numFmtId="177" fontId="5" fillId="0" borderId="14" xfId="0" applyNumberFormat="1" applyFont="1" applyBorder="1" applyAlignment="1">
      <alignment horizontal="justify" vertical="top" wrapText="1"/>
    </xf>
    <xf numFmtId="176" fontId="5" fillId="0" borderId="14" xfId="0" applyNumberFormat="1" applyFont="1" applyBorder="1" applyAlignment="1">
      <alignment horizontal="justify" vertical="top" wrapText="1"/>
    </xf>
    <xf numFmtId="9" fontId="5" fillId="0" borderId="14" xfId="3" applyFont="1" applyBorder="1" applyAlignment="1">
      <alignment horizontal="justify" vertical="top" wrapText="1"/>
    </xf>
    <xf numFmtId="182" fontId="5" fillId="0" borderId="4" xfId="0" applyNumberFormat="1" applyFont="1" applyBorder="1" applyAlignment="1">
      <alignment horizontal="justify" vertical="top" wrapText="1"/>
    </xf>
    <xf numFmtId="176" fontId="5" fillId="0" borderId="0" xfId="0" applyNumberFormat="1" applyFont="1" applyFill="1" applyBorder="1" applyAlignment="1">
      <alignment horizontal="justify" vertical="top" wrapText="1"/>
    </xf>
    <xf numFmtId="9" fontId="0" fillId="0" borderId="0" xfId="3" applyFont="1" applyBorder="1">
      <alignment vertical="center"/>
    </xf>
    <xf numFmtId="0" fontId="0" fillId="0" borderId="0" xfId="0" applyBorder="1" applyAlignment="1">
      <alignment horizontal="center" vertical="center"/>
    </xf>
    <xf numFmtId="182" fontId="5" fillId="0" borderId="0" xfId="0" applyNumberFormat="1" applyFont="1" applyBorder="1" applyAlignment="1">
      <alignment horizontal="justify" vertical="top" wrapText="1"/>
    </xf>
    <xf numFmtId="176" fontId="5" fillId="0" borderId="0" xfId="0" applyNumberFormat="1" applyFont="1" applyFill="1" applyBorder="1" applyAlignment="1">
      <alignment horizontal="right" vertical="top" wrapText="1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9" fontId="0" fillId="0" borderId="0" xfId="3" applyNumberFormat="1" applyFont="1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181" fontId="5" fillId="0" borderId="0" xfId="0" applyNumberFormat="1" applyFont="1" applyFill="1" applyBorder="1" applyAlignment="1">
      <alignment horizontal="justify" vertical="top" wrapText="1"/>
    </xf>
    <xf numFmtId="9" fontId="5" fillId="0" borderId="18" xfId="3" applyFont="1" applyFill="1" applyBorder="1" applyAlignment="1">
      <alignment horizontal="justify" vertical="top" wrapText="1"/>
    </xf>
    <xf numFmtId="181" fontId="0" fillId="0" borderId="0" xfId="0" applyNumberFormat="1">
      <alignment vertical="center"/>
    </xf>
    <xf numFmtId="181" fontId="5" fillId="0" borderId="8" xfId="0" applyNumberFormat="1" applyFont="1" applyFill="1" applyBorder="1" applyAlignment="1">
      <alignment horizontal="justify" vertical="top" wrapText="1"/>
    </xf>
    <xf numFmtId="183" fontId="0" fillId="0" borderId="0" xfId="0" applyNumberFormat="1">
      <alignment vertical="center"/>
    </xf>
    <xf numFmtId="9" fontId="0" fillId="0" borderId="0" xfId="0" applyNumberFormat="1" applyBorder="1">
      <alignment vertical="center"/>
    </xf>
    <xf numFmtId="181" fontId="0" fillId="0" borderId="1" xfId="0" applyNumberFormat="1" applyBorder="1">
      <alignment vertical="center"/>
    </xf>
    <xf numFmtId="177" fontId="0" fillId="0" borderId="0" xfId="0" applyNumberFormat="1" applyBorder="1">
      <alignment vertical="center"/>
    </xf>
    <xf numFmtId="177" fontId="0" fillId="0" borderId="1" xfId="0" applyNumberFormat="1" applyBorder="1" applyAlignment="1">
      <alignment vertical="center" wrapText="1"/>
    </xf>
    <xf numFmtId="0" fontId="0" fillId="0" borderId="0" xfId="0" quotePrefix="1">
      <alignment vertical="center"/>
    </xf>
    <xf numFmtId="0" fontId="4" fillId="0" borderId="0" xfId="0" applyFont="1" applyAlignment="1"/>
    <xf numFmtId="0" fontId="0" fillId="0" borderId="1" xfId="0" applyBorder="1" applyAlignment="1">
      <alignment horizontal="center" vertical="center" wrapText="1"/>
    </xf>
    <xf numFmtId="181" fontId="5" fillId="0" borderId="1" xfId="0" applyNumberFormat="1" applyFont="1" applyBorder="1" applyAlignment="1">
      <alignment horizontal="justify" vertical="top" wrapText="1"/>
    </xf>
    <xf numFmtId="2" fontId="0" fillId="0" borderId="1" xfId="0" applyNumberFormat="1" applyBorder="1">
      <alignment vertical="center"/>
    </xf>
    <xf numFmtId="180" fontId="0" fillId="0" borderId="1" xfId="0" applyNumberFormat="1" applyBorder="1">
      <alignment vertical="center"/>
    </xf>
    <xf numFmtId="1" fontId="0" fillId="0" borderId="1" xfId="0" applyNumberFormat="1" applyBorder="1">
      <alignment vertical="center"/>
    </xf>
    <xf numFmtId="180" fontId="0" fillId="0" borderId="19" xfId="0" applyNumberFormat="1" applyFill="1" applyBorder="1">
      <alignment vertical="center"/>
    </xf>
    <xf numFmtId="0" fontId="0" fillId="0" borderId="1" xfId="0" applyBorder="1" applyAlignment="1">
      <alignment vertical="center" wrapText="1"/>
    </xf>
    <xf numFmtId="2" fontId="0" fillId="0" borderId="1" xfId="0" applyNumberFormat="1" applyBorder="1" applyAlignment="1">
      <alignment vertical="center" wrapText="1"/>
    </xf>
    <xf numFmtId="180" fontId="0" fillId="0" borderId="1" xfId="0" applyNumberFormat="1" applyBorder="1" applyAlignment="1">
      <alignment vertical="center" wrapText="1"/>
    </xf>
    <xf numFmtId="180" fontId="11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177" fontId="0" fillId="0" borderId="19" xfId="0" applyNumberFormat="1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9" fontId="0" fillId="0" borderId="1" xfId="3" applyFont="1" applyBorder="1">
      <alignment vertical="center"/>
    </xf>
    <xf numFmtId="2" fontId="0" fillId="0" borderId="19" xfId="0" applyNumberFormat="1" applyFill="1" applyBorder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3" xfId="0" applyFont="1" applyBorder="1" applyAlignment="1">
      <alignment horizontal="right" vertical="center" wrapText="1"/>
    </xf>
    <xf numFmtId="0" fontId="4" fillId="0" borderId="14" xfId="0" applyFont="1" applyBorder="1" applyAlignment="1">
      <alignment horizontal="right" vertical="center" wrapText="1"/>
    </xf>
    <xf numFmtId="0" fontId="4" fillId="0" borderId="15" xfId="0" applyFont="1" applyBorder="1" applyAlignment="1">
      <alignment horizontal="right" vertical="center" wrapText="1"/>
    </xf>
    <xf numFmtId="0" fontId="4" fillId="0" borderId="16" xfId="0" applyFont="1" applyBorder="1" applyAlignment="1">
      <alignment horizontal="right" vertical="center" wrapText="1"/>
    </xf>
    <xf numFmtId="0" fontId="4" fillId="0" borderId="7" xfId="0" applyFont="1" applyBorder="1" applyAlignment="1">
      <alignment horizontal="right" vertical="center" wrapText="1"/>
    </xf>
    <xf numFmtId="0" fontId="4" fillId="0" borderId="17" xfId="0" applyFont="1" applyBorder="1" applyAlignment="1">
      <alignment horizontal="right" vertical="center" wrapText="1"/>
    </xf>
    <xf numFmtId="0" fontId="2" fillId="0" borderId="11" xfId="0" applyFont="1" applyBorder="1" applyAlignment="1">
      <alignment horizontal="justify" vertical="top" wrapText="1"/>
    </xf>
    <xf numFmtId="0" fontId="2" fillId="0" borderId="3" xfId="0" applyFont="1" applyBorder="1" applyAlignment="1">
      <alignment horizontal="justify" vertical="top" wrapText="1"/>
    </xf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/>
    </xf>
    <xf numFmtId="0" fontId="2" fillId="0" borderId="6" xfId="0" applyFont="1" applyBorder="1" applyAlignment="1">
      <alignment horizontal="justify" vertical="top" wrapText="1"/>
    </xf>
    <xf numFmtId="0" fontId="2" fillId="0" borderId="4" xfId="0" applyFont="1" applyBorder="1" applyAlignment="1">
      <alignment horizontal="justify" vertical="top" wrapText="1"/>
    </xf>
    <xf numFmtId="0" fontId="2" fillId="0" borderId="10" xfId="0" applyFont="1" applyBorder="1" applyAlignment="1">
      <alignment horizontal="justify" vertical="top" wrapText="1"/>
    </xf>
    <xf numFmtId="0" fontId="0" fillId="0" borderId="3" xfId="0" applyBorder="1">
      <alignment vertical="center"/>
    </xf>
    <xf numFmtId="0" fontId="2" fillId="0" borderId="12" xfId="0" applyFont="1" applyBorder="1" applyAlignment="1">
      <alignment horizontal="justify" vertical="top" wrapText="1"/>
    </xf>
    <xf numFmtId="0" fontId="2" fillId="0" borderId="7" xfId="0" applyFont="1" applyBorder="1" applyAlignment="1">
      <alignment horizontal="justify" vertical="top" wrapText="1"/>
    </xf>
    <xf numFmtId="0" fontId="2" fillId="0" borderId="5" xfId="0" applyFont="1" applyBorder="1" applyAlignment="1">
      <alignment horizontal="justify" vertical="top" wrapText="1"/>
    </xf>
    <xf numFmtId="0" fontId="0" fillId="0" borderId="0" xfId="0" applyBorder="1" applyAlignment="1">
      <alignment vertical="center" wrapText="1"/>
    </xf>
    <xf numFmtId="0" fontId="4" fillId="0" borderId="0" xfId="0" applyFont="1" applyBorder="1" applyAlignment="1">
      <alignment horizontal="right" vertical="center" wrapText="1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</cellXfs>
  <cellStyles count="4">
    <cellStyle name="百分比" xfId="3" builtinId="5"/>
    <cellStyle name="百分比 2" xfId="2"/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0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10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10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10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10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6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2"/>
          <c:order val="0"/>
          <c:tx>
            <c:strRef>
              <c:f>'870'!$B$31</c:f>
              <c:strCache>
                <c:ptCount val="1"/>
                <c:pt idx="0">
                  <c:v>kernel
speedup</c:v>
                </c:pt>
              </c:strCache>
            </c:strRef>
          </c:tx>
          <c:dLbls>
            <c:dLbl>
              <c:idx val="1"/>
              <c:layout>
                <c:manualLayout>
                  <c:x val="-5.1020997375328093E-2"/>
                  <c:y val="-6.3177541403815762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5.1020997375328093E-2"/>
                  <c:y val="-7.8772083314147534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5.1020997375328093E-2"/>
                  <c:y val="-6.3177541403815748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5.1020997375327982E-2"/>
                  <c:y val="-7.097481235898144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'870'!$C$28:$G$28</c:f>
              <c:strCache>
                <c:ptCount val="5"/>
                <c:pt idx="0">
                  <c:v>cpu</c:v>
                </c:pt>
                <c:pt idx="1">
                  <c:v>openmp</c:v>
                </c:pt>
                <c:pt idx="2">
                  <c:v>sse</c:v>
                </c:pt>
                <c:pt idx="3">
                  <c:v>openmp
+sse</c:v>
                </c:pt>
                <c:pt idx="4">
                  <c:v>opencl</c:v>
                </c:pt>
              </c:strCache>
            </c:strRef>
          </c:cat>
          <c:val>
            <c:numRef>
              <c:f>'870'!$C$31:$G$31</c:f>
              <c:numCache>
                <c:formatCode>0.00_ </c:formatCode>
                <c:ptCount val="5"/>
                <c:pt idx="0" formatCode="General">
                  <c:v>1</c:v>
                </c:pt>
                <c:pt idx="1">
                  <c:v>4.659491193737769</c:v>
                </c:pt>
                <c:pt idx="2">
                  <c:v>2.1824014665444547</c:v>
                </c:pt>
                <c:pt idx="3">
                  <c:v>5.7512077294686001</c:v>
                </c:pt>
                <c:pt idx="4">
                  <c:v>6.764204545454545</c:v>
                </c:pt>
              </c:numCache>
            </c:numRef>
          </c:val>
        </c:ser>
        <c:ser>
          <c:idx val="3"/>
          <c:order val="1"/>
          <c:tx>
            <c:strRef>
              <c:f>'870'!$B$32</c:f>
              <c:strCache>
                <c:ptCount val="1"/>
                <c:pt idx="0">
                  <c:v>frame
speedup</c:v>
                </c:pt>
              </c:strCache>
            </c:strRef>
          </c:tx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5.1020997375328093E-2"/>
                  <c:y val="4.7582999493484414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5.1020997375328093E-2"/>
                  <c:y val="4.7582999493484393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5.1020997375328093E-2"/>
                  <c:y val="4.7582999493484414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5.1020997375327982E-2"/>
                  <c:y val="5.5380270448650112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'870'!$C$28:$G$28</c:f>
              <c:strCache>
                <c:ptCount val="5"/>
                <c:pt idx="0">
                  <c:v>cpu</c:v>
                </c:pt>
                <c:pt idx="1">
                  <c:v>openmp</c:v>
                </c:pt>
                <c:pt idx="2">
                  <c:v>sse</c:v>
                </c:pt>
                <c:pt idx="3">
                  <c:v>openmp
+sse</c:v>
                </c:pt>
                <c:pt idx="4">
                  <c:v>opencl</c:v>
                </c:pt>
              </c:strCache>
            </c:strRef>
          </c:cat>
          <c:val>
            <c:numRef>
              <c:f>'870'!$C$32:$G$32</c:f>
              <c:numCache>
                <c:formatCode>0.00_ </c:formatCode>
                <c:ptCount val="5"/>
                <c:pt idx="0" formatCode="General">
                  <c:v>1</c:v>
                </c:pt>
                <c:pt idx="1">
                  <c:v>3.101123595505618</c:v>
                </c:pt>
                <c:pt idx="2">
                  <c:v>1.8775510204081634</c:v>
                </c:pt>
                <c:pt idx="3">
                  <c:v>3.4804539722572514</c:v>
                </c:pt>
                <c:pt idx="4">
                  <c:v>3.353584447144593</c:v>
                </c:pt>
              </c:numCache>
            </c:numRef>
          </c:val>
        </c:ser>
        <c:dLbls>
          <c:showVal val="1"/>
        </c:dLbls>
        <c:marker val="1"/>
        <c:axId val="62928768"/>
        <c:axId val="62930304"/>
      </c:lineChart>
      <c:catAx>
        <c:axId val="62928768"/>
        <c:scaling>
          <c:orientation val="minMax"/>
        </c:scaling>
        <c:axPos val="b"/>
        <c:numFmt formatCode="General" sourceLinked="0"/>
        <c:majorTickMark val="none"/>
        <c:tickLblPos val="nextTo"/>
        <c:spPr>
          <a:ln w="9525">
            <a:noFill/>
          </a:ln>
        </c:spPr>
        <c:crossAx val="62930304"/>
        <c:crosses val="autoZero"/>
        <c:auto val="1"/>
        <c:lblAlgn val="ctr"/>
        <c:lblOffset val="100"/>
      </c:catAx>
      <c:valAx>
        <c:axId val="62930304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62928768"/>
        <c:crosses val="autoZero"/>
        <c:crossBetween val="between"/>
      </c:valAx>
    </c:plotArea>
    <c:legend>
      <c:legendPos val="b"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1"/>
          <c:order val="0"/>
          <c:tx>
            <c:strRef>
              <c:f>'8350m'!$B$15</c:f>
              <c:strCache>
                <c:ptCount val="1"/>
                <c:pt idx="0">
                  <c:v>CPP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'8350m'!$C$13:$J$13</c:f>
              <c:strCache>
                <c:ptCount val="8"/>
                <c:pt idx="0">
                  <c:v>2K</c:v>
                </c:pt>
                <c:pt idx="1">
                  <c:v>8K</c:v>
                </c:pt>
                <c:pt idx="2">
                  <c:v>32K</c:v>
                </c:pt>
                <c:pt idx="3">
                  <c:v>128K</c:v>
                </c:pt>
                <c:pt idx="4">
                  <c:v>256K</c:v>
                </c:pt>
                <c:pt idx="5">
                  <c:v>512K</c:v>
                </c:pt>
                <c:pt idx="6">
                  <c:v>1M</c:v>
                </c:pt>
                <c:pt idx="7">
                  <c:v>2M</c:v>
                </c:pt>
              </c:strCache>
            </c:strRef>
          </c:cat>
          <c:val>
            <c:numRef>
              <c:f>'8350m'!$C$15:$J$15</c:f>
              <c:numCache>
                <c:formatCode>0.00_ </c:formatCode>
                <c:ptCount val="8"/>
                <c:pt idx="0">
                  <c:v>0.31000000000000005</c:v>
                </c:pt>
                <c:pt idx="1">
                  <c:v>0.37</c:v>
                </c:pt>
                <c:pt idx="2">
                  <c:v>0.56999999999999995</c:v>
                </c:pt>
                <c:pt idx="3">
                  <c:v>1.6</c:v>
                </c:pt>
                <c:pt idx="4">
                  <c:v>5.53</c:v>
                </c:pt>
                <c:pt idx="5">
                  <c:v>9.98</c:v>
                </c:pt>
                <c:pt idx="6" formatCode="0.0_ ">
                  <c:v>10.99</c:v>
                </c:pt>
                <c:pt idx="7" formatCode="0.0_ ">
                  <c:v>21.91</c:v>
                </c:pt>
              </c:numCache>
            </c:numRef>
          </c:val>
        </c:ser>
        <c:ser>
          <c:idx val="3"/>
          <c:order val="1"/>
          <c:tx>
            <c:strRef>
              <c:f>'8350m'!$B$17</c:f>
              <c:strCache>
                <c:ptCount val="1"/>
                <c:pt idx="0">
                  <c:v>OpenCL</c:v>
                </c:pt>
              </c:strCache>
            </c:strRef>
          </c:tx>
          <c:marker>
            <c:symbol val="none"/>
          </c:marker>
          <c:dLbls>
            <c:dLbl>
              <c:idx val="0"/>
              <c:layout>
                <c:manualLayout>
                  <c:x val="-6.8918594212784109E-2"/>
                  <c:y val="1.8550192436707743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6.8918594212784109E-2"/>
                  <c:y val="1.8550192436707743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6.4950339004605423E-2"/>
                  <c:y val="1.8550192436707743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6.8918594212784109E-2"/>
                  <c:y val="1.8550192436707743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6.8918594212784179E-2"/>
                  <c:y val="1.8550192436707743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6.8918906673824179E-2"/>
                  <c:y val="2.4529265680355052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6.8918417309252064E-2"/>
                  <c:y val="1.7070050709680713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4.9081221820349005E-2"/>
                  <c:y val="1.6082868282241421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'8350m'!$C$13:$J$13</c:f>
              <c:strCache>
                <c:ptCount val="8"/>
                <c:pt idx="0">
                  <c:v>2K</c:v>
                </c:pt>
                <c:pt idx="1">
                  <c:v>8K</c:v>
                </c:pt>
                <c:pt idx="2">
                  <c:v>32K</c:v>
                </c:pt>
                <c:pt idx="3">
                  <c:v>128K</c:v>
                </c:pt>
                <c:pt idx="4">
                  <c:v>256K</c:v>
                </c:pt>
                <c:pt idx="5">
                  <c:v>512K</c:v>
                </c:pt>
                <c:pt idx="6">
                  <c:v>1M</c:v>
                </c:pt>
                <c:pt idx="7">
                  <c:v>2M</c:v>
                </c:pt>
              </c:strCache>
            </c:strRef>
          </c:cat>
          <c:val>
            <c:numRef>
              <c:f>'8350m'!$C$17:$J$17</c:f>
              <c:numCache>
                <c:formatCode>0.00_ </c:formatCode>
                <c:ptCount val="8"/>
                <c:pt idx="0">
                  <c:v>6.0000000000000026E-2</c:v>
                </c:pt>
                <c:pt idx="1">
                  <c:v>5.999999999999997E-2</c:v>
                </c:pt>
                <c:pt idx="2">
                  <c:v>3.999999999999998E-2</c:v>
                </c:pt>
                <c:pt idx="3">
                  <c:v>0.06</c:v>
                </c:pt>
                <c:pt idx="4">
                  <c:v>6.0000000000000053E-2</c:v>
                </c:pt>
                <c:pt idx="5">
                  <c:v>7.999999999999996E-2</c:v>
                </c:pt>
                <c:pt idx="6">
                  <c:v>0.10000000000000009</c:v>
                </c:pt>
                <c:pt idx="7">
                  <c:v>0.10999999999999988</c:v>
                </c:pt>
              </c:numCache>
            </c:numRef>
          </c:val>
        </c:ser>
        <c:dLbls>
          <c:showVal val="1"/>
        </c:dLbls>
        <c:marker val="1"/>
        <c:axId val="84103552"/>
        <c:axId val="84105088"/>
      </c:lineChart>
      <c:catAx>
        <c:axId val="84103552"/>
        <c:scaling>
          <c:orientation val="minMax"/>
        </c:scaling>
        <c:axPos val="b"/>
        <c:numFmt formatCode="General" sourceLinked="0"/>
        <c:majorTickMark val="none"/>
        <c:tickLblPos val="nextTo"/>
        <c:spPr>
          <a:ln w="9525">
            <a:noFill/>
          </a:ln>
        </c:spPr>
        <c:crossAx val="84105088"/>
        <c:crosses val="autoZero"/>
        <c:auto val="1"/>
        <c:lblAlgn val="ctr"/>
        <c:lblOffset val="100"/>
      </c:catAx>
      <c:valAx>
        <c:axId val="84105088"/>
        <c:scaling>
          <c:orientation val="minMax"/>
        </c:scaling>
        <c:delete val="1"/>
        <c:axPos val="l"/>
        <c:numFmt formatCode="0.00_ " sourceLinked="1"/>
        <c:majorTickMark val="none"/>
        <c:tickLblPos val="none"/>
        <c:crossAx val="84103552"/>
        <c:crosses val="autoZero"/>
        <c:crossBetween val="between"/>
      </c:valAx>
    </c:plotArea>
    <c:legend>
      <c:legendPos val="b"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'骨骼动画时间分布-508'!$Y$275</c:f>
              <c:strCache>
                <c:ptCount val="1"/>
                <c:pt idx="0">
                  <c:v>局部</c:v>
                </c:pt>
              </c:strCache>
            </c:strRef>
          </c:tx>
          <c:dLbls>
            <c:dLbl>
              <c:idx val="0"/>
              <c:layout>
                <c:manualLayout>
                  <c:x val="-5.2260995050896185E-4"/>
                  <c:y val="-4.2829017746340584E-2"/>
                </c:manualLayout>
              </c:layout>
              <c:dLblPos val="t"/>
              <c:showVal val="1"/>
            </c:dLbl>
            <c:dLbl>
              <c:idx val="1"/>
              <c:layout>
                <c:manualLayout>
                  <c:x val="0"/>
                  <c:y val="1.1934351637565373E-2"/>
                </c:manualLayout>
              </c:layout>
              <c:dLblPos val="t"/>
              <c:showVal val="1"/>
            </c:dLbl>
            <c:dLbl>
              <c:idx val="2"/>
              <c:layout>
                <c:manualLayout>
                  <c:x val="0"/>
                  <c:y val="-2.0427581771229636E-2"/>
                </c:manualLayout>
              </c:layout>
              <c:dLblPos val="t"/>
              <c:showVal val="1"/>
            </c:dLbl>
            <c:dLbl>
              <c:idx val="3"/>
              <c:layout>
                <c:manualLayout>
                  <c:x val="1.0884353741496601E-2"/>
                  <c:y val="3.7619536688348811E-2"/>
                </c:manualLayout>
              </c:layout>
              <c:dLblPos val="t"/>
              <c:showVal val="1"/>
            </c:dLbl>
            <c:dLblPos val="t"/>
            <c:showVal val="1"/>
          </c:dLbls>
          <c:cat>
            <c:strRef>
              <c:f>'骨骼动画时间分布-508'!$X$276:$X$280</c:f>
              <c:strCache>
                <c:ptCount val="5"/>
                <c:pt idx="0">
                  <c:v>未优化</c:v>
                </c:pt>
                <c:pt idx="1">
                  <c:v>对齐</c:v>
                </c:pt>
                <c:pt idx="2">
                  <c:v>合并</c:v>
                </c:pt>
                <c:pt idx="3">
                  <c:v>常量</c:v>
                </c:pt>
                <c:pt idx="4">
                  <c:v>共享</c:v>
                </c:pt>
              </c:strCache>
            </c:strRef>
          </c:cat>
          <c:val>
            <c:numRef>
              <c:f>'骨骼动画时间分布-503'!$X$193:$X$197</c:f>
              <c:numCache>
                <c:formatCode>0.0</c:formatCode>
                <c:ptCount val="5"/>
                <c:pt idx="0" formatCode="0">
                  <c:v>23.117647058823529</c:v>
                </c:pt>
                <c:pt idx="1">
                  <c:v>28.071428571428569</c:v>
                </c:pt>
                <c:pt idx="2">
                  <c:v>24.5625</c:v>
                </c:pt>
                <c:pt idx="3">
                  <c:v>35.727272727272727</c:v>
                </c:pt>
                <c:pt idx="4">
                  <c:v>30.23076923076923</c:v>
                </c:pt>
              </c:numCache>
            </c:numRef>
          </c:val>
        </c:ser>
        <c:ser>
          <c:idx val="1"/>
          <c:order val="1"/>
          <c:tx>
            <c:strRef>
              <c:f>'骨骼动画时间分布-508'!$Z$275</c:f>
              <c:strCache>
                <c:ptCount val="1"/>
                <c:pt idx="0">
                  <c:v>全局</c:v>
                </c:pt>
              </c:strCache>
            </c:strRef>
          </c:tx>
          <c:dLbls>
            <c:dLbl>
              <c:idx val="0"/>
              <c:layout>
                <c:manualLayout>
                  <c:x val="-5.4120420576170503E-2"/>
                  <c:y val="-6.9432344742784938E-2"/>
                </c:manualLayout>
              </c:layout>
              <c:dLblPos val="r"/>
              <c:showVal val="1"/>
            </c:dLbl>
            <c:dLbl>
              <c:idx val="1"/>
              <c:layout>
                <c:manualLayout>
                  <c:x val="-5.8112436544234675E-2"/>
                  <c:y val="-0.10336376713923109"/>
                </c:manualLayout>
              </c:layout>
              <c:dLblPos val="r"/>
              <c:showVal val="1"/>
            </c:dLbl>
            <c:dLbl>
              <c:idx val="2"/>
              <c:layout>
                <c:manualLayout>
                  <c:x val="-6.1176544548697878E-2"/>
                  <c:y val="-6.2436404763432533E-2"/>
                </c:manualLayout>
              </c:layout>
              <c:dLblPos val="r"/>
              <c:showVal val="1"/>
            </c:dLbl>
            <c:dLbl>
              <c:idx val="3"/>
              <c:layout>
                <c:manualLayout>
                  <c:x val="-6.1176544548697878E-2"/>
                  <c:y val="-9.8133514603507679E-2"/>
                </c:manualLayout>
              </c:layout>
              <c:dLblPos val="r"/>
              <c:showVal val="1"/>
            </c:dLbl>
            <c:dLbl>
              <c:idx val="4"/>
              <c:layout>
                <c:manualLayout>
                  <c:x val="-6.6096782812328475E-2"/>
                  <c:y val="-5.8252308782147565E-2"/>
                </c:manualLayout>
              </c:layout>
              <c:dLblPos val="r"/>
              <c:showVal val="1"/>
            </c:dLbl>
            <c:dLblPos val="r"/>
            <c:showVal val="1"/>
          </c:dLbls>
          <c:cat>
            <c:strRef>
              <c:f>'骨骼动画时间分布-508'!$X$276:$X$280</c:f>
              <c:strCache>
                <c:ptCount val="5"/>
                <c:pt idx="0">
                  <c:v>未优化</c:v>
                </c:pt>
                <c:pt idx="1">
                  <c:v>对齐</c:v>
                </c:pt>
                <c:pt idx="2">
                  <c:v>合并</c:v>
                </c:pt>
                <c:pt idx="3">
                  <c:v>常量</c:v>
                </c:pt>
                <c:pt idx="4">
                  <c:v>共享</c:v>
                </c:pt>
              </c:strCache>
            </c:strRef>
          </c:cat>
          <c:val>
            <c:numRef>
              <c:f>'骨骼动画时间分布-503'!$W$193:$W$197</c:f>
              <c:numCache>
                <c:formatCode>0.00</c:formatCode>
                <c:ptCount val="5"/>
                <c:pt idx="0" formatCode="0.0">
                  <c:v>4.0737704918032787</c:v>
                </c:pt>
                <c:pt idx="1">
                  <c:v>4.321739130434783</c:v>
                </c:pt>
                <c:pt idx="2">
                  <c:v>4.0737704918032787</c:v>
                </c:pt>
                <c:pt idx="3">
                  <c:v>4.321739130434783</c:v>
                </c:pt>
                <c:pt idx="4">
                  <c:v>4.1416666666666666</c:v>
                </c:pt>
              </c:numCache>
            </c:numRef>
          </c:val>
        </c:ser>
        <c:dLbls>
          <c:showVal val="1"/>
        </c:dLbls>
        <c:marker val="1"/>
        <c:axId val="106430464"/>
        <c:axId val="106432000"/>
      </c:lineChart>
      <c:catAx>
        <c:axId val="106430464"/>
        <c:scaling>
          <c:orientation val="minMax"/>
        </c:scaling>
        <c:axPos val="b"/>
        <c:tickLblPos val="nextTo"/>
        <c:crossAx val="106432000"/>
        <c:crosses val="autoZero"/>
        <c:auto val="1"/>
        <c:lblAlgn val="ctr"/>
        <c:lblOffset val="100"/>
      </c:catAx>
      <c:valAx>
        <c:axId val="106432000"/>
        <c:scaling>
          <c:orientation val="minMax"/>
        </c:scaling>
        <c:delete val="1"/>
        <c:axPos val="l"/>
        <c:numFmt formatCode="0" sourceLinked="1"/>
        <c:tickLblPos val="nextTo"/>
        <c:crossAx val="10643046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1321" l="0.70000000000000062" r="0.70000000000000062" t="0.75000000000001321" header="0.30000000000000032" footer="0.30000000000000032"/>
    <c:pageSetup/>
  </c:printSettings>
  <c:userShapes r:id="rId1"/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'骨骼动画时间分布-508'!$Y$275</c:f>
              <c:strCache>
                <c:ptCount val="1"/>
                <c:pt idx="0">
                  <c:v>局部</c:v>
                </c:pt>
              </c:strCache>
            </c:strRef>
          </c:tx>
          <c:dLbls>
            <c:dLbl>
              <c:idx val="0"/>
              <c:layout>
                <c:manualLayout>
                  <c:x val="-7.7838653401857721E-2"/>
                  <c:y val="-7.7540265927330904E-2"/>
                </c:manualLayout>
              </c:layout>
              <c:dLblPos val="r"/>
              <c:showVal val="1"/>
            </c:dLbl>
            <c:dLbl>
              <c:idx val="1"/>
              <c:layout>
                <c:manualLayout>
                  <c:x val="0"/>
                  <c:y val="1.1934351637565373E-2"/>
                </c:manualLayout>
              </c:layout>
              <c:dLblPos val="t"/>
              <c:showVal val="1"/>
            </c:dLbl>
            <c:dLbl>
              <c:idx val="2"/>
              <c:layout>
                <c:manualLayout>
                  <c:x val="-7.3323589042387713E-2"/>
                  <c:y val="-6.1941152744574741E-2"/>
                </c:manualLayout>
              </c:layout>
              <c:dLblPos val="r"/>
              <c:showVal val="1"/>
            </c:dLbl>
            <c:dLbl>
              <c:idx val="3"/>
              <c:layout>
                <c:manualLayout>
                  <c:x val="-7.4415263960268513E-2"/>
                  <c:y val="-6.511861100294053E-2"/>
                </c:manualLayout>
              </c:layout>
              <c:dLblPos val="r"/>
              <c:showVal val="1"/>
            </c:dLbl>
            <c:dLbl>
              <c:idx val="4"/>
              <c:layout>
                <c:manualLayout>
                  <c:x val="-7.3323589042387713E-2"/>
                  <c:y val="-5.5119152006453467E-2"/>
                </c:manualLayout>
              </c:layout>
              <c:dLblPos val="r"/>
              <c:showVal val="1"/>
            </c:dLbl>
            <c:dLblPos val="t"/>
            <c:showVal val="1"/>
          </c:dLbls>
          <c:cat>
            <c:strRef>
              <c:f>'骨骼动画时间分布-508'!$X$276:$X$280</c:f>
              <c:strCache>
                <c:ptCount val="5"/>
                <c:pt idx="0">
                  <c:v>未优化</c:v>
                </c:pt>
                <c:pt idx="1">
                  <c:v>对齐</c:v>
                </c:pt>
                <c:pt idx="2">
                  <c:v>合并</c:v>
                </c:pt>
                <c:pt idx="3">
                  <c:v>常量</c:v>
                </c:pt>
                <c:pt idx="4">
                  <c:v>共享</c:v>
                </c:pt>
              </c:strCache>
            </c:strRef>
          </c:cat>
          <c:val>
            <c:numRef>
              <c:f>'骨骼动画时间分布-503'!$X$202:$X$206</c:f>
              <c:numCache>
                <c:formatCode>0.0</c:formatCode>
                <c:ptCount val="5"/>
                <c:pt idx="0">
                  <c:v>23.117647058823529</c:v>
                </c:pt>
                <c:pt idx="1">
                  <c:v>35.727272727272727</c:v>
                </c:pt>
                <c:pt idx="2">
                  <c:v>32.75</c:v>
                </c:pt>
                <c:pt idx="3">
                  <c:v>32.75</c:v>
                </c:pt>
                <c:pt idx="4">
                  <c:v>39.299999999999997</c:v>
                </c:pt>
              </c:numCache>
            </c:numRef>
          </c:val>
        </c:ser>
        <c:ser>
          <c:idx val="1"/>
          <c:order val="1"/>
          <c:tx>
            <c:strRef>
              <c:f>'骨骼动画时间分布-508'!$Z$275</c:f>
              <c:strCache>
                <c:ptCount val="1"/>
                <c:pt idx="0">
                  <c:v>全局</c:v>
                </c:pt>
              </c:strCache>
            </c:strRef>
          </c:tx>
          <c:dLbls>
            <c:dLbl>
              <c:idx val="0"/>
              <c:layout>
                <c:manualLayout>
                  <c:x val="-5.4120420576170503E-2"/>
                  <c:y val="-6.9432344742784938E-2"/>
                </c:manualLayout>
              </c:layout>
              <c:dLblPos val="r"/>
              <c:showVal val="1"/>
            </c:dLbl>
            <c:dLbl>
              <c:idx val="1"/>
              <c:layout>
                <c:manualLayout>
                  <c:x val="-6.2104452512298312E-2"/>
                  <c:y val="-8.2955657530849297E-2"/>
                </c:manualLayout>
              </c:layout>
              <c:dLblPos val="r"/>
              <c:showVal val="1"/>
            </c:dLbl>
            <c:dLbl>
              <c:idx val="2"/>
              <c:layout>
                <c:manualLayout>
                  <c:x val="-6.1176544548697878E-2"/>
                  <c:y val="-6.2436404763432533E-2"/>
                </c:manualLayout>
              </c:layout>
              <c:dLblPos val="r"/>
              <c:showVal val="1"/>
            </c:dLbl>
            <c:dLbl>
              <c:idx val="3"/>
              <c:layout>
                <c:manualLayout>
                  <c:x val="-6.5168560516761773E-2"/>
                  <c:y val="-6.4120164915011837E-2"/>
                </c:manualLayout>
              </c:layout>
              <c:dLblPos val="r"/>
              <c:showVal val="1"/>
            </c:dLbl>
            <c:dLbl>
              <c:idx val="4"/>
              <c:layout>
                <c:manualLayout>
                  <c:x val="-6.2104766844264234E-2"/>
                  <c:y val="-0.10587117367230507"/>
                </c:manualLayout>
              </c:layout>
              <c:dLblPos val="r"/>
              <c:showVal val="1"/>
            </c:dLbl>
            <c:dLblPos val="r"/>
            <c:showVal val="1"/>
          </c:dLbls>
          <c:cat>
            <c:strRef>
              <c:f>'骨骼动画时间分布-508'!$X$276:$X$280</c:f>
              <c:strCache>
                <c:ptCount val="5"/>
                <c:pt idx="0">
                  <c:v>未优化</c:v>
                </c:pt>
                <c:pt idx="1">
                  <c:v>对齐</c:v>
                </c:pt>
                <c:pt idx="2">
                  <c:v>合并</c:v>
                </c:pt>
                <c:pt idx="3">
                  <c:v>常量</c:v>
                </c:pt>
                <c:pt idx="4">
                  <c:v>共享</c:v>
                </c:pt>
              </c:strCache>
            </c:strRef>
          </c:cat>
          <c:val>
            <c:numRef>
              <c:f>'骨骼动画时间分布-503'!$W$202:$W$206</c:f>
              <c:numCache>
                <c:formatCode>0.00</c:formatCode>
                <c:ptCount val="5"/>
                <c:pt idx="0">
                  <c:v>4.0737704918032787</c:v>
                </c:pt>
                <c:pt idx="1">
                  <c:v>4.321739130434783</c:v>
                </c:pt>
                <c:pt idx="2">
                  <c:v>4.2844827586206895</c:v>
                </c:pt>
                <c:pt idx="3">
                  <c:v>4.2844827586206895</c:v>
                </c:pt>
                <c:pt idx="4">
                  <c:v>4.359649122807018</c:v>
                </c:pt>
              </c:numCache>
            </c:numRef>
          </c:val>
        </c:ser>
        <c:dLbls>
          <c:showVal val="1"/>
        </c:dLbls>
        <c:marker val="1"/>
        <c:axId val="106490112"/>
        <c:axId val="112513024"/>
      </c:lineChart>
      <c:catAx>
        <c:axId val="106490112"/>
        <c:scaling>
          <c:orientation val="minMax"/>
        </c:scaling>
        <c:axPos val="b"/>
        <c:tickLblPos val="nextTo"/>
        <c:crossAx val="112513024"/>
        <c:crosses val="autoZero"/>
        <c:auto val="1"/>
        <c:lblAlgn val="ctr"/>
        <c:lblOffset val="100"/>
      </c:catAx>
      <c:valAx>
        <c:axId val="112513024"/>
        <c:scaling>
          <c:orientation val="minMax"/>
        </c:scaling>
        <c:delete val="1"/>
        <c:axPos val="l"/>
        <c:numFmt formatCode="0.0" sourceLinked="1"/>
        <c:tickLblPos val="nextTo"/>
        <c:crossAx val="10649011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1321" l="0.70000000000000062" r="0.70000000000000062" t="0.75000000000001321" header="0.30000000000000032" footer="0.30000000000000032"/>
    <c:pageSetup/>
  </c:printSettings>
  <c:userShapes r:id="rId1"/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'骨骼动画时间分布-503'!$V$30</c:f>
              <c:strCache>
                <c:ptCount val="1"/>
                <c:pt idx="0">
                  <c:v>全局</c:v>
                </c:pt>
              </c:strCache>
            </c:strRef>
          </c:tx>
          <c:dLbls>
            <c:dLbl>
              <c:idx val="0"/>
              <c:delete val="1"/>
            </c:dLbl>
            <c:dLbl>
              <c:idx val="1"/>
              <c:layout>
                <c:manualLayout>
                  <c:x val="-5.1738335776978846E-2"/>
                  <c:y val="-5.7601224448605881E-2"/>
                </c:manualLayout>
              </c:layout>
              <c:dLblPos val="r"/>
              <c:showVal val="1"/>
            </c:dLbl>
            <c:dLbl>
              <c:idx val="2"/>
              <c:layout>
                <c:manualLayout>
                  <c:x val="-6.9701464122257903E-2"/>
                  <c:y val="-6.4571162665530396E-2"/>
                </c:manualLayout>
              </c:layout>
              <c:dLblPos val="r"/>
              <c:showVal val="1"/>
            </c:dLbl>
            <c:dLbl>
              <c:idx val="3"/>
              <c:layout>
                <c:manualLayout>
                  <c:x val="-5.2318530678335924E-2"/>
                  <c:y val="-7.1541100882455147E-2"/>
                </c:manualLayout>
              </c:layout>
              <c:dLblPos val="r"/>
              <c:showVal val="1"/>
            </c:dLbl>
            <c:dLbl>
              <c:idx val="4"/>
              <c:layout>
                <c:manualLayout>
                  <c:x val="-5.5209604248237433E-2"/>
                  <c:y val="-7.7592142000156974E-2"/>
                </c:manualLayout>
              </c:layout>
              <c:dLblPos val="r"/>
              <c:showVal val="1"/>
            </c:dLbl>
            <c:dLblPos val="b"/>
            <c:showVal val="1"/>
          </c:dLbls>
          <c:cat>
            <c:strRef>
              <c:f>('骨骼动画时间分布-503'!$T$188,'骨骼动画时间分布-503'!$T$189,'骨骼动画时间分布-503'!$T$190,'骨骼动画时间分布-503'!$T$191,'骨骼动画时间分布-503'!$T$192)</c:f>
              <c:strCache>
                <c:ptCount val="5"/>
                <c:pt idx="0">
                  <c:v>串行
优化</c:v>
                </c:pt>
                <c:pt idx="1">
                  <c:v>CPU
OpenCL</c:v>
                </c:pt>
                <c:pt idx="2">
                  <c:v>GLSL</c:v>
                </c:pt>
                <c:pt idx="3">
                  <c:v>CUDA</c:v>
                </c:pt>
                <c:pt idx="4">
                  <c:v>GPU
OpenCL</c:v>
                </c:pt>
              </c:strCache>
            </c:strRef>
          </c:cat>
          <c:val>
            <c:numRef>
              <c:f>'骨骼动画时间分布-503'!$W$188:$W$192</c:f>
              <c:numCache>
                <c:formatCode>0.00</c:formatCode>
                <c:ptCount val="5"/>
                <c:pt idx="0" formatCode="0">
                  <c:v>1</c:v>
                </c:pt>
                <c:pt idx="1">
                  <c:v>3.8828124999999996</c:v>
                </c:pt>
                <c:pt idx="2" formatCode="0">
                  <c:v>31.062499999999996</c:v>
                </c:pt>
                <c:pt idx="3" formatCode="0.0">
                  <c:v>4.359649122807018</c:v>
                </c:pt>
                <c:pt idx="4" formatCode="0.0_ ">
                  <c:v>9.2037037037037024</c:v>
                </c:pt>
              </c:numCache>
            </c:numRef>
          </c:val>
        </c:ser>
        <c:ser>
          <c:idx val="1"/>
          <c:order val="1"/>
          <c:tx>
            <c:strRef>
              <c:f>'骨骼动画时间分布-503'!$X$187</c:f>
              <c:strCache>
                <c:ptCount val="1"/>
                <c:pt idx="0">
                  <c:v>局部</c:v>
                </c:pt>
              </c:strCache>
            </c:strRef>
          </c:tx>
          <c:dLbls>
            <c:dLbl>
              <c:idx val="0"/>
              <c:layout>
                <c:manualLayout>
                  <c:x val="-7.9290097167794574E-2"/>
                  <c:y val="-3.8801116804772252E-2"/>
                </c:manualLayout>
              </c:layout>
              <c:dLblPos val="r"/>
              <c:showVal val="1"/>
            </c:dLbl>
            <c:dLbl>
              <c:idx val="1"/>
              <c:layout>
                <c:manualLayout>
                  <c:x val="-7.6209208493646E-2"/>
                  <c:y val="-6.9089961091239424E-2"/>
                </c:manualLayout>
              </c:layout>
              <c:dLblPos val="r"/>
              <c:showVal val="1"/>
            </c:dLbl>
            <c:dLbl>
              <c:idx val="2"/>
              <c:layout>
                <c:manualLayout>
                  <c:x val="-4.9831006755697314E-2"/>
                  <c:y val="-7.4862773807551103E-2"/>
                </c:manualLayout>
              </c:layout>
              <c:dLblPos val="r"/>
              <c:showVal val="1"/>
            </c:dLbl>
            <c:dLbl>
              <c:idx val="3"/>
              <c:layout>
                <c:manualLayout>
                  <c:x val="-4.7496720114975938E-2"/>
                  <c:y val="-6.6618226360380506E-2"/>
                </c:manualLayout>
              </c:layout>
              <c:dLblPos val="r"/>
              <c:showVal val="1"/>
            </c:dLbl>
            <c:dLblPos val="t"/>
            <c:showVal val="1"/>
          </c:dLbls>
          <c:cat>
            <c:strRef>
              <c:f>('骨骼动画时间分布-503'!$T$188,'骨骼动画时间分布-503'!$T$189,'骨骼动画时间分布-503'!$T$190,'骨骼动画时间分布-503'!$T$191,'骨骼动画时间分布-503'!$T$192)</c:f>
              <c:strCache>
                <c:ptCount val="5"/>
                <c:pt idx="0">
                  <c:v>串行
优化</c:v>
                </c:pt>
                <c:pt idx="1">
                  <c:v>CPU
OpenCL</c:v>
                </c:pt>
                <c:pt idx="2">
                  <c:v>GLSL</c:v>
                </c:pt>
                <c:pt idx="3">
                  <c:v>CUDA</c:v>
                </c:pt>
                <c:pt idx="4">
                  <c:v>GPU
OpenCL</c:v>
                </c:pt>
              </c:strCache>
            </c:strRef>
          </c:cat>
          <c:val>
            <c:numRef>
              <c:f>'骨骼动画时间分布-503'!$X$188:$X$192</c:f>
              <c:numCache>
                <c:formatCode>0.0</c:formatCode>
                <c:ptCount val="5"/>
                <c:pt idx="0" formatCode="0">
                  <c:v>1</c:v>
                </c:pt>
                <c:pt idx="1">
                  <c:v>17.863636363636363</c:v>
                </c:pt>
                <c:pt idx="2" formatCode="0">
                  <c:v>50</c:v>
                </c:pt>
                <c:pt idx="3" formatCode="0">
                  <c:v>39.299999999999997</c:v>
                </c:pt>
                <c:pt idx="4" formatCode="0">
                  <c:v>23.117647058823529</c:v>
                </c:pt>
              </c:numCache>
            </c:numRef>
          </c:val>
        </c:ser>
        <c:dLbls>
          <c:showVal val="1"/>
        </c:dLbls>
        <c:marker val="1"/>
        <c:axId val="112427776"/>
        <c:axId val="112429312"/>
      </c:lineChart>
      <c:catAx>
        <c:axId val="112427776"/>
        <c:scaling>
          <c:orientation val="minMax"/>
        </c:scaling>
        <c:axPos val="b"/>
        <c:tickLblPos val="nextTo"/>
        <c:crossAx val="112429312"/>
        <c:crosses val="autoZero"/>
        <c:auto val="1"/>
        <c:lblAlgn val="ctr"/>
        <c:lblOffset val="100"/>
      </c:catAx>
      <c:valAx>
        <c:axId val="112429312"/>
        <c:scaling>
          <c:orientation val="minMax"/>
        </c:scaling>
        <c:delete val="1"/>
        <c:axPos val="l"/>
        <c:numFmt formatCode="0" sourceLinked="1"/>
        <c:tickLblPos val="nextTo"/>
        <c:crossAx val="11242777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1077" l="0.70000000000000062" r="0.70000000000000062" t="0.75000000000001077" header="0.30000000000000032" footer="0.30000000000000032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3137254901960784E-2"/>
          <c:y val="1.0937406947103486E-2"/>
          <c:w val="0.62751181102362263"/>
          <c:h val="0.79117179638159996"/>
        </c:manualLayout>
      </c:layout>
      <c:barChart>
        <c:barDir val="col"/>
        <c:grouping val="clustered"/>
        <c:ser>
          <c:idx val="1"/>
          <c:order val="0"/>
          <c:tx>
            <c:strRef>
              <c:f>'骨骼动画时间分布-503'!$S$31</c:f>
              <c:strCache>
                <c:ptCount val="1"/>
                <c:pt idx="0">
                  <c:v>串行
优化</c:v>
                </c:pt>
              </c:strCache>
            </c:strRef>
          </c:tx>
          <c:dLbls>
            <c:dLbl>
              <c:idx val="0"/>
              <c:layout>
                <c:manualLayout>
                  <c:x val="0"/>
                  <c:y val="2.6795284030010719E-2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-3.7361877807978875E-7"/>
                  <c:y val="2.6795284030010719E-2"/>
                </c:manualLayout>
              </c:layout>
              <c:dLblPos val="outEnd"/>
              <c:showVal val="1"/>
            </c:dLbl>
            <c:dLblPos val="outEnd"/>
            <c:showVal val="1"/>
          </c:dLbls>
          <c:cat>
            <c:strRef>
              <c:f>'骨骼动画时间分布-503'!$T$30:$U$30</c:f>
              <c:strCache>
                <c:ptCount val="2"/>
                <c:pt idx="0">
                  <c:v>全局
动画渲染</c:v>
                </c:pt>
                <c:pt idx="1">
                  <c:v>局部
计算顶点</c:v>
                </c:pt>
              </c:strCache>
            </c:strRef>
          </c:cat>
          <c:val>
            <c:numRef>
              <c:f>'骨骼动画时间分布-503'!$T$31:$U$31</c:f>
              <c:numCache>
                <c:formatCode>0.0_ </c:formatCode>
                <c:ptCount val="2"/>
                <c:pt idx="0">
                  <c:v>4.97</c:v>
                </c:pt>
                <c:pt idx="1">
                  <c:v>3.93</c:v>
                </c:pt>
              </c:numCache>
            </c:numRef>
          </c:val>
        </c:ser>
        <c:ser>
          <c:idx val="2"/>
          <c:order val="1"/>
          <c:tx>
            <c:strRef>
              <c:f>'骨骼动画时间分布-503'!$S$32</c:f>
              <c:strCache>
                <c:ptCount val="1"/>
                <c:pt idx="0">
                  <c:v>并行
OMP多线程</c:v>
                </c:pt>
              </c:strCache>
            </c:strRef>
          </c:tx>
          <c:dLbls>
            <c:dLbl>
              <c:idx val="0"/>
              <c:layout>
                <c:manualLayout>
                  <c:x val="7.8592172838421789E-3"/>
                  <c:y val="3.8209572872849553E-17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0"/>
                  <c:y val="1.0716734349454143E-2"/>
                </c:manualLayout>
              </c:layout>
              <c:dLblPos val="outEnd"/>
              <c:showVal val="1"/>
            </c:dLbl>
            <c:dLblPos val="outEnd"/>
            <c:showVal val="1"/>
          </c:dLbls>
          <c:cat>
            <c:strRef>
              <c:f>'骨骼动画时间分布-503'!$T$30:$U$30</c:f>
              <c:strCache>
                <c:ptCount val="2"/>
                <c:pt idx="0">
                  <c:v>全局
动画渲染</c:v>
                </c:pt>
                <c:pt idx="1">
                  <c:v>局部
计算顶点</c:v>
                </c:pt>
              </c:strCache>
            </c:strRef>
          </c:cat>
          <c:val>
            <c:numRef>
              <c:f>'骨骼动画时间分布-503'!$T$32:$U$32</c:f>
              <c:numCache>
                <c:formatCode>0.0</c:formatCode>
                <c:ptCount val="2"/>
                <c:pt idx="0">
                  <c:v>2.1</c:v>
                </c:pt>
                <c:pt idx="1">
                  <c:v>0.98</c:v>
                </c:pt>
              </c:numCache>
            </c:numRef>
          </c:val>
        </c:ser>
        <c:ser>
          <c:idx val="3"/>
          <c:order val="2"/>
          <c:tx>
            <c:strRef>
              <c:f>'骨骼动画时间分布-503'!$S$33</c:f>
              <c:strCache>
                <c:ptCount val="1"/>
                <c:pt idx="0">
                  <c:v>并行
SSE多指令</c:v>
                </c:pt>
              </c:strCache>
            </c:strRef>
          </c:tx>
          <c:dLbls>
            <c:dLbl>
              <c:idx val="0"/>
              <c:layout>
                <c:manualLayout>
                  <c:x val="9.4845165267700721E-3"/>
                  <c:y val="1.6075101524181217E-2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1.7343596028302693E-2"/>
                  <c:y val="1.2505247613522497E-2"/>
                </c:manualLayout>
              </c:layout>
              <c:dLblPos val="outEnd"/>
              <c:showVal val="1"/>
            </c:dLbl>
            <c:dLblPos val="outEnd"/>
            <c:showVal val="1"/>
          </c:dLbls>
          <c:cat>
            <c:strRef>
              <c:f>'骨骼动画时间分布-503'!$T$30:$U$30</c:f>
              <c:strCache>
                <c:ptCount val="2"/>
                <c:pt idx="0">
                  <c:v>全局
动画渲染</c:v>
                </c:pt>
                <c:pt idx="1">
                  <c:v>局部
计算顶点</c:v>
                </c:pt>
              </c:strCache>
            </c:strRef>
          </c:cat>
          <c:val>
            <c:numRef>
              <c:f>'骨骼动画时间分布-503'!$T$33:$U$33</c:f>
              <c:numCache>
                <c:formatCode>0.0</c:formatCode>
                <c:ptCount val="2"/>
                <c:pt idx="0">
                  <c:v>1.95</c:v>
                </c:pt>
                <c:pt idx="1">
                  <c:v>0.96</c:v>
                </c:pt>
              </c:numCache>
            </c:numRef>
          </c:val>
        </c:ser>
        <c:ser>
          <c:idx val="4"/>
          <c:order val="3"/>
          <c:tx>
            <c:strRef>
              <c:f>'骨骼动画时间分布-503'!$S$34</c:f>
              <c:strCache>
                <c:ptCount val="1"/>
                <c:pt idx="0">
                  <c:v>并行
SSE与OMP</c:v>
                </c:pt>
              </c:strCache>
            </c:strRef>
          </c:tx>
          <c:dLbls>
            <c:dLbl>
              <c:idx val="0"/>
              <c:layout>
                <c:manualLayout>
                  <c:x val="2.1735099288126515E-17"/>
                  <c:y val="1.6075101524181217E-2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1.1788825925763274E-2"/>
                  <c:y val="-7.6419145745698749E-17"/>
                </c:manualLayout>
              </c:layout>
              <c:dLblPos val="outEnd"/>
              <c:showVal val="1"/>
            </c:dLbl>
            <c:dLblPos val="outEnd"/>
            <c:showVal val="1"/>
          </c:dLbls>
          <c:cat>
            <c:strRef>
              <c:f>'骨骼动画时间分布-503'!$T$30:$U$30</c:f>
              <c:strCache>
                <c:ptCount val="2"/>
                <c:pt idx="0">
                  <c:v>全局
动画渲染</c:v>
                </c:pt>
                <c:pt idx="1">
                  <c:v>局部
计算顶点</c:v>
                </c:pt>
              </c:strCache>
            </c:strRef>
          </c:cat>
          <c:val>
            <c:numRef>
              <c:f>'骨骼动画时间分布-503'!$T$34:$U$34</c:f>
              <c:numCache>
                <c:formatCode>0.0_ </c:formatCode>
                <c:ptCount val="2"/>
                <c:pt idx="0" formatCode="0.0">
                  <c:v>1.5</c:v>
                </c:pt>
                <c:pt idx="1">
                  <c:v>0.36</c:v>
                </c:pt>
              </c:numCache>
            </c:numRef>
          </c:val>
        </c:ser>
        <c:ser>
          <c:idx val="5"/>
          <c:order val="4"/>
          <c:tx>
            <c:strRef>
              <c:f>'骨骼动画时间分布-503'!$S$35</c:f>
              <c:strCache>
                <c:ptCount val="1"/>
                <c:pt idx="0">
                  <c:v>OpenCL</c:v>
                </c:pt>
              </c:strCache>
            </c:strRef>
          </c:tx>
          <c:dLbls>
            <c:dLbl>
              <c:idx val="0"/>
              <c:layout>
                <c:manualLayout>
                  <c:x val="1.1788805955380229E-2"/>
                  <c:y val="2.7390116555034053E-2"/>
                </c:manualLayout>
              </c:layout>
              <c:showVal val="1"/>
            </c:dLbl>
            <c:dLbl>
              <c:idx val="1"/>
              <c:layout>
                <c:manualLayout>
                  <c:x val="2.5203048935997809E-2"/>
                  <c:y val="2.441179262697122E-2"/>
                </c:manualLayout>
              </c:layout>
              <c:showVal val="1"/>
            </c:dLbl>
            <c:showVal val="1"/>
          </c:dLbls>
          <c:val>
            <c:numRef>
              <c:f>'骨骼动画时间分布-503'!$T$35:$U$35</c:f>
              <c:numCache>
                <c:formatCode>0.0_ </c:formatCode>
                <c:ptCount val="2"/>
                <c:pt idx="0" formatCode="0.0">
                  <c:v>1.43</c:v>
                </c:pt>
                <c:pt idx="1">
                  <c:v>0.32</c:v>
                </c:pt>
              </c:numCache>
            </c:numRef>
          </c:val>
        </c:ser>
        <c:ser>
          <c:idx val="0"/>
          <c:order val="5"/>
          <c:tx>
            <c:strRef>
              <c:f>'骨骼动画时间分布-503'!$S$36</c:f>
              <c:strCache>
                <c:ptCount val="1"/>
                <c:pt idx="0">
                  <c:v>OpenCL
GL-inter</c:v>
                </c:pt>
              </c:strCache>
            </c:strRef>
          </c:tx>
          <c:dLbls>
            <c:dLbl>
              <c:idx val="0"/>
              <c:layout>
                <c:manualLayout>
                  <c:x val="1.7343596028302693E-2"/>
                  <c:y val="1.2505247613522497E-2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4.241296555813593E-2"/>
                  <c:y val="3.0368018564421749E-2"/>
                </c:manualLayout>
              </c:layout>
              <c:dLblPos val="outEnd"/>
              <c:showVal val="1"/>
            </c:dLbl>
            <c:dLblPos val="outEnd"/>
            <c:showVal val="1"/>
          </c:dLbls>
          <c:cat>
            <c:strRef>
              <c:f>'骨骼动画时间分布-503'!$T$30:$U$30</c:f>
              <c:strCache>
                <c:ptCount val="2"/>
                <c:pt idx="0">
                  <c:v>全局
动画渲染</c:v>
                </c:pt>
                <c:pt idx="1">
                  <c:v>局部
计算顶点</c:v>
                </c:pt>
              </c:strCache>
            </c:strRef>
          </c:cat>
          <c:val>
            <c:numRef>
              <c:f>'骨骼动画时间分布-503'!$T$36:$U$36</c:f>
              <c:numCache>
                <c:formatCode>0.0_ </c:formatCode>
                <c:ptCount val="2"/>
                <c:pt idx="0" formatCode="0.00">
                  <c:v>0.8</c:v>
                </c:pt>
                <c:pt idx="1">
                  <c:v>0.32</c:v>
                </c:pt>
              </c:numCache>
            </c:numRef>
          </c:val>
        </c:ser>
        <c:dLbls>
          <c:showVal val="1"/>
        </c:dLbls>
        <c:axId val="112567424"/>
        <c:axId val="112568960"/>
      </c:barChart>
      <c:catAx>
        <c:axId val="112567424"/>
        <c:scaling>
          <c:orientation val="minMax"/>
        </c:scaling>
        <c:axPos val="b"/>
        <c:tickLblPos val="nextTo"/>
        <c:crossAx val="112568960"/>
        <c:crosses val="autoZero"/>
        <c:auto val="1"/>
        <c:lblAlgn val="ctr"/>
        <c:lblOffset val="100"/>
      </c:catAx>
      <c:valAx>
        <c:axId val="112568960"/>
        <c:scaling>
          <c:orientation val="minMax"/>
        </c:scaling>
        <c:delete val="1"/>
        <c:axPos val="l"/>
        <c:numFmt formatCode="0.0_ " sourceLinked="1"/>
        <c:tickLblPos val="nextTo"/>
        <c:crossAx val="1125674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378632082754356"/>
          <c:y val="1.8983457169883627E-2"/>
          <c:w val="0.26322282366206246"/>
          <c:h val="0.94350125608925961"/>
        </c:manualLayout>
      </c:layout>
    </c:legend>
    <c:plotVisOnly val="1"/>
    <c:dispBlanksAs val="gap"/>
  </c:chart>
  <c:txPr>
    <a:bodyPr/>
    <a:lstStyle/>
    <a:p>
      <a:pPr>
        <a:defRPr sz="750" baseline="0">
          <a:latin typeface="Times New Roman" pitchFamily="18" charset="0"/>
          <a:ea typeface="宋体" pitchFamily="2" charset="-122"/>
        </a:defRPr>
      </a:pPr>
      <a:endParaRPr lang="zh-CN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  <c:userShapes r:id="rId1"/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3.1609195402299062E-2"/>
          <c:y val="6.3768115942029024E-2"/>
          <c:w val="0.94827586206896564"/>
          <c:h val="0.6563542165924976"/>
        </c:manualLayout>
      </c:layout>
      <c:lineChart>
        <c:grouping val="standard"/>
        <c:ser>
          <c:idx val="0"/>
          <c:order val="0"/>
          <c:tx>
            <c:strRef>
              <c:f>'骨骼动画时间分布-503'!$V$30</c:f>
              <c:strCache>
                <c:ptCount val="1"/>
                <c:pt idx="0">
                  <c:v>全局</c:v>
                </c:pt>
              </c:strCache>
            </c:strRef>
          </c:tx>
          <c:dLbls>
            <c:dLbl>
              <c:idx val="0"/>
              <c:layout>
                <c:manualLayout>
                  <c:x val="2.4634334103156276E-2"/>
                  <c:y val="1.2288786482334868E-2"/>
                </c:manualLayout>
              </c:layout>
              <c:dLblPos val="l"/>
              <c:showVal val="1"/>
            </c:dLbl>
            <c:dLbl>
              <c:idx val="1"/>
              <c:layout>
                <c:manualLayout>
                  <c:x val="-4.3001194214592753E-2"/>
                  <c:y val="4.3161235609983313E-2"/>
                </c:manualLayout>
              </c:layout>
              <c:dLblPos val="r"/>
              <c:showVal val="1"/>
            </c:dLbl>
            <c:dLbl>
              <c:idx val="2"/>
              <c:layout>
                <c:manualLayout>
                  <c:x val="-2.5672624010125881E-2"/>
                  <c:y val="3.527406825472975E-2"/>
                </c:manualLayout>
              </c:layout>
              <c:dLblPos val="r"/>
              <c:showVal val="1"/>
            </c:dLbl>
            <c:dLbl>
              <c:idx val="3"/>
              <c:layout>
                <c:manualLayout>
                  <c:x val="-5.9254100909262163E-2"/>
                  <c:y val="-6.7600770447564074E-2"/>
                </c:manualLayout>
              </c:layout>
              <c:dLblPos val="r"/>
              <c:showVal val="1"/>
            </c:dLbl>
            <c:dLbl>
              <c:idx val="4"/>
              <c:layout>
                <c:manualLayout>
                  <c:x val="-3.4897137536478412E-2"/>
                  <c:y val="-6.3446881973977853E-2"/>
                </c:manualLayout>
              </c:layout>
              <c:dLblPos val="r"/>
              <c:showVal val="1"/>
            </c:dLbl>
            <c:dLbl>
              <c:idx val="5"/>
              <c:layout>
                <c:manualLayout>
                  <c:x val="-4.5316517904471117E-2"/>
                  <c:y val="-6.3440144848204136E-2"/>
                </c:manualLayout>
              </c:layout>
              <c:dLblPos val="r"/>
              <c:showVal val="1"/>
            </c:dLbl>
            <c:dLblPos val="b"/>
            <c:showVal val="1"/>
          </c:dLbls>
          <c:cat>
            <c:strRef>
              <c:f>'骨骼动画时间分布-503'!$S$32:$S$36</c:f>
              <c:strCache>
                <c:ptCount val="5"/>
                <c:pt idx="0">
                  <c:v>并行
OMP多线程</c:v>
                </c:pt>
                <c:pt idx="1">
                  <c:v>并行
SSE多指令</c:v>
                </c:pt>
                <c:pt idx="2">
                  <c:v>并行
SSE与OMP</c:v>
                </c:pt>
                <c:pt idx="3">
                  <c:v>OpenCL</c:v>
                </c:pt>
                <c:pt idx="4">
                  <c:v>OpenCL
GL-inter</c:v>
                </c:pt>
              </c:strCache>
            </c:strRef>
          </c:cat>
          <c:val>
            <c:numRef>
              <c:f>'骨骼动画时间分布-503'!$V$32:$V$36</c:f>
              <c:numCache>
                <c:formatCode>0.0</c:formatCode>
                <c:ptCount val="5"/>
                <c:pt idx="0">
                  <c:v>2.3666666666666663</c:v>
                </c:pt>
                <c:pt idx="1">
                  <c:v>2.5487179487179485</c:v>
                </c:pt>
                <c:pt idx="2">
                  <c:v>3.313333333333333</c:v>
                </c:pt>
                <c:pt idx="3">
                  <c:v>3.4755244755244754</c:v>
                </c:pt>
                <c:pt idx="4">
                  <c:v>6.2124999999999995</c:v>
                </c:pt>
              </c:numCache>
            </c:numRef>
          </c:val>
        </c:ser>
        <c:ser>
          <c:idx val="1"/>
          <c:order val="1"/>
          <c:tx>
            <c:strRef>
              <c:f>'骨骼动画时间分布-503'!$W$30</c:f>
              <c:strCache>
                <c:ptCount val="1"/>
                <c:pt idx="0">
                  <c:v>局部</c:v>
                </c:pt>
              </c:strCache>
            </c:strRef>
          </c:tx>
          <c:dLbls>
            <c:dLbl>
              <c:idx val="0"/>
              <c:layout>
                <c:manualLayout>
                  <c:x val="-0.13285476373450894"/>
                  <c:y val="-2.1200512909648851E-2"/>
                </c:manualLayout>
              </c:layout>
              <c:dLblPos val="r"/>
              <c:showVal val="1"/>
            </c:dLbl>
            <c:dLbl>
              <c:idx val="1"/>
              <c:layout>
                <c:manualLayout>
                  <c:x val="-8.4688324843910895E-2"/>
                  <c:y val="-6.4034955116294034E-2"/>
                </c:manualLayout>
              </c:layout>
              <c:dLblPos val="r"/>
              <c:showVal val="1"/>
            </c:dLbl>
            <c:dLbl>
              <c:idx val="2"/>
              <c:layout>
                <c:manualLayout>
                  <c:x val="-6.9046504080294072E-2"/>
                  <c:y val="-8.4048364896465028E-2"/>
                </c:manualLayout>
              </c:layout>
              <c:dLblPos val="r"/>
              <c:showVal val="1"/>
            </c:dLbl>
            <c:dLbl>
              <c:idx val="3"/>
              <c:layout>
                <c:manualLayout>
                  <c:x val="-6.2325816011265474E-2"/>
                  <c:y val="-6.6618409793215025E-2"/>
                </c:manualLayout>
              </c:layout>
              <c:dLblPos val="r"/>
              <c:showVal val="1"/>
            </c:dLbl>
            <c:dLblPos val="t"/>
            <c:showVal val="1"/>
          </c:dLbls>
          <c:cat>
            <c:strRef>
              <c:f>'骨骼动画时间分布-503'!$S$32:$S$36</c:f>
              <c:strCache>
                <c:ptCount val="5"/>
                <c:pt idx="0">
                  <c:v>并行
OMP多线程</c:v>
                </c:pt>
                <c:pt idx="1">
                  <c:v>并行
SSE多指令</c:v>
                </c:pt>
                <c:pt idx="2">
                  <c:v>并行
SSE与OMP</c:v>
                </c:pt>
                <c:pt idx="3">
                  <c:v>OpenCL</c:v>
                </c:pt>
                <c:pt idx="4">
                  <c:v>OpenCL
GL-inter</c:v>
                </c:pt>
              </c:strCache>
            </c:strRef>
          </c:cat>
          <c:val>
            <c:numRef>
              <c:f>'骨骼动画时间分布-503'!$W$32:$W$36</c:f>
              <c:numCache>
                <c:formatCode>0.0</c:formatCode>
                <c:ptCount val="5"/>
                <c:pt idx="0">
                  <c:v>4.0102040816326534</c:v>
                </c:pt>
                <c:pt idx="1">
                  <c:v>4.09375</c:v>
                </c:pt>
                <c:pt idx="2" formatCode="0">
                  <c:v>10.916666666666668</c:v>
                </c:pt>
                <c:pt idx="3" formatCode="0">
                  <c:v>12.28125</c:v>
                </c:pt>
                <c:pt idx="4" formatCode="0">
                  <c:v>12.28125</c:v>
                </c:pt>
              </c:numCache>
            </c:numRef>
          </c:val>
        </c:ser>
        <c:dLbls>
          <c:showVal val="1"/>
        </c:dLbls>
        <c:marker val="1"/>
        <c:axId val="112590208"/>
        <c:axId val="112592000"/>
      </c:lineChart>
      <c:catAx>
        <c:axId val="112590208"/>
        <c:scaling>
          <c:orientation val="minMax"/>
        </c:scaling>
        <c:axPos val="b"/>
        <c:tickLblPos val="nextTo"/>
        <c:crossAx val="112592000"/>
        <c:crosses val="autoZero"/>
        <c:auto val="1"/>
        <c:lblAlgn val="ctr"/>
        <c:lblOffset val="100"/>
      </c:catAx>
      <c:valAx>
        <c:axId val="112592000"/>
        <c:scaling>
          <c:orientation val="minMax"/>
        </c:scaling>
        <c:delete val="1"/>
        <c:axPos val="l"/>
        <c:numFmt formatCode="0.0" sourceLinked="1"/>
        <c:tickLblPos val="nextTo"/>
        <c:crossAx val="1125902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5103711169886245"/>
          <c:y val="2.2565697806292751E-3"/>
          <c:w val="0.20297902697828257"/>
          <c:h val="0.21845663905187745"/>
        </c:manualLayout>
      </c:layout>
    </c:legend>
    <c:plotVisOnly val="1"/>
    <c:dispBlanksAs val="gap"/>
  </c:chart>
  <c:txPr>
    <a:bodyPr/>
    <a:lstStyle/>
    <a:p>
      <a:pPr>
        <a:defRPr sz="750" baseline="0">
          <a:latin typeface="Times New Roman" pitchFamily="18" charset="0"/>
          <a:ea typeface="宋体" pitchFamily="2" charset="-122"/>
        </a:defRPr>
      </a:pPr>
      <a:endParaRPr lang="zh-CN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pieChart>
        <c:varyColors val="1"/>
        <c:ser>
          <c:idx val="0"/>
          <c:order val="0"/>
          <c:dPt>
            <c:idx val="1"/>
            <c:explosion val="1"/>
          </c:dPt>
          <c:dLbls>
            <c:showVal val="1"/>
          </c:dLbls>
          <c:cat>
            <c:strRef>
              <c:f>('骨骼动画时间分布-503'!$E$11,'骨骼动画时间分布-503'!$G$11,'骨骼动画时间分布-503'!$I$11,'骨骼动画时间分布-503'!$K$11)</c:f>
              <c:strCache>
                <c:ptCount val="4"/>
                <c:pt idx="0">
                  <c:v>CPU计算骨骼</c:v>
                </c:pt>
                <c:pt idx="1">
                  <c:v>CPU计算顶点</c:v>
                </c:pt>
                <c:pt idx="2">
                  <c:v>GPU渲染面片</c:v>
                </c:pt>
                <c:pt idx="3">
                  <c:v>其它</c:v>
                </c:pt>
              </c:strCache>
            </c:strRef>
          </c:cat>
          <c:val>
            <c:numRef>
              <c:f>('骨骼动画时间分布-503'!$E$24,'骨骼动画时间分布-503'!$G$24,'骨骼动画时间分布-503'!$I$24,'骨骼动画时间分布-503'!$K$24)</c:f>
              <c:numCache>
                <c:formatCode>0%</c:formatCode>
                <c:ptCount val="4"/>
                <c:pt idx="0">
                  <c:v>2.862985685071575E-2</c:v>
                </c:pt>
                <c:pt idx="1">
                  <c:v>0.81186094069529657</c:v>
                </c:pt>
                <c:pt idx="2">
                  <c:v>0.13496932515337426</c:v>
                </c:pt>
                <c:pt idx="3">
                  <c:v>2.4539877300613452E-2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egendEntry>
        <c:idx val="1"/>
        <c:txPr>
          <a:bodyPr/>
          <a:lstStyle/>
          <a:p>
            <a:pPr rtl="0">
              <a:defRPr/>
            </a:pPr>
            <a:endParaRPr lang="zh-CN"/>
          </a:p>
        </c:txPr>
      </c:legendEntry>
      <c:layout>
        <c:manualLayout>
          <c:xMode val="edge"/>
          <c:yMode val="edge"/>
          <c:x val="0.51886252657723808"/>
          <c:y val="1.2569428821397327E-2"/>
          <c:w val="0.46798377081477793"/>
          <c:h val="0.84781230183892942"/>
        </c:manualLayout>
      </c:layout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zero"/>
  </c:chart>
  <c:txPr>
    <a:bodyPr/>
    <a:lstStyle/>
    <a:p>
      <a:pPr>
        <a:defRPr sz="750" baseline="0">
          <a:latin typeface="Times New Roman" pitchFamily="18" charset="0"/>
          <a:ea typeface="宋体" pitchFamily="2" charset="-122"/>
        </a:defRPr>
      </a:pPr>
      <a:endParaRPr lang="zh-CN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pieChart>
        <c:varyColors val="1"/>
        <c:ser>
          <c:idx val="0"/>
          <c:order val="0"/>
          <c:dPt>
            <c:idx val="1"/>
            <c:explosion val="1"/>
          </c:dPt>
          <c:dLbls>
            <c:showVal val="1"/>
          </c:dLbls>
          <c:cat>
            <c:strRef>
              <c:f>('骨骼动画时间分布-503'!$E$11,'骨骼动画时间分布-503'!$G$11,'骨骼动画时间分布-503'!$I$11,'骨骼动画时间分布-503'!$K$11)</c:f>
              <c:strCache>
                <c:ptCount val="4"/>
                <c:pt idx="0">
                  <c:v>CPU计算骨骼</c:v>
                </c:pt>
                <c:pt idx="1">
                  <c:v>CPU计算顶点</c:v>
                </c:pt>
                <c:pt idx="2">
                  <c:v>GPU渲染面片</c:v>
                </c:pt>
                <c:pt idx="3">
                  <c:v>其它</c:v>
                </c:pt>
              </c:strCache>
            </c:strRef>
          </c:cat>
          <c:val>
            <c:numRef>
              <c:f>('骨骼动画时间分布-503'!$E$13,'骨骼动画时间分布-503'!$G$13,'骨骼动画时间分布-503'!$I$13,'骨骼动画时间分布-503'!$K$13)</c:f>
              <c:numCache>
                <c:formatCode>0%</c:formatCode>
                <c:ptCount val="4"/>
                <c:pt idx="0">
                  <c:v>2.5000000000000005E-2</c:v>
                </c:pt>
                <c:pt idx="1">
                  <c:v>0.83928571428571441</c:v>
                </c:pt>
                <c:pt idx="2">
                  <c:v>0.11785714285714287</c:v>
                </c:pt>
                <c:pt idx="3">
                  <c:v>1.7857142857142815E-2</c:v>
                </c:pt>
              </c:numCache>
            </c:numRef>
          </c:val>
        </c:ser>
        <c:dLbls>
          <c:showVal val="1"/>
        </c:dLbls>
        <c:firstSliceAng val="0"/>
      </c:pieChart>
    </c:plotArea>
    <c:plotVisOnly val="1"/>
    <c:dispBlanksAs val="zero"/>
  </c:chart>
  <c:txPr>
    <a:bodyPr/>
    <a:lstStyle/>
    <a:p>
      <a:pPr>
        <a:defRPr sz="750" baseline="0">
          <a:latin typeface="Times New Roman" pitchFamily="18" charset="0"/>
          <a:ea typeface="宋体" pitchFamily="2" charset="-122"/>
        </a:defRPr>
      </a:pPr>
      <a:endParaRPr lang="zh-CN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autoTitleDeleted val="1"/>
    <c:plotArea>
      <c:layout>
        <c:manualLayout>
          <c:layoutTarget val="inner"/>
          <c:xMode val="edge"/>
          <c:yMode val="edge"/>
          <c:x val="3.2333631021502295E-2"/>
          <c:y val="0.13927078976559801"/>
          <c:w val="0.83883256031352249"/>
          <c:h val="0.47900650002642287"/>
        </c:manualLayout>
      </c:layout>
      <c:lineChart>
        <c:grouping val="standard"/>
        <c:ser>
          <c:idx val="0"/>
          <c:order val="0"/>
          <c:tx>
            <c:strRef>
              <c:f>'骨骼动画时间分布-503'!$V$30</c:f>
              <c:strCache>
                <c:ptCount val="1"/>
                <c:pt idx="0">
                  <c:v>全局</c:v>
                </c:pt>
              </c:strCache>
            </c:strRef>
          </c:tx>
          <c:dLbls>
            <c:dLbl>
              <c:idx val="0"/>
              <c:layout>
                <c:manualLayout>
                  <c:x val="0"/>
                  <c:y val="3.5600955339022008E-2"/>
                </c:manualLayout>
              </c:layout>
              <c:dLblPos val="t"/>
              <c:showVal val="1"/>
            </c:dLbl>
            <c:dLbl>
              <c:idx val="1"/>
              <c:layout>
                <c:manualLayout>
                  <c:x val="0"/>
                  <c:y val="3.5600955339022085E-2"/>
                </c:manualLayout>
              </c:layout>
              <c:dLblPos val="t"/>
              <c:showVal val="1"/>
            </c:dLbl>
            <c:dLbl>
              <c:idx val="2"/>
              <c:layout>
                <c:manualLayout>
                  <c:x val="0"/>
                  <c:y val="2.8480764271217551E-2"/>
                </c:manualLayout>
              </c:layout>
              <c:dLblPos val="t"/>
              <c:showVal val="1"/>
            </c:dLbl>
            <c:dLbl>
              <c:idx val="3"/>
              <c:layout>
                <c:manualLayout>
                  <c:x val="0"/>
                  <c:y val="4.2721146406826373E-2"/>
                </c:manualLayout>
              </c:layout>
              <c:dLblPos val="t"/>
              <c:showVal val="1"/>
            </c:dLbl>
            <c:dLbl>
              <c:idx val="4"/>
              <c:layout>
                <c:manualLayout>
                  <c:x val="-1.4492753623188406E-2"/>
                  <c:y val="6.1538411840571905E-2"/>
                </c:manualLayout>
              </c:layout>
              <c:dLblPos val="t"/>
              <c:showVal val="1"/>
            </c:dLbl>
            <c:txPr>
              <a:bodyPr/>
              <a:lstStyle/>
              <a:p>
                <a:pPr>
                  <a:defRPr sz="700">
                    <a:latin typeface="Arial" pitchFamily="34" charset="0"/>
                    <a:cs typeface="Arial" pitchFamily="34" charset="0"/>
                  </a:defRPr>
                </a:pPr>
                <a:endParaRPr lang="zh-CN"/>
              </a:p>
            </c:txPr>
            <c:dLblPos val="t"/>
            <c:showVal val="1"/>
          </c:dLbls>
          <c:cat>
            <c:strRef>
              <c:f>'骨骼动画时间分布-503'!$A$423:$E$423</c:f>
              <c:strCache>
                <c:ptCount val="5"/>
                <c:pt idx="0">
                  <c:v>OpenCL
CPU</c:v>
                </c:pt>
                <c:pt idx="1">
                  <c:v>GLSL</c:v>
                </c:pt>
                <c:pt idx="2">
                  <c:v>CUDA</c:v>
                </c:pt>
                <c:pt idx="3">
                  <c:v>OpenCL
GPU</c:v>
                </c:pt>
                <c:pt idx="4">
                  <c:v>OpenCL
GPU inter</c:v>
                </c:pt>
              </c:strCache>
            </c:strRef>
          </c:cat>
          <c:val>
            <c:numRef>
              <c:f>'骨骼动画时间分布-503'!$A$424:$E$424</c:f>
              <c:numCache>
                <c:formatCode>General</c:formatCode>
                <c:ptCount val="5"/>
                <c:pt idx="0">
                  <c:v>6.2</c:v>
                </c:pt>
                <c:pt idx="1">
                  <c:v>9.6</c:v>
                </c:pt>
                <c:pt idx="2">
                  <c:v>4.3</c:v>
                </c:pt>
                <c:pt idx="3">
                  <c:v>3.1</c:v>
                </c:pt>
                <c:pt idx="4">
                  <c:v>9.1999999999999993</c:v>
                </c:pt>
              </c:numCache>
            </c:numRef>
          </c:val>
        </c:ser>
        <c:dLbls>
          <c:showVal val="1"/>
        </c:dLbls>
        <c:marker val="1"/>
        <c:axId val="112811008"/>
        <c:axId val="112816896"/>
      </c:lineChart>
      <c:catAx>
        <c:axId val="112811008"/>
        <c:scaling>
          <c:orientation val="minMax"/>
        </c:scaling>
        <c:axPos val="b"/>
        <c:tickLblPos val="nextTo"/>
        <c:txPr>
          <a:bodyPr/>
          <a:lstStyle/>
          <a:p>
            <a:pPr>
              <a:defRPr sz="700">
                <a:latin typeface="Arial" pitchFamily="34" charset="0"/>
                <a:cs typeface="Arial" pitchFamily="34" charset="0"/>
              </a:defRPr>
            </a:pPr>
            <a:endParaRPr lang="zh-CN"/>
          </a:p>
        </c:txPr>
        <c:crossAx val="112816896"/>
        <c:crosses val="autoZero"/>
        <c:auto val="1"/>
        <c:lblAlgn val="ctr"/>
        <c:lblOffset val="100"/>
      </c:catAx>
      <c:valAx>
        <c:axId val="112816896"/>
        <c:scaling>
          <c:orientation val="minMax"/>
        </c:scaling>
        <c:delete val="1"/>
        <c:axPos val="l"/>
        <c:numFmt formatCode="General" sourceLinked="1"/>
        <c:tickLblPos val="nextTo"/>
        <c:crossAx val="112811008"/>
        <c:crosses val="autoZero"/>
        <c:crossBetween val="between"/>
      </c:valAx>
    </c:plotArea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 sz="1800" b="1" i="0" u="none" strike="noStrike" baseline="0"/>
              <a:t>基于</a:t>
            </a:r>
            <a:r>
              <a:rPr lang="en-US" sz="1800" b="1" i="0" u="none" strike="noStrike" baseline="0"/>
              <a:t>OpenCL</a:t>
            </a:r>
            <a:r>
              <a:rPr lang="zh-CN" altLang="en-US" sz="1800" b="1" i="0" u="none" strike="noStrike" baseline="0"/>
              <a:t>的粒子系统</a:t>
            </a:r>
            <a:endParaRPr lang="en-US" altLang="zh-CN" sz="1800" b="1" i="0" u="none" strike="noStrike" baseline="0"/>
          </a:p>
          <a:p>
            <a:pPr>
              <a:defRPr/>
            </a:pPr>
            <a:r>
              <a:rPr lang="zh-CN" altLang="en-US" sz="1800" b="1" i="0" u="none" strike="noStrike" baseline="0"/>
              <a:t>加速比</a:t>
            </a:r>
            <a:endParaRPr lang="zh-CN" altLang="en-U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Particle!$K$98</c:f>
              <c:strCache>
                <c:ptCount val="1"/>
                <c:pt idx="0">
                  <c:v>OpenCL
CPU</c:v>
                </c:pt>
              </c:strCache>
            </c:strRef>
          </c:tx>
          <c:dLbls>
            <c:dLbl>
              <c:idx val="0"/>
              <c:layout>
                <c:manualLayout>
                  <c:x val="4.1548630783758297E-2"/>
                  <c:y val="4.4312377619464424E-2"/>
                </c:manualLayout>
              </c:layout>
              <c:dLblPos val="t"/>
              <c:showVal val="1"/>
            </c:dLbl>
            <c:dLbl>
              <c:idx val="1"/>
              <c:layout>
                <c:manualLayout>
                  <c:x val="0"/>
                  <c:y val="0"/>
                </c:manualLayout>
              </c:layout>
              <c:dLblPos val="t"/>
              <c:showVal val="1"/>
            </c:dLbl>
            <c:dLbl>
              <c:idx val="2"/>
              <c:layout>
                <c:manualLayout>
                  <c:x val="0"/>
                  <c:y val="3.1746031746031744E-2"/>
                </c:manualLayout>
              </c:layout>
              <c:dLblPos val="t"/>
              <c:showVal val="1"/>
            </c:dLbl>
            <c:dLblPos val="t"/>
            <c:showVal val="1"/>
          </c:dLbls>
          <c:cat>
            <c:strRef>
              <c:f>Particle!$L$97:$N$97</c:f>
              <c:strCache>
                <c:ptCount val="3"/>
                <c:pt idx="0">
                  <c:v>10K</c:v>
                </c:pt>
                <c:pt idx="1">
                  <c:v>100K</c:v>
                </c:pt>
                <c:pt idx="2">
                  <c:v>1000K</c:v>
                </c:pt>
              </c:strCache>
            </c:strRef>
          </c:cat>
          <c:val>
            <c:numRef>
              <c:f>Particle!$L$98:$N$98</c:f>
              <c:numCache>
                <c:formatCode>0.0_ </c:formatCode>
                <c:ptCount val="3"/>
                <c:pt idx="0">
                  <c:v>1.8856088560885611</c:v>
                </c:pt>
                <c:pt idx="1">
                  <c:v>3.4242424242424248</c:v>
                </c:pt>
                <c:pt idx="2">
                  <c:v>2.7586206896551726</c:v>
                </c:pt>
              </c:numCache>
            </c:numRef>
          </c:val>
        </c:ser>
        <c:ser>
          <c:idx val="1"/>
          <c:order val="1"/>
          <c:tx>
            <c:strRef>
              <c:f>Particle!$K$99</c:f>
              <c:strCache>
                <c:ptCount val="1"/>
                <c:pt idx="0">
                  <c:v>OpenCL
GPU</c:v>
                </c:pt>
              </c:strCache>
            </c:strRef>
          </c:tx>
          <c:dLbls>
            <c:dLblPos val="t"/>
            <c:showVal val="1"/>
          </c:dLbls>
          <c:cat>
            <c:strRef>
              <c:f>Particle!$L$97:$N$97</c:f>
              <c:strCache>
                <c:ptCount val="3"/>
                <c:pt idx="0">
                  <c:v>10K</c:v>
                </c:pt>
                <c:pt idx="1">
                  <c:v>100K</c:v>
                </c:pt>
                <c:pt idx="2">
                  <c:v>1000K</c:v>
                </c:pt>
              </c:strCache>
            </c:strRef>
          </c:cat>
          <c:val>
            <c:numRef>
              <c:f>Particle!$L$99:$N$99</c:f>
              <c:numCache>
                <c:formatCode>0_ </c:formatCode>
                <c:ptCount val="3"/>
                <c:pt idx="0">
                  <c:v>12.775</c:v>
                </c:pt>
                <c:pt idx="1">
                  <c:v>64.571428571428584</c:v>
                </c:pt>
                <c:pt idx="2">
                  <c:v>91.168091168091181</c:v>
                </c:pt>
              </c:numCache>
            </c:numRef>
          </c:val>
        </c:ser>
        <c:marker val="1"/>
        <c:axId val="112843008"/>
        <c:axId val="119377920"/>
      </c:lineChart>
      <c:catAx>
        <c:axId val="112843008"/>
        <c:scaling>
          <c:orientation val="minMax"/>
        </c:scaling>
        <c:axPos val="b"/>
        <c:tickLblPos val="nextTo"/>
        <c:crossAx val="119377920"/>
        <c:crosses val="autoZero"/>
        <c:auto val="1"/>
        <c:lblAlgn val="ctr"/>
        <c:lblOffset val="100"/>
      </c:catAx>
      <c:valAx>
        <c:axId val="119377920"/>
        <c:scaling>
          <c:orientation val="minMax"/>
        </c:scaling>
        <c:axPos val="l"/>
        <c:numFmt formatCode="0.0_ " sourceLinked="1"/>
        <c:tickLblPos val="nextTo"/>
        <c:crossAx val="11284300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Particle!$K$107</c:f>
              <c:strCache>
                <c:ptCount val="1"/>
                <c:pt idx="0">
                  <c:v>OpenCL
CPU</c:v>
                </c:pt>
              </c:strCache>
            </c:strRef>
          </c:tx>
          <c:dLbls>
            <c:dLbl>
              <c:idx val="0"/>
              <c:layout>
                <c:manualLayout>
                  <c:x val="-2.5462668816040568E-17"/>
                  <c:y val="2.3148148148148227E-2"/>
                </c:manualLayout>
              </c:layout>
              <c:dLblPos val="t"/>
              <c:showVal val="1"/>
            </c:dLbl>
            <c:dLblPos val="t"/>
            <c:showVal val="1"/>
          </c:dLbls>
          <c:cat>
            <c:strRef>
              <c:f>Particle!$L$106:$N$106</c:f>
              <c:strCache>
                <c:ptCount val="3"/>
                <c:pt idx="0">
                  <c:v>10K</c:v>
                </c:pt>
                <c:pt idx="1">
                  <c:v>100K</c:v>
                </c:pt>
                <c:pt idx="2">
                  <c:v>1000K</c:v>
                </c:pt>
              </c:strCache>
            </c:strRef>
          </c:cat>
          <c:val>
            <c:numRef>
              <c:f>Particle!$L$107:$N$107</c:f>
              <c:numCache>
                <c:formatCode>0.0_ </c:formatCode>
                <c:ptCount val="3"/>
                <c:pt idx="0">
                  <c:v>1.9028213166144201</c:v>
                </c:pt>
                <c:pt idx="1">
                  <c:v>3.191011235955056</c:v>
                </c:pt>
                <c:pt idx="2">
                  <c:v>2.4171779141104293</c:v>
                </c:pt>
              </c:numCache>
            </c:numRef>
          </c:val>
        </c:ser>
        <c:ser>
          <c:idx val="1"/>
          <c:order val="1"/>
          <c:tx>
            <c:strRef>
              <c:f>Particle!$K$108</c:f>
              <c:strCache>
                <c:ptCount val="1"/>
                <c:pt idx="0">
                  <c:v>OpenCL
GPU</c:v>
                </c:pt>
              </c:strCache>
            </c:strRef>
          </c:tx>
          <c:dLbls>
            <c:dLbl>
              <c:idx val="0"/>
              <c:layout>
                <c:manualLayout>
                  <c:x val="-2.2662889518413692E-2"/>
                  <c:y val="0"/>
                </c:manualLayout>
              </c:layout>
              <c:dLblPos val="t"/>
              <c:showVal val="1"/>
            </c:dLbl>
            <c:dLblPos val="t"/>
            <c:showVal val="1"/>
          </c:dLbls>
          <c:cat>
            <c:strRef>
              <c:f>Particle!$L$106:$N$106</c:f>
              <c:strCache>
                <c:ptCount val="3"/>
                <c:pt idx="0">
                  <c:v>10K</c:v>
                </c:pt>
                <c:pt idx="1">
                  <c:v>100K</c:v>
                </c:pt>
                <c:pt idx="2">
                  <c:v>1000K</c:v>
                </c:pt>
              </c:strCache>
            </c:strRef>
          </c:cat>
          <c:val>
            <c:numRef>
              <c:f>Particle!$L$108:$N$108</c:f>
              <c:numCache>
                <c:formatCode>0_ </c:formatCode>
                <c:ptCount val="3"/>
                <c:pt idx="0" formatCode="0.0_ ">
                  <c:v>6.322916666666667</c:v>
                </c:pt>
                <c:pt idx="1">
                  <c:v>26.792452830188676</c:v>
                </c:pt>
                <c:pt idx="2">
                  <c:v>28.345323741007192</c:v>
                </c:pt>
              </c:numCache>
            </c:numRef>
          </c:val>
        </c:ser>
        <c:marker val="1"/>
        <c:axId val="119403648"/>
        <c:axId val="119405184"/>
      </c:lineChart>
      <c:catAx>
        <c:axId val="119403648"/>
        <c:scaling>
          <c:orientation val="minMax"/>
        </c:scaling>
        <c:axPos val="b"/>
        <c:tickLblPos val="nextTo"/>
        <c:crossAx val="119405184"/>
        <c:crosses val="autoZero"/>
        <c:auto val="1"/>
        <c:lblAlgn val="ctr"/>
        <c:lblOffset val="100"/>
      </c:catAx>
      <c:valAx>
        <c:axId val="119405184"/>
        <c:scaling>
          <c:orientation val="minMax"/>
        </c:scaling>
        <c:axPos val="l"/>
        <c:numFmt formatCode="0.0_ " sourceLinked="1"/>
        <c:tickLblPos val="nextTo"/>
        <c:crossAx val="11940364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0"/>
            </a:pPr>
            <a:r>
              <a:rPr lang="en-US" altLang="en-US" sz="1000" b="0"/>
              <a:t>OpenCL</a:t>
            </a:r>
            <a:r>
              <a:rPr lang="zh-CN" altLang="en-US" sz="1000" b="0"/>
              <a:t>相对</a:t>
            </a:r>
            <a:r>
              <a:rPr lang="en-US" altLang="en-US" sz="1000" b="0"/>
              <a:t>SSE</a:t>
            </a:r>
            <a:r>
              <a:rPr lang="zh-CN" altLang="en-US" sz="1000" b="0"/>
              <a:t>性能增幅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'8350m'!$S$90</c:f>
              <c:strCache>
                <c:ptCount val="1"/>
                <c:pt idx="0">
                  <c:v>100k</c:v>
                </c:pt>
              </c:strCache>
            </c:strRef>
          </c:tx>
          <c:dLbls>
            <c:dLblPos val="t"/>
            <c:showVal val="1"/>
          </c:dLbls>
          <c:val>
            <c:numRef>
              <c:f>'8350m'!$S$91:$S$94</c:f>
              <c:numCache>
                <c:formatCode>0%</c:formatCode>
                <c:ptCount val="4"/>
                <c:pt idx="0">
                  <c:v>-0.44796380090497734</c:v>
                </c:pt>
                <c:pt idx="1">
                  <c:v>-0.27192982456140358</c:v>
                </c:pt>
                <c:pt idx="2">
                  <c:v>-0.23728813559322037</c:v>
                </c:pt>
                <c:pt idx="3">
                  <c:v>-0.14285714285714302</c:v>
                </c:pt>
              </c:numCache>
            </c:numRef>
          </c:val>
        </c:ser>
        <c:dLbls>
          <c:showVal val="1"/>
        </c:dLbls>
        <c:marker val="1"/>
        <c:axId val="84215296"/>
        <c:axId val="84216832"/>
      </c:lineChart>
      <c:catAx>
        <c:axId val="84215296"/>
        <c:scaling>
          <c:orientation val="minMax"/>
        </c:scaling>
        <c:axPos val="b"/>
        <c:tickLblPos val="nextTo"/>
        <c:crossAx val="84216832"/>
        <c:crosses val="autoZero"/>
        <c:auto val="1"/>
        <c:lblAlgn val="ctr"/>
        <c:lblOffset val="100"/>
      </c:catAx>
      <c:valAx>
        <c:axId val="84216832"/>
        <c:scaling>
          <c:orientation val="minMax"/>
        </c:scaling>
        <c:axPos val="l"/>
        <c:numFmt formatCode="0%" sourceLinked="1"/>
        <c:tickLblPos val="nextTo"/>
        <c:crossAx val="842152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 sz="1800" b="1" i="0" u="none" strike="noStrike" baseline="0"/>
              <a:t>相同粒子数的</a:t>
            </a:r>
            <a:r>
              <a:rPr lang="en-US" sz="1800" b="1" i="0" u="none" strike="noStrike" baseline="0"/>
              <a:t>10</a:t>
            </a:r>
            <a:r>
              <a:rPr lang="zh-CN" altLang="en-US" sz="1800" b="1" i="0" u="none" strike="noStrike" baseline="0"/>
              <a:t>柱喷泉并行加速比</a:t>
            </a:r>
            <a:endParaRPr lang="zh-CN" altLang="en-US"/>
          </a:p>
        </c:rich>
      </c:tx>
      <c:layout>
        <c:manualLayout>
          <c:xMode val="edge"/>
          <c:yMode val="edge"/>
          <c:x val="0.13502968042973124"/>
          <c:y val="3.5714285714285712E-2"/>
        </c:manualLayout>
      </c:layout>
    </c:title>
    <c:plotArea>
      <c:layout/>
      <c:barChart>
        <c:barDir val="col"/>
        <c:grouping val="clustered"/>
        <c:ser>
          <c:idx val="0"/>
          <c:order val="0"/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rgbClr val="0070C0"/>
              </a:solidFill>
            </c:spPr>
          </c:dPt>
          <c:dLbls>
            <c:dLbl>
              <c:idx val="0"/>
              <c:layout>
                <c:manualLayout>
                  <c:x val="-2.5462668816040617E-17"/>
                  <c:y val="2.3148148148148227E-2"/>
                </c:manualLayout>
              </c:layout>
              <c:showVal val="1"/>
            </c:dLbl>
            <c:showVal val="1"/>
          </c:dLbls>
          <c:cat>
            <c:strRef>
              <c:f>Particle!$P$132:$R$132</c:f>
              <c:strCache>
                <c:ptCount val="3"/>
                <c:pt idx="0">
                  <c:v>纯CPU</c:v>
                </c:pt>
                <c:pt idx="1">
                  <c:v>纯GPU</c:v>
                </c:pt>
                <c:pt idx="2">
                  <c:v>CPU和
GPU
协同</c:v>
                </c:pt>
              </c:strCache>
            </c:strRef>
          </c:cat>
          <c:val>
            <c:numRef>
              <c:f>Particle!$P$133:$R$133</c:f>
              <c:numCache>
                <c:formatCode>0.0_ </c:formatCode>
                <c:ptCount val="3"/>
                <c:pt idx="0">
                  <c:v>2.0357142857142856</c:v>
                </c:pt>
                <c:pt idx="1">
                  <c:v>4.75</c:v>
                </c:pt>
                <c:pt idx="2">
                  <c:v>4.384615384615385</c:v>
                </c:pt>
              </c:numCache>
            </c:numRef>
          </c:val>
        </c:ser>
        <c:axId val="112892928"/>
        <c:axId val="112894720"/>
      </c:barChart>
      <c:catAx>
        <c:axId val="112892928"/>
        <c:scaling>
          <c:orientation val="minMax"/>
        </c:scaling>
        <c:axPos val="b"/>
        <c:tickLblPos val="nextTo"/>
        <c:crossAx val="112894720"/>
        <c:crosses val="autoZero"/>
        <c:auto val="1"/>
        <c:lblAlgn val="ctr"/>
        <c:lblOffset val="100"/>
      </c:catAx>
      <c:valAx>
        <c:axId val="112894720"/>
        <c:scaling>
          <c:orientation val="minMax"/>
        </c:scaling>
        <c:axPos val="l"/>
        <c:numFmt formatCode="0.0_ " sourceLinked="1"/>
        <c:tickLblPos val="nextTo"/>
        <c:crossAx val="112892928"/>
        <c:crosses val="autoZero"/>
        <c:crossBetween val="between"/>
      </c:valAx>
    </c:plotArea>
    <c:plotVisOnly val="1"/>
    <c:dispBlanksAs val="gap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 sz="1800" b="1" i="0" u="none" strike="noStrike" baseline="0"/>
              <a:t>相同粒子数的</a:t>
            </a:r>
            <a:r>
              <a:rPr lang="en-US" sz="1800" b="1" i="0" u="none" strike="noStrike" baseline="0"/>
              <a:t>10</a:t>
            </a:r>
            <a:r>
              <a:rPr lang="zh-CN" altLang="en-US" sz="1800" b="1" i="0" u="none" strike="noStrike" baseline="0"/>
              <a:t>柱喷泉并行加速比</a:t>
            </a:r>
            <a:endParaRPr lang="zh-CN" altLang="en-US"/>
          </a:p>
        </c:rich>
      </c:tx>
      <c:layout>
        <c:manualLayout>
          <c:xMode val="edge"/>
          <c:yMode val="edge"/>
          <c:x val="0.13502968042973124"/>
          <c:y val="3.5714285714285712E-2"/>
        </c:manualLayout>
      </c:layout>
    </c:title>
    <c:plotArea>
      <c:layout/>
      <c:barChart>
        <c:barDir val="col"/>
        <c:grouping val="clustered"/>
        <c:ser>
          <c:idx val="0"/>
          <c:order val="0"/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rgbClr val="0070C0"/>
              </a:solidFill>
            </c:spPr>
          </c:dPt>
          <c:dLbls>
            <c:dLbl>
              <c:idx val="0"/>
              <c:layout>
                <c:manualLayout>
                  <c:x val="-2.546266881604066E-17"/>
                  <c:y val="2.3148148148148227E-2"/>
                </c:manualLayout>
              </c:layout>
              <c:showVal val="1"/>
            </c:dLbl>
            <c:showVal val="1"/>
          </c:dLbls>
          <c:cat>
            <c:strRef>
              <c:f>Particle!$P$126:$R$126</c:f>
              <c:strCache>
                <c:ptCount val="3"/>
                <c:pt idx="0">
                  <c:v>纯CPU</c:v>
                </c:pt>
                <c:pt idx="1">
                  <c:v>纯GPU</c:v>
                </c:pt>
                <c:pt idx="2">
                  <c:v>CPU和
GPU
协同</c:v>
                </c:pt>
              </c:strCache>
            </c:strRef>
          </c:cat>
          <c:val>
            <c:numRef>
              <c:f>Particle!$P$127:$R$127</c:f>
              <c:numCache>
                <c:formatCode>0.0_ </c:formatCode>
                <c:ptCount val="3"/>
                <c:pt idx="0">
                  <c:v>2.3842105263157891</c:v>
                </c:pt>
                <c:pt idx="1">
                  <c:v>10.785714285714285</c:v>
                </c:pt>
                <c:pt idx="2">
                  <c:v>10.413793103448276</c:v>
                </c:pt>
              </c:numCache>
            </c:numRef>
          </c:val>
        </c:ser>
        <c:axId val="112915584"/>
        <c:axId val="112917120"/>
      </c:barChart>
      <c:catAx>
        <c:axId val="112915584"/>
        <c:scaling>
          <c:orientation val="minMax"/>
        </c:scaling>
        <c:axPos val="b"/>
        <c:tickLblPos val="nextTo"/>
        <c:crossAx val="112917120"/>
        <c:crosses val="autoZero"/>
        <c:auto val="1"/>
        <c:lblAlgn val="ctr"/>
        <c:lblOffset val="100"/>
      </c:catAx>
      <c:valAx>
        <c:axId val="112917120"/>
        <c:scaling>
          <c:orientation val="minMax"/>
        </c:scaling>
        <c:axPos val="l"/>
        <c:numFmt formatCode="0.0_ " sourceLinked="1"/>
        <c:tickLblPos val="nextTo"/>
        <c:crossAx val="112915584"/>
        <c:crosses val="autoZero"/>
        <c:crossBetween val="between"/>
      </c:valAx>
    </c:plotArea>
    <c:plotVisOnly val="1"/>
    <c:dispBlanksAs val="gap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2"/>
          <c:order val="0"/>
          <c:tx>
            <c:strRef>
              <c:f>'870m'!$B$31</c:f>
              <c:strCache>
                <c:ptCount val="1"/>
                <c:pt idx="0">
                  <c:v>kernel
speedup</c:v>
                </c:pt>
              </c:strCache>
            </c:strRef>
          </c:tx>
          <c:dLbls>
            <c:dLbl>
              <c:idx val="1"/>
              <c:layout>
                <c:manualLayout>
                  <c:x val="-5.1020997375328093E-2"/>
                  <c:y val="-6.3177541403815762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5.1020997375328093E-2"/>
                  <c:y val="-7.8772083314147534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5.1020997375328093E-2"/>
                  <c:y val="-6.3177541403815748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5.1020997375327982E-2"/>
                  <c:y val="-7.097481235898144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'870m'!$C$28:$G$28</c:f>
              <c:strCache>
                <c:ptCount val="5"/>
                <c:pt idx="0">
                  <c:v>cpu</c:v>
                </c:pt>
                <c:pt idx="1">
                  <c:v>openmp</c:v>
                </c:pt>
                <c:pt idx="2">
                  <c:v>sse</c:v>
                </c:pt>
                <c:pt idx="3">
                  <c:v>openmp
+sse</c:v>
                </c:pt>
                <c:pt idx="4">
                  <c:v>opencl</c:v>
                </c:pt>
              </c:strCache>
            </c:strRef>
          </c:cat>
          <c:val>
            <c:numRef>
              <c:f>'870m'!$C$31:$G$31</c:f>
              <c:numCache>
                <c:formatCode>0.00_ </c:formatCode>
                <c:ptCount val="5"/>
                <c:pt idx="0" formatCode="General">
                  <c:v>1</c:v>
                </c:pt>
                <c:pt idx="1">
                  <c:v>1.7722222222222221</c:v>
                </c:pt>
                <c:pt idx="2">
                  <c:v>1.4700460829493085</c:v>
                </c:pt>
                <c:pt idx="3">
                  <c:v>1.7624309392265192</c:v>
                </c:pt>
                <c:pt idx="4">
                  <c:v>27.5</c:v>
                </c:pt>
              </c:numCache>
            </c:numRef>
          </c:val>
        </c:ser>
        <c:ser>
          <c:idx val="3"/>
          <c:order val="1"/>
          <c:tx>
            <c:strRef>
              <c:f>'870m'!$B$32</c:f>
              <c:strCache>
                <c:ptCount val="1"/>
                <c:pt idx="0">
                  <c:v>frame
speedup</c:v>
                </c:pt>
              </c:strCache>
            </c:strRef>
          </c:tx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5.1020997375328093E-2"/>
                  <c:y val="4.7582999493484414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5.1020997375328093E-2"/>
                  <c:y val="4.7582999493484393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5.1020997375328093E-2"/>
                  <c:y val="4.7582999493484414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5.1020997375327982E-2"/>
                  <c:y val="5.5380270448650112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'870m'!$C$28:$G$28</c:f>
              <c:strCache>
                <c:ptCount val="5"/>
                <c:pt idx="0">
                  <c:v>cpu</c:v>
                </c:pt>
                <c:pt idx="1">
                  <c:v>openmp</c:v>
                </c:pt>
                <c:pt idx="2">
                  <c:v>sse</c:v>
                </c:pt>
                <c:pt idx="3">
                  <c:v>openmp
+sse</c:v>
                </c:pt>
                <c:pt idx="4">
                  <c:v>opencl</c:v>
                </c:pt>
              </c:strCache>
            </c:strRef>
          </c:cat>
          <c:val>
            <c:numRef>
              <c:f>'870m'!$C$32:$G$32</c:f>
              <c:numCache>
                <c:formatCode>0.00_ </c:formatCode>
                <c:ptCount val="5"/>
                <c:pt idx="0" formatCode="General">
                  <c:v>1</c:v>
                </c:pt>
                <c:pt idx="1">
                  <c:v>1.4557377049180327</c:v>
                </c:pt>
                <c:pt idx="2">
                  <c:v>1.2982456140350875</c:v>
                </c:pt>
                <c:pt idx="3">
                  <c:v>1.4509803921568627</c:v>
                </c:pt>
                <c:pt idx="4">
                  <c:v>16.028880866425993</c:v>
                </c:pt>
              </c:numCache>
            </c:numRef>
          </c:val>
        </c:ser>
        <c:dLbls>
          <c:showVal val="1"/>
        </c:dLbls>
        <c:marker val="1"/>
        <c:axId val="84173568"/>
        <c:axId val="84175104"/>
      </c:lineChart>
      <c:catAx>
        <c:axId val="84173568"/>
        <c:scaling>
          <c:orientation val="minMax"/>
        </c:scaling>
        <c:axPos val="b"/>
        <c:numFmt formatCode="General" sourceLinked="0"/>
        <c:majorTickMark val="none"/>
        <c:tickLblPos val="nextTo"/>
        <c:spPr>
          <a:ln w="9525">
            <a:noFill/>
          </a:ln>
        </c:spPr>
        <c:crossAx val="84175104"/>
        <c:crosses val="autoZero"/>
        <c:auto val="1"/>
        <c:lblAlgn val="ctr"/>
        <c:lblOffset val="100"/>
      </c:catAx>
      <c:valAx>
        <c:axId val="84175104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84173568"/>
        <c:crosses val="autoZero"/>
        <c:crossBetween val="between"/>
      </c:valAx>
    </c:plotArea>
    <c:legend>
      <c:legendPos val="b"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1"/>
          <c:order val="0"/>
          <c:tx>
            <c:strRef>
              <c:f>'870m'!$B$15</c:f>
              <c:strCache>
                <c:ptCount val="1"/>
                <c:pt idx="0">
                  <c:v>CPP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'870m'!$C$13:$J$13</c:f>
              <c:strCache>
                <c:ptCount val="8"/>
                <c:pt idx="0">
                  <c:v>2K</c:v>
                </c:pt>
                <c:pt idx="1">
                  <c:v>8K</c:v>
                </c:pt>
                <c:pt idx="2">
                  <c:v>32K</c:v>
                </c:pt>
                <c:pt idx="3">
                  <c:v>128K</c:v>
                </c:pt>
                <c:pt idx="4">
                  <c:v>256K</c:v>
                </c:pt>
                <c:pt idx="5">
                  <c:v>512K</c:v>
                </c:pt>
                <c:pt idx="6">
                  <c:v>1M</c:v>
                </c:pt>
                <c:pt idx="7">
                  <c:v>2M</c:v>
                </c:pt>
              </c:strCache>
            </c:strRef>
          </c:cat>
          <c:val>
            <c:numRef>
              <c:f>'870m'!$C$15:$J$15</c:f>
              <c:numCache>
                <c:formatCode>0.00_ </c:formatCode>
                <c:ptCount val="8"/>
                <c:pt idx="0">
                  <c:v>0.31000000000000005</c:v>
                </c:pt>
                <c:pt idx="1">
                  <c:v>0.37</c:v>
                </c:pt>
                <c:pt idx="2">
                  <c:v>0.56999999999999995</c:v>
                </c:pt>
                <c:pt idx="3">
                  <c:v>1.6</c:v>
                </c:pt>
                <c:pt idx="4">
                  <c:v>5.53</c:v>
                </c:pt>
                <c:pt idx="5">
                  <c:v>9.98</c:v>
                </c:pt>
                <c:pt idx="6" formatCode="0.0_ ">
                  <c:v>10.99</c:v>
                </c:pt>
                <c:pt idx="7" formatCode="0.0_ ">
                  <c:v>21.91</c:v>
                </c:pt>
              </c:numCache>
            </c:numRef>
          </c:val>
        </c:ser>
        <c:ser>
          <c:idx val="3"/>
          <c:order val="1"/>
          <c:tx>
            <c:strRef>
              <c:f>'870m'!$B$17</c:f>
              <c:strCache>
                <c:ptCount val="1"/>
                <c:pt idx="0">
                  <c:v>OpenCL</c:v>
                </c:pt>
              </c:strCache>
            </c:strRef>
          </c:tx>
          <c:marker>
            <c:symbol val="none"/>
          </c:marker>
          <c:dLbls>
            <c:dLbl>
              <c:idx val="0"/>
              <c:layout>
                <c:manualLayout>
                  <c:x val="-6.8918594212784109E-2"/>
                  <c:y val="1.8550192436707743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6.8918594212784109E-2"/>
                  <c:y val="1.8550192436707743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6.4950339004605423E-2"/>
                  <c:y val="1.8550192436707743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6.8918594212784109E-2"/>
                  <c:y val="1.8550192436707743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6.8918594212784179E-2"/>
                  <c:y val="1.8550192436707743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6.8918906673824179E-2"/>
                  <c:y val="2.4529265680355052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6.8918417309252064E-2"/>
                  <c:y val="1.7070050709680713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4.9081221820349047E-2"/>
                  <c:y val="1.6082868282241421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'870m'!$C$13:$J$13</c:f>
              <c:strCache>
                <c:ptCount val="8"/>
                <c:pt idx="0">
                  <c:v>2K</c:v>
                </c:pt>
                <c:pt idx="1">
                  <c:v>8K</c:v>
                </c:pt>
                <c:pt idx="2">
                  <c:v>32K</c:v>
                </c:pt>
                <c:pt idx="3">
                  <c:v>128K</c:v>
                </c:pt>
                <c:pt idx="4">
                  <c:v>256K</c:v>
                </c:pt>
                <c:pt idx="5">
                  <c:v>512K</c:v>
                </c:pt>
                <c:pt idx="6">
                  <c:v>1M</c:v>
                </c:pt>
                <c:pt idx="7">
                  <c:v>2M</c:v>
                </c:pt>
              </c:strCache>
            </c:strRef>
          </c:cat>
          <c:val>
            <c:numRef>
              <c:f>'870m'!$C$17:$J$17</c:f>
              <c:numCache>
                <c:formatCode>0.00_ </c:formatCode>
                <c:ptCount val="8"/>
                <c:pt idx="0">
                  <c:v>6.0000000000000026E-2</c:v>
                </c:pt>
                <c:pt idx="1">
                  <c:v>5.999999999999997E-2</c:v>
                </c:pt>
                <c:pt idx="2">
                  <c:v>3.999999999999998E-2</c:v>
                </c:pt>
                <c:pt idx="3">
                  <c:v>0.06</c:v>
                </c:pt>
                <c:pt idx="4">
                  <c:v>6.0000000000000053E-2</c:v>
                </c:pt>
                <c:pt idx="5">
                  <c:v>7.999999999999996E-2</c:v>
                </c:pt>
                <c:pt idx="6">
                  <c:v>0.10000000000000009</c:v>
                </c:pt>
                <c:pt idx="7">
                  <c:v>0.10999999999999988</c:v>
                </c:pt>
              </c:numCache>
            </c:numRef>
          </c:val>
        </c:ser>
        <c:dLbls>
          <c:showVal val="1"/>
        </c:dLbls>
        <c:marker val="1"/>
        <c:axId val="84360192"/>
        <c:axId val="84370176"/>
      </c:lineChart>
      <c:catAx>
        <c:axId val="84360192"/>
        <c:scaling>
          <c:orientation val="minMax"/>
        </c:scaling>
        <c:axPos val="b"/>
        <c:numFmt formatCode="General" sourceLinked="0"/>
        <c:majorTickMark val="none"/>
        <c:tickLblPos val="nextTo"/>
        <c:spPr>
          <a:ln w="9525">
            <a:noFill/>
          </a:ln>
        </c:spPr>
        <c:crossAx val="84370176"/>
        <c:crosses val="autoZero"/>
        <c:auto val="1"/>
        <c:lblAlgn val="ctr"/>
        <c:lblOffset val="100"/>
      </c:catAx>
      <c:valAx>
        <c:axId val="84370176"/>
        <c:scaling>
          <c:orientation val="minMax"/>
        </c:scaling>
        <c:delete val="1"/>
        <c:axPos val="l"/>
        <c:numFmt formatCode="0.00_ " sourceLinked="1"/>
        <c:majorTickMark val="none"/>
        <c:tickLblPos val="none"/>
        <c:crossAx val="84360192"/>
        <c:crosses val="autoZero"/>
        <c:crossBetween val="between"/>
      </c:valAx>
    </c:plotArea>
    <c:legend>
      <c:legendPos val="b"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2"/>
          <c:order val="0"/>
          <c:tx>
            <c:strRef>
              <c:f>'3770m'!$B$31</c:f>
              <c:strCache>
                <c:ptCount val="1"/>
                <c:pt idx="0">
                  <c:v>kernel
speedup</c:v>
                </c:pt>
              </c:strCache>
            </c:strRef>
          </c:tx>
          <c:dLbls>
            <c:dLbl>
              <c:idx val="1"/>
              <c:layout>
                <c:manualLayout>
                  <c:x val="-5.1020997375328093E-2"/>
                  <c:y val="-6.3177541403815762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5.1020997375328093E-2"/>
                  <c:y val="-7.8772083314147534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5.1020997375328093E-2"/>
                  <c:y val="-6.3177541403815748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5.1020997375327982E-2"/>
                  <c:y val="-7.097481235898144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'3770m'!$C$28:$G$28</c:f>
              <c:strCache>
                <c:ptCount val="5"/>
                <c:pt idx="0">
                  <c:v>cpu</c:v>
                </c:pt>
                <c:pt idx="1">
                  <c:v>openmp</c:v>
                </c:pt>
                <c:pt idx="2">
                  <c:v>sse</c:v>
                </c:pt>
                <c:pt idx="3">
                  <c:v>openmp
+sse</c:v>
                </c:pt>
                <c:pt idx="4">
                  <c:v>opencl</c:v>
                </c:pt>
              </c:strCache>
            </c:strRef>
          </c:cat>
          <c:val>
            <c:numRef>
              <c:f>'3770m'!$C$31:$G$31</c:f>
              <c:numCache>
                <c:formatCode>0.00_ </c:formatCode>
                <c:ptCount val="5"/>
                <c:pt idx="0" formatCode="General">
                  <c:v>1</c:v>
                </c:pt>
                <c:pt idx="1">
                  <c:v>1.7722222222222221</c:v>
                </c:pt>
                <c:pt idx="2">
                  <c:v>1.4700460829493085</c:v>
                </c:pt>
                <c:pt idx="3">
                  <c:v>1.7624309392265192</c:v>
                </c:pt>
                <c:pt idx="4">
                  <c:v>27.5</c:v>
                </c:pt>
              </c:numCache>
            </c:numRef>
          </c:val>
        </c:ser>
        <c:ser>
          <c:idx val="3"/>
          <c:order val="1"/>
          <c:tx>
            <c:strRef>
              <c:f>'3770m'!$B$32</c:f>
              <c:strCache>
                <c:ptCount val="1"/>
                <c:pt idx="0">
                  <c:v>frame
speedup</c:v>
                </c:pt>
              </c:strCache>
            </c:strRef>
          </c:tx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5.1020997375328093E-2"/>
                  <c:y val="4.7582999493484414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5.1020997375328093E-2"/>
                  <c:y val="4.7582999493484393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5.1020997375328093E-2"/>
                  <c:y val="4.7582999493484414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5.1020997375327982E-2"/>
                  <c:y val="5.5380270448650112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'3770m'!$C$28:$G$28</c:f>
              <c:strCache>
                <c:ptCount val="5"/>
                <c:pt idx="0">
                  <c:v>cpu</c:v>
                </c:pt>
                <c:pt idx="1">
                  <c:v>openmp</c:v>
                </c:pt>
                <c:pt idx="2">
                  <c:v>sse</c:v>
                </c:pt>
                <c:pt idx="3">
                  <c:v>openmp
+sse</c:v>
                </c:pt>
                <c:pt idx="4">
                  <c:v>opencl</c:v>
                </c:pt>
              </c:strCache>
            </c:strRef>
          </c:cat>
          <c:val>
            <c:numRef>
              <c:f>'3770m'!$C$32:$G$32</c:f>
              <c:numCache>
                <c:formatCode>0.00_ </c:formatCode>
                <c:ptCount val="5"/>
                <c:pt idx="0" formatCode="General">
                  <c:v>1</c:v>
                </c:pt>
                <c:pt idx="1">
                  <c:v>1.4557377049180327</c:v>
                </c:pt>
                <c:pt idx="2">
                  <c:v>1.2982456140350875</c:v>
                </c:pt>
                <c:pt idx="3">
                  <c:v>1.4509803921568627</c:v>
                </c:pt>
                <c:pt idx="4">
                  <c:v>16.028880866425993</c:v>
                </c:pt>
              </c:numCache>
            </c:numRef>
          </c:val>
        </c:ser>
        <c:dLbls>
          <c:showVal val="1"/>
        </c:dLbls>
        <c:marker val="1"/>
        <c:axId val="84813696"/>
        <c:axId val="84815232"/>
      </c:lineChart>
      <c:catAx>
        <c:axId val="84813696"/>
        <c:scaling>
          <c:orientation val="minMax"/>
        </c:scaling>
        <c:axPos val="b"/>
        <c:numFmt formatCode="General" sourceLinked="0"/>
        <c:majorTickMark val="none"/>
        <c:tickLblPos val="nextTo"/>
        <c:spPr>
          <a:ln w="9525">
            <a:noFill/>
          </a:ln>
        </c:spPr>
        <c:crossAx val="84815232"/>
        <c:crosses val="autoZero"/>
        <c:auto val="1"/>
        <c:lblAlgn val="ctr"/>
        <c:lblOffset val="100"/>
      </c:catAx>
      <c:valAx>
        <c:axId val="84815232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84813696"/>
        <c:crosses val="autoZero"/>
        <c:crossBetween val="between"/>
      </c:valAx>
    </c:plotArea>
    <c:legend>
      <c:legendPos val="b"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1"/>
          <c:order val="0"/>
          <c:tx>
            <c:strRef>
              <c:f>'3770m'!$B$15</c:f>
              <c:strCache>
                <c:ptCount val="1"/>
                <c:pt idx="0">
                  <c:v>CPP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'3770m'!$C$13:$J$13</c:f>
              <c:strCache>
                <c:ptCount val="8"/>
                <c:pt idx="0">
                  <c:v>2K</c:v>
                </c:pt>
                <c:pt idx="1">
                  <c:v>8K</c:v>
                </c:pt>
                <c:pt idx="2">
                  <c:v>32K</c:v>
                </c:pt>
                <c:pt idx="3">
                  <c:v>128K</c:v>
                </c:pt>
                <c:pt idx="4">
                  <c:v>256K</c:v>
                </c:pt>
                <c:pt idx="5">
                  <c:v>512K</c:v>
                </c:pt>
                <c:pt idx="6">
                  <c:v>1M</c:v>
                </c:pt>
                <c:pt idx="7">
                  <c:v>2M</c:v>
                </c:pt>
              </c:strCache>
            </c:strRef>
          </c:cat>
          <c:val>
            <c:numRef>
              <c:f>'3770m'!$C$15:$J$15</c:f>
              <c:numCache>
                <c:formatCode>0.00_ </c:formatCode>
                <c:ptCount val="8"/>
                <c:pt idx="0">
                  <c:v>0.31000000000000005</c:v>
                </c:pt>
                <c:pt idx="1">
                  <c:v>0.37</c:v>
                </c:pt>
                <c:pt idx="2">
                  <c:v>0.56999999999999995</c:v>
                </c:pt>
                <c:pt idx="3">
                  <c:v>1.6</c:v>
                </c:pt>
                <c:pt idx="4">
                  <c:v>5.53</c:v>
                </c:pt>
                <c:pt idx="5">
                  <c:v>9.98</c:v>
                </c:pt>
                <c:pt idx="6" formatCode="0.0_ ">
                  <c:v>10.99</c:v>
                </c:pt>
                <c:pt idx="7" formatCode="0.0_ ">
                  <c:v>21.91</c:v>
                </c:pt>
              </c:numCache>
            </c:numRef>
          </c:val>
        </c:ser>
        <c:ser>
          <c:idx val="3"/>
          <c:order val="1"/>
          <c:tx>
            <c:strRef>
              <c:f>'3770m'!$B$17</c:f>
              <c:strCache>
                <c:ptCount val="1"/>
                <c:pt idx="0">
                  <c:v>OpenCL</c:v>
                </c:pt>
              </c:strCache>
            </c:strRef>
          </c:tx>
          <c:marker>
            <c:symbol val="none"/>
          </c:marker>
          <c:dLbls>
            <c:dLbl>
              <c:idx val="0"/>
              <c:layout>
                <c:manualLayout>
                  <c:x val="-6.8918594212784109E-2"/>
                  <c:y val="1.8550192436707743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6.8918594212784109E-2"/>
                  <c:y val="1.8550192436707743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6.4950339004605423E-2"/>
                  <c:y val="1.8550192436707743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6.8918594212784109E-2"/>
                  <c:y val="1.8550192436707743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6.8918594212784179E-2"/>
                  <c:y val="1.8550192436707743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6.8918906673824179E-2"/>
                  <c:y val="2.4529265680355052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6.8918417309252064E-2"/>
                  <c:y val="1.7070050709680713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4.9081221820349102E-2"/>
                  <c:y val="1.6082868282241421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'3770m'!$C$13:$J$13</c:f>
              <c:strCache>
                <c:ptCount val="8"/>
                <c:pt idx="0">
                  <c:v>2K</c:v>
                </c:pt>
                <c:pt idx="1">
                  <c:v>8K</c:v>
                </c:pt>
                <c:pt idx="2">
                  <c:v>32K</c:v>
                </c:pt>
                <c:pt idx="3">
                  <c:v>128K</c:v>
                </c:pt>
                <c:pt idx="4">
                  <c:v>256K</c:v>
                </c:pt>
                <c:pt idx="5">
                  <c:v>512K</c:v>
                </c:pt>
                <c:pt idx="6">
                  <c:v>1M</c:v>
                </c:pt>
                <c:pt idx="7">
                  <c:v>2M</c:v>
                </c:pt>
              </c:strCache>
            </c:strRef>
          </c:cat>
          <c:val>
            <c:numRef>
              <c:f>'3770m'!$C$17:$J$17</c:f>
              <c:numCache>
                <c:formatCode>0.00_ </c:formatCode>
                <c:ptCount val="8"/>
                <c:pt idx="0">
                  <c:v>6.0000000000000026E-2</c:v>
                </c:pt>
                <c:pt idx="1">
                  <c:v>5.999999999999997E-2</c:v>
                </c:pt>
                <c:pt idx="2">
                  <c:v>3.999999999999998E-2</c:v>
                </c:pt>
                <c:pt idx="3">
                  <c:v>0.06</c:v>
                </c:pt>
                <c:pt idx="4">
                  <c:v>6.0000000000000053E-2</c:v>
                </c:pt>
                <c:pt idx="5">
                  <c:v>7.999999999999996E-2</c:v>
                </c:pt>
                <c:pt idx="6">
                  <c:v>0.10000000000000009</c:v>
                </c:pt>
                <c:pt idx="7">
                  <c:v>0.10999999999999988</c:v>
                </c:pt>
              </c:numCache>
            </c:numRef>
          </c:val>
        </c:ser>
        <c:dLbls>
          <c:showVal val="1"/>
        </c:dLbls>
        <c:marker val="1"/>
        <c:axId val="84857216"/>
        <c:axId val="84858752"/>
      </c:lineChart>
      <c:catAx>
        <c:axId val="84857216"/>
        <c:scaling>
          <c:orientation val="minMax"/>
        </c:scaling>
        <c:axPos val="b"/>
        <c:numFmt formatCode="General" sourceLinked="0"/>
        <c:majorTickMark val="none"/>
        <c:tickLblPos val="nextTo"/>
        <c:spPr>
          <a:ln w="9525">
            <a:noFill/>
          </a:ln>
        </c:spPr>
        <c:crossAx val="84858752"/>
        <c:crosses val="autoZero"/>
        <c:auto val="1"/>
        <c:lblAlgn val="ctr"/>
        <c:lblOffset val="100"/>
      </c:catAx>
      <c:valAx>
        <c:axId val="84858752"/>
        <c:scaling>
          <c:orientation val="minMax"/>
        </c:scaling>
        <c:delete val="1"/>
        <c:axPos val="l"/>
        <c:numFmt formatCode="0.00_ " sourceLinked="1"/>
        <c:majorTickMark val="none"/>
        <c:tickLblPos val="none"/>
        <c:crossAx val="84857216"/>
        <c:crosses val="autoZero"/>
        <c:crossBetween val="between"/>
      </c:valAx>
    </c:plotArea>
    <c:legend>
      <c:legendPos val="b"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 sz="1200">
                <a:latin typeface="幼圆" pitchFamily="49" charset="-122"/>
                <a:ea typeface="幼圆" pitchFamily="49" charset="-122"/>
              </a:rPr>
              <a:t>耗时分布表</a:t>
            </a:r>
            <a:r>
              <a:rPr lang="en-US" altLang="zh-CN" sz="1200">
                <a:latin typeface="幼圆" pitchFamily="49" charset="-122"/>
                <a:ea typeface="幼圆" pitchFamily="49" charset="-122"/>
              </a:rPr>
              <a:t>   </a:t>
            </a:r>
            <a:r>
              <a:rPr lang="zh-CN" altLang="en-US" sz="1200">
                <a:latin typeface="幼圆" pitchFamily="49" charset="-122"/>
                <a:ea typeface="幼圆" pitchFamily="49" charset="-122"/>
              </a:rPr>
              <a:t>串行优化</a:t>
            </a:r>
          </a:p>
        </c:rich>
      </c:tx>
      <c:layout>
        <c:manualLayout>
          <c:xMode val="edge"/>
          <c:yMode val="edge"/>
          <c:x val="0.27316369352136066"/>
          <c:y val="3.2128514056224897E-2"/>
        </c:manualLayout>
      </c:layout>
    </c:title>
    <c:plotArea>
      <c:layout/>
      <c:barChart>
        <c:barDir val="bar"/>
        <c:grouping val="clustered"/>
        <c:ser>
          <c:idx val="0"/>
          <c:order val="0"/>
          <c:dPt>
            <c:idx val="0"/>
            <c:spPr>
              <a:solidFill>
                <a:schemeClr val="accent5"/>
              </a:solidFill>
            </c:spPr>
          </c:dPt>
          <c:dPt>
            <c:idx val="1"/>
            <c:spPr>
              <a:solidFill>
                <a:schemeClr val="accent3"/>
              </a:solidFill>
            </c:spPr>
          </c:dPt>
          <c:dPt>
            <c:idx val="2"/>
            <c:spPr>
              <a:solidFill>
                <a:schemeClr val="accent2"/>
              </a:solidFill>
            </c:spPr>
          </c:dPt>
          <c:dLbls>
            <c:showVal val="1"/>
          </c:dLbls>
          <c:cat>
            <c:strRef>
              <c:f>('骨骼动画时间分布-508'!$D$17,'骨骼动画时间分布-508'!$F$17,'骨骼动画时间分布-508'!$H$17)</c:f>
              <c:strCache>
                <c:ptCount val="3"/>
                <c:pt idx="0">
                  <c:v>CPU计算骨骼</c:v>
                </c:pt>
                <c:pt idx="1">
                  <c:v>CPU计算顶点</c:v>
                </c:pt>
                <c:pt idx="2">
                  <c:v>GPU渲染面片</c:v>
                </c:pt>
              </c:strCache>
            </c:strRef>
          </c:cat>
          <c:val>
            <c:numRef>
              <c:f>('骨骼动画时间分布-508'!$E$20,'骨骼动画时间分布-508'!$G$20,'骨骼动画时间分布-508'!$I$20)</c:f>
              <c:numCache>
                <c:formatCode>0%</c:formatCode>
                <c:ptCount val="3"/>
                <c:pt idx="0">
                  <c:v>4.456824512534819E-2</c:v>
                </c:pt>
                <c:pt idx="1">
                  <c:v>0.70891364902506959</c:v>
                </c:pt>
                <c:pt idx="2">
                  <c:v>0.24233983286908078</c:v>
                </c:pt>
              </c:numCache>
            </c:numRef>
          </c:val>
        </c:ser>
        <c:dLbls>
          <c:showVal val="1"/>
        </c:dLbls>
        <c:gapWidth val="75"/>
        <c:axId val="85076992"/>
        <c:axId val="85086976"/>
      </c:barChart>
      <c:catAx>
        <c:axId val="85076992"/>
        <c:scaling>
          <c:orientation val="minMax"/>
        </c:scaling>
        <c:axPos val="l"/>
        <c:majorTickMark val="none"/>
        <c:tickLblPos val="nextTo"/>
        <c:crossAx val="85086976"/>
        <c:crosses val="autoZero"/>
        <c:auto val="1"/>
        <c:lblAlgn val="ctr"/>
        <c:lblOffset val="100"/>
      </c:catAx>
      <c:valAx>
        <c:axId val="85086976"/>
        <c:scaling>
          <c:orientation val="minMax"/>
        </c:scaling>
        <c:axPos val="b"/>
        <c:numFmt formatCode="0%" sourceLinked="1"/>
        <c:majorTickMark val="none"/>
        <c:tickLblPos val="nextTo"/>
        <c:crossAx val="85076992"/>
        <c:crosses val="autoZero"/>
        <c:crossBetween val="between"/>
      </c:valAx>
    </c:plotArea>
    <c:plotVisOnly val="1"/>
    <c:dispBlanksAs val="gap"/>
  </c:chart>
  <c:printSettings>
    <c:headerFooter/>
    <c:pageMargins b="0.75000000000001066" l="0.70000000000000062" r="0.70000000000000062" t="0.75000000000001066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 sz="1200">
                <a:latin typeface="幼圆" pitchFamily="49" charset="-122"/>
                <a:ea typeface="幼圆" pitchFamily="49" charset="-122"/>
              </a:rPr>
              <a:t>耗时分布表    未优化</a:t>
            </a:r>
          </a:p>
        </c:rich>
      </c:tx>
      <c:layout>
        <c:manualLayout>
          <c:xMode val="edge"/>
          <c:yMode val="edge"/>
          <c:x val="0.27316369352136066"/>
          <c:y val="3.2128514056224897E-2"/>
        </c:manualLayout>
      </c:layout>
    </c:title>
    <c:plotArea>
      <c:layout/>
      <c:barChart>
        <c:barDir val="bar"/>
        <c:grouping val="clustered"/>
        <c:ser>
          <c:idx val="0"/>
          <c:order val="0"/>
          <c:dPt>
            <c:idx val="0"/>
            <c:spPr>
              <a:solidFill>
                <a:schemeClr val="accent5"/>
              </a:solidFill>
            </c:spPr>
          </c:dPt>
          <c:dPt>
            <c:idx val="1"/>
            <c:spPr>
              <a:solidFill>
                <a:schemeClr val="accent3"/>
              </a:solidFill>
            </c:spPr>
          </c:dPt>
          <c:dPt>
            <c:idx val="2"/>
            <c:spPr>
              <a:solidFill>
                <a:schemeClr val="accent2"/>
              </a:solidFill>
            </c:spPr>
          </c:dPt>
          <c:dLbls>
            <c:dLbl>
              <c:idx val="3"/>
              <c:delete val="1"/>
            </c:dLbl>
            <c:showVal val="1"/>
          </c:dLbls>
          <c:cat>
            <c:strRef>
              <c:f>('骨骼动画时间分布-508'!$D$5,'骨骼动画时间分布-508'!$F$5,'骨骼动画时间分布-508'!$H$5)</c:f>
              <c:strCache>
                <c:ptCount val="3"/>
                <c:pt idx="0">
                  <c:v>CPU计算骨骼</c:v>
                </c:pt>
                <c:pt idx="1">
                  <c:v>CPU计算顶点</c:v>
                </c:pt>
                <c:pt idx="2">
                  <c:v>GPU渲染面片</c:v>
                </c:pt>
              </c:strCache>
            </c:strRef>
          </c:cat>
          <c:val>
            <c:numRef>
              <c:f>('骨骼动画时间分布-508'!$E$8,'骨骼动画时间分布-508'!$G$8,'骨骼动画时间分布-508'!$I$8)</c:f>
              <c:numCache>
                <c:formatCode>0%</c:formatCode>
                <c:ptCount val="3"/>
                <c:pt idx="0">
                  <c:v>4.1504539559014265E-2</c:v>
                </c:pt>
                <c:pt idx="1">
                  <c:v>0.73800259403372237</c:v>
                </c:pt>
                <c:pt idx="2">
                  <c:v>0.22568093385214008</c:v>
                </c:pt>
              </c:numCache>
            </c:numRef>
          </c:val>
        </c:ser>
        <c:dLbls>
          <c:showVal val="1"/>
        </c:dLbls>
        <c:gapWidth val="75"/>
        <c:axId val="85112320"/>
        <c:axId val="85113856"/>
      </c:barChart>
      <c:catAx>
        <c:axId val="85112320"/>
        <c:scaling>
          <c:orientation val="minMax"/>
        </c:scaling>
        <c:axPos val="l"/>
        <c:majorTickMark val="none"/>
        <c:tickLblPos val="nextTo"/>
        <c:crossAx val="85113856"/>
        <c:crosses val="autoZero"/>
        <c:auto val="1"/>
        <c:lblAlgn val="ctr"/>
        <c:lblOffset val="100"/>
      </c:catAx>
      <c:valAx>
        <c:axId val="85113856"/>
        <c:scaling>
          <c:orientation val="minMax"/>
        </c:scaling>
        <c:axPos val="b"/>
        <c:numFmt formatCode="0%" sourceLinked="1"/>
        <c:majorTickMark val="none"/>
        <c:tickLblPos val="nextTo"/>
        <c:crossAx val="85112320"/>
        <c:crosses val="autoZero"/>
        <c:crossBetween val="between"/>
      </c:valAx>
    </c:plotArea>
    <c:plotVisOnly val="1"/>
    <c:dispBlanksAs val="gap"/>
  </c:chart>
  <c:printSettings>
    <c:headerFooter/>
    <c:pageMargins b="0.75000000000001088" l="0.70000000000000062" r="0.70000000000000062" t="0.75000000000001088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0"/>
          <c:order val="0"/>
          <c:tx>
            <c:strRef>
              <c:f>'骨骼动画时间分布-508'!$T$30</c:f>
              <c:strCache>
                <c:ptCount val="1"/>
                <c:pt idx="0">
                  <c:v>线程串行</c:v>
                </c:pt>
              </c:strCache>
            </c:strRef>
          </c:tx>
          <c:dLbls>
            <c:dLblPos val="outEnd"/>
            <c:showVal val="1"/>
          </c:dLbls>
          <c:val>
            <c:numRef>
              <c:f>'骨骼动画时间分布-508'!$T$31:$T$34</c:f>
              <c:numCache>
                <c:formatCode>0.0_ </c:formatCode>
                <c:ptCount val="4"/>
                <c:pt idx="0" formatCode="0.00_ ">
                  <c:v>2.66</c:v>
                </c:pt>
                <c:pt idx="1">
                  <c:v>7.18</c:v>
                </c:pt>
                <c:pt idx="2">
                  <c:v>8.75</c:v>
                </c:pt>
                <c:pt idx="3">
                  <c:v>10.199999999999999</c:v>
                </c:pt>
              </c:numCache>
            </c:numRef>
          </c:val>
        </c:ser>
        <c:ser>
          <c:idx val="1"/>
          <c:order val="1"/>
          <c:tx>
            <c:strRef>
              <c:f>'骨骼动画时间分布-508'!$U$30</c:f>
              <c:strCache>
                <c:ptCount val="1"/>
                <c:pt idx="0">
                  <c:v>线程并行</c:v>
                </c:pt>
              </c:strCache>
            </c:strRef>
          </c:tx>
          <c:dLbls>
            <c:dLbl>
              <c:idx val="0"/>
              <c:layout>
                <c:manualLayout>
                  <c:x val="2.0202013774910755E-2"/>
                  <c:y val="4.3010752688172046E-2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2.4242416529892192E-2"/>
                  <c:y val="2.8673835125448292E-2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2.8282819284874867E-2"/>
                  <c:y val="2.150537634408603E-2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2.8282819284874867E-2"/>
                  <c:y val="2.150537634408603E-2"/>
                </c:manualLayout>
              </c:layout>
              <c:dLblPos val="outEnd"/>
              <c:showVal val="1"/>
            </c:dLbl>
            <c:dLblPos val="outEnd"/>
            <c:showVal val="1"/>
          </c:dLbls>
          <c:val>
            <c:numRef>
              <c:f>'骨骼动画时间分布-508'!$U$31:$U$34</c:f>
              <c:numCache>
                <c:formatCode>0.00_ </c:formatCode>
                <c:ptCount val="4"/>
                <c:pt idx="0">
                  <c:v>2.98</c:v>
                </c:pt>
                <c:pt idx="1">
                  <c:v>3.84</c:v>
                </c:pt>
                <c:pt idx="2">
                  <c:v>4.22</c:v>
                </c:pt>
                <c:pt idx="3">
                  <c:v>4.67</c:v>
                </c:pt>
              </c:numCache>
            </c:numRef>
          </c:val>
        </c:ser>
        <c:axId val="85032960"/>
        <c:axId val="85034496"/>
      </c:barChart>
      <c:catAx>
        <c:axId val="85032960"/>
        <c:scaling>
          <c:orientation val="minMax"/>
        </c:scaling>
        <c:axPos val="b"/>
        <c:tickLblPos val="nextTo"/>
        <c:crossAx val="85034496"/>
        <c:crosses val="autoZero"/>
        <c:auto val="1"/>
        <c:lblAlgn val="ctr"/>
        <c:lblOffset val="100"/>
      </c:catAx>
      <c:valAx>
        <c:axId val="85034496"/>
        <c:scaling>
          <c:orientation val="minMax"/>
        </c:scaling>
        <c:delete val="1"/>
        <c:axPos val="l"/>
        <c:numFmt formatCode="0.00_ " sourceLinked="1"/>
        <c:tickLblPos val="nextTo"/>
        <c:crossAx val="850329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2724097606612392"/>
          <c:y val="0.11690398075240596"/>
          <c:w val="0.23024028306998412"/>
          <c:h val="0.28703037120359981"/>
        </c:manualLayout>
      </c:layout>
    </c:legend>
    <c:plotVisOnly val="1"/>
    <c:dispBlanksAs val="gap"/>
  </c:chart>
  <c:printSettings>
    <c:headerFooter/>
    <c:pageMargins b="0.75000000000001055" l="0.70000000000000062" r="0.70000000000000062" t="0.75000000000001055" header="0.30000000000000032" footer="0.30000000000000032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0"/>
          <c:order val="0"/>
          <c:tx>
            <c:strRef>
              <c:f>'骨骼动画时间分布-508'!$V$30</c:f>
              <c:strCache>
                <c:ptCount val="1"/>
                <c:pt idx="0">
                  <c:v>线程串行</c:v>
                </c:pt>
              </c:strCache>
            </c:strRef>
          </c:tx>
          <c:dLbls>
            <c:dLblPos val="outEnd"/>
            <c:showVal val="1"/>
          </c:dLbls>
          <c:val>
            <c:numRef>
              <c:f>'骨骼动画时间分布-508'!$V$31:$V$34</c:f>
              <c:numCache>
                <c:formatCode>0.00_ </c:formatCode>
                <c:ptCount val="4"/>
                <c:pt idx="0">
                  <c:v>0.81999999999999984</c:v>
                </c:pt>
                <c:pt idx="1">
                  <c:v>5.09</c:v>
                </c:pt>
                <c:pt idx="2">
                  <c:v>6.54</c:v>
                </c:pt>
                <c:pt idx="3" formatCode="0.0_ ">
                  <c:v>8.07</c:v>
                </c:pt>
              </c:numCache>
            </c:numRef>
          </c:val>
        </c:ser>
        <c:ser>
          <c:idx val="1"/>
          <c:order val="1"/>
          <c:tx>
            <c:strRef>
              <c:f>'骨骼动画时间分布-508'!$W$30</c:f>
              <c:strCache>
                <c:ptCount val="1"/>
                <c:pt idx="0">
                  <c:v>线程并行</c:v>
                </c:pt>
              </c:strCache>
            </c:strRef>
          </c:tx>
          <c:dLbls>
            <c:dLbl>
              <c:idx val="0"/>
              <c:layout>
                <c:manualLayout>
                  <c:x val="2.0202013774910769E-2"/>
                  <c:y val="4.3010752688172046E-2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2.4242416529892192E-2"/>
                  <c:y val="2.8673835125448292E-2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2.8282819284874885E-2"/>
                  <c:y val="2.150537634408603E-2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2.8282819284874885E-2"/>
                  <c:y val="2.150537634408603E-2"/>
                </c:manualLayout>
              </c:layout>
              <c:dLblPos val="outEnd"/>
              <c:showVal val="1"/>
            </c:dLbl>
            <c:dLblPos val="outEnd"/>
            <c:showVal val="1"/>
          </c:dLbls>
          <c:val>
            <c:numRef>
              <c:f>'骨骼动画时间分布-508'!$W$31:$W$34</c:f>
              <c:numCache>
                <c:formatCode>0.00_ </c:formatCode>
                <c:ptCount val="4"/>
                <c:pt idx="0">
                  <c:v>0.35000000000000003</c:v>
                </c:pt>
                <c:pt idx="1">
                  <c:v>1.24</c:v>
                </c:pt>
                <c:pt idx="2">
                  <c:v>1.66</c:v>
                </c:pt>
                <c:pt idx="3">
                  <c:v>2.06</c:v>
                </c:pt>
              </c:numCache>
            </c:numRef>
          </c:val>
        </c:ser>
        <c:axId val="85293696"/>
        <c:axId val="85311872"/>
      </c:barChart>
      <c:catAx>
        <c:axId val="85293696"/>
        <c:scaling>
          <c:orientation val="minMax"/>
        </c:scaling>
        <c:axPos val="b"/>
        <c:tickLblPos val="nextTo"/>
        <c:crossAx val="85311872"/>
        <c:crosses val="autoZero"/>
        <c:auto val="1"/>
        <c:lblAlgn val="ctr"/>
        <c:lblOffset val="100"/>
      </c:catAx>
      <c:valAx>
        <c:axId val="85311872"/>
        <c:scaling>
          <c:orientation val="minMax"/>
        </c:scaling>
        <c:delete val="1"/>
        <c:axPos val="l"/>
        <c:numFmt formatCode="0.00_ " sourceLinked="1"/>
        <c:tickLblPos val="nextTo"/>
        <c:crossAx val="852936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2724097606612415"/>
          <c:y val="0.11690398075240596"/>
          <c:w val="0.23024028306998423"/>
          <c:h val="0.25925323850646914"/>
        </c:manualLayout>
      </c:layout>
    </c:legend>
    <c:plotVisOnly val="1"/>
    <c:dispBlanksAs val="gap"/>
  </c:chart>
  <c:printSettings>
    <c:headerFooter/>
    <c:pageMargins b="0.75000000000001077" l="0.70000000000000062" r="0.70000000000000062" t="0.75000000000001077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1"/>
          <c:order val="0"/>
          <c:tx>
            <c:strRef>
              <c:f>'870'!$B$15</c:f>
              <c:strCache>
                <c:ptCount val="1"/>
                <c:pt idx="0">
                  <c:v>CPP</c:v>
                </c:pt>
              </c:strCache>
            </c:strRef>
          </c:tx>
          <c:marker>
            <c:symbol val="none"/>
          </c:marker>
          <c:dLbls>
            <c:dLbl>
              <c:idx val="0"/>
              <c:layout>
                <c:manualLayout>
                  <c:x val="-6.8510791753495934E-2"/>
                  <c:y val="-3.1791399906787352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6.8510791753495934E-2"/>
                  <c:y val="-3.8021929501802935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6.8510791753495934E-2"/>
                  <c:y val="-3.8021929501802935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6.8510791753495934E-2"/>
                  <c:y val="-3.8021929501802935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6.8510791753495934E-2"/>
                  <c:y val="-3.8021929501802935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6.8510791753495934E-2"/>
                  <c:y val="-3.1791399906787296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6.8510791753495934E-2"/>
                  <c:y val="3.0513896043368356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5.3653901645902793E-2"/>
                  <c:y val="6.1666544018447032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'870'!$C$13:$J$13</c:f>
              <c:strCache>
                <c:ptCount val="8"/>
                <c:pt idx="0">
                  <c:v>2K</c:v>
                </c:pt>
                <c:pt idx="1">
                  <c:v>8K</c:v>
                </c:pt>
                <c:pt idx="2">
                  <c:v>32K</c:v>
                </c:pt>
                <c:pt idx="3">
                  <c:v>128K</c:v>
                </c:pt>
                <c:pt idx="4">
                  <c:v>256K</c:v>
                </c:pt>
                <c:pt idx="5">
                  <c:v>512K</c:v>
                </c:pt>
                <c:pt idx="6">
                  <c:v>1M</c:v>
                </c:pt>
                <c:pt idx="7">
                  <c:v>2M</c:v>
                </c:pt>
              </c:strCache>
            </c:strRef>
          </c:cat>
          <c:val>
            <c:numRef>
              <c:f>'870'!$C$15:$J$15</c:f>
              <c:numCache>
                <c:formatCode>0.00_ </c:formatCode>
                <c:ptCount val="8"/>
                <c:pt idx="0">
                  <c:v>0.10500000000000001</c:v>
                </c:pt>
                <c:pt idx="1">
                  <c:v>0.19199999999999998</c:v>
                </c:pt>
                <c:pt idx="2" formatCode="General">
                  <c:v>0.21</c:v>
                </c:pt>
                <c:pt idx="3">
                  <c:v>0.34799999999999998</c:v>
                </c:pt>
                <c:pt idx="4">
                  <c:v>0.42099999999999993</c:v>
                </c:pt>
                <c:pt idx="5" formatCode="General">
                  <c:v>0.98999999999999977</c:v>
                </c:pt>
                <c:pt idx="6">
                  <c:v>1.7000000000000002</c:v>
                </c:pt>
                <c:pt idx="7" formatCode="General">
                  <c:v>3.4199999999999995</c:v>
                </c:pt>
              </c:numCache>
            </c:numRef>
          </c:val>
        </c:ser>
        <c:ser>
          <c:idx val="3"/>
          <c:order val="1"/>
          <c:tx>
            <c:strRef>
              <c:f>'870'!$B$17</c:f>
              <c:strCache>
                <c:ptCount val="1"/>
                <c:pt idx="0">
                  <c:v>OpenCL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'870'!$C$13:$J$13</c:f>
              <c:strCache>
                <c:ptCount val="8"/>
                <c:pt idx="0">
                  <c:v>2K</c:v>
                </c:pt>
                <c:pt idx="1">
                  <c:v>8K</c:v>
                </c:pt>
                <c:pt idx="2">
                  <c:v>32K</c:v>
                </c:pt>
                <c:pt idx="3">
                  <c:v>128K</c:v>
                </c:pt>
                <c:pt idx="4">
                  <c:v>256K</c:v>
                </c:pt>
                <c:pt idx="5">
                  <c:v>512K</c:v>
                </c:pt>
                <c:pt idx="6">
                  <c:v>1M</c:v>
                </c:pt>
                <c:pt idx="7">
                  <c:v>2M</c:v>
                </c:pt>
              </c:strCache>
            </c:strRef>
          </c:cat>
          <c:val>
            <c:numRef>
              <c:f>'870'!$C$17:$J$17</c:f>
              <c:numCache>
                <c:formatCode>0.00_ </c:formatCode>
                <c:ptCount val="8"/>
                <c:pt idx="0" formatCode="General">
                  <c:v>0.96000000000000008</c:v>
                </c:pt>
                <c:pt idx="1">
                  <c:v>1.0329999999999999</c:v>
                </c:pt>
                <c:pt idx="2">
                  <c:v>1.097</c:v>
                </c:pt>
                <c:pt idx="3">
                  <c:v>1.2689999999999999</c:v>
                </c:pt>
                <c:pt idx="4">
                  <c:v>1.4409999999999998</c:v>
                </c:pt>
                <c:pt idx="5" formatCode="General">
                  <c:v>1.8199999999999998</c:v>
                </c:pt>
                <c:pt idx="6" formatCode="General">
                  <c:v>2.62</c:v>
                </c:pt>
                <c:pt idx="7" formatCode="General">
                  <c:v>4.42</c:v>
                </c:pt>
              </c:numCache>
            </c:numRef>
          </c:val>
        </c:ser>
        <c:dLbls>
          <c:showVal val="1"/>
        </c:dLbls>
        <c:marker val="1"/>
        <c:axId val="62603648"/>
        <c:axId val="62605184"/>
      </c:lineChart>
      <c:catAx>
        <c:axId val="62603648"/>
        <c:scaling>
          <c:orientation val="minMax"/>
        </c:scaling>
        <c:axPos val="b"/>
        <c:numFmt formatCode="General" sourceLinked="0"/>
        <c:majorTickMark val="none"/>
        <c:tickLblPos val="nextTo"/>
        <c:spPr>
          <a:ln w="9525">
            <a:noFill/>
          </a:ln>
        </c:spPr>
        <c:crossAx val="62605184"/>
        <c:crosses val="autoZero"/>
        <c:auto val="1"/>
        <c:lblAlgn val="ctr"/>
        <c:lblOffset val="100"/>
      </c:catAx>
      <c:valAx>
        <c:axId val="62605184"/>
        <c:scaling>
          <c:orientation val="minMax"/>
        </c:scaling>
        <c:delete val="1"/>
        <c:axPos val="l"/>
        <c:numFmt formatCode="0.00_ " sourceLinked="1"/>
        <c:majorTickMark val="none"/>
        <c:tickLblPos val="none"/>
        <c:crossAx val="62603648"/>
        <c:crosses val="autoZero"/>
        <c:crossBetween val="between"/>
      </c:valAx>
    </c:plotArea>
    <c:legend>
      <c:legendPos val="b"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'骨骼动画时间分布-508'!$Y$30</c:f>
              <c:strCache>
                <c:ptCount val="1"/>
                <c:pt idx="0">
                  <c:v>局部</c:v>
                </c:pt>
              </c:strCache>
            </c:strRef>
          </c:tx>
          <c:dLbls>
            <c:dLblPos val="t"/>
            <c:showVal val="1"/>
          </c:dLbls>
          <c:val>
            <c:numRef>
              <c:f>'骨骼动画时间分布-508'!$Y$31:$Y$34</c:f>
              <c:numCache>
                <c:formatCode>0.0_ </c:formatCode>
                <c:ptCount val="4"/>
                <c:pt idx="0">
                  <c:v>2.3428571428571421</c:v>
                </c:pt>
                <c:pt idx="1">
                  <c:v>4.104838709677419</c:v>
                </c:pt>
                <c:pt idx="2">
                  <c:v>3.9397590361445785</c:v>
                </c:pt>
                <c:pt idx="3">
                  <c:v>3.9174757281553401</c:v>
                </c:pt>
              </c:numCache>
            </c:numRef>
          </c:val>
        </c:ser>
        <c:ser>
          <c:idx val="1"/>
          <c:order val="1"/>
          <c:tx>
            <c:strRef>
              <c:f>'骨骼动画时间分布-508'!$Z$30</c:f>
              <c:strCache>
                <c:ptCount val="1"/>
                <c:pt idx="0">
                  <c:v>全局</c:v>
                </c:pt>
              </c:strCache>
            </c:strRef>
          </c:tx>
          <c:dLbls>
            <c:dLbl>
              <c:idx val="0"/>
              <c:layout>
                <c:manualLayout>
                  <c:x val="0"/>
                  <c:y val="8.0459770114942528E-2"/>
                </c:manualLayout>
              </c:layout>
              <c:dLblPos val="t"/>
              <c:showVal val="1"/>
            </c:dLbl>
            <c:dLbl>
              <c:idx val="1"/>
              <c:layout>
                <c:manualLayout>
                  <c:x val="5.4421768707482955E-3"/>
                  <c:y val="9.1954022988505746E-2"/>
                </c:manualLayout>
              </c:layout>
              <c:dLblPos val="t"/>
              <c:showVal val="1"/>
            </c:dLbl>
            <c:dLbl>
              <c:idx val="2"/>
              <c:layout>
                <c:manualLayout>
                  <c:x val="4.9886045027348759E-17"/>
                  <c:y val="6.8965517241379309E-2"/>
                </c:manualLayout>
              </c:layout>
              <c:dLblPos val="t"/>
              <c:showVal val="1"/>
            </c:dLbl>
            <c:dLbl>
              <c:idx val="3"/>
              <c:layout>
                <c:manualLayout>
                  <c:x val="5.4421768707482956E-2"/>
                  <c:y val="8.0459770114942528E-2"/>
                </c:manualLayout>
              </c:layout>
              <c:dLblPos val="t"/>
              <c:showVal val="1"/>
            </c:dLbl>
            <c:dLblPos val="t"/>
            <c:showVal val="1"/>
          </c:dLbls>
          <c:val>
            <c:numRef>
              <c:f>'骨骼动画时间分布-508'!$Z$31:$Z$34</c:f>
              <c:numCache>
                <c:formatCode>0.0_ </c:formatCode>
                <c:ptCount val="4"/>
                <c:pt idx="0">
                  <c:v>0.89261744966442957</c:v>
                </c:pt>
                <c:pt idx="1">
                  <c:v>1.8697916666666667</c:v>
                </c:pt>
                <c:pt idx="2">
                  <c:v>2.0734597156398107</c:v>
                </c:pt>
                <c:pt idx="3">
                  <c:v>2.1841541755888652</c:v>
                </c:pt>
              </c:numCache>
            </c:numRef>
          </c:val>
        </c:ser>
        <c:dLbls>
          <c:showVal val="1"/>
        </c:dLbls>
        <c:marker val="1"/>
        <c:axId val="87307392"/>
        <c:axId val="87308928"/>
      </c:lineChart>
      <c:catAx>
        <c:axId val="87307392"/>
        <c:scaling>
          <c:orientation val="minMax"/>
        </c:scaling>
        <c:axPos val="b"/>
        <c:tickLblPos val="nextTo"/>
        <c:crossAx val="87308928"/>
        <c:crosses val="autoZero"/>
        <c:auto val="1"/>
        <c:lblAlgn val="ctr"/>
        <c:lblOffset val="100"/>
      </c:catAx>
      <c:valAx>
        <c:axId val="87308928"/>
        <c:scaling>
          <c:orientation val="minMax"/>
        </c:scaling>
        <c:delete val="1"/>
        <c:axPos val="l"/>
        <c:numFmt formatCode="0.0_ " sourceLinked="1"/>
        <c:tickLblPos val="nextTo"/>
        <c:crossAx val="8730739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1055" l="0.70000000000000062" r="0.70000000000000062" t="0.75000000000001055" header="0.30000000000000032" footer="0.30000000000000032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0"/>
          <c:order val="0"/>
          <c:tx>
            <c:strRef>
              <c:f>'骨骼动画时间分布-508'!$T$42</c:f>
              <c:strCache>
                <c:ptCount val="1"/>
                <c:pt idx="0">
                  <c:v>指令串行</c:v>
                </c:pt>
              </c:strCache>
            </c:strRef>
          </c:tx>
          <c:dLbls>
            <c:dLblPos val="outEnd"/>
            <c:showVal val="1"/>
          </c:dLbls>
          <c:val>
            <c:numRef>
              <c:f>'骨骼动画时间分布-508'!$T$43:$T$46</c:f>
              <c:numCache>
                <c:formatCode>0.0_ </c:formatCode>
                <c:ptCount val="4"/>
                <c:pt idx="0">
                  <c:v>2.66</c:v>
                </c:pt>
                <c:pt idx="1">
                  <c:v>7.18</c:v>
                </c:pt>
                <c:pt idx="2">
                  <c:v>8.75</c:v>
                </c:pt>
                <c:pt idx="3">
                  <c:v>10.199999999999999</c:v>
                </c:pt>
              </c:numCache>
            </c:numRef>
          </c:val>
        </c:ser>
        <c:ser>
          <c:idx val="1"/>
          <c:order val="1"/>
          <c:tx>
            <c:strRef>
              <c:f>'骨骼动画时间分布-508'!$U$42</c:f>
              <c:strCache>
                <c:ptCount val="1"/>
                <c:pt idx="0">
                  <c:v>指令并行</c:v>
                </c:pt>
              </c:strCache>
            </c:strRef>
          </c:tx>
          <c:dLbls>
            <c:dLbl>
              <c:idx val="0"/>
              <c:layout>
                <c:manualLayout>
                  <c:x val="2.0202013774910769E-2"/>
                  <c:y val="4.3010752688172046E-2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2.4242416529892192E-2"/>
                  <c:y val="2.8673835125448292E-2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2.8282819284874885E-2"/>
                  <c:y val="2.150537634408603E-2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2.8282819284874885E-2"/>
                  <c:y val="2.150537634408603E-2"/>
                </c:manualLayout>
              </c:layout>
              <c:dLblPos val="outEnd"/>
              <c:showVal val="1"/>
            </c:dLbl>
            <c:dLblPos val="outEnd"/>
            <c:showVal val="1"/>
          </c:dLbls>
          <c:val>
            <c:numRef>
              <c:f>'骨骼动画时间分布-508'!$U$43:$U$46</c:f>
              <c:numCache>
                <c:formatCode>0.0_ </c:formatCode>
                <c:ptCount val="4"/>
                <c:pt idx="0">
                  <c:v>2.2999999999999998</c:v>
                </c:pt>
                <c:pt idx="1">
                  <c:v>3.34</c:v>
                </c:pt>
                <c:pt idx="2">
                  <c:v>3.85</c:v>
                </c:pt>
                <c:pt idx="3">
                  <c:v>4.54</c:v>
                </c:pt>
              </c:numCache>
            </c:numRef>
          </c:val>
        </c:ser>
        <c:axId val="87350656"/>
        <c:axId val="88507520"/>
      </c:barChart>
      <c:catAx>
        <c:axId val="87350656"/>
        <c:scaling>
          <c:orientation val="minMax"/>
        </c:scaling>
        <c:axPos val="b"/>
        <c:tickLblPos val="nextTo"/>
        <c:crossAx val="88507520"/>
        <c:crosses val="autoZero"/>
        <c:auto val="1"/>
        <c:lblAlgn val="ctr"/>
        <c:lblOffset val="100"/>
      </c:catAx>
      <c:valAx>
        <c:axId val="88507520"/>
        <c:scaling>
          <c:orientation val="minMax"/>
        </c:scaling>
        <c:delete val="1"/>
        <c:axPos val="l"/>
        <c:numFmt formatCode="0.0_ " sourceLinked="1"/>
        <c:tickLblPos val="nextTo"/>
        <c:crossAx val="873506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2724097606612415"/>
          <c:y val="0.11690398075240596"/>
          <c:w val="0.23024028306998423"/>
          <c:h val="0.28703037120359981"/>
        </c:manualLayout>
      </c:layout>
    </c:legend>
    <c:plotVisOnly val="1"/>
    <c:dispBlanksAs val="gap"/>
  </c:chart>
  <c:printSettings>
    <c:headerFooter/>
    <c:pageMargins b="0.75000000000001077" l="0.70000000000000062" r="0.70000000000000062" t="0.75000000000001077" header="0.30000000000000032" footer="0.30000000000000032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0"/>
          <c:order val="0"/>
          <c:tx>
            <c:strRef>
              <c:f>'骨骼动画时间分布-508'!$V$42</c:f>
              <c:strCache>
                <c:ptCount val="1"/>
                <c:pt idx="0">
                  <c:v>指令串行</c:v>
                </c:pt>
              </c:strCache>
            </c:strRef>
          </c:tx>
          <c:dLbls>
            <c:dLblPos val="outEnd"/>
            <c:showVal val="1"/>
          </c:dLbls>
          <c:val>
            <c:numRef>
              <c:f>'骨骼动画时间分布-508'!$V$43:$V$46</c:f>
              <c:numCache>
                <c:formatCode>0.0_ </c:formatCode>
                <c:ptCount val="4"/>
                <c:pt idx="0">
                  <c:v>0.81999999999999984</c:v>
                </c:pt>
                <c:pt idx="1">
                  <c:v>5.09</c:v>
                </c:pt>
                <c:pt idx="2">
                  <c:v>6.54</c:v>
                </c:pt>
                <c:pt idx="3">
                  <c:v>8.07</c:v>
                </c:pt>
              </c:numCache>
            </c:numRef>
          </c:val>
        </c:ser>
        <c:ser>
          <c:idx val="1"/>
          <c:order val="1"/>
          <c:tx>
            <c:strRef>
              <c:f>'骨骼动画时间分布-508'!$W$42</c:f>
              <c:strCache>
                <c:ptCount val="1"/>
                <c:pt idx="0">
                  <c:v>指令并行</c:v>
                </c:pt>
              </c:strCache>
            </c:strRef>
          </c:tx>
          <c:dLbls>
            <c:dLbl>
              <c:idx val="0"/>
              <c:layout>
                <c:manualLayout>
                  <c:x val="2.0202013774910786E-2"/>
                  <c:y val="4.3010752688172046E-2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2.4242416529892192E-2"/>
                  <c:y val="2.8673835125448292E-2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2.8282819284874895E-2"/>
                  <c:y val="2.150537634408603E-2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2.8282819284874895E-2"/>
                  <c:y val="2.150537634408603E-2"/>
                </c:manualLayout>
              </c:layout>
              <c:dLblPos val="outEnd"/>
              <c:showVal val="1"/>
            </c:dLbl>
            <c:dLblPos val="outEnd"/>
            <c:showVal val="1"/>
          </c:dLbls>
          <c:val>
            <c:numRef>
              <c:f>'骨骼动画时间分布-508'!$W$43:$W$46</c:f>
              <c:numCache>
                <c:formatCode>0.0_ </c:formatCode>
                <c:ptCount val="4"/>
                <c:pt idx="0">
                  <c:v>0.31</c:v>
                </c:pt>
                <c:pt idx="1">
                  <c:v>1.29</c:v>
                </c:pt>
                <c:pt idx="2">
                  <c:v>1.8099999999999998</c:v>
                </c:pt>
                <c:pt idx="3">
                  <c:v>2.46</c:v>
                </c:pt>
              </c:numCache>
            </c:numRef>
          </c:val>
        </c:ser>
        <c:axId val="88409984"/>
        <c:axId val="88411520"/>
      </c:barChart>
      <c:catAx>
        <c:axId val="88409984"/>
        <c:scaling>
          <c:orientation val="minMax"/>
        </c:scaling>
        <c:axPos val="b"/>
        <c:tickLblPos val="nextTo"/>
        <c:crossAx val="88411520"/>
        <c:crosses val="autoZero"/>
        <c:auto val="1"/>
        <c:lblAlgn val="ctr"/>
        <c:lblOffset val="100"/>
      </c:catAx>
      <c:valAx>
        <c:axId val="88411520"/>
        <c:scaling>
          <c:orientation val="minMax"/>
        </c:scaling>
        <c:delete val="1"/>
        <c:axPos val="l"/>
        <c:numFmt formatCode="0.0_ " sourceLinked="1"/>
        <c:tickLblPos val="nextTo"/>
        <c:crossAx val="884099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2724097606612448"/>
          <c:y val="0.11690398075240596"/>
          <c:w val="0.23024028306998429"/>
          <c:h val="0.25925323850646903"/>
        </c:manualLayout>
      </c:layout>
    </c:legend>
    <c:plotVisOnly val="1"/>
    <c:dispBlanksAs val="gap"/>
  </c:chart>
  <c:printSettings>
    <c:headerFooter/>
    <c:pageMargins b="0.75000000000001121" l="0.70000000000000062" r="0.70000000000000062" t="0.75000000000001121" header="0.30000000000000032" footer="0.30000000000000032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'骨骼动画时间分布-508'!$Y$42</c:f>
              <c:strCache>
                <c:ptCount val="1"/>
                <c:pt idx="0">
                  <c:v>局部</c:v>
                </c:pt>
              </c:strCache>
            </c:strRef>
          </c:tx>
          <c:dLbls>
            <c:dLbl>
              <c:idx val="0"/>
              <c:layout>
                <c:manualLayout>
                  <c:x val="0"/>
                  <c:y val="2.8368794326241127E-2"/>
                </c:manualLayout>
              </c:layout>
              <c:dLblPos val="t"/>
              <c:showVal val="1"/>
            </c:dLbl>
            <c:dLbl>
              <c:idx val="1"/>
              <c:layout>
                <c:manualLayout>
                  <c:x val="0"/>
                  <c:y val="3.7825059101654845E-2"/>
                </c:manualLayout>
              </c:layout>
              <c:dLblPos val="t"/>
              <c:showVal val="1"/>
            </c:dLbl>
            <c:dLbl>
              <c:idx val="2"/>
              <c:layout>
                <c:manualLayout>
                  <c:x val="4.9886045027348759E-17"/>
                  <c:y val="3.7825059101654832E-2"/>
                </c:manualLayout>
              </c:layout>
              <c:dLblPos val="t"/>
              <c:showVal val="1"/>
            </c:dLbl>
            <c:dLbl>
              <c:idx val="3"/>
              <c:layout>
                <c:manualLayout>
                  <c:x val="0"/>
                  <c:y val="4.7281323877068564E-2"/>
                </c:manualLayout>
              </c:layout>
              <c:dLblPos val="t"/>
              <c:showVal val="1"/>
            </c:dLbl>
            <c:dLblPos val="t"/>
            <c:showVal val="1"/>
          </c:dLbls>
          <c:val>
            <c:numRef>
              <c:f>'骨骼动画时间分布-508'!$Y$43:$Y$46</c:f>
              <c:numCache>
                <c:formatCode>0.0_ </c:formatCode>
                <c:ptCount val="4"/>
                <c:pt idx="0">
                  <c:v>2.6451612903225801</c:v>
                </c:pt>
                <c:pt idx="1">
                  <c:v>3.945736434108527</c:v>
                </c:pt>
                <c:pt idx="2">
                  <c:v>3.6132596685082876</c:v>
                </c:pt>
                <c:pt idx="3">
                  <c:v>3.280487804878049</c:v>
                </c:pt>
              </c:numCache>
            </c:numRef>
          </c:val>
        </c:ser>
        <c:ser>
          <c:idx val="1"/>
          <c:order val="1"/>
          <c:tx>
            <c:strRef>
              <c:f>'骨骼动画时间分布-508'!$Z$42</c:f>
              <c:strCache>
                <c:ptCount val="1"/>
                <c:pt idx="0">
                  <c:v>全局</c:v>
                </c:pt>
              </c:strCache>
            </c:strRef>
          </c:tx>
          <c:dLbls>
            <c:dLbl>
              <c:idx val="0"/>
              <c:layout>
                <c:manualLayout>
                  <c:x val="5.4421768707482955E-3"/>
                  <c:y val="0.19393458796373858"/>
                </c:manualLayout>
              </c:layout>
              <c:dLblPos val="t"/>
              <c:showVal val="1"/>
            </c:dLbl>
            <c:dLbl>
              <c:idx val="1"/>
              <c:layout>
                <c:manualLayout>
                  <c:x val="0"/>
                  <c:y val="0.22434131903724799"/>
                </c:manualLayout>
              </c:layout>
              <c:dLblPos val="t"/>
              <c:showVal val="1"/>
            </c:dLbl>
            <c:dLbl>
              <c:idx val="2"/>
              <c:layout>
                <c:manualLayout>
                  <c:x val="-4.285178638384649E-7"/>
                  <c:y val="0.19189590662869269"/>
                </c:manualLayout>
              </c:layout>
              <c:dLblPos val="t"/>
              <c:showVal val="1"/>
            </c:dLbl>
            <c:dLbl>
              <c:idx val="3"/>
              <c:layout>
                <c:manualLayout>
                  <c:x val="5.4421768707482956E-2"/>
                  <c:y val="0.19393458796373858"/>
                </c:manualLayout>
              </c:layout>
              <c:dLblPos val="t"/>
              <c:showVal val="1"/>
            </c:dLbl>
            <c:dLblPos val="t"/>
            <c:showVal val="1"/>
          </c:dLbls>
          <c:val>
            <c:numRef>
              <c:f>'骨骼动画时间分布-508'!$Z$43:$Z$46</c:f>
              <c:numCache>
                <c:formatCode>0.0_ </c:formatCode>
                <c:ptCount val="4"/>
                <c:pt idx="0">
                  <c:v>1.156521739130435</c:v>
                </c:pt>
                <c:pt idx="1">
                  <c:v>2.1497005988023954</c:v>
                </c:pt>
                <c:pt idx="2">
                  <c:v>2.2727272727272725</c:v>
                </c:pt>
                <c:pt idx="3">
                  <c:v>2.2466960352422904</c:v>
                </c:pt>
              </c:numCache>
            </c:numRef>
          </c:val>
        </c:ser>
        <c:dLbls>
          <c:showVal val="1"/>
        </c:dLbls>
        <c:marker val="1"/>
        <c:axId val="88469888"/>
        <c:axId val="88471424"/>
      </c:lineChart>
      <c:catAx>
        <c:axId val="88469888"/>
        <c:scaling>
          <c:orientation val="minMax"/>
        </c:scaling>
        <c:axPos val="b"/>
        <c:tickLblPos val="nextTo"/>
        <c:crossAx val="88471424"/>
        <c:crosses val="autoZero"/>
        <c:auto val="1"/>
        <c:lblAlgn val="ctr"/>
        <c:lblOffset val="100"/>
      </c:catAx>
      <c:valAx>
        <c:axId val="88471424"/>
        <c:scaling>
          <c:orientation val="minMax"/>
        </c:scaling>
        <c:delete val="1"/>
        <c:axPos val="l"/>
        <c:numFmt formatCode="0.0_ " sourceLinked="1"/>
        <c:tickLblPos val="nextTo"/>
        <c:crossAx val="8846988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1077" l="0.70000000000000062" r="0.70000000000000062" t="0.75000000000001077" header="0.30000000000000032" footer="0.30000000000000032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0"/>
          <c:order val="0"/>
          <c:tx>
            <c:strRef>
              <c:f>'骨骼动画时间分布-508'!$T$74</c:f>
              <c:strCache>
                <c:ptCount val="1"/>
                <c:pt idx="0">
                  <c:v>串行</c:v>
                </c:pt>
              </c:strCache>
            </c:strRef>
          </c:tx>
          <c:dLbls>
            <c:dLblPos val="outEnd"/>
            <c:showVal val="1"/>
          </c:dLbls>
          <c:val>
            <c:numRef>
              <c:f>'骨骼动画时间分布-508'!$T$75:$T$78</c:f>
              <c:numCache>
                <c:formatCode>0.0_ </c:formatCode>
                <c:ptCount val="4"/>
                <c:pt idx="0">
                  <c:v>2.66</c:v>
                </c:pt>
                <c:pt idx="1">
                  <c:v>7.18</c:v>
                </c:pt>
                <c:pt idx="2">
                  <c:v>8.75</c:v>
                </c:pt>
                <c:pt idx="3">
                  <c:v>10.199999999999999</c:v>
                </c:pt>
              </c:numCache>
            </c:numRef>
          </c:val>
        </c:ser>
        <c:ser>
          <c:idx val="1"/>
          <c:order val="1"/>
          <c:tx>
            <c:strRef>
              <c:f>'骨骼动画时间分布-508'!$U$74</c:f>
              <c:strCache>
                <c:ptCount val="1"/>
                <c:pt idx="0">
                  <c:v>完全并行</c:v>
                </c:pt>
              </c:strCache>
            </c:strRef>
          </c:tx>
          <c:dLbls>
            <c:dLbl>
              <c:idx val="0"/>
              <c:layout>
                <c:manualLayout>
                  <c:x val="2.0202013774910786E-2"/>
                  <c:y val="4.3010752688172046E-2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2.4242416529892192E-2"/>
                  <c:y val="2.8673835125448292E-2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2.8282819284874895E-2"/>
                  <c:y val="2.150537634408603E-2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2.8282819284874895E-2"/>
                  <c:y val="2.150537634408603E-2"/>
                </c:manualLayout>
              </c:layout>
              <c:dLblPos val="outEnd"/>
              <c:showVal val="1"/>
            </c:dLbl>
            <c:dLblPos val="outEnd"/>
            <c:showVal val="1"/>
          </c:dLbls>
          <c:val>
            <c:numRef>
              <c:f>'骨骼动画时间分布-508'!$U$75:$U$78</c:f>
              <c:numCache>
                <c:formatCode>0.0_ </c:formatCode>
                <c:ptCount val="4"/>
                <c:pt idx="0">
                  <c:v>2.65</c:v>
                </c:pt>
                <c:pt idx="1">
                  <c:v>2.86</c:v>
                </c:pt>
                <c:pt idx="2">
                  <c:v>3.06</c:v>
                </c:pt>
                <c:pt idx="3">
                  <c:v>3.2</c:v>
                </c:pt>
              </c:numCache>
            </c:numRef>
          </c:val>
        </c:ser>
        <c:axId val="88578688"/>
        <c:axId val="88596864"/>
      </c:barChart>
      <c:catAx>
        <c:axId val="88578688"/>
        <c:scaling>
          <c:orientation val="minMax"/>
        </c:scaling>
        <c:axPos val="b"/>
        <c:tickLblPos val="nextTo"/>
        <c:crossAx val="88596864"/>
        <c:crosses val="autoZero"/>
        <c:auto val="1"/>
        <c:lblAlgn val="ctr"/>
        <c:lblOffset val="100"/>
      </c:catAx>
      <c:valAx>
        <c:axId val="88596864"/>
        <c:scaling>
          <c:orientation val="minMax"/>
        </c:scaling>
        <c:delete val="1"/>
        <c:axPos val="l"/>
        <c:numFmt formatCode="0.0_ " sourceLinked="1"/>
        <c:tickLblPos val="nextTo"/>
        <c:crossAx val="885786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2724097606612448"/>
          <c:y val="0.11690398075240596"/>
          <c:w val="0.23024028306998429"/>
          <c:h val="0.28703037120359981"/>
        </c:manualLayout>
      </c:layout>
    </c:legend>
    <c:plotVisOnly val="1"/>
    <c:dispBlanksAs val="gap"/>
  </c:chart>
  <c:printSettings>
    <c:headerFooter/>
    <c:pageMargins b="0.75000000000001099" l="0.70000000000000062" r="0.70000000000000062" t="0.75000000000001099" header="0.30000000000000032" footer="0.30000000000000032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0"/>
          <c:order val="0"/>
          <c:tx>
            <c:strRef>
              <c:f>'骨骼动画时间分布-508'!$V$74</c:f>
              <c:strCache>
                <c:ptCount val="1"/>
                <c:pt idx="0">
                  <c:v>串行</c:v>
                </c:pt>
              </c:strCache>
            </c:strRef>
          </c:tx>
          <c:dLbls>
            <c:dLblPos val="outEnd"/>
            <c:showVal val="1"/>
          </c:dLbls>
          <c:val>
            <c:numRef>
              <c:f>'骨骼动画时间分布-508'!$V$75:$V$78</c:f>
              <c:numCache>
                <c:formatCode>0.0_ </c:formatCode>
                <c:ptCount val="4"/>
                <c:pt idx="0">
                  <c:v>0.81999999999999984</c:v>
                </c:pt>
                <c:pt idx="1">
                  <c:v>5.09</c:v>
                </c:pt>
                <c:pt idx="2">
                  <c:v>6.54</c:v>
                </c:pt>
                <c:pt idx="3">
                  <c:v>8.07</c:v>
                </c:pt>
              </c:numCache>
            </c:numRef>
          </c:val>
        </c:ser>
        <c:ser>
          <c:idx val="1"/>
          <c:order val="1"/>
          <c:tx>
            <c:strRef>
              <c:f>'骨骼动画时间分布-508'!$W$74</c:f>
              <c:strCache>
                <c:ptCount val="1"/>
                <c:pt idx="0">
                  <c:v>完全并行</c:v>
                </c:pt>
              </c:strCache>
            </c:strRef>
          </c:tx>
          <c:dLbls>
            <c:dLbl>
              <c:idx val="0"/>
              <c:layout>
                <c:manualLayout>
                  <c:x val="2.0201879460121717E-2"/>
                  <c:y val="2.0538801067209612E-2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2.4242255352145217E-2"/>
                  <c:y val="2.1183172957967816E-2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2.8282819284874902E-2"/>
                  <c:y val="2.150537634408603E-2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2.8282819284874902E-2"/>
                  <c:y val="2.150537634408603E-2"/>
                </c:manualLayout>
              </c:layout>
              <c:dLblPos val="outEnd"/>
              <c:showVal val="1"/>
            </c:dLbl>
            <c:dLblPos val="outEnd"/>
            <c:showVal val="1"/>
          </c:dLbls>
          <c:val>
            <c:numRef>
              <c:f>'骨骼动画时间分布-508'!$W$75:$W$78</c:f>
              <c:numCache>
                <c:formatCode>0.0_ </c:formatCode>
                <c:ptCount val="4"/>
                <c:pt idx="0">
                  <c:v>9.9999999999999978E-2</c:v>
                </c:pt>
                <c:pt idx="1">
                  <c:v>0.31</c:v>
                </c:pt>
                <c:pt idx="2">
                  <c:v>0.45</c:v>
                </c:pt>
                <c:pt idx="3">
                  <c:v>0.59000000000000008</c:v>
                </c:pt>
              </c:numCache>
            </c:numRef>
          </c:val>
        </c:ser>
        <c:axId val="88638592"/>
        <c:axId val="88640128"/>
      </c:barChart>
      <c:catAx>
        <c:axId val="88638592"/>
        <c:scaling>
          <c:orientation val="minMax"/>
        </c:scaling>
        <c:axPos val="b"/>
        <c:tickLblPos val="nextTo"/>
        <c:crossAx val="88640128"/>
        <c:crosses val="autoZero"/>
        <c:auto val="1"/>
        <c:lblAlgn val="ctr"/>
        <c:lblOffset val="100"/>
      </c:catAx>
      <c:valAx>
        <c:axId val="88640128"/>
        <c:scaling>
          <c:orientation val="minMax"/>
        </c:scaling>
        <c:delete val="1"/>
        <c:axPos val="l"/>
        <c:numFmt formatCode="0.0_ " sourceLinked="1"/>
        <c:tickLblPos val="nextTo"/>
        <c:crossAx val="886385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2724097606612481"/>
          <c:y val="0.11690398075240596"/>
          <c:w val="0.23024028306998434"/>
          <c:h val="0.25925323850646886"/>
        </c:manualLayout>
      </c:layout>
    </c:legend>
    <c:plotVisOnly val="1"/>
    <c:dispBlanksAs val="gap"/>
  </c:chart>
  <c:printSettings>
    <c:headerFooter/>
    <c:pageMargins b="0.75000000000001144" l="0.70000000000000062" r="0.70000000000000062" t="0.75000000000001144" header="0.30000000000000032" footer="0.30000000000000032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'骨骼动画时间分布-508'!$Y$74</c:f>
              <c:strCache>
                <c:ptCount val="1"/>
                <c:pt idx="0">
                  <c:v>局部</c:v>
                </c:pt>
              </c:strCache>
            </c:strRef>
          </c:tx>
          <c:dLbls>
            <c:dLbl>
              <c:idx val="0"/>
              <c:layout>
                <c:manualLayout>
                  <c:x val="0"/>
                  <c:y val="2.8368794326241127E-2"/>
                </c:manualLayout>
              </c:layout>
              <c:dLblPos val="t"/>
              <c:showVal val="1"/>
            </c:dLbl>
            <c:dLbl>
              <c:idx val="1"/>
              <c:layout>
                <c:manualLayout>
                  <c:x val="0"/>
                  <c:y val="3.7825059101654845E-2"/>
                </c:manualLayout>
              </c:layout>
              <c:dLblPos val="t"/>
              <c:showVal val="1"/>
            </c:dLbl>
            <c:dLbl>
              <c:idx val="2"/>
              <c:layout>
                <c:manualLayout>
                  <c:x val="4.9886045027348876E-17"/>
                  <c:y val="3.7825059101654832E-2"/>
                </c:manualLayout>
              </c:layout>
              <c:dLblPos val="t"/>
              <c:showVal val="1"/>
            </c:dLbl>
            <c:dLbl>
              <c:idx val="3"/>
              <c:layout>
                <c:manualLayout>
                  <c:x val="0"/>
                  <c:y val="4.7281323877068564E-2"/>
                </c:manualLayout>
              </c:layout>
              <c:dLblPos val="t"/>
              <c:showVal val="1"/>
            </c:dLbl>
            <c:dLblPos val="t"/>
            <c:showVal val="1"/>
          </c:dLbls>
          <c:val>
            <c:numRef>
              <c:f>'骨骼动画时间分布-508'!$Y$75:$Y$78</c:f>
              <c:numCache>
                <c:formatCode>0.0_ </c:formatCode>
                <c:ptCount val="4"/>
                <c:pt idx="0">
                  <c:v>8.2000000000000011</c:v>
                </c:pt>
                <c:pt idx="1">
                  <c:v>16.419354838709676</c:v>
                </c:pt>
                <c:pt idx="2">
                  <c:v>14.533333333333333</c:v>
                </c:pt>
                <c:pt idx="3">
                  <c:v>13.677966101694913</c:v>
                </c:pt>
              </c:numCache>
            </c:numRef>
          </c:val>
        </c:ser>
        <c:ser>
          <c:idx val="1"/>
          <c:order val="1"/>
          <c:tx>
            <c:strRef>
              <c:f>'骨骼动画时间分布-508'!$Z$74</c:f>
              <c:strCache>
                <c:ptCount val="1"/>
                <c:pt idx="0">
                  <c:v>全局</c:v>
                </c:pt>
              </c:strCache>
            </c:strRef>
          </c:tx>
          <c:dLbls>
            <c:dLbl>
              <c:idx val="0"/>
              <c:layout>
                <c:manualLayout>
                  <c:x val="-5.4421768707482955E-3"/>
                  <c:y val="5.2090616332534673E-2"/>
                </c:manualLayout>
              </c:layout>
              <c:dLblPos val="t"/>
              <c:showVal val="1"/>
            </c:dLbl>
            <c:dLbl>
              <c:idx val="1"/>
              <c:layout>
                <c:manualLayout>
                  <c:x val="0"/>
                  <c:y val="5.4128553079801196E-2"/>
                </c:manualLayout>
              </c:layout>
              <c:dLblPos val="t"/>
              <c:showVal val="1"/>
            </c:dLbl>
            <c:dLbl>
              <c:idx val="2"/>
              <c:layout>
                <c:manualLayout>
                  <c:x val="-4.285178638384649E-7"/>
                  <c:y val="4.0595670222073423E-2"/>
                </c:manualLayout>
              </c:layout>
              <c:dLblPos val="t"/>
              <c:showVal val="1"/>
            </c:dLbl>
            <c:dLbl>
              <c:idx val="3"/>
              <c:layout>
                <c:manualLayout>
                  <c:x val="0"/>
                  <c:y val="5.2090616332534673E-2"/>
                </c:manualLayout>
              </c:layout>
              <c:dLblPos val="t"/>
              <c:showVal val="1"/>
            </c:dLbl>
            <c:dLblPos val="t"/>
            <c:showVal val="1"/>
          </c:dLbls>
          <c:val>
            <c:numRef>
              <c:f>'骨骼动画时间分布-508'!$Z$75:$Z$78</c:f>
              <c:numCache>
                <c:formatCode>0.0_ </c:formatCode>
                <c:ptCount val="4"/>
                <c:pt idx="0">
                  <c:v>1.0037735849056604</c:v>
                </c:pt>
                <c:pt idx="1">
                  <c:v>2.5104895104895104</c:v>
                </c:pt>
                <c:pt idx="2">
                  <c:v>2.8594771241830066</c:v>
                </c:pt>
                <c:pt idx="3">
                  <c:v>3.1874999999999996</c:v>
                </c:pt>
              </c:numCache>
            </c:numRef>
          </c:val>
        </c:ser>
        <c:dLbls>
          <c:showVal val="1"/>
        </c:dLbls>
        <c:marker val="1"/>
        <c:axId val="88685952"/>
        <c:axId val="88687744"/>
      </c:lineChart>
      <c:catAx>
        <c:axId val="88685952"/>
        <c:scaling>
          <c:orientation val="minMax"/>
        </c:scaling>
        <c:axPos val="b"/>
        <c:tickLblPos val="nextTo"/>
        <c:crossAx val="88687744"/>
        <c:crosses val="autoZero"/>
        <c:auto val="1"/>
        <c:lblAlgn val="ctr"/>
        <c:lblOffset val="100"/>
      </c:catAx>
      <c:valAx>
        <c:axId val="88687744"/>
        <c:scaling>
          <c:orientation val="minMax"/>
        </c:scaling>
        <c:delete val="1"/>
        <c:axPos val="l"/>
        <c:numFmt formatCode="0.0_ " sourceLinked="1"/>
        <c:tickLblPos val="nextTo"/>
        <c:crossAx val="8868595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1099" l="0.70000000000000062" r="0.70000000000000062" t="0.75000000000001099" header="0.30000000000000032" footer="0.30000000000000032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 sz="1200">
                <a:latin typeface="幼圆" pitchFamily="49" charset="-122"/>
                <a:ea typeface="幼圆" pitchFamily="49" charset="-122"/>
              </a:rPr>
              <a:t>耗时分布表</a:t>
            </a:r>
            <a:r>
              <a:rPr lang="en-US" altLang="zh-CN" sz="1200">
                <a:latin typeface="幼圆" pitchFamily="49" charset="-122"/>
                <a:ea typeface="幼圆" pitchFamily="49" charset="-122"/>
              </a:rPr>
              <a:t>   </a:t>
            </a:r>
            <a:r>
              <a:rPr lang="zh-CN" altLang="en-US" sz="1200">
                <a:latin typeface="幼圆" pitchFamily="49" charset="-122"/>
                <a:ea typeface="幼圆" pitchFamily="49" charset="-122"/>
              </a:rPr>
              <a:t>串行优化</a:t>
            </a:r>
          </a:p>
        </c:rich>
      </c:tx>
      <c:layout>
        <c:manualLayout>
          <c:xMode val="edge"/>
          <c:yMode val="edge"/>
          <c:x val="0.27316369352136066"/>
          <c:y val="3.2128514056224897E-2"/>
        </c:manualLayout>
      </c:layout>
    </c:title>
    <c:plotArea>
      <c:layout/>
      <c:barChart>
        <c:barDir val="bar"/>
        <c:grouping val="clustered"/>
        <c:ser>
          <c:idx val="0"/>
          <c:order val="0"/>
          <c:dPt>
            <c:idx val="0"/>
            <c:spPr>
              <a:solidFill>
                <a:schemeClr val="accent5"/>
              </a:solidFill>
            </c:spPr>
          </c:dPt>
          <c:dPt>
            <c:idx val="1"/>
            <c:spPr>
              <a:solidFill>
                <a:schemeClr val="accent3"/>
              </a:solidFill>
            </c:spPr>
          </c:dPt>
          <c:dPt>
            <c:idx val="2"/>
            <c:spPr>
              <a:solidFill>
                <a:schemeClr val="accent2"/>
              </a:solidFill>
            </c:spPr>
          </c:dPt>
          <c:dLbls>
            <c:showVal val="1"/>
          </c:dLbls>
          <c:cat>
            <c:strRef>
              <c:f>('骨骼动画时间分布-508'!$D$28,'骨骼动画时间分布-508'!$F$28,'骨骼动画时间分布-508'!$H$28,'骨骼动画时间分布-508'!$J$28)</c:f>
              <c:strCache>
                <c:ptCount val="4"/>
                <c:pt idx="0">
                  <c:v>CPU计算骨骼</c:v>
                </c:pt>
                <c:pt idx="1">
                  <c:v>CPU计算顶点</c:v>
                </c:pt>
                <c:pt idx="2">
                  <c:v>GPU渲染面片</c:v>
                </c:pt>
                <c:pt idx="3">
                  <c:v>其它</c:v>
                </c:pt>
              </c:strCache>
            </c:strRef>
          </c:cat>
          <c:val>
            <c:numRef>
              <c:f>('骨骼动画时间分布-508'!$E$31,'骨骼动画时间分布-508'!$G$31,'骨骼动画时间分布-508'!$I$31,'骨骼动画时间分布-508'!$K$31)</c:f>
              <c:numCache>
                <c:formatCode>0%</c:formatCode>
                <c:ptCount val="4"/>
                <c:pt idx="0">
                  <c:v>4.4444444444444446E-2</c:v>
                </c:pt>
                <c:pt idx="1">
                  <c:v>0.70277777777777772</c:v>
                </c:pt>
                <c:pt idx="2">
                  <c:v>0.24166666666666667</c:v>
                </c:pt>
                <c:pt idx="3">
                  <c:v>1.1111111111111151E-2</c:v>
                </c:pt>
              </c:numCache>
            </c:numRef>
          </c:val>
        </c:ser>
        <c:dLbls>
          <c:showVal val="1"/>
        </c:dLbls>
        <c:gapWidth val="75"/>
        <c:axId val="88868736"/>
        <c:axId val="88870272"/>
      </c:barChart>
      <c:catAx>
        <c:axId val="88868736"/>
        <c:scaling>
          <c:orientation val="minMax"/>
        </c:scaling>
        <c:axPos val="l"/>
        <c:majorTickMark val="none"/>
        <c:tickLblPos val="nextTo"/>
        <c:crossAx val="88870272"/>
        <c:crosses val="autoZero"/>
        <c:auto val="1"/>
        <c:lblAlgn val="ctr"/>
        <c:lblOffset val="100"/>
      </c:catAx>
      <c:valAx>
        <c:axId val="88870272"/>
        <c:scaling>
          <c:orientation val="minMax"/>
        </c:scaling>
        <c:axPos val="b"/>
        <c:numFmt formatCode="0%" sourceLinked="1"/>
        <c:majorTickMark val="none"/>
        <c:tickLblPos val="nextTo"/>
        <c:crossAx val="88868736"/>
        <c:crosses val="autoZero"/>
        <c:crossBetween val="between"/>
      </c:valAx>
    </c:plotArea>
    <c:plotVisOnly val="1"/>
    <c:dispBlanksAs val="gap"/>
  </c:chart>
  <c:printSettings>
    <c:headerFooter/>
    <c:pageMargins b="0.75000000000001088" l="0.70000000000000062" r="0.70000000000000062" t="0.75000000000001088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'骨骼动画时间分布-508'!$Y$60</c:f>
              <c:strCache>
                <c:ptCount val="1"/>
                <c:pt idx="0">
                  <c:v>局部</c:v>
                </c:pt>
              </c:strCache>
            </c:strRef>
          </c:tx>
          <c:dLbls>
            <c:dLbl>
              <c:idx val="0"/>
              <c:layout>
                <c:manualLayout>
                  <c:x val="0"/>
                  <c:y val="2.8368794326241127E-2"/>
                </c:manualLayout>
              </c:layout>
              <c:dLblPos val="t"/>
              <c:showVal val="1"/>
            </c:dLbl>
            <c:dLbl>
              <c:idx val="1"/>
              <c:layout>
                <c:manualLayout>
                  <c:x val="0"/>
                  <c:y val="3.7825059101654845E-2"/>
                </c:manualLayout>
              </c:layout>
              <c:dLblPos val="t"/>
              <c:showVal val="1"/>
            </c:dLbl>
            <c:dLbl>
              <c:idx val="2"/>
              <c:layout>
                <c:manualLayout>
                  <c:x val="4.9886045027348876E-17"/>
                  <c:y val="3.7825059101654832E-2"/>
                </c:manualLayout>
              </c:layout>
              <c:dLblPos val="t"/>
              <c:showVal val="1"/>
            </c:dLbl>
            <c:dLbl>
              <c:idx val="3"/>
              <c:layout>
                <c:manualLayout>
                  <c:x val="0"/>
                  <c:y val="4.7281323877068564E-2"/>
                </c:manualLayout>
              </c:layout>
              <c:dLblPos val="t"/>
              <c:showVal val="1"/>
            </c:dLbl>
            <c:dLblPos val="t"/>
            <c:showVal val="1"/>
          </c:dLbls>
          <c:val>
            <c:numRef>
              <c:f>'骨骼动画时间分布-508'!$Y$61:$Y$64</c:f>
              <c:numCache>
                <c:formatCode>0.0_ </c:formatCode>
                <c:ptCount val="4"/>
                <c:pt idx="0">
                  <c:v>1.7446808510638294</c:v>
                </c:pt>
                <c:pt idx="1">
                  <c:v>3.6884057971014497</c:v>
                </c:pt>
                <c:pt idx="2">
                  <c:v>3.3030303030303036</c:v>
                </c:pt>
                <c:pt idx="3">
                  <c:v>3.0919540229885056</c:v>
                </c:pt>
              </c:numCache>
            </c:numRef>
          </c:val>
        </c:ser>
        <c:ser>
          <c:idx val="1"/>
          <c:order val="1"/>
          <c:tx>
            <c:strRef>
              <c:f>'骨骼动画时间分布-508'!$Z$60</c:f>
              <c:strCache>
                <c:ptCount val="1"/>
                <c:pt idx="0">
                  <c:v>全局</c:v>
                </c:pt>
              </c:strCache>
            </c:strRef>
          </c:tx>
          <c:dLbls>
            <c:dLbl>
              <c:idx val="0"/>
              <c:layout>
                <c:manualLayout>
                  <c:x val="5.4421768707482955E-3"/>
                  <c:y val="0.19393458796373858"/>
                </c:manualLayout>
              </c:layout>
              <c:dLblPos val="t"/>
              <c:showVal val="1"/>
            </c:dLbl>
            <c:dLbl>
              <c:idx val="1"/>
              <c:layout>
                <c:manualLayout>
                  <c:x val="0"/>
                  <c:y val="0.22434131903724799"/>
                </c:manualLayout>
              </c:layout>
              <c:dLblPos val="t"/>
              <c:showVal val="1"/>
            </c:dLbl>
            <c:dLbl>
              <c:idx val="2"/>
              <c:layout>
                <c:manualLayout>
                  <c:x val="-4.2851786383846527E-7"/>
                  <c:y val="0.19189590662869269"/>
                </c:manualLayout>
              </c:layout>
              <c:dLblPos val="t"/>
              <c:showVal val="1"/>
            </c:dLbl>
            <c:dLbl>
              <c:idx val="3"/>
              <c:layout>
                <c:manualLayout>
                  <c:x val="5.4421768707482956E-2"/>
                  <c:y val="0.19393458796373858"/>
                </c:manualLayout>
              </c:layout>
              <c:dLblPos val="t"/>
              <c:showVal val="1"/>
            </c:dLbl>
            <c:dLblPos val="t"/>
            <c:showVal val="1"/>
          </c:dLbls>
          <c:val>
            <c:numRef>
              <c:f>'骨骼动画时间分布-508'!$Z$61:$Z$64</c:f>
              <c:numCache>
                <c:formatCode>0.0_ </c:formatCode>
                <c:ptCount val="4"/>
                <c:pt idx="0">
                  <c:v>1.1271186440677967</c:v>
                </c:pt>
                <c:pt idx="1">
                  <c:v>2.0632183908045976</c:v>
                </c:pt>
                <c:pt idx="2">
                  <c:v>2.2378516624040921</c:v>
                </c:pt>
                <c:pt idx="3">
                  <c:v>2.1656050955414012</c:v>
                </c:pt>
              </c:numCache>
            </c:numRef>
          </c:val>
        </c:ser>
        <c:dLbls>
          <c:showVal val="1"/>
        </c:dLbls>
        <c:marker val="1"/>
        <c:axId val="88912256"/>
        <c:axId val="88913792"/>
      </c:lineChart>
      <c:catAx>
        <c:axId val="88912256"/>
        <c:scaling>
          <c:orientation val="minMax"/>
        </c:scaling>
        <c:axPos val="b"/>
        <c:tickLblPos val="nextTo"/>
        <c:crossAx val="88913792"/>
        <c:crosses val="autoZero"/>
        <c:auto val="1"/>
        <c:lblAlgn val="ctr"/>
        <c:lblOffset val="100"/>
      </c:catAx>
      <c:valAx>
        <c:axId val="88913792"/>
        <c:scaling>
          <c:orientation val="minMax"/>
        </c:scaling>
        <c:delete val="1"/>
        <c:axPos val="l"/>
        <c:numFmt formatCode="0.0_ " sourceLinked="1"/>
        <c:tickLblPos val="nextTo"/>
        <c:crossAx val="8891225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1099" l="0.70000000000000062" r="0.70000000000000062" t="0.75000000000001099" header="0.30000000000000032" footer="0.30000000000000032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0"/>
          <c:order val="0"/>
          <c:tx>
            <c:strRef>
              <c:f>'骨骼动画时间分布-508'!$T$84</c:f>
              <c:strCache>
                <c:ptCount val="1"/>
                <c:pt idx="0">
                  <c:v>串行</c:v>
                </c:pt>
              </c:strCache>
            </c:strRef>
          </c:tx>
          <c:dLbls>
            <c:dLblPos val="outEnd"/>
            <c:showVal val="1"/>
          </c:dLbls>
          <c:val>
            <c:numRef>
              <c:f>'骨骼动画时间分布-508'!$T$85:$T$88</c:f>
              <c:numCache>
                <c:formatCode>0.0_ </c:formatCode>
                <c:ptCount val="4"/>
                <c:pt idx="0">
                  <c:v>2.66</c:v>
                </c:pt>
                <c:pt idx="1">
                  <c:v>7.18</c:v>
                </c:pt>
                <c:pt idx="2">
                  <c:v>8.75</c:v>
                </c:pt>
                <c:pt idx="3">
                  <c:v>10.199999999999999</c:v>
                </c:pt>
              </c:numCache>
            </c:numRef>
          </c:val>
        </c:ser>
        <c:ser>
          <c:idx val="1"/>
          <c:order val="1"/>
          <c:tx>
            <c:strRef>
              <c:f>'骨骼动画时间分布-508'!$U$84</c:f>
              <c:strCache>
                <c:ptCount val="1"/>
                <c:pt idx="0">
                  <c:v>OpenCL</c:v>
                </c:pt>
              </c:strCache>
            </c:strRef>
          </c:tx>
          <c:dLbls>
            <c:dLbl>
              <c:idx val="0"/>
              <c:layout>
                <c:manualLayout>
                  <c:x val="2.02020137749108E-2"/>
                  <c:y val="4.3010752688172046E-2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2.4242416529892192E-2"/>
                  <c:y val="2.8673835125448292E-2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2.8282819284874902E-2"/>
                  <c:y val="2.150537634408603E-2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2.8282819284874902E-2"/>
                  <c:y val="2.150537634408603E-2"/>
                </c:manualLayout>
              </c:layout>
              <c:dLblPos val="outEnd"/>
              <c:showVal val="1"/>
            </c:dLbl>
            <c:dLblPos val="outEnd"/>
            <c:showVal val="1"/>
          </c:dLbls>
          <c:val>
            <c:numRef>
              <c:f>'骨骼动画时间分布-508'!$U$85:$U$88</c:f>
              <c:numCache>
                <c:formatCode>0.0_ </c:formatCode>
                <c:ptCount val="4"/>
                <c:pt idx="0">
                  <c:v>2.58</c:v>
                </c:pt>
                <c:pt idx="1">
                  <c:v>3.19</c:v>
                </c:pt>
                <c:pt idx="2">
                  <c:v>3.59</c:v>
                </c:pt>
                <c:pt idx="3">
                  <c:v>3.69</c:v>
                </c:pt>
              </c:numCache>
            </c:numRef>
          </c:val>
        </c:ser>
        <c:axId val="88935040"/>
        <c:axId val="88961408"/>
      </c:barChart>
      <c:catAx>
        <c:axId val="88935040"/>
        <c:scaling>
          <c:orientation val="minMax"/>
        </c:scaling>
        <c:axPos val="b"/>
        <c:tickLblPos val="nextTo"/>
        <c:crossAx val="88961408"/>
        <c:crosses val="autoZero"/>
        <c:auto val="1"/>
        <c:lblAlgn val="ctr"/>
        <c:lblOffset val="100"/>
      </c:catAx>
      <c:valAx>
        <c:axId val="88961408"/>
        <c:scaling>
          <c:orientation val="minMax"/>
        </c:scaling>
        <c:delete val="1"/>
        <c:axPos val="l"/>
        <c:numFmt formatCode="0.0_ " sourceLinked="1"/>
        <c:tickLblPos val="nextTo"/>
        <c:crossAx val="889350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2724097606612481"/>
          <c:y val="0.11690398075240596"/>
          <c:w val="0.23024028306998434"/>
          <c:h val="0.28703037120359981"/>
        </c:manualLayout>
      </c:layout>
    </c:legend>
    <c:plotVisOnly val="1"/>
    <c:dispBlanksAs val="gap"/>
  </c:chart>
  <c:printSettings>
    <c:headerFooter/>
    <c:pageMargins b="0.75000000000001121" l="0.70000000000000062" r="0.70000000000000062" t="0.75000000000001121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/>
            </a:pPr>
            <a:r>
              <a:rPr lang="zh-CN" altLang="en-US"/>
              <a:t>渲染时间与</a:t>
            </a:r>
            <a:r>
              <a:rPr lang="zh-CN" altLang="en-US" sz="1800" b="1" i="0" u="none" strike="noStrike" baseline="0"/>
              <a:t>数据量</a:t>
            </a:r>
            <a:endParaRPr lang="en-US" altLang="zh-CN" sz="1800" b="1" i="0" u="none" strike="noStrike" baseline="0"/>
          </a:p>
          <a:p>
            <a:pPr>
              <a:defRPr/>
            </a:pPr>
            <a:r>
              <a:rPr lang="zh-CN" altLang="en-US"/>
              <a:t>关系图</a:t>
            </a:r>
            <a:endParaRPr lang="en-US" altLang="zh-CN"/>
          </a:p>
        </c:rich>
      </c:tx>
      <c:layout>
        <c:manualLayout>
          <c:xMode val="edge"/>
          <c:yMode val="edge"/>
          <c:x val="0.27134711286089241"/>
          <c:y val="8.3333333333333343E-2"/>
        </c:manualLayout>
      </c:layout>
      <c:overlay val="1"/>
    </c:title>
    <c:plotArea>
      <c:layout/>
      <c:lineChart>
        <c:grouping val="standard"/>
        <c:ser>
          <c:idx val="0"/>
          <c:order val="0"/>
          <c:tx>
            <c:strRef>
              <c:f>'870'!$B$14</c:f>
              <c:strCache>
                <c:ptCount val="1"/>
                <c:pt idx="0">
                  <c:v>GTS250</c:v>
                </c:pt>
              </c:strCache>
            </c:strRef>
          </c:tx>
          <c:dLbls>
            <c:dLblPos val="t"/>
            <c:showVal val="1"/>
          </c:dLbls>
          <c:cat>
            <c:strRef>
              <c:f>'870'!$C$13:$J$13</c:f>
              <c:strCache>
                <c:ptCount val="8"/>
                <c:pt idx="0">
                  <c:v>2K</c:v>
                </c:pt>
                <c:pt idx="1">
                  <c:v>8K</c:v>
                </c:pt>
                <c:pt idx="2">
                  <c:v>32K</c:v>
                </c:pt>
                <c:pt idx="3">
                  <c:v>128K</c:v>
                </c:pt>
                <c:pt idx="4">
                  <c:v>256K</c:v>
                </c:pt>
                <c:pt idx="5">
                  <c:v>512K</c:v>
                </c:pt>
                <c:pt idx="6">
                  <c:v>1M</c:v>
                </c:pt>
                <c:pt idx="7">
                  <c:v>2M</c:v>
                </c:pt>
              </c:strCache>
            </c:strRef>
          </c:cat>
          <c:val>
            <c:numRef>
              <c:f>'870'!$C$14:$J$14</c:f>
              <c:numCache>
                <c:formatCode>0.00_ </c:formatCode>
                <c:ptCount val="8"/>
                <c:pt idx="0" formatCode="General">
                  <c:v>0.15</c:v>
                </c:pt>
                <c:pt idx="1">
                  <c:v>0.22700000000000001</c:v>
                </c:pt>
                <c:pt idx="2">
                  <c:v>0.23300000000000001</c:v>
                </c:pt>
                <c:pt idx="3">
                  <c:v>0.39100000000000001</c:v>
                </c:pt>
                <c:pt idx="4">
                  <c:v>0.72899999999999998</c:v>
                </c:pt>
                <c:pt idx="5">
                  <c:v>1.1000000000000001</c:v>
                </c:pt>
                <c:pt idx="6" formatCode="General">
                  <c:v>2.09</c:v>
                </c:pt>
                <c:pt idx="7" formatCode="General">
                  <c:v>3.89</c:v>
                </c:pt>
              </c:numCache>
            </c:numRef>
          </c:val>
        </c:ser>
        <c:dLbls>
          <c:showVal val="1"/>
        </c:dLbls>
        <c:marker val="1"/>
        <c:axId val="62633472"/>
        <c:axId val="62635008"/>
      </c:lineChart>
      <c:catAx>
        <c:axId val="62633472"/>
        <c:scaling>
          <c:orientation val="minMax"/>
        </c:scaling>
        <c:axPos val="b"/>
        <c:tickLblPos val="nextTo"/>
        <c:crossAx val="62635008"/>
        <c:crosses val="autoZero"/>
        <c:auto val="1"/>
        <c:lblAlgn val="ctr"/>
        <c:lblOffset val="100"/>
      </c:catAx>
      <c:valAx>
        <c:axId val="62635008"/>
        <c:scaling>
          <c:orientation val="minMax"/>
        </c:scaling>
        <c:delete val="1"/>
        <c:axPos val="l"/>
        <c:numFmt formatCode="General" sourceLinked="1"/>
        <c:tickLblPos val="nextTo"/>
        <c:crossAx val="62633472"/>
        <c:crosses val="autoZero"/>
        <c:crossBetween val="between"/>
      </c:valAx>
    </c:plotArea>
    <c:plotVisOnly val="1"/>
    <c:dispBlanksAs val="gap"/>
  </c:chart>
  <c:printSettings>
    <c:headerFooter/>
    <c:pageMargins b="0.75000000000001044" l="0.70000000000000062" r="0.70000000000000062" t="0.75000000000001044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0"/>
          <c:order val="0"/>
          <c:tx>
            <c:strRef>
              <c:f>'骨骼动画时间分布-508'!$V$84</c:f>
              <c:strCache>
                <c:ptCount val="1"/>
                <c:pt idx="0">
                  <c:v>串行</c:v>
                </c:pt>
              </c:strCache>
            </c:strRef>
          </c:tx>
          <c:dLbls>
            <c:dLblPos val="outEnd"/>
            <c:showVal val="1"/>
          </c:dLbls>
          <c:val>
            <c:numRef>
              <c:f>'骨骼动画时间分布-508'!$V$85:$V$88</c:f>
              <c:numCache>
                <c:formatCode>0.0_ </c:formatCode>
                <c:ptCount val="4"/>
                <c:pt idx="0">
                  <c:v>0.81999999999999984</c:v>
                </c:pt>
                <c:pt idx="1">
                  <c:v>5.09</c:v>
                </c:pt>
                <c:pt idx="2">
                  <c:v>6.54</c:v>
                </c:pt>
                <c:pt idx="3">
                  <c:v>8.07</c:v>
                </c:pt>
              </c:numCache>
            </c:numRef>
          </c:val>
        </c:ser>
        <c:ser>
          <c:idx val="1"/>
          <c:order val="1"/>
          <c:tx>
            <c:strRef>
              <c:f>'骨骼动画时间分布-508'!$W$84</c:f>
              <c:strCache>
                <c:ptCount val="1"/>
                <c:pt idx="0">
                  <c:v>OpenCL</c:v>
                </c:pt>
              </c:strCache>
            </c:strRef>
          </c:tx>
          <c:dLbls>
            <c:dLbl>
              <c:idx val="0"/>
              <c:layout>
                <c:manualLayout>
                  <c:x val="2.0201879460121742E-2"/>
                  <c:y val="2.0538801067209612E-2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2.4242255352145217E-2"/>
                  <c:y val="2.1183172957967816E-2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2.8282819284874916E-2"/>
                  <c:y val="2.150537634408603E-2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2.8282819284874916E-2"/>
                  <c:y val="2.150537634408603E-2"/>
                </c:manualLayout>
              </c:layout>
              <c:dLblPos val="outEnd"/>
              <c:showVal val="1"/>
            </c:dLbl>
            <c:dLblPos val="outEnd"/>
            <c:showVal val="1"/>
          </c:dLbls>
          <c:val>
            <c:numRef>
              <c:f>'骨骼动画时间分布-508'!$W$85:$W$88</c:f>
              <c:numCache>
                <c:formatCode>0.0_ </c:formatCode>
                <c:ptCount val="4"/>
                <c:pt idx="0">
                  <c:v>0.33</c:v>
                </c:pt>
                <c:pt idx="1">
                  <c:v>0.45</c:v>
                </c:pt>
                <c:pt idx="2">
                  <c:v>0.54</c:v>
                </c:pt>
                <c:pt idx="3">
                  <c:v>0.57999999999999996</c:v>
                </c:pt>
              </c:numCache>
            </c:numRef>
          </c:val>
        </c:ser>
        <c:axId val="88745088"/>
        <c:axId val="88746624"/>
      </c:barChart>
      <c:catAx>
        <c:axId val="88745088"/>
        <c:scaling>
          <c:orientation val="minMax"/>
        </c:scaling>
        <c:axPos val="b"/>
        <c:tickLblPos val="nextTo"/>
        <c:crossAx val="88746624"/>
        <c:crosses val="autoZero"/>
        <c:auto val="1"/>
        <c:lblAlgn val="ctr"/>
        <c:lblOffset val="100"/>
      </c:catAx>
      <c:valAx>
        <c:axId val="88746624"/>
        <c:scaling>
          <c:orientation val="minMax"/>
        </c:scaling>
        <c:delete val="1"/>
        <c:axPos val="l"/>
        <c:numFmt formatCode="0.0_ " sourceLinked="1"/>
        <c:tickLblPos val="nextTo"/>
        <c:crossAx val="887450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2724097606612503"/>
          <c:y val="0.11690398075240596"/>
          <c:w val="0.23024028306998442"/>
          <c:h val="0.2592532385064687"/>
        </c:manualLayout>
      </c:layout>
    </c:legend>
    <c:plotVisOnly val="1"/>
    <c:dispBlanksAs val="gap"/>
  </c:chart>
  <c:printSettings>
    <c:headerFooter/>
    <c:pageMargins b="0.75000000000001166" l="0.70000000000000062" r="0.70000000000000062" t="0.75000000000001166" header="0.30000000000000032" footer="0.30000000000000032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'骨骼动画时间分布-508'!$Y$84</c:f>
              <c:strCache>
                <c:ptCount val="1"/>
                <c:pt idx="0">
                  <c:v>局部</c:v>
                </c:pt>
              </c:strCache>
            </c:strRef>
          </c:tx>
          <c:dLbls>
            <c:dLbl>
              <c:idx val="0"/>
              <c:layout>
                <c:manualLayout>
                  <c:x val="0"/>
                  <c:y val="2.8368794326241127E-2"/>
                </c:manualLayout>
              </c:layout>
              <c:dLblPos val="t"/>
              <c:showVal val="1"/>
            </c:dLbl>
            <c:dLbl>
              <c:idx val="1"/>
              <c:layout>
                <c:manualLayout>
                  <c:x val="0"/>
                  <c:y val="3.7825059101654845E-2"/>
                </c:manualLayout>
              </c:layout>
              <c:dLblPos val="t"/>
              <c:showVal val="1"/>
            </c:dLbl>
            <c:dLbl>
              <c:idx val="2"/>
              <c:layout>
                <c:manualLayout>
                  <c:x val="4.9886045027348987E-17"/>
                  <c:y val="3.7825059101654832E-2"/>
                </c:manualLayout>
              </c:layout>
              <c:dLblPos val="t"/>
              <c:showVal val="1"/>
            </c:dLbl>
            <c:dLbl>
              <c:idx val="3"/>
              <c:layout>
                <c:manualLayout>
                  <c:x val="0"/>
                  <c:y val="4.7281323877068564E-2"/>
                </c:manualLayout>
              </c:layout>
              <c:dLblPos val="t"/>
              <c:showVal val="1"/>
            </c:dLbl>
            <c:dLblPos val="t"/>
            <c:showVal val="1"/>
          </c:dLbls>
          <c:val>
            <c:numRef>
              <c:f>'骨骼动画时间分布-508'!$Y$85:$Y$88</c:f>
              <c:numCache>
                <c:formatCode>0.0_ </c:formatCode>
                <c:ptCount val="4"/>
                <c:pt idx="0">
                  <c:v>2.4848484848484844</c:v>
                </c:pt>
                <c:pt idx="1">
                  <c:v>11.31111111111111</c:v>
                </c:pt>
                <c:pt idx="2">
                  <c:v>12.111111111111111</c:v>
                </c:pt>
                <c:pt idx="3">
                  <c:v>13.913793103448278</c:v>
                </c:pt>
              </c:numCache>
            </c:numRef>
          </c:val>
        </c:ser>
        <c:ser>
          <c:idx val="1"/>
          <c:order val="1"/>
          <c:tx>
            <c:strRef>
              <c:f>'骨骼动画时间分布-508'!$Z$84</c:f>
              <c:strCache>
                <c:ptCount val="1"/>
                <c:pt idx="0">
                  <c:v>全局</c:v>
                </c:pt>
              </c:strCache>
            </c:strRef>
          </c:tx>
          <c:dLbls>
            <c:dLbl>
              <c:idx val="0"/>
              <c:layout>
                <c:manualLayout>
                  <c:x val="3.8095238095238099E-2"/>
                  <c:y val="0.19701852485830584"/>
                </c:manualLayout>
              </c:layout>
              <c:dLblPos val="t"/>
              <c:showVal val="1"/>
            </c:dLbl>
            <c:dLbl>
              <c:idx val="1"/>
              <c:layout>
                <c:manualLayout>
                  <c:x val="0"/>
                  <c:y val="5.4128553079801196E-2"/>
                </c:manualLayout>
              </c:layout>
              <c:dLblPos val="t"/>
              <c:showVal val="1"/>
            </c:dLbl>
            <c:dLbl>
              <c:idx val="2"/>
              <c:layout>
                <c:manualLayout>
                  <c:x val="-4.2851786383846527E-7"/>
                  <c:y val="4.0595670222073423E-2"/>
                </c:manualLayout>
              </c:layout>
              <c:dLblPos val="t"/>
              <c:showVal val="1"/>
            </c:dLbl>
            <c:dLbl>
              <c:idx val="3"/>
              <c:layout>
                <c:manualLayout>
                  <c:x val="0"/>
                  <c:y val="5.2090616332534707E-2"/>
                </c:manualLayout>
              </c:layout>
              <c:dLblPos val="t"/>
              <c:showVal val="1"/>
            </c:dLbl>
            <c:dLblPos val="t"/>
            <c:showVal val="1"/>
          </c:dLbls>
          <c:val>
            <c:numRef>
              <c:f>'骨骼动画时间分布-508'!$Z$85:$Z$88</c:f>
              <c:numCache>
                <c:formatCode>0.0_ </c:formatCode>
                <c:ptCount val="4"/>
                <c:pt idx="0">
                  <c:v>1.0310077519379846</c:v>
                </c:pt>
                <c:pt idx="1">
                  <c:v>2.2507836990595611</c:v>
                </c:pt>
                <c:pt idx="2">
                  <c:v>2.4373259052924792</c:v>
                </c:pt>
                <c:pt idx="3">
                  <c:v>2.7642276422764227</c:v>
                </c:pt>
              </c:numCache>
            </c:numRef>
          </c:val>
        </c:ser>
        <c:dLbls>
          <c:showVal val="1"/>
        </c:dLbls>
        <c:marker val="1"/>
        <c:axId val="88771968"/>
        <c:axId val="89011328"/>
      </c:lineChart>
      <c:catAx>
        <c:axId val="88771968"/>
        <c:scaling>
          <c:orientation val="minMax"/>
        </c:scaling>
        <c:axPos val="b"/>
        <c:tickLblPos val="nextTo"/>
        <c:crossAx val="89011328"/>
        <c:crosses val="autoZero"/>
        <c:auto val="1"/>
        <c:lblAlgn val="ctr"/>
        <c:lblOffset val="100"/>
      </c:catAx>
      <c:valAx>
        <c:axId val="89011328"/>
        <c:scaling>
          <c:orientation val="minMax"/>
        </c:scaling>
        <c:delete val="1"/>
        <c:axPos val="l"/>
        <c:numFmt formatCode="0.0_ " sourceLinked="1"/>
        <c:tickLblPos val="nextTo"/>
        <c:crossAx val="8877196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1121" l="0.70000000000000062" r="0.70000000000000062" t="0.75000000000001121" header="0.30000000000000032" footer="0.30000000000000032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 sz="1200">
                <a:latin typeface="幼圆" pitchFamily="49" charset="-122"/>
                <a:ea typeface="幼圆" pitchFamily="49" charset="-122"/>
              </a:rPr>
              <a:t>耗时分布表  </a:t>
            </a:r>
            <a:r>
              <a:rPr lang="en-US" altLang="zh-CN" sz="1200">
                <a:latin typeface="幼圆" pitchFamily="49" charset="-122"/>
                <a:ea typeface="幼圆" pitchFamily="49" charset="-122"/>
              </a:rPr>
              <a:t>OpenCL</a:t>
            </a:r>
            <a:endParaRPr lang="zh-CN" altLang="en-US" sz="1200">
              <a:latin typeface="幼圆" pitchFamily="49" charset="-122"/>
              <a:ea typeface="幼圆" pitchFamily="49" charset="-122"/>
            </a:endParaRPr>
          </a:p>
        </c:rich>
      </c:tx>
      <c:layout>
        <c:manualLayout>
          <c:xMode val="edge"/>
          <c:yMode val="edge"/>
          <c:x val="0.27316369352136066"/>
          <c:y val="3.2128514056224897E-2"/>
        </c:manualLayout>
      </c:layout>
    </c:title>
    <c:plotArea>
      <c:layout/>
      <c:barChart>
        <c:barDir val="bar"/>
        <c:grouping val="clustered"/>
        <c:ser>
          <c:idx val="0"/>
          <c:order val="0"/>
          <c:dPt>
            <c:idx val="0"/>
            <c:spPr>
              <a:solidFill>
                <a:schemeClr val="accent5"/>
              </a:solidFill>
            </c:spPr>
          </c:dPt>
          <c:dPt>
            <c:idx val="1"/>
            <c:spPr>
              <a:solidFill>
                <a:schemeClr val="accent3"/>
              </a:solidFill>
            </c:spPr>
          </c:dPt>
          <c:dPt>
            <c:idx val="2"/>
            <c:spPr>
              <a:solidFill>
                <a:schemeClr val="accent2"/>
              </a:solidFill>
            </c:spPr>
          </c:dPt>
          <c:dLbls>
            <c:showVal val="1"/>
          </c:dLbls>
          <c:cat>
            <c:strRef>
              <c:f>('骨骼动画时间分布-508'!$D$83,'骨骼动画时间分布-508'!$F$83,'骨骼动画时间分布-508'!$H$83,'骨骼动画时间分布-508'!$J$83,'骨骼动画时间分布-508'!$N$83)</c:f>
              <c:strCache>
                <c:ptCount val="5"/>
                <c:pt idx="0">
                  <c:v>CPU计算骨骼</c:v>
                </c:pt>
                <c:pt idx="1">
                  <c:v>CPU计算顶点</c:v>
                </c:pt>
                <c:pt idx="2">
                  <c:v>GPU渲染面片</c:v>
                </c:pt>
                <c:pt idx="3">
                  <c:v>异步重叠</c:v>
                </c:pt>
                <c:pt idx="4">
                  <c:v>OpenCL传输</c:v>
                </c:pt>
              </c:strCache>
            </c:strRef>
          </c:cat>
          <c:val>
            <c:numRef>
              <c:f>('骨骼动画时间分布-508'!$E$86,'骨骼动画时间分布-508'!$G$86,'骨骼动画时间分布-508'!$I$86,'骨骼动画时间分布-508'!$K$86,'骨骼动画时间分布-508'!$O$86)</c:f>
              <c:numCache>
                <c:formatCode>0%</c:formatCode>
                <c:ptCount val="5"/>
                <c:pt idx="0">
                  <c:v>0.10031347962382446</c:v>
                </c:pt>
                <c:pt idx="1">
                  <c:v>0.14106583072100315</c:v>
                </c:pt>
                <c:pt idx="2">
                  <c:v>0.75235109717868343</c:v>
                </c:pt>
                <c:pt idx="3">
                  <c:v>8.4639498432601865E-2</c:v>
                </c:pt>
                <c:pt idx="4">
                  <c:v>9.0909090909090898E-2</c:v>
                </c:pt>
              </c:numCache>
            </c:numRef>
          </c:val>
        </c:ser>
        <c:dLbls>
          <c:showVal val="1"/>
        </c:dLbls>
        <c:gapWidth val="75"/>
        <c:axId val="89036672"/>
        <c:axId val="89038208"/>
      </c:barChart>
      <c:catAx>
        <c:axId val="89036672"/>
        <c:scaling>
          <c:orientation val="minMax"/>
        </c:scaling>
        <c:axPos val="l"/>
        <c:numFmt formatCode="General" sourceLinked="1"/>
        <c:majorTickMark val="none"/>
        <c:tickLblPos val="nextTo"/>
        <c:crossAx val="89038208"/>
        <c:crosses val="autoZero"/>
        <c:auto val="1"/>
        <c:lblAlgn val="ctr"/>
        <c:lblOffset val="100"/>
      </c:catAx>
      <c:valAx>
        <c:axId val="89038208"/>
        <c:scaling>
          <c:orientation val="minMax"/>
        </c:scaling>
        <c:axPos val="b"/>
        <c:numFmt formatCode="0%" sourceLinked="1"/>
        <c:majorTickMark val="none"/>
        <c:tickLblPos val="nextTo"/>
        <c:crossAx val="89036672"/>
        <c:crosses val="autoZero"/>
        <c:crossBetween val="between"/>
      </c:valAx>
    </c:plotArea>
    <c:plotVisOnly val="1"/>
    <c:dispBlanksAs val="gap"/>
  </c:chart>
  <c:printSettings>
    <c:headerFooter/>
    <c:pageMargins b="0.7500000000000111" l="0.70000000000000062" r="0.70000000000000062" t="0.7500000000000111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0"/>
          <c:order val="0"/>
          <c:tx>
            <c:strRef>
              <c:f>'骨骼动画时间分布-508'!$T$110</c:f>
              <c:strCache>
                <c:ptCount val="1"/>
                <c:pt idx="0">
                  <c:v>串行</c:v>
                </c:pt>
              </c:strCache>
            </c:strRef>
          </c:tx>
          <c:dLbls>
            <c:dLblPos val="outEnd"/>
            <c:showVal val="1"/>
          </c:dLbls>
          <c:val>
            <c:numRef>
              <c:f>'骨骼动画时间分布-508'!$T$111:$T$114</c:f>
              <c:numCache>
                <c:formatCode>0.0_ </c:formatCode>
                <c:ptCount val="4"/>
                <c:pt idx="0">
                  <c:v>2.66</c:v>
                </c:pt>
                <c:pt idx="1">
                  <c:v>7.18</c:v>
                </c:pt>
                <c:pt idx="2">
                  <c:v>8.75</c:v>
                </c:pt>
                <c:pt idx="3">
                  <c:v>10.199999999999999</c:v>
                </c:pt>
              </c:numCache>
            </c:numRef>
          </c:val>
        </c:ser>
        <c:ser>
          <c:idx val="1"/>
          <c:order val="1"/>
          <c:tx>
            <c:strRef>
              <c:f>'骨骼动画时间分布-508'!$U$110</c:f>
              <c:strCache>
                <c:ptCount val="1"/>
                <c:pt idx="0">
                  <c:v>OpenCL</c:v>
                </c:pt>
              </c:strCache>
            </c:strRef>
          </c:tx>
          <c:dLbls>
            <c:dLbl>
              <c:idx val="0"/>
              <c:layout>
                <c:manualLayout>
                  <c:x val="2.0202013774910814E-2"/>
                  <c:y val="4.3010752688172046E-2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2.4242416529892192E-2"/>
                  <c:y val="2.8673835125448292E-2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2.8282819284874916E-2"/>
                  <c:y val="2.150537634408603E-2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2.8282819284874916E-2"/>
                  <c:y val="2.150537634408603E-2"/>
                </c:manualLayout>
              </c:layout>
              <c:dLblPos val="outEnd"/>
              <c:showVal val="1"/>
            </c:dLbl>
            <c:dLblPos val="outEnd"/>
            <c:showVal val="1"/>
          </c:dLbls>
          <c:val>
            <c:numRef>
              <c:f>'骨骼动画时间分布-508'!$U$111:$U$114</c:f>
              <c:numCache>
                <c:formatCode>0.0_ </c:formatCode>
                <c:ptCount val="4"/>
                <c:pt idx="0">
                  <c:v>1.45</c:v>
                </c:pt>
                <c:pt idx="1">
                  <c:v>1.59</c:v>
                </c:pt>
                <c:pt idx="2">
                  <c:v>1.64</c:v>
                </c:pt>
                <c:pt idx="3">
                  <c:v>1.74</c:v>
                </c:pt>
              </c:numCache>
            </c:numRef>
          </c:val>
        </c:ser>
        <c:axId val="89076096"/>
        <c:axId val="89077632"/>
      </c:barChart>
      <c:catAx>
        <c:axId val="89076096"/>
        <c:scaling>
          <c:orientation val="minMax"/>
        </c:scaling>
        <c:axPos val="b"/>
        <c:tickLblPos val="nextTo"/>
        <c:crossAx val="89077632"/>
        <c:crosses val="autoZero"/>
        <c:auto val="1"/>
        <c:lblAlgn val="ctr"/>
        <c:lblOffset val="100"/>
      </c:catAx>
      <c:valAx>
        <c:axId val="89077632"/>
        <c:scaling>
          <c:orientation val="minMax"/>
        </c:scaling>
        <c:delete val="1"/>
        <c:axPos val="l"/>
        <c:numFmt formatCode="0.0_ " sourceLinked="1"/>
        <c:tickLblPos val="nextTo"/>
        <c:crossAx val="890760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2724097606612503"/>
          <c:y val="0.11690398075240596"/>
          <c:w val="0.23024028306998442"/>
          <c:h val="0.28703037120359981"/>
        </c:manualLayout>
      </c:layout>
    </c:legend>
    <c:plotVisOnly val="1"/>
    <c:dispBlanksAs val="gap"/>
  </c:chart>
  <c:printSettings>
    <c:headerFooter/>
    <c:pageMargins b="0.75000000000001144" l="0.70000000000000062" r="0.70000000000000062" t="0.75000000000001144" header="0.30000000000000032" footer="0.30000000000000032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0"/>
          <c:order val="0"/>
          <c:tx>
            <c:strRef>
              <c:f>'骨骼动画时间分布-508'!$V$110</c:f>
              <c:strCache>
                <c:ptCount val="1"/>
                <c:pt idx="0">
                  <c:v>串行</c:v>
                </c:pt>
              </c:strCache>
            </c:strRef>
          </c:tx>
          <c:dLbls>
            <c:dLblPos val="outEnd"/>
            <c:showVal val="1"/>
          </c:dLbls>
          <c:val>
            <c:numRef>
              <c:f>'骨骼动画时间分布-508'!$V$111:$V$114</c:f>
              <c:numCache>
                <c:formatCode>0.0_ </c:formatCode>
                <c:ptCount val="4"/>
                <c:pt idx="0">
                  <c:v>0.81999999999999984</c:v>
                </c:pt>
                <c:pt idx="1">
                  <c:v>5.09</c:v>
                </c:pt>
                <c:pt idx="2">
                  <c:v>6.54</c:v>
                </c:pt>
                <c:pt idx="3">
                  <c:v>8.07</c:v>
                </c:pt>
              </c:numCache>
            </c:numRef>
          </c:val>
        </c:ser>
        <c:ser>
          <c:idx val="1"/>
          <c:order val="1"/>
          <c:tx>
            <c:strRef>
              <c:f>'骨骼动画时间分布-508'!$W$110</c:f>
              <c:strCache>
                <c:ptCount val="1"/>
                <c:pt idx="0">
                  <c:v>OpenCL</c:v>
                </c:pt>
              </c:strCache>
            </c:strRef>
          </c:tx>
          <c:dLbls>
            <c:dLbl>
              <c:idx val="0"/>
              <c:layout>
                <c:manualLayout>
                  <c:x val="2.0201879460121759E-2"/>
                  <c:y val="2.0538801067209612E-2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2.4242255352145217E-2"/>
                  <c:y val="2.1183172957967816E-2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2.8282819284874933E-2"/>
                  <c:y val="2.150537634408603E-2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2.8282819284874933E-2"/>
                  <c:y val="2.150537634408603E-2"/>
                </c:manualLayout>
              </c:layout>
              <c:dLblPos val="outEnd"/>
              <c:showVal val="1"/>
            </c:dLbl>
            <c:dLblPos val="outEnd"/>
            <c:showVal val="1"/>
          </c:dLbls>
          <c:val>
            <c:numRef>
              <c:f>'骨骼动画时间分布-508'!$W$111:$W$114</c:f>
              <c:numCache>
                <c:formatCode>0.0_ </c:formatCode>
                <c:ptCount val="4"/>
                <c:pt idx="0">
                  <c:v>0.28999999999999998</c:v>
                </c:pt>
                <c:pt idx="1">
                  <c:v>0.42</c:v>
                </c:pt>
                <c:pt idx="2">
                  <c:v>0.5</c:v>
                </c:pt>
                <c:pt idx="3">
                  <c:v>0.57999999999999996</c:v>
                </c:pt>
              </c:numCache>
            </c:numRef>
          </c:val>
        </c:ser>
        <c:axId val="89119360"/>
        <c:axId val="89133440"/>
      </c:barChart>
      <c:catAx>
        <c:axId val="89119360"/>
        <c:scaling>
          <c:orientation val="minMax"/>
        </c:scaling>
        <c:axPos val="b"/>
        <c:tickLblPos val="nextTo"/>
        <c:crossAx val="89133440"/>
        <c:crosses val="autoZero"/>
        <c:auto val="1"/>
        <c:lblAlgn val="ctr"/>
        <c:lblOffset val="100"/>
      </c:catAx>
      <c:valAx>
        <c:axId val="89133440"/>
        <c:scaling>
          <c:orientation val="minMax"/>
        </c:scaling>
        <c:delete val="1"/>
        <c:axPos val="l"/>
        <c:numFmt formatCode="0.0_ " sourceLinked="1"/>
        <c:tickLblPos val="nextTo"/>
        <c:crossAx val="891193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2724097606612526"/>
          <c:y val="0.11690398075240596"/>
          <c:w val="0.23024028306998448"/>
          <c:h val="0.25925323850646859"/>
        </c:manualLayout>
      </c:layout>
    </c:legend>
    <c:plotVisOnly val="1"/>
    <c:dispBlanksAs val="gap"/>
  </c:chart>
  <c:printSettings>
    <c:headerFooter/>
    <c:pageMargins b="0.75000000000001188" l="0.70000000000000062" r="0.70000000000000062" t="0.75000000000001188" header="0.30000000000000032" footer="0.30000000000000032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'骨骼动画时间分布-508'!$Y$110</c:f>
              <c:strCache>
                <c:ptCount val="1"/>
                <c:pt idx="0">
                  <c:v>局部</c:v>
                </c:pt>
              </c:strCache>
            </c:strRef>
          </c:tx>
          <c:dLbls>
            <c:dLbl>
              <c:idx val="0"/>
              <c:layout>
                <c:manualLayout>
                  <c:x val="0"/>
                  <c:y val="2.8368794326241127E-2"/>
                </c:manualLayout>
              </c:layout>
              <c:dLblPos val="t"/>
              <c:showVal val="1"/>
            </c:dLbl>
            <c:dLbl>
              <c:idx val="1"/>
              <c:layout>
                <c:manualLayout>
                  <c:x val="0"/>
                  <c:y val="3.7825059101654845E-2"/>
                </c:manualLayout>
              </c:layout>
              <c:dLblPos val="t"/>
              <c:showVal val="1"/>
            </c:dLbl>
            <c:dLbl>
              <c:idx val="2"/>
              <c:layout>
                <c:manualLayout>
                  <c:x val="4.9886045027349098E-17"/>
                  <c:y val="3.7825059101654832E-2"/>
                </c:manualLayout>
              </c:layout>
              <c:dLblPos val="t"/>
              <c:showVal val="1"/>
            </c:dLbl>
            <c:dLbl>
              <c:idx val="3"/>
              <c:layout>
                <c:manualLayout>
                  <c:x val="0"/>
                  <c:y val="8.6340294419719188E-3"/>
                </c:manualLayout>
              </c:layout>
              <c:dLblPos val="t"/>
              <c:showVal val="1"/>
            </c:dLbl>
            <c:dLblPos val="t"/>
            <c:showVal val="1"/>
          </c:dLbls>
          <c:val>
            <c:numRef>
              <c:f>'骨骼动画时间分布-508'!$Y$111:$Y$114</c:f>
              <c:numCache>
                <c:formatCode>0_ </c:formatCode>
                <c:ptCount val="4"/>
                <c:pt idx="0" formatCode="0.0_ ">
                  <c:v>2.8275862068965512</c:v>
                </c:pt>
                <c:pt idx="1">
                  <c:v>12.119047619047619</c:v>
                </c:pt>
                <c:pt idx="2">
                  <c:v>13.08</c:v>
                </c:pt>
                <c:pt idx="3">
                  <c:v>13.913793103448278</c:v>
                </c:pt>
              </c:numCache>
            </c:numRef>
          </c:val>
        </c:ser>
        <c:ser>
          <c:idx val="1"/>
          <c:order val="1"/>
          <c:tx>
            <c:strRef>
              <c:f>'骨骼动画时间分布-508'!$Z$110</c:f>
              <c:strCache>
                <c:ptCount val="1"/>
                <c:pt idx="0">
                  <c:v>全局</c:v>
                </c:pt>
              </c:strCache>
            </c:strRef>
          </c:tx>
          <c:dLbls>
            <c:dLbl>
              <c:idx val="0"/>
              <c:layout>
                <c:manualLayout>
                  <c:x val="4.8979591836734733E-2"/>
                  <c:y val="0.16803301761192893"/>
                </c:manualLayout>
              </c:layout>
              <c:dLblPos val="t"/>
              <c:showVal val="1"/>
            </c:dLbl>
            <c:dLbl>
              <c:idx val="1"/>
              <c:layout>
                <c:manualLayout>
                  <c:x val="0"/>
                  <c:y val="5.4128553079801196E-2"/>
                </c:manualLayout>
              </c:layout>
              <c:dLblPos val="t"/>
              <c:showVal val="1"/>
            </c:dLbl>
            <c:dLbl>
              <c:idx val="2"/>
              <c:layout>
                <c:manualLayout>
                  <c:x val="-4.2851786383846564E-7"/>
                  <c:y val="4.0595670222073423E-2"/>
                </c:manualLayout>
              </c:layout>
              <c:dLblPos val="t"/>
              <c:showVal val="1"/>
            </c:dLbl>
            <c:dLbl>
              <c:idx val="3"/>
              <c:layout>
                <c:manualLayout>
                  <c:x val="0"/>
                  <c:y val="5.2090616332534742E-2"/>
                </c:manualLayout>
              </c:layout>
              <c:dLblPos val="t"/>
              <c:showVal val="1"/>
            </c:dLbl>
            <c:dLblPos val="t"/>
            <c:showVal val="1"/>
          </c:dLbls>
          <c:val>
            <c:numRef>
              <c:f>'骨骼动画时间分布-508'!$Z$111:$Z$114</c:f>
              <c:numCache>
                <c:formatCode>0.0_ </c:formatCode>
                <c:ptCount val="4"/>
                <c:pt idx="0">
                  <c:v>1.8344827586206898</c:v>
                </c:pt>
                <c:pt idx="1">
                  <c:v>4.515723270440251</c:v>
                </c:pt>
                <c:pt idx="2">
                  <c:v>5.3353658536585371</c:v>
                </c:pt>
                <c:pt idx="3">
                  <c:v>5.8620689655172411</c:v>
                </c:pt>
              </c:numCache>
            </c:numRef>
          </c:val>
        </c:ser>
        <c:dLbls>
          <c:showVal val="1"/>
        </c:dLbls>
        <c:marker val="1"/>
        <c:axId val="89175168"/>
        <c:axId val="89176704"/>
      </c:lineChart>
      <c:catAx>
        <c:axId val="89175168"/>
        <c:scaling>
          <c:orientation val="minMax"/>
        </c:scaling>
        <c:axPos val="b"/>
        <c:tickLblPos val="nextTo"/>
        <c:crossAx val="89176704"/>
        <c:crosses val="autoZero"/>
        <c:auto val="1"/>
        <c:lblAlgn val="ctr"/>
        <c:lblOffset val="100"/>
      </c:catAx>
      <c:valAx>
        <c:axId val="89176704"/>
        <c:scaling>
          <c:orientation val="minMax"/>
        </c:scaling>
        <c:delete val="1"/>
        <c:axPos val="l"/>
        <c:numFmt formatCode="0.0_ " sourceLinked="1"/>
        <c:tickLblPos val="nextTo"/>
        <c:crossAx val="8917516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1144" l="0.70000000000000062" r="0.70000000000000062" t="0.75000000000001144" header="0.30000000000000032" footer="0.30000000000000032"/>
    <c:pageSetup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 sz="1200">
                <a:latin typeface="幼圆" pitchFamily="49" charset="-122"/>
                <a:ea typeface="幼圆" pitchFamily="49" charset="-122"/>
              </a:rPr>
              <a:t>耗时分布表  </a:t>
            </a:r>
            <a:r>
              <a:rPr lang="en-US" altLang="zh-CN" sz="1200">
                <a:latin typeface="幼圆" pitchFamily="49" charset="-122"/>
                <a:ea typeface="幼圆" pitchFamily="49" charset="-122"/>
              </a:rPr>
              <a:t>OpenCL</a:t>
            </a:r>
            <a:endParaRPr lang="zh-CN" altLang="en-US" sz="1200">
              <a:latin typeface="幼圆" pitchFamily="49" charset="-122"/>
              <a:ea typeface="幼圆" pitchFamily="49" charset="-122"/>
            </a:endParaRPr>
          </a:p>
        </c:rich>
      </c:tx>
      <c:layout>
        <c:manualLayout>
          <c:xMode val="edge"/>
          <c:yMode val="edge"/>
          <c:x val="0.27316369352136066"/>
          <c:y val="3.2128514056224897E-2"/>
        </c:manualLayout>
      </c:layout>
    </c:title>
    <c:plotArea>
      <c:layout/>
      <c:barChart>
        <c:barDir val="bar"/>
        <c:grouping val="clustered"/>
        <c:ser>
          <c:idx val="0"/>
          <c:order val="0"/>
          <c:dPt>
            <c:idx val="0"/>
            <c:spPr>
              <a:solidFill>
                <a:schemeClr val="accent5"/>
              </a:solidFill>
            </c:spPr>
          </c:dPt>
          <c:dPt>
            <c:idx val="1"/>
            <c:spPr>
              <a:solidFill>
                <a:schemeClr val="accent3"/>
              </a:solidFill>
            </c:spPr>
          </c:dPt>
          <c:dPt>
            <c:idx val="2"/>
            <c:spPr>
              <a:solidFill>
                <a:schemeClr val="accent2"/>
              </a:solidFill>
            </c:spPr>
          </c:dPt>
          <c:dLbls>
            <c:showVal val="1"/>
          </c:dLbls>
          <c:cat>
            <c:strRef>
              <c:f>('骨骼动画时间分布-508'!$D$109,'骨骼动画时间分布-508'!$F$109,'骨骼动画时间分布-508'!$H$109,'骨骼动画时间分布-508'!$J$109,'骨骼动画时间分布-508'!$N$109)</c:f>
              <c:strCache>
                <c:ptCount val="5"/>
                <c:pt idx="0">
                  <c:v>CPU计算骨骼</c:v>
                </c:pt>
                <c:pt idx="1">
                  <c:v>CPU计算顶点</c:v>
                </c:pt>
                <c:pt idx="2">
                  <c:v>GPU渲染面片</c:v>
                </c:pt>
                <c:pt idx="3">
                  <c:v>异步等待</c:v>
                </c:pt>
                <c:pt idx="4">
                  <c:v>OpenCL传输</c:v>
                </c:pt>
              </c:strCache>
            </c:strRef>
          </c:cat>
          <c:val>
            <c:numRef>
              <c:f>('骨骼动画时间分布-508'!$E$112,'骨骼动画时间分布-508'!$G$112,'骨骼动画时间分布-508'!$I$112,'骨骼动画时间分布-508'!$K$112,'骨骼动画时间分布-508'!$O$112)</c:f>
              <c:numCache>
                <c:formatCode>0%</c:formatCode>
                <c:ptCount val="5"/>
                <c:pt idx="0">
                  <c:v>0.20125786163522011</c:v>
                </c:pt>
                <c:pt idx="1">
                  <c:v>0.26415094339622641</c:v>
                </c:pt>
                <c:pt idx="2">
                  <c:v>0.20754716981132076</c:v>
                </c:pt>
                <c:pt idx="3">
                  <c:v>0.22012578616352199</c:v>
                </c:pt>
                <c:pt idx="4">
                  <c:v>0.1069182389937107</c:v>
                </c:pt>
              </c:numCache>
            </c:numRef>
          </c:val>
        </c:ser>
        <c:dLbls>
          <c:showVal val="1"/>
        </c:dLbls>
        <c:gapWidth val="75"/>
        <c:axId val="89530368"/>
        <c:axId val="89531904"/>
      </c:barChart>
      <c:catAx>
        <c:axId val="89530368"/>
        <c:scaling>
          <c:orientation val="minMax"/>
        </c:scaling>
        <c:axPos val="l"/>
        <c:numFmt formatCode="General" sourceLinked="1"/>
        <c:majorTickMark val="none"/>
        <c:tickLblPos val="nextTo"/>
        <c:crossAx val="89531904"/>
        <c:crosses val="autoZero"/>
        <c:auto val="1"/>
        <c:lblAlgn val="ctr"/>
        <c:lblOffset val="100"/>
      </c:catAx>
      <c:valAx>
        <c:axId val="89531904"/>
        <c:scaling>
          <c:orientation val="minMax"/>
        </c:scaling>
        <c:axPos val="b"/>
        <c:numFmt formatCode="0%" sourceLinked="1"/>
        <c:majorTickMark val="none"/>
        <c:tickLblPos val="nextTo"/>
        <c:crossAx val="89530368"/>
        <c:crosses val="autoZero"/>
        <c:crossBetween val="between"/>
      </c:valAx>
    </c:plotArea>
    <c:plotVisOnly val="1"/>
    <c:dispBlanksAs val="gap"/>
  </c:chart>
  <c:printSettings>
    <c:headerFooter/>
    <c:pageMargins b="0.75000000000001132" l="0.70000000000000062" r="0.70000000000000062" t="0.75000000000001132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 sz="1200">
                <a:latin typeface="幼圆" pitchFamily="49" charset="-122"/>
                <a:ea typeface="幼圆" pitchFamily="49" charset="-122"/>
              </a:rPr>
              <a:t>耗时分布表  </a:t>
            </a:r>
            <a:r>
              <a:rPr lang="en-US" altLang="zh-CN" sz="1200">
                <a:latin typeface="幼圆" pitchFamily="49" charset="-122"/>
                <a:ea typeface="幼圆" pitchFamily="49" charset="-122"/>
              </a:rPr>
              <a:t>OpenCL</a:t>
            </a:r>
            <a:endParaRPr lang="zh-CN" altLang="en-US" sz="1200">
              <a:latin typeface="幼圆" pitchFamily="49" charset="-122"/>
              <a:ea typeface="幼圆" pitchFamily="49" charset="-122"/>
            </a:endParaRPr>
          </a:p>
        </c:rich>
      </c:tx>
      <c:layout>
        <c:manualLayout>
          <c:xMode val="edge"/>
          <c:yMode val="edge"/>
          <c:x val="0.27316369352136066"/>
          <c:y val="3.2128514056224897E-2"/>
        </c:manualLayout>
      </c:layout>
    </c:title>
    <c:plotArea>
      <c:layout/>
      <c:barChart>
        <c:barDir val="bar"/>
        <c:grouping val="clustered"/>
        <c:ser>
          <c:idx val="0"/>
          <c:order val="0"/>
          <c:dPt>
            <c:idx val="0"/>
            <c:spPr>
              <a:solidFill>
                <a:schemeClr val="accent5"/>
              </a:solidFill>
            </c:spPr>
          </c:dPt>
          <c:dPt>
            <c:idx val="1"/>
            <c:spPr>
              <a:solidFill>
                <a:schemeClr val="accent3"/>
              </a:solidFill>
            </c:spPr>
          </c:dPt>
          <c:dPt>
            <c:idx val="2"/>
            <c:spPr>
              <a:solidFill>
                <a:schemeClr val="accent2"/>
              </a:solidFill>
            </c:spPr>
          </c:dPt>
          <c:dLbls>
            <c:showVal val="1"/>
          </c:dLbls>
          <c:cat>
            <c:strRef>
              <c:f>('骨骼动画时间分布-508'!$D$142,'骨骼动画时间分布-508'!$F$142,'骨骼动画时间分布-508'!$H$142,'骨骼动画时间分布-508'!$J$142,'骨骼动画时间分布-508'!$N$142)</c:f>
              <c:strCache>
                <c:ptCount val="5"/>
                <c:pt idx="0">
                  <c:v>CPU计算骨骼</c:v>
                </c:pt>
                <c:pt idx="1">
                  <c:v>CPU计算顶点</c:v>
                </c:pt>
                <c:pt idx="2">
                  <c:v>GPU渲染面片</c:v>
                </c:pt>
                <c:pt idx="3">
                  <c:v>异步等待</c:v>
                </c:pt>
                <c:pt idx="4">
                  <c:v>OpenCL传输</c:v>
                </c:pt>
              </c:strCache>
            </c:strRef>
          </c:cat>
          <c:val>
            <c:numRef>
              <c:f>('骨骼动画时间分布-508'!$E$145,'骨骼动画时间分布-508'!$G$145,'骨骼动画时间分布-508'!$I$145,'骨骼动画时间分布-508'!$K$145,'骨骼动画时间分布-508'!$O$145)</c:f>
              <c:numCache>
                <c:formatCode>0%</c:formatCode>
                <c:ptCount val="5"/>
                <c:pt idx="0">
                  <c:v>0.14953271028037382</c:v>
                </c:pt>
                <c:pt idx="1">
                  <c:v>0.19626168224299065</c:v>
                </c:pt>
                <c:pt idx="2">
                  <c:v>0.1542056074766355</c:v>
                </c:pt>
                <c:pt idx="3">
                  <c:v>0.14018691588785048</c:v>
                </c:pt>
                <c:pt idx="4">
                  <c:v>0.35981308411214952</c:v>
                </c:pt>
              </c:numCache>
            </c:numRef>
          </c:val>
        </c:ser>
        <c:dLbls>
          <c:showVal val="1"/>
        </c:dLbls>
        <c:gapWidth val="75"/>
        <c:axId val="89577728"/>
        <c:axId val="89206784"/>
      </c:barChart>
      <c:catAx>
        <c:axId val="89577728"/>
        <c:scaling>
          <c:orientation val="minMax"/>
        </c:scaling>
        <c:axPos val="l"/>
        <c:numFmt formatCode="General" sourceLinked="1"/>
        <c:majorTickMark val="none"/>
        <c:tickLblPos val="nextTo"/>
        <c:crossAx val="89206784"/>
        <c:crosses val="autoZero"/>
        <c:auto val="1"/>
        <c:lblAlgn val="ctr"/>
        <c:lblOffset val="100"/>
      </c:catAx>
      <c:valAx>
        <c:axId val="89206784"/>
        <c:scaling>
          <c:orientation val="minMax"/>
        </c:scaling>
        <c:axPos val="b"/>
        <c:numFmt formatCode="0%" sourceLinked="1"/>
        <c:majorTickMark val="none"/>
        <c:tickLblPos val="nextTo"/>
        <c:crossAx val="89577728"/>
        <c:crosses val="autoZero"/>
        <c:crossBetween val="between"/>
      </c:valAx>
    </c:plotArea>
    <c:plotVisOnly val="1"/>
    <c:dispBlanksAs val="gap"/>
  </c:chart>
  <c:printSettings>
    <c:headerFooter/>
    <c:pageMargins b="0.75000000000001155" l="0.70000000000000062" r="0.70000000000000062" t="0.75000000000001155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0"/>
          <c:order val="0"/>
          <c:tx>
            <c:strRef>
              <c:f>'骨骼动画时间分布-508'!$T$143</c:f>
              <c:strCache>
                <c:ptCount val="1"/>
                <c:pt idx="0">
                  <c:v>串行</c:v>
                </c:pt>
              </c:strCache>
            </c:strRef>
          </c:tx>
          <c:dLbls>
            <c:dLblPos val="outEnd"/>
            <c:showVal val="1"/>
          </c:dLbls>
          <c:val>
            <c:numRef>
              <c:f>'骨骼动画时间分布-508'!$T$144:$T$147</c:f>
              <c:numCache>
                <c:formatCode>0.0_ </c:formatCode>
                <c:ptCount val="4"/>
                <c:pt idx="0">
                  <c:v>2.66</c:v>
                </c:pt>
                <c:pt idx="1">
                  <c:v>7.18</c:v>
                </c:pt>
                <c:pt idx="2">
                  <c:v>8.75</c:v>
                </c:pt>
                <c:pt idx="3">
                  <c:v>10.199999999999999</c:v>
                </c:pt>
              </c:numCache>
            </c:numRef>
          </c:val>
        </c:ser>
        <c:ser>
          <c:idx val="1"/>
          <c:order val="1"/>
          <c:tx>
            <c:strRef>
              <c:f>'骨骼动画时间分布-508'!$U$143</c:f>
              <c:strCache>
                <c:ptCount val="1"/>
                <c:pt idx="0">
                  <c:v>OpenCL</c:v>
                </c:pt>
              </c:strCache>
            </c:strRef>
          </c:tx>
          <c:dLbls>
            <c:dLbl>
              <c:idx val="0"/>
              <c:layout>
                <c:manualLayout>
                  <c:x val="2.0202013774910824E-2"/>
                  <c:y val="4.3010752688172046E-2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2.4242416529892192E-2"/>
                  <c:y val="2.8673835125448292E-2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2.8282819284874933E-2"/>
                  <c:y val="2.150537634408603E-2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2.8282819284874933E-2"/>
                  <c:y val="2.150537634408603E-2"/>
                </c:manualLayout>
              </c:layout>
              <c:dLblPos val="outEnd"/>
              <c:showVal val="1"/>
            </c:dLbl>
            <c:dLblPos val="outEnd"/>
            <c:showVal val="1"/>
          </c:dLbls>
          <c:val>
            <c:numRef>
              <c:f>'骨骼动画时间分布-508'!$U$144:$U$147</c:f>
              <c:numCache>
                <c:formatCode>0.0_ </c:formatCode>
                <c:ptCount val="4"/>
                <c:pt idx="0">
                  <c:v>1.94</c:v>
                </c:pt>
                <c:pt idx="1">
                  <c:v>2.14</c:v>
                </c:pt>
                <c:pt idx="2">
                  <c:v>2.2599999999999998</c:v>
                </c:pt>
                <c:pt idx="3">
                  <c:v>2.36</c:v>
                </c:pt>
              </c:numCache>
            </c:numRef>
          </c:val>
        </c:ser>
        <c:axId val="89240320"/>
        <c:axId val="89241856"/>
      </c:barChart>
      <c:catAx>
        <c:axId val="89240320"/>
        <c:scaling>
          <c:orientation val="minMax"/>
        </c:scaling>
        <c:axPos val="b"/>
        <c:tickLblPos val="nextTo"/>
        <c:crossAx val="89241856"/>
        <c:crosses val="autoZero"/>
        <c:auto val="1"/>
        <c:lblAlgn val="ctr"/>
        <c:lblOffset val="100"/>
      </c:catAx>
      <c:valAx>
        <c:axId val="89241856"/>
        <c:scaling>
          <c:orientation val="minMax"/>
        </c:scaling>
        <c:delete val="1"/>
        <c:axPos val="l"/>
        <c:numFmt formatCode="0.0_ " sourceLinked="1"/>
        <c:tickLblPos val="nextTo"/>
        <c:crossAx val="892403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2724097606612526"/>
          <c:y val="0.11690398075240596"/>
          <c:w val="0.23024028306998448"/>
          <c:h val="0.28703037120359981"/>
        </c:manualLayout>
      </c:layout>
    </c:legend>
    <c:plotVisOnly val="1"/>
    <c:dispBlanksAs val="gap"/>
  </c:chart>
  <c:printSettings>
    <c:headerFooter/>
    <c:pageMargins b="0.75000000000001166" l="0.70000000000000062" r="0.70000000000000062" t="0.75000000000001166" header="0.30000000000000032" footer="0.30000000000000032"/>
    <c:pageSetup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0"/>
          <c:order val="0"/>
          <c:tx>
            <c:strRef>
              <c:f>'骨骼动画时间分布-508'!$V$143</c:f>
              <c:strCache>
                <c:ptCount val="1"/>
                <c:pt idx="0">
                  <c:v>串行</c:v>
                </c:pt>
              </c:strCache>
            </c:strRef>
          </c:tx>
          <c:dLbls>
            <c:dLblPos val="outEnd"/>
            <c:showVal val="1"/>
          </c:dLbls>
          <c:val>
            <c:numRef>
              <c:f>'骨骼动画时间分布-508'!$V$144:$V$147</c:f>
              <c:numCache>
                <c:formatCode>0.0_ </c:formatCode>
                <c:ptCount val="4"/>
                <c:pt idx="0">
                  <c:v>0.81999999999999984</c:v>
                </c:pt>
                <c:pt idx="1">
                  <c:v>5.09</c:v>
                </c:pt>
                <c:pt idx="2">
                  <c:v>6.54</c:v>
                </c:pt>
                <c:pt idx="3">
                  <c:v>8.07</c:v>
                </c:pt>
              </c:numCache>
            </c:numRef>
          </c:val>
        </c:ser>
        <c:ser>
          <c:idx val="1"/>
          <c:order val="1"/>
          <c:tx>
            <c:strRef>
              <c:f>'骨骼动画时间分布-508'!$W$143</c:f>
              <c:strCache>
                <c:ptCount val="1"/>
                <c:pt idx="0">
                  <c:v>OpenCL</c:v>
                </c:pt>
              </c:strCache>
            </c:strRef>
          </c:tx>
          <c:dLbls>
            <c:dLbl>
              <c:idx val="0"/>
              <c:layout>
                <c:manualLayout>
                  <c:x val="2.0201879460121776E-2"/>
                  <c:y val="2.0538801067209612E-2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2.4242255352145217E-2"/>
                  <c:y val="2.1183172957967816E-2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2.8282819284874954E-2"/>
                  <c:y val="2.150537634408603E-2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2.8282819284874954E-2"/>
                  <c:y val="2.150537634408603E-2"/>
                </c:manualLayout>
              </c:layout>
              <c:dLblPos val="outEnd"/>
              <c:showVal val="1"/>
            </c:dLbl>
            <c:dLblPos val="outEnd"/>
            <c:showVal val="1"/>
          </c:dLbls>
          <c:val>
            <c:numRef>
              <c:f>'骨骼动画时间分布-508'!$W$144:$W$147</c:f>
              <c:numCache>
                <c:formatCode>0.0_ </c:formatCode>
                <c:ptCount val="4"/>
                <c:pt idx="0">
                  <c:v>0.19</c:v>
                </c:pt>
                <c:pt idx="1">
                  <c:v>0.42</c:v>
                </c:pt>
                <c:pt idx="2">
                  <c:v>0.56000000000000005</c:v>
                </c:pt>
                <c:pt idx="3">
                  <c:v>0.68</c:v>
                </c:pt>
              </c:numCache>
            </c:numRef>
          </c:val>
        </c:ser>
        <c:axId val="89603456"/>
        <c:axId val="89617536"/>
      </c:barChart>
      <c:catAx>
        <c:axId val="89603456"/>
        <c:scaling>
          <c:orientation val="minMax"/>
        </c:scaling>
        <c:axPos val="b"/>
        <c:tickLblPos val="nextTo"/>
        <c:crossAx val="89617536"/>
        <c:crosses val="autoZero"/>
        <c:auto val="1"/>
        <c:lblAlgn val="ctr"/>
        <c:lblOffset val="100"/>
      </c:catAx>
      <c:valAx>
        <c:axId val="89617536"/>
        <c:scaling>
          <c:orientation val="minMax"/>
        </c:scaling>
        <c:delete val="1"/>
        <c:axPos val="l"/>
        <c:numFmt formatCode="0.0_ " sourceLinked="1"/>
        <c:tickLblPos val="nextTo"/>
        <c:crossAx val="896034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272409760661257"/>
          <c:y val="0.11690398075240596"/>
          <c:w val="0.23024028306998454"/>
          <c:h val="0.25925323850646848"/>
        </c:manualLayout>
      </c:layout>
    </c:legend>
    <c:plotVisOnly val="1"/>
    <c:dispBlanksAs val="gap"/>
  </c:chart>
  <c:printSettings>
    <c:headerFooter/>
    <c:pageMargins b="0.7500000000000121" l="0.70000000000000062" r="0.70000000000000062" t="0.750000000000012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2"/>
          <c:order val="0"/>
          <c:tx>
            <c:strRef>
              <c:f>'3770K'!$B$31</c:f>
              <c:strCache>
                <c:ptCount val="1"/>
                <c:pt idx="0">
                  <c:v>kernel
speedup</c:v>
                </c:pt>
              </c:strCache>
            </c:strRef>
          </c:tx>
          <c:dLbls>
            <c:dLbl>
              <c:idx val="1"/>
              <c:layout>
                <c:manualLayout>
                  <c:x val="-5.1020997375328093E-2"/>
                  <c:y val="-6.3177541403815762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5.1020997375328093E-2"/>
                  <c:y val="-7.8772083314147534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5.1020997375328093E-2"/>
                  <c:y val="-6.3177541403815748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5.1020997375327982E-2"/>
                  <c:y val="-7.097481235898144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'3770K'!$C$28:$G$28</c:f>
              <c:strCache>
                <c:ptCount val="5"/>
                <c:pt idx="0">
                  <c:v>cpu</c:v>
                </c:pt>
                <c:pt idx="1">
                  <c:v>openmp</c:v>
                </c:pt>
                <c:pt idx="2">
                  <c:v>sse</c:v>
                </c:pt>
                <c:pt idx="3">
                  <c:v>openmp
+sse</c:v>
                </c:pt>
                <c:pt idx="4">
                  <c:v>opencl</c:v>
                </c:pt>
              </c:strCache>
            </c:strRef>
          </c:cat>
          <c:val>
            <c:numRef>
              <c:f>'3770K'!$C$31:$G$31</c:f>
              <c:numCache>
                <c:formatCode>0.00_ </c:formatCode>
                <c:ptCount val="5"/>
                <c:pt idx="0" formatCode="General">
                  <c:v>1</c:v>
                </c:pt>
                <c:pt idx="1">
                  <c:v>3.4986449864498641</c:v>
                </c:pt>
                <c:pt idx="2">
                  <c:v>1.7190412782956057</c:v>
                </c:pt>
                <c:pt idx="3">
                  <c:v>3.5369863013698626</c:v>
                </c:pt>
                <c:pt idx="4">
                  <c:v>2.9953596287703013</c:v>
                </c:pt>
              </c:numCache>
            </c:numRef>
          </c:val>
        </c:ser>
        <c:ser>
          <c:idx val="3"/>
          <c:order val="1"/>
          <c:tx>
            <c:strRef>
              <c:f>'3770K'!$B$32</c:f>
              <c:strCache>
                <c:ptCount val="1"/>
                <c:pt idx="0">
                  <c:v>frame
speedup</c:v>
                </c:pt>
              </c:strCache>
            </c:strRef>
          </c:tx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5.1020997375328093E-2"/>
                  <c:y val="4.7582999493484414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5.1020997375328093E-2"/>
                  <c:y val="4.7582999493484393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5.1020997375328093E-2"/>
                  <c:y val="4.7582999493484414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5.1020997375327982E-2"/>
                  <c:y val="5.5380270448650112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'3770K'!$C$28:$G$28</c:f>
              <c:strCache>
                <c:ptCount val="5"/>
                <c:pt idx="0">
                  <c:v>cpu</c:v>
                </c:pt>
                <c:pt idx="1">
                  <c:v>openmp</c:v>
                </c:pt>
                <c:pt idx="2">
                  <c:v>sse</c:v>
                </c:pt>
                <c:pt idx="3">
                  <c:v>openmp
+sse</c:v>
                </c:pt>
                <c:pt idx="4">
                  <c:v>opencl</c:v>
                </c:pt>
              </c:strCache>
            </c:strRef>
          </c:cat>
          <c:val>
            <c:numRef>
              <c:f>'3770K'!$C$32:$G$32</c:f>
              <c:numCache>
                <c:formatCode>0.00_ </c:formatCode>
                <c:ptCount val="5"/>
                <c:pt idx="0" formatCode="General">
                  <c:v>1</c:v>
                </c:pt>
                <c:pt idx="1">
                  <c:v>2.2326203208556148</c:v>
                </c:pt>
                <c:pt idx="2">
                  <c:v>1.4778761061946901</c:v>
                </c:pt>
                <c:pt idx="3">
                  <c:v>2.2446236559139785</c:v>
                </c:pt>
                <c:pt idx="4">
                  <c:v>2.7154471544715446</c:v>
                </c:pt>
              </c:numCache>
            </c:numRef>
          </c:val>
        </c:ser>
        <c:dLbls>
          <c:showVal val="1"/>
        </c:dLbls>
        <c:marker val="1"/>
        <c:axId val="83714432"/>
        <c:axId val="83715968"/>
      </c:lineChart>
      <c:catAx>
        <c:axId val="83714432"/>
        <c:scaling>
          <c:orientation val="minMax"/>
        </c:scaling>
        <c:axPos val="b"/>
        <c:numFmt formatCode="General" sourceLinked="0"/>
        <c:majorTickMark val="none"/>
        <c:tickLblPos val="nextTo"/>
        <c:spPr>
          <a:ln w="9525">
            <a:noFill/>
          </a:ln>
        </c:spPr>
        <c:crossAx val="83715968"/>
        <c:crosses val="autoZero"/>
        <c:auto val="1"/>
        <c:lblAlgn val="ctr"/>
        <c:lblOffset val="100"/>
      </c:catAx>
      <c:valAx>
        <c:axId val="83715968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83714432"/>
        <c:crosses val="autoZero"/>
        <c:crossBetween val="between"/>
      </c:valAx>
    </c:plotArea>
    <c:legend>
      <c:legendPos val="b"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'骨骼动画时间分布-508'!$Y$143</c:f>
              <c:strCache>
                <c:ptCount val="1"/>
                <c:pt idx="0">
                  <c:v>局部</c:v>
                </c:pt>
              </c:strCache>
            </c:strRef>
          </c:tx>
          <c:dLbls>
            <c:dLbl>
              <c:idx val="0"/>
              <c:layout>
                <c:manualLayout>
                  <c:x val="0"/>
                  <c:y val="2.8368794326241127E-2"/>
                </c:manualLayout>
              </c:layout>
              <c:dLblPos val="t"/>
              <c:showVal val="1"/>
            </c:dLbl>
            <c:dLbl>
              <c:idx val="1"/>
              <c:layout>
                <c:manualLayout>
                  <c:x val="0"/>
                  <c:y val="3.7825059101654845E-2"/>
                </c:manualLayout>
              </c:layout>
              <c:dLblPos val="t"/>
              <c:showVal val="1"/>
            </c:dLbl>
            <c:dLbl>
              <c:idx val="2"/>
              <c:layout>
                <c:manualLayout>
                  <c:x val="4.9886045027349203E-17"/>
                  <c:y val="3.7825059101654832E-2"/>
                </c:manualLayout>
              </c:layout>
              <c:dLblPos val="t"/>
              <c:showVal val="1"/>
            </c:dLbl>
            <c:dLbl>
              <c:idx val="3"/>
              <c:layout>
                <c:manualLayout>
                  <c:x val="0"/>
                  <c:y val="8.6340294419719188E-3"/>
                </c:manualLayout>
              </c:layout>
              <c:dLblPos val="t"/>
              <c:showVal val="1"/>
            </c:dLbl>
            <c:dLblPos val="t"/>
            <c:showVal val="1"/>
          </c:dLbls>
          <c:val>
            <c:numRef>
              <c:f>'骨骼动画时间分布-508'!$Y$144:$Y$147</c:f>
              <c:numCache>
                <c:formatCode>0_ </c:formatCode>
                <c:ptCount val="4"/>
                <c:pt idx="0" formatCode="0.0_ ">
                  <c:v>4.3157894736842097</c:v>
                </c:pt>
                <c:pt idx="1">
                  <c:v>12.119047619047619</c:v>
                </c:pt>
                <c:pt idx="2">
                  <c:v>11.678571428571427</c:v>
                </c:pt>
                <c:pt idx="3">
                  <c:v>11.867647058823529</c:v>
                </c:pt>
              </c:numCache>
            </c:numRef>
          </c:val>
        </c:ser>
        <c:ser>
          <c:idx val="1"/>
          <c:order val="1"/>
          <c:tx>
            <c:strRef>
              <c:f>'骨骼动画时间分布-508'!$Z$143</c:f>
              <c:strCache>
                <c:ptCount val="1"/>
                <c:pt idx="0">
                  <c:v>全局</c:v>
                </c:pt>
              </c:strCache>
            </c:strRef>
          </c:tx>
          <c:dLbls>
            <c:dLbl>
              <c:idx val="0"/>
              <c:layout>
                <c:manualLayout>
                  <c:x val="4.8979591836734733E-2"/>
                  <c:y val="0.16803301761192893"/>
                </c:manualLayout>
              </c:layout>
              <c:dLblPos val="t"/>
              <c:showVal val="1"/>
            </c:dLbl>
            <c:dLbl>
              <c:idx val="1"/>
              <c:layout>
                <c:manualLayout>
                  <c:x val="0"/>
                  <c:y val="5.4128553079801196E-2"/>
                </c:manualLayout>
              </c:layout>
              <c:dLblPos val="t"/>
              <c:showVal val="1"/>
            </c:dLbl>
            <c:dLbl>
              <c:idx val="2"/>
              <c:layout>
                <c:manualLayout>
                  <c:x val="-4.2851786383846601E-7"/>
                  <c:y val="4.0595670222073423E-2"/>
                </c:manualLayout>
              </c:layout>
              <c:dLblPos val="t"/>
              <c:showVal val="1"/>
            </c:dLbl>
            <c:dLbl>
              <c:idx val="3"/>
              <c:layout>
                <c:manualLayout>
                  <c:x val="0"/>
                  <c:y val="5.2090616332534777E-2"/>
                </c:manualLayout>
              </c:layout>
              <c:dLblPos val="t"/>
              <c:showVal val="1"/>
            </c:dLbl>
            <c:dLblPos val="t"/>
            <c:showVal val="1"/>
          </c:dLbls>
          <c:val>
            <c:numRef>
              <c:f>'骨骼动画时间分布-508'!$Z$144:$Z$147</c:f>
              <c:numCache>
                <c:formatCode>0.0_ </c:formatCode>
                <c:ptCount val="4"/>
                <c:pt idx="0">
                  <c:v>1.3711340206185567</c:v>
                </c:pt>
                <c:pt idx="1">
                  <c:v>3.3551401869158877</c:v>
                </c:pt>
                <c:pt idx="2">
                  <c:v>3.8716814159292041</c:v>
                </c:pt>
                <c:pt idx="3">
                  <c:v>4.3220338983050848</c:v>
                </c:pt>
              </c:numCache>
            </c:numRef>
          </c:val>
        </c:ser>
        <c:dLbls>
          <c:showVal val="1"/>
        </c:dLbls>
        <c:marker val="1"/>
        <c:axId val="89990656"/>
        <c:axId val="89992192"/>
      </c:lineChart>
      <c:catAx>
        <c:axId val="89990656"/>
        <c:scaling>
          <c:orientation val="minMax"/>
        </c:scaling>
        <c:axPos val="b"/>
        <c:tickLblPos val="nextTo"/>
        <c:crossAx val="89992192"/>
        <c:crosses val="autoZero"/>
        <c:auto val="1"/>
        <c:lblAlgn val="ctr"/>
        <c:lblOffset val="100"/>
      </c:catAx>
      <c:valAx>
        <c:axId val="89992192"/>
        <c:scaling>
          <c:orientation val="minMax"/>
        </c:scaling>
        <c:delete val="1"/>
        <c:axPos val="l"/>
        <c:numFmt formatCode="0.0_ " sourceLinked="1"/>
        <c:tickLblPos val="nextTo"/>
        <c:crossAx val="8999065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1166" l="0.70000000000000062" r="0.70000000000000062" t="0.75000000000001166" header="0.30000000000000032" footer="0.30000000000000032"/>
    <c:pageSetup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 sz="1200">
                <a:latin typeface="幼圆" pitchFamily="49" charset="-122"/>
                <a:ea typeface="幼圆" pitchFamily="49" charset="-122"/>
              </a:rPr>
              <a:t>耗时分布表  </a:t>
            </a:r>
            <a:r>
              <a:rPr lang="en-US" altLang="zh-CN" sz="1200">
                <a:latin typeface="幼圆" pitchFamily="49" charset="-122"/>
                <a:ea typeface="幼圆" pitchFamily="49" charset="-122"/>
              </a:rPr>
              <a:t>CUDA</a:t>
            </a:r>
            <a:endParaRPr lang="zh-CN" altLang="en-US" sz="1200">
              <a:latin typeface="幼圆" pitchFamily="49" charset="-122"/>
              <a:ea typeface="幼圆" pitchFamily="49" charset="-122"/>
            </a:endParaRPr>
          </a:p>
        </c:rich>
      </c:tx>
      <c:layout>
        <c:manualLayout>
          <c:xMode val="edge"/>
          <c:yMode val="edge"/>
          <c:x val="0.27316369352136066"/>
          <c:y val="3.2128514056224897E-2"/>
        </c:manualLayout>
      </c:layout>
    </c:title>
    <c:plotArea>
      <c:layout/>
      <c:barChart>
        <c:barDir val="bar"/>
        <c:grouping val="clustered"/>
        <c:ser>
          <c:idx val="0"/>
          <c:order val="0"/>
          <c:dPt>
            <c:idx val="0"/>
            <c:spPr>
              <a:solidFill>
                <a:schemeClr val="accent5"/>
              </a:solidFill>
            </c:spPr>
          </c:dPt>
          <c:dPt>
            <c:idx val="1"/>
            <c:spPr>
              <a:solidFill>
                <a:schemeClr val="accent3"/>
              </a:solidFill>
            </c:spPr>
          </c:dPt>
          <c:dPt>
            <c:idx val="2"/>
            <c:spPr>
              <a:solidFill>
                <a:schemeClr val="accent2"/>
              </a:solidFill>
            </c:spPr>
          </c:dPt>
          <c:dLbls>
            <c:showVal val="1"/>
          </c:dLbls>
          <c:cat>
            <c:strRef>
              <c:f>'骨骼动画时间分布-508'!$J$185:$N$185</c:f>
              <c:strCache>
                <c:ptCount val="5"/>
                <c:pt idx="0">
                  <c:v>CPU计算骨骼</c:v>
                </c:pt>
                <c:pt idx="1">
                  <c:v>CPU计算顶点</c:v>
                </c:pt>
                <c:pt idx="2">
                  <c:v>GPU渲染面片</c:v>
                </c:pt>
                <c:pt idx="3">
                  <c:v>异步等待</c:v>
                </c:pt>
                <c:pt idx="4">
                  <c:v>CUDA传输</c:v>
                </c:pt>
              </c:strCache>
            </c:strRef>
          </c:cat>
          <c:val>
            <c:numRef>
              <c:f>'骨骼动画时间分布-508'!$J$186:$N$186</c:f>
              <c:numCache>
                <c:formatCode>0%</c:formatCode>
                <c:ptCount val="5"/>
                <c:pt idx="0">
                  <c:v>4.4077134986225897E-2</c:v>
                </c:pt>
                <c:pt idx="1">
                  <c:v>0.65426997245179064</c:v>
                </c:pt>
                <c:pt idx="2">
                  <c:v>4.6831955922865015E-2</c:v>
                </c:pt>
                <c:pt idx="3">
                  <c:v>0.13360881542699718</c:v>
                </c:pt>
                <c:pt idx="4">
                  <c:v>0.12121212121212122</c:v>
                </c:pt>
              </c:numCache>
            </c:numRef>
          </c:val>
        </c:ser>
        <c:dLbls>
          <c:showVal val="1"/>
        </c:dLbls>
        <c:gapWidth val="75"/>
        <c:axId val="90034176"/>
        <c:axId val="90035712"/>
      </c:barChart>
      <c:catAx>
        <c:axId val="90034176"/>
        <c:scaling>
          <c:orientation val="minMax"/>
        </c:scaling>
        <c:axPos val="l"/>
        <c:numFmt formatCode="General" sourceLinked="1"/>
        <c:majorTickMark val="none"/>
        <c:tickLblPos val="nextTo"/>
        <c:crossAx val="90035712"/>
        <c:crosses val="autoZero"/>
        <c:auto val="1"/>
        <c:lblAlgn val="ctr"/>
        <c:lblOffset val="100"/>
      </c:catAx>
      <c:valAx>
        <c:axId val="90035712"/>
        <c:scaling>
          <c:orientation val="minMax"/>
        </c:scaling>
        <c:axPos val="b"/>
        <c:numFmt formatCode="0%" sourceLinked="1"/>
        <c:majorTickMark val="none"/>
        <c:tickLblPos val="nextTo"/>
        <c:crossAx val="90034176"/>
        <c:crosses val="autoZero"/>
        <c:crossBetween val="between"/>
      </c:valAx>
    </c:plotArea>
    <c:plotVisOnly val="1"/>
    <c:dispBlanksAs val="gap"/>
  </c:chart>
  <c:printSettings>
    <c:headerFooter/>
    <c:pageMargins b="0.75000000000001177" l="0.70000000000000062" r="0.70000000000000062" t="0.75000000000001177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 sz="1200">
                <a:latin typeface="幼圆" pitchFamily="49" charset="-122"/>
                <a:ea typeface="幼圆" pitchFamily="49" charset="-122"/>
              </a:rPr>
              <a:t>耗时分布表  </a:t>
            </a:r>
            <a:r>
              <a:rPr lang="en-US" altLang="zh-CN" sz="1200">
                <a:latin typeface="幼圆" pitchFamily="49" charset="-122"/>
                <a:ea typeface="幼圆" pitchFamily="49" charset="-122"/>
              </a:rPr>
              <a:t>CUDA</a:t>
            </a:r>
            <a:endParaRPr lang="zh-CN" altLang="en-US" sz="1200">
              <a:latin typeface="幼圆" pitchFamily="49" charset="-122"/>
              <a:ea typeface="幼圆" pitchFamily="49" charset="-122"/>
            </a:endParaRPr>
          </a:p>
        </c:rich>
      </c:tx>
      <c:layout>
        <c:manualLayout>
          <c:xMode val="edge"/>
          <c:yMode val="edge"/>
          <c:x val="0.27316369352136066"/>
          <c:y val="3.2128514056224897E-2"/>
        </c:manualLayout>
      </c:layout>
    </c:title>
    <c:plotArea>
      <c:layout/>
      <c:barChart>
        <c:barDir val="bar"/>
        <c:grouping val="clustered"/>
        <c:ser>
          <c:idx val="0"/>
          <c:order val="0"/>
          <c:dPt>
            <c:idx val="0"/>
            <c:spPr>
              <a:solidFill>
                <a:schemeClr val="accent5"/>
              </a:solidFill>
            </c:spPr>
          </c:dPt>
          <c:dPt>
            <c:idx val="1"/>
            <c:spPr>
              <a:solidFill>
                <a:schemeClr val="accent3"/>
              </a:solidFill>
            </c:spPr>
          </c:dPt>
          <c:dPt>
            <c:idx val="2"/>
            <c:spPr>
              <a:solidFill>
                <a:schemeClr val="accent2"/>
              </a:solidFill>
            </c:spPr>
          </c:dPt>
          <c:dLbls>
            <c:showVal val="1"/>
          </c:dLbls>
          <c:cat>
            <c:strRef>
              <c:f>('骨骼动画时间分布-508'!$D$199,'骨骼动画时间分布-508'!$F$199,'骨骼动画时间分布-508'!$H$199,'骨骼动画时间分布-508'!$J$199,'骨骼动画时间分布-508'!$N$199)</c:f>
              <c:strCache>
                <c:ptCount val="5"/>
                <c:pt idx="0">
                  <c:v>CPU计算骨骼</c:v>
                </c:pt>
                <c:pt idx="1">
                  <c:v>CPU计算顶点</c:v>
                </c:pt>
                <c:pt idx="2">
                  <c:v>GPU渲染面片</c:v>
                </c:pt>
                <c:pt idx="3">
                  <c:v>异步等待</c:v>
                </c:pt>
                <c:pt idx="4">
                  <c:v>CUDA传输</c:v>
                </c:pt>
              </c:strCache>
            </c:strRef>
          </c:cat>
          <c:val>
            <c:numRef>
              <c:f>('骨骼动画时间分布-508'!$E$202,'骨骼动画时间分布-508'!$G$202,'骨骼动画时间分布-508'!$I$202,'骨骼动画时间分布-508'!$K$202,'骨骼动画时间分布-508'!$O$202)</c:f>
              <c:numCache>
                <c:formatCode>0%</c:formatCode>
                <c:ptCount val="5"/>
                <c:pt idx="0">
                  <c:v>8.0200501253132828E-2</c:v>
                </c:pt>
                <c:pt idx="1">
                  <c:v>0.37092731829573933</c:v>
                </c:pt>
                <c:pt idx="2">
                  <c:v>8.5213032581453629E-2</c:v>
                </c:pt>
                <c:pt idx="3">
                  <c:v>0.24310776942355897</c:v>
                </c:pt>
                <c:pt idx="4">
                  <c:v>0.22055137844611528</c:v>
                </c:pt>
              </c:numCache>
            </c:numRef>
          </c:val>
        </c:ser>
        <c:dLbls>
          <c:showVal val="1"/>
        </c:dLbls>
        <c:gapWidth val="75"/>
        <c:axId val="90147072"/>
        <c:axId val="90169344"/>
      </c:barChart>
      <c:catAx>
        <c:axId val="90147072"/>
        <c:scaling>
          <c:orientation val="minMax"/>
        </c:scaling>
        <c:axPos val="l"/>
        <c:numFmt formatCode="General" sourceLinked="1"/>
        <c:majorTickMark val="none"/>
        <c:tickLblPos val="nextTo"/>
        <c:crossAx val="90169344"/>
        <c:crosses val="autoZero"/>
        <c:auto val="1"/>
        <c:lblAlgn val="ctr"/>
        <c:lblOffset val="100"/>
      </c:catAx>
      <c:valAx>
        <c:axId val="90169344"/>
        <c:scaling>
          <c:orientation val="minMax"/>
        </c:scaling>
        <c:axPos val="b"/>
        <c:numFmt formatCode="0%" sourceLinked="1"/>
        <c:majorTickMark val="none"/>
        <c:tickLblPos val="nextTo"/>
        <c:crossAx val="90147072"/>
        <c:crosses val="autoZero"/>
        <c:crossBetween val="between"/>
      </c:valAx>
    </c:plotArea>
    <c:plotVisOnly val="1"/>
    <c:dispBlanksAs val="gap"/>
  </c:chart>
  <c:printSettings>
    <c:headerFooter/>
    <c:pageMargins b="0.75000000000001199" l="0.70000000000000062" r="0.70000000000000062" t="0.75000000000001199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'骨骼动画时间分布-508'!$Y$173</c:f>
              <c:strCache>
                <c:ptCount val="1"/>
                <c:pt idx="0">
                  <c:v>局部</c:v>
                </c:pt>
              </c:strCache>
            </c:strRef>
          </c:tx>
          <c:dLbls>
            <c:dLbl>
              <c:idx val="0"/>
              <c:layout>
                <c:manualLayout>
                  <c:x val="3.2653061224489806E-2"/>
                  <c:y val="0.17329605538438297"/>
                </c:manualLayout>
              </c:layout>
              <c:dLblPos val="t"/>
              <c:showVal val="1"/>
            </c:dLbl>
            <c:dLbl>
              <c:idx val="1"/>
              <c:layout>
                <c:manualLayout>
                  <c:x val="0"/>
                  <c:y val="6.6810453041195983E-2"/>
                </c:manualLayout>
              </c:layout>
              <c:dLblPos val="t"/>
              <c:showVal val="1"/>
            </c:dLbl>
            <c:dLbl>
              <c:idx val="2"/>
              <c:layout>
                <c:manualLayout>
                  <c:x val="4.988604502734932E-17"/>
                  <c:y val="3.7825059101654832E-2"/>
                </c:manualLayout>
              </c:layout>
              <c:dLblPos val="t"/>
              <c:showVal val="1"/>
            </c:dLbl>
            <c:dLbl>
              <c:idx val="3"/>
              <c:layout>
                <c:manualLayout>
                  <c:x val="6.5306122448979598E-2"/>
                  <c:y val="0.12457605842748071"/>
                </c:manualLayout>
              </c:layout>
              <c:dLblPos val="t"/>
              <c:showVal val="1"/>
            </c:dLbl>
            <c:dLblPos val="t"/>
            <c:showVal val="1"/>
          </c:dLbls>
          <c:val>
            <c:numRef>
              <c:f>'骨骼动画时间分布-508'!$Y$174:$Y$177</c:f>
              <c:numCache>
                <c:formatCode>0.0_ </c:formatCode>
                <c:ptCount val="4"/>
                <c:pt idx="0">
                  <c:v>0.32539682539682535</c:v>
                </c:pt>
                <c:pt idx="1">
                  <c:v>1.071578947368421</c:v>
                </c:pt>
                <c:pt idx="2">
                  <c:v>0.9674556213017752</c:v>
                </c:pt>
                <c:pt idx="3">
                  <c:v>0.92228571428571426</c:v>
                </c:pt>
              </c:numCache>
            </c:numRef>
          </c:val>
        </c:ser>
        <c:ser>
          <c:idx val="1"/>
          <c:order val="1"/>
          <c:tx>
            <c:strRef>
              <c:f>'骨骼动画时间分布-508'!$Z$173</c:f>
              <c:strCache>
                <c:ptCount val="1"/>
                <c:pt idx="0">
                  <c:v>全局</c:v>
                </c:pt>
              </c:strCache>
            </c:strRef>
          </c:tx>
          <c:dLbls>
            <c:dLbl>
              <c:idx val="0"/>
              <c:layout>
                <c:manualLayout>
                  <c:x val="-4.8979591836734733E-2"/>
                  <c:y val="0.10040016737038306"/>
                </c:manualLayout>
              </c:layout>
              <c:dLblPos val="t"/>
              <c:showVal val="1"/>
            </c:dLbl>
            <c:dLbl>
              <c:idx val="1"/>
              <c:layout>
                <c:manualLayout>
                  <c:x val="-5.4421768707482764E-3"/>
                  <c:y val="0.21837955038228921"/>
                </c:manualLayout>
              </c:layout>
              <c:dLblPos val="t"/>
              <c:showVal val="1"/>
            </c:dLbl>
            <c:dLbl>
              <c:idx val="2"/>
              <c:delete val="1"/>
            </c:dLbl>
            <c:dLbl>
              <c:idx val="3"/>
              <c:delete val="1"/>
            </c:dLbl>
            <c:dLblPos val="t"/>
            <c:showVal val="1"/>
          </c:dLbls>
          <c:val>
            <c:numRef>
              <c:f>'骨骼动画时间分布-508'!$Z$174:$Z$177</c:f>
              <c:numCache>
                <c:formatCode>0.0_ </c:formatCode>
                <c:ptCount val="4"/>
                <c:pt idx="0">
                  <c:v>0.52673267326732676</c:v>
                </c:pt>
                <c:pt idx="1">
                  <c:v>0.98898071625344353</c:v>
                </c:pt>
                <c:pt idx="2">
                  <c:v>0.94390507011866243</c:v>
                </c:pt>
                <c:pt idx="3">
                  <c:v>0.9107142857142857</c:v>
                </c:pt>
              </c:numCache>
            </c:numRef>
          </c:val>
        </c:ser>
        <c:dLbls>
          <c:showVal val="1"/>
        </c:dLbls>
        <c:marker val="1"/>
        <c:axId val="90055424"/>
        <c:axId val="90056960"/>
      </c:lineChart>
      <c:catAx>
        <c:axId val="90055424"/>
        <c:scaling>
          <c:orientation val="minMax"/>
        </c:scaling>
        <c:axPos val="b"/>
        <c:tickLblPos val="nextTo"/>
        <c:crossAx val="90056960"/>
        <c:crosses val="autoZero"/>
        <c:auto val="1"/>
        <c:lblAlgn val="ctr"/>
        <c:lblOffset val="100"/>
      </c:catAx>
      <c:valAx>
        <c:axId val="90056960"/>
        <c:scaling>
          <c:orientation val="minMax"/>
        </c:scaling>
        <c:delete val="1"/>
        <c:axPos val="l"/>
        <c:numFmt formatCode="0.0_ " sourceLinked="1"/>
        <c:tickLblPos val="nextTo"/>
        <c:crossAx val="9005542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1188" l="0.70000000000000062" r="0.70000000000000062" t="0.75000000000001188" header="0.30000000000000032" footer="0.30000000000000032"/>
    <c:pageSetup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'骨骼动画时间分布-508'!$Y$200</c:f>
              <c:strCache>
                <c:ptCount val="1"/>
                <c:pt idx="0">
                  <c:v>局部</c:v>
                </c:pt>
              </c:strCache>
            </c:strRef>
          </c:tx>
          <c:dLbls>
            <c:dLbl>
              <c:idx val="0"/>
              <c:layout>
                <c:manualLayout>
                  <c:x val="-3.2653061224489806E-2"/>
                  <c:y val="5.7354026398874054E-2"/>
                </c:manualLayout>
              </c:layout>
              <c:dLblPos val="t"/>
              <c:showVal val="1"/>
            </c:dLbl>
            <c:dLbl>
              <c:idx val="1"/>
              <c:layout>
                <c:manualLayout>
                  <c:x val="0"/>
                  <c:y val="3.7824945794819688E-2"/>
                </c:manualLayout>
              </c:layout>
              <c:dLblPos val="t"/>
              <c:showVal val="1"/>
            </c:dLbl>
            <c:dLbl>
              <c:idx val="2"/>
              <c:layout>
                <c:manualLayout>
                  <c:x val="4.9886045027349424E-17"/>
                  <c:y val="3.7825059101654832E-2"/>
                </c:manualLayout>
              </c:layout>
              <c:dLblPos val="t"/>
              <c:showVal val="1"/>
            </c:dLbl>
            <c:dLbl>
              <c:idx val="3"/>
              <c:layout>
                <c:manualLayout>
                  <c:x val="1.0884353741496601E-2"/>
                  <c:y val="3.7619536688348811E-2"/>
                </c:manualLayout>
              </c:layout>
              <c:dLblPos val="t"/>
              <c:showVal val="1"/>
            </c:dLbl>
            <c:dLblPos val="t"/>
            <c:showVal val="1"/>
          </c:dLbls>
          <c:val>
            <c:numRef>
              <c:f>'骨骼动画时间分布-508'!$Y$201:$Y$204</c:f>
              <c:numCache>
                <c:formatCode>0.0_ </c:formatCode>
                <c:ptCount val="4"/>
                <c:pt idx="0">
                  <c:v>1.1232876712328765</c:v>
                </c:pt>
                <c:pt idx="1">
                  <c:v>3.439189189189189</c:v>
                </c:pt>
                <c:pt idx="2">
                  <c:v>3.1142857142857143</c:v>
                </c:pt>
                <c:pt idx="3">
                  <c:v>2.9778597785977863</c:v>
                </c:pt>
              </c:numCache>
            </c:numRef>
          </c:val>
        </c:ser>
        <c:ser>
          <c:idx val="1"/>
          <c:order val="1"/>
          <c:tx>
            <c:strRef>
              <c:f>'骨骼动画时间分布-508'!$Z$200</c:f>
              <c:strCache>
                <c:ptCount val="1"/>
                <c:pt idx="0">
                  <c:v>全局</c:v>
                </c:pt>
              </c:strCache>
            </c:strRef>
          </c:tx>
          <c:dLbls>
            <c:dLbl>
              <c:idx val="0"/>
              <c:layout>
                <c:manualLayout>
                  <c:x val="3.2653061224489806E-2"/>
                  <c:y val="-8.6956521739130543E-2"/>
                </c:manualLayout>
              </c:layout>
              <c:dLblPos val="b"/>
              <c:showVal val="1"/>
            </c:dLbl>
            <c:dLblPos val="b"/>
            <c:showVal val="1"/>
          </c:dLbls>
          <c:val>
            <c:numRef>
              <c:f>'骨骼动画时间分布-508'!$Z$201:$Z$204</c:f>
              <c:numCache>
                <c:formatCode>0.0_ </c:formatCode>
                <c:ptCount val="4"/>
                <c:pt idx="0">
                  <c:v>0.84984025559105436</c:v>
                </c:pt>
                <c:pt idx="1">
                  <c:v>1.7994987468671677</c:v>
                </c:pt>
                <c:pt idx="2">
                  <c:v>1.9273127753303965</c:v>
                </c:pt>
                <c:pt idx="3">
                  <c:v>1.9577735124760076</c:v>
                </c:pt>
              </c:numCache>
            </c:numRef>
          </c:val>
        </c:ser>
        <c:dLbls>
          <c:showVal val="1"/>
        </c:dLbls>
        <c:marker val="1"/>
        <c:axId val="90094208"/>
        <c:axId val="90263936"/>
      </c:lineChart>
      <c:catAx>
        <c:axId val="90094208"/>
        <c:scaling>
          <c:orientation val="minMax"/>
        </c:scaling>
        <c:axPos val="b"/>
        <c:tickLblPos val="nextTo"/>
        <c:crossAx val="90263936"/>
        <c:crosses val="autoZero"/>
        <c:auto val="1"/>
        <c:lblAlgn val="ctr"/>
        <c:lblOffset val="100"/>
      </c:catAx>
      <c:valAx>
        <c:axId val="90263936"/>
        <c:scaling>
          <c:orientation val="minMax"/>
        </c:scaling>
        <c:delete val="1"/>
        <c:axPos val="l"/>
        <c:numFmt formatCode="0.0_ " sourceLinked="1"/>
        <c:tickLblPos val="nextTo"/>
        <c:crossAx val="9009420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121" l="0.70000000000000062" r="0.70000000000000062" t="0.7500000000000121" header="0.30000000000000032" footer="0.30000000000000032"/>
    <c:pageSetup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 sz="1200">
                <a:latin typeface="幼圆" pitchFamily="49" charset="-122"/>
                <a:ea typeface="幼圆" pitchFamily="49" charset="-122"/>
              </a:rPr>
              <a:t>耗时分布表  </a:t>
            </a:r>
            <a:r>
              <a:rPr lang="en-US" altLang="zh-CN" sz="1200">
                <a:latin typeface="幼圆" pitchFamily="49" charset="-122"/>
                <a:ea typeface="幼圆" pitchFamily="49" charset="-122"/>
              </a:rPr>
              <a:t>CUDA</a:t>
            </a:r>
            <a:endParaRPr lang="zh-CN" altLang="en-US" sz="1200">
              <a:latin typeface="幼圆" pitchFamily="49" charset="-122"/>
              <a:ea typeface="幼圆" pitchFamily="49" charset="-122"/>
            </a:endParaRPr>
          </a:p>
        </c:rich>
      </c:tx>
      <c:layout>
        <c:manualLayout>
          <c:xMode val="edge"/>
          <c:yMode val="edge"/>
          <c:x val="0.27316369352136066"/>
          <c:y val="3.2128514056224897E-2"/>
        </c:manualLayout>
      </c:layout>
    </c:title>
    <c:plotArea>
      <c:layout/>
      <c:barChart>
        <c:barDir val="bar"/>
        <c:grouping val="clustered"/>
        <c:ser>
          <c:idx val="0"/>
          <c:order val="0"/>
          <c:dPt>
            <c:idx val="0"/>
            <c:spPr>
              <a:solidFill>
                <a:schemeClr val="accent5"/>
              </a:solidFill>
            </c:spPr>
          </c:dPt>
          <c:dPt>
            <c:idx val="1"/>
            <c:spPr>
              <a:solidFill>
                <a:schemeClr val="accent3"/>
              </a:solidFill>
            </c:spPr>
          </c:dPt>
          <c:dPt>
            <c:idx val="2"/>
            <c:spPr>
              <a:solidFill>
                <a:schemeClr val="accent2"/>
              </a:solidFill>
            </c:spPr>
          </c:dPt>
          <c:dLbls>
            <c:showVal val="1"/>
          </c:dLbls>
          <c:cat>
            <c:strRef>
              <c:f>('骨骼动画时间分布-508'!$D$222,'骨骼动画时间分布-508'!$F$222,'骨骼动画时间分布-508'!$H$222,'骨骼动画时间分布-508'!$J$222,'骨骼动画时间分布-508'!$N$222)</c:f>
              <c:strCache>
                <c:ptCount val="5"/>
                <c:pt idx="0">
                  <c:v>CPU计算骨骼</c:v>
                </c:pt>
                <c:pt idx="1">
                  <c:v>CPU计算顶点</c:v>
                </c:pt>
                <c:pt idx="2">
                  <c:v>GPU渲染面片</c:v>
                </c:pt>
                <c:pt idx="3">
                  <c:v>异步等待</c:v>
                </c:pt>
                <c:pt idx="4">
                  <c:v>CUDA传输</c:v>
                </c:pt>
              </c:strCache>
            </c:strRef>
          </c:cat>
          <c:val>
            <c:numRef>
              <c:f>('骨骼动画时间分布-508'!$E$225,'骨骼动画时间分布-508'!$G$225,'骨骼动画时间分布-508'!$I$225,'骨骼动画时间分布-508'!$K$225,'骨骼动画时间分布-508'!$O$225)</c:f>
              <c:numCache>
                <c:formatCode>0%</c:formatCode>
                <c:ptCount val="5"/>
                <c:pt idx="0">
                  <c:v>4.4880785413744739E-2</c:v>
                </c:pt>
                <c:pt idx="1">
                  <c:v>0.64936886395511917</c:v>
                </c:pt>
                <c:pt idx="2">
                  <c:v>4.7685834502103792E-2</c:v>
                </c:pt>
                <c:pt idx="3">
                  <c:v>0.13464235624123416</c:v>
                </c:pt>
                <c:pt idx="4">
                  <c:v>0.12342215988779803</c:v>
                </c:pt>
              </c:numCache>
            </c:numRef>
          </c:val>
        </c:ser>
        <c:dLbls>
          <c:showVal val="1"/>
        </c:dLbls>
        <c:gapWidth val="75"/>
        <c:axId val="90305664"/>
        <c:axId val="90307200"/>
      </c:barChart>
      <c:catAx>
        <c:axId val="90305664"/>
        <c:scaling>
          <c:orientation val="minMax"/>
        </c:scaling>
        <c:axPos val="l"/>
        <c:numFmt formatCode="General" sourceLinked="1"/>
        <c:majorTickMark val="none"/>
        <c:tickLblPos val="nextTo"/>
        <c:crossAx val="90307200"/>
        <c:crosses val="autoZero"/>
        <c:auto val="1"/>
        <c:lblAlgn val="ctr"/>
        <c:lblOffset val="100"/>
      </c:catAx>
      <c:valAx>
        <c:axId val="90307200"/>
        <c:scaling>
          <c:orientation val="minMax"/>
        </c:scaling>
        <c:axPos val="b"/>
        <c:numFmt formatCode="0%" sourceLinked="1"/>
        <c:majorTickMark val="none"/>
        <c:tickLblPos val="nextTo"/>
        <c:crossAx val="90305664"/>
        <c:crosses val="autoZero"/>
        <c:crossBetween val="between"/>
      </c:valAx>
    </c:plotArea>
    <c:plotVisOnly val="1"/>
    <c:dispBlanksAs val="gap"/>
  </c:chart>
  <c:printSettings>
    <c:headerFooter/>
    <c:pageMargins b="0.75000000000001221" l="0.70000000000000062" r="0.70000000000000062" t="0.75000000000001221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'骨骼动画时间分布-508'!$Y$223</c:f>
              <c:strCache>
                <c:ptCount val="1"/>
                <c:pt idx="0">
                  <c:v>局部</c:v>
                </c:pt>
              </c:strCache>
            </c:strRef>
          </c:tx>
          <c:dLbls>
            <c:dLbl>
              <c:idx val="0"/>
              <c:layout>
                <c:manualLayout>
                  <c:x val="-5.4421768707482956E-2"/>
                  <c:y val="0.14431054813800448"/>
                </c:manualLayout>
              </c:layout>
              <c:dLblPos val="t"/>
              <c:showVal val="1"/>
            </c:dLbl>
            <c:dLbl>
              <c:idx val="1"/>
              <c:layout>
                <c:manualLayout>
                  <c:x val="0"/>
                  <c:y val="3.7824945794819702E-2"/>
                </c:manualLayout>
              </c:layout>
              <c:dLblPos val="t"/>
              <c:showVal val="1"/>
            </c:dLbl>
            <c:dLbl>
              <c:idx val="2"/>
              <c:layout>
                <c:manualLayout>
                  <c:x val="4.9886045027349523E-17"/>
                  <c:y val="3.7825059101654832E-2"/>
                </c:manualLayout>
              </c:layout>
              <c:dLblPos val="t"/>
              <c:showVal val="1"/>
            </c:dLbl>
            <c:dLbl>
              <c:idx val="3"/>
              <c:layout>
                <c:manualLayout>
                  <c:x val="1.0884353741496601E-2"/>
                  <c:y val="3.7619536688348811E-2"/>
                </c:manualLayout>
              </c:layout>
              <c:dLblPos val="t"/>
              <c:showVal val="1"/>
            </c:dLbl>
            <c:dLblPos val="t"/>
            <c:showVal val="1"/>
          </c:dLbls>
          <c:val>
            <c:numRef>
              <c:f>'骨骼动画时间分布-508'!$Y$224:$Y$227</c:f>
              <c:numCache>
                <c:formatCode>0.0_ </c:formatCode>
                <c:ptCount val="4"/>
                <c:pt idx="0">
                  <c:v>0.32669322709163345</c:v>
                </c:pt>
                <c:pt idx="1">
                  <c:v>1.0993520518358531</c:v>
                </c:pt>
                <c:pt idx="2">
                  <c:v>1.0030674846625767</c:v>
                </c:pt>
                <c:pt idx="3">
                  <c:v>0.94496487119437955</c:v>
                </c:pt>
              </c:numCache>
            </c:numRef>
          </c:val>
        </c:ser>
        <c:ser>
          <c:idx val="1"/>
          <c:order val="1"/>
          <c:tx>
            <c:strRef>
              <c:f>'骨骼动画时间分布-508'!$Z$223</c:f>
              <c:strCache>
                <c:ptCount val="1"/>
                <c:pt idx="0">
                  <c:v>全局</c:v>
                </c:pt>
              </c:strCache>
            </c:strRef>
          </c:tx>
          <c:dLbls>
            <c:dLbl>
              <c:idx val="0"/>
              <c:layout>
                <c:manualLayout>
                  <c:x val="-5.4421768707482956E-2"/>
                  <c:y val="-0.17391304347826342"/>
                </c:manualLayout>
              </c:layout>
              <c:dLblPos val="b"/>
              <c:showVal val="1"/>
            </c:dLbl>
            <c:dLbl>
              <c:idx val="1"/>
              <c:layout>
                <c:manualLayout>
                  <c:x val="1.0884353741496601E-2"/>
                  <c:y val="-5.7971014492753624E-2"/>
                </c:manualLayout>
              </c:layout>
              <c:dLblPos val="b"/>
              <c:showVal val="1"/>
            </c:dLbl>
            <c:dLbl>
              <c:idx val="2"/>
              <c:delete val="1"/>
            </c:dLbl>
            <c:dLbl>
              <c:idx val="3"/>
              <c:delete val="1"/>
            </c:dLbl>
            <c:dLblPos val="b"/>
            <c:showVal val="1"/>
          </c:dLbls>
          <c:val>
            <c:numRef>
              <c:f>'骨骼动画时间分布-508'!$Z$224:$Z$227</c:f>
              <c:numCache>
                <c:formatCode>0.0_ </c:formatCode>
                <c:ptCount val="4"/>
                <c:pt idx="0">
                  <c:v>0.52988047808764949</c:v>
                </c:pt>
                <c:pt idx="1">
                  <c:v>1.0070126227208975</c:v>
                </c:pt>
                <c:pt idx="2">
                  <c:v>0.97765363128491622</c:v>
                </c:pt>
                <c:pt idx="3">
                  <c:v>0.92727272727272725</c:v>
                </c:pt>
              </c:numCache>
            </c:numRef>
          </c:val>
        </c:ser>
        <c:dLbls>
          <c:showVal val="1"/>
        </c:dLbls>
        <c:marker val="1"/>
        <c:axId val="90201472"/>
        <c:axId val="90211456"/>
      </c:lineChart>
      <c:catAx>
        <c:axId val="90201472"/>
        <c:scaling>
          <c:orientation val="minMax"/>
        </c:scaling>
        <c:axPos val="b"/>
        <c:tickLblPos val="nextTo"/>
        <c:crossAx val="90211456"/>
        <c:crosses val="autoZero"/>
        <c:auto val="1"/>
        <c:lblAlgn val="ctr"/>
        <c:lblOffset val="100"/>
      </c:catAx>
      <c:valAx>
        <c:axId val="90211456"/>
        <c:scaling>
          <c:orientation val="minMax"/>
        </c:scaling>
        <c:delete val="1"/>
        <c:axPos val="l"/>
        <c:numFmt formatCode="0.0_ " sourceLinked="1"/>
        <c:tickLblPos val="nextTo"/>
        <c:crossAx val="9020147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1232" l="0.70000000000000062" r="0.70000000000000062" t="0.75000000000001232" header="0.30000000000000032" footer="0.30000000000000032"/>
    <c:pageSetup/>
  </c:printSettings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 sz="1200">
                <a:latin typeface="幼圆" pitchFamily="49" charset="-122"/>
                <a:ea typeface="幼圆" pitchFamily="49" charset="-122"/>
              </a:rPr>
              <a:t>耗时分布表  </a:t>
            </a:r>
            <a:r>
              <a:rPr lang="en-US" altLang="zh-CN" sz="1200">
                <a:latin typeface="幼圆" pitchFamily="49" charset="-122"/>
                <a:ea typeface="幼圆" pitchFamily="49" charset="-122"/>
              </a:rPr>
              <a:t>CUDA</a:t>
            </a:r>
            <a:endParaRPr lang="zh-CN" altLang="en-US" sz="1200">
              <a:latin typeface="幼圆" pitchFamily="49" charset="-122"/>
              <a:ea typeface="幼圆" pitchFamily="49" charset="-122"/>
            </a:endParaRPr>
          </a:p>
        </c:rich>
      </c:tx>
      <c:layout>
        <c:manualLayout>
          <c:xMode val="edge"/>
          <c:yMode val="edge"/>
          <c:x val="0.27316369352136066"/>
          <c:y val="3.2128514056224897E-2"/>
        </c:manualLayout>
      </c:layout>
    </c:title>
    <c:plotArea>
      <c:layout/>
      <c:barChart>
        <c:barDir val="bar"/>
        <c:grouping val="clustered"/>
        <c:ser>
          <c:idx val="0"/>
          <c:order val="0"/>
          <c:dPt>
            <c:idx val="0"/>
            <c:spPr>
              <a:solidFill>
                <a:schemeClr val="accent5"/>
              </a:solidFill>
            </c:spPr>
          </c:dPt>
          <c:dPt>
            <c:idx val="1"/>
            <c:spPr>
              <a:solidFill>
                <a:schemeClr val="accent3"/>
              </a:solidFill>
            </c:spPr>
          </c:dPt>
          <c:dPt>
            <c:idx val="2"/>
            <c:spPr>
              <a:solidFill>
                <a:schemeClr val="accent2"/>
              </a:solidFill>
            </c:spPr>
          </c:dPt>
          <c:dLbls>
            <c:showVal val="1"/>
          </c:dLbls>
          <c:cat>
            <c:strRef>
              <c:f>('骨骼动画时间分布-508'!$D$243,'骨骼动画时间分布-508'!$F$243,'骨骼动画时间分布-508'!$H$243,'骨骼动画时间分布-508'!$J$243,'骨骼动画时间分布-508'!$N$243)</c:f>
              <c:strCache>
                <c:ptCount val="5"/>
                <c:pt idx="0">
                  <c:v>CPU计算骨骼</c:v>
                </c:pt>
                <c:pt idx="1">
                  <c:v>CPU计算顶点</c:v>
                </c:pt>
                <c:pt idx="2">
                  <c:v>GPU渲染面片</c:v>
                </c:pt>
                <c:pt idx="3">
                  <c:v>异步等待</c:v>
                </c:pt>
                <c:pt idx="4">
                  <c:v>CUDA传输</c:v>
                </c:pt>
              </c:strCache>
            </c:strRef>
          </c:cat>
          <c:val>
            <c:numRef>
              <c:f>('骨骼动画时间分布-508'!$E$246,'骨骼动画时间分布-508'!$G$246,'骨骼动画时间分布-508'!$I$246,'骨骼动画时间分布-508'!$K$246,'骨骼动画时间分布-508'!$O$246)</c:f>
              <c:numCache>
                <c:formatCode>0%</c:formatCode>
                <c:ptCount val="5"/>
                <c:pt idx="0">
                  <c:v>9.815950920245399E-2</c:v>
                </c:pt>
                <c:pt idx="1">
                  <c:v>0.26993865030674846</c:v>
                </c:pt>
                <c:pt idx="2">
                  <c:v>0.10429447852760737</c:v>
                </c:pt>
                <c:pt idx="3">
                  <c:v>0.26380368098159512</c:v>
                </c:pt>
                <c:pt idx="4">
                  <c:v>0.26380368098159512</c:v>
                </c:pt>
              </c:numCache>
            </c:numRef>
          </c:val>
        </c:ser>
        <c:dLbls>
          <c:showVal val="1"/>
        </c:dLbls>
        <c:gapWidth val="75"/>
        <c:axId val="90318720"/>
        <c:axId val="90320256"/>
      </c:barChart>
      <c:catAx>
        <c:axId val="90318720"/>
        <c:scaling>
          <c:orientation val="minMax"/>
        </c:scaling>
        <c:axPos val="l"/>
        <c:numFmt formatCode="General" sourceLinked="1"/>
        <c:majorTickMark val="none"/>
        <c:tickLblPos val="nextTo"/>
        <c:crossAx val="90320256"/>
        <c:crosses val="autoZero"/>
        <c:auto val="1"/>
        <c:lblAlgn val="ctr"/>
        <c:lblOffset val="100"/>
      </c:catAx>
      <c:valAx>
        <c:axId val="90320256"/>
        <c:scaling>
          <c:orientation val="minMax"/>
        </c:scaling>
        <c:axPos val="b"/>
        <c:numFmt formatCode="0%" sourceLinked="1"/>
        <c:majorTickMark val="none"/>
        <c:tickLblPos val="nextTo"/>
        <c:crossAx val="90318720"/>
        <c:crosses val="autoZero"/>
        <c:crossBetween val="between"/>
      </c:valAx>
    </c:plotArea>
    <c:plotVisOnly val="1"/>
    <c:dispBlanksAs val="gap"/>
  </c:chart>
  <c:printSettings>
    <c:headerFooter/>
    <c:pageMargins b="0.75000000000001243" l="0.70000000000000062" r="0.70000000000000062" t="0.75000000000001243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'骨骼动画时间分布-508'!$Y$244</c:f>
              <c:strCache>
                <c:ptCount val="1"/>
                <c:pt idx="0">
                  <c:v>局部</c:v>
                </c:pt>
              </c:strCache>
            </c:strRef>
          </c:tx>
          <c:dLbls>
            <c:dLbl>
              <c:idx val="0"/>
              <c:layout>
                <c:manualLayout>
                  <c:x val="-5.4421768707482955E-3"/>
                  <c:y val="2.8368519152496951E-2"/>
                </c:manualLayout>
              </c:layout>
              <c:dLblPos val="t"/>
              <c:showVal val="1"/>
            </c:dLbl>
            <c:dLbl>
              <c:idx val="1"/>
              <c:layout>
                <c:manualLayout>
                  <c:x val="0"/>
                  <c:y val="3.7824945794819723E-2"/>
                </c:manualLayout>
              </c:layout>
              <c:dLblPos val="t"/>
              <c:showVal val="1"/>
            </c:dLbl>
            <c:dLbl>
              <c:idx val="2"/>
              <c:layout>
                <c:manualLayout>
                  <c:x val="4.9886045027349622E-17"/>
                  <c:y val="3.7825059101654832E-2"/>
                </c:manualLayout>
              </c:layout>
              <c:dLblPos val="t"/>
              <c:showVal val="1"/>
            </c:dLbl>
            <c:dLbl>
              <c:idx val="3"/>
              <c:layout>
                <c:manualLayout>
                  <c:x val="1.0884353741496601E-2"/>
                  <c:y val="8.6340294419719188E-3"/>
                </c:manualLayout>
              </c:layout>
              <c:dLblPos val="t"/>
              <c:showVal val="1"/>
            </c:dLbl>
            <c:dLblPos val="t"/>
            <c:showVal val="1"/>
          </c:dLbls>
          <c:val>
            <c:numRef>
              <c:f>'骨骼动画时间分布-508'!$Y$245:$Y$248</c:f>
              <c:numCache>
                <c:formatCode>0.0_ </c:formatCode>
                <c:ptCount val="4"/>
                <c:pt idx="0">
                  <c:v>1.3442622950819669</c:v>
                </c:pt>
                <c:pt idx="1">
                  <c:v>5.7840909090909092</c:v>
                </c:pt>
                <c:pt idx="2">
                  <c:v>6.4752475247524757</c:v>
                </c:pt>
                <c:pt idx="3">
                  <c:v>7.4036697247706416</c:v>
                </c:pt>
              </c:numCache>
            </c:numRef>
          </c:val>
        </c:ser>
        <c:ser>
          <c:idx val="1"/>
          <c:order val="1"/>
          <c:tx>
            <c:strRef>
              <c:f>'骨骼动画时间分布-508'!$Z$244</c:f>
              <c:strCache>
                <c:ptCount val="1"/>
                <c:pt idx="0">
                  <c:v>全局</c:v>
                </c:pt>
              </c:strCache>
            </c:strRef>
          </c:tx>
          <c:dLbls>
            <c:dLbl>
              <c:idx val="0"/>
              <c:layout>
                <c:manualLayout>
                  <c:x val="5.4421768707482955E-3"/>
                  <c:y val="-2.8985507246376812E-2"/>
                </c:manualLayout>
              </c:layout>
              <c:dLblPos val="l"/>
              <c:showVal val="1"/>
            </c:dLbl>
            <c:dLbl>
              <c:idx val="1"/>
              <c:layout>
                <c:manualLayout>
                  <c:x val="0"/>
                  <c:y val="4.8309178743961387E-2"/>
                </c:manualLayout>
              </c:layout>
              <c:dLblPos val="t"/>
              <c:showVal val="1"/>
            </c:dLbl>
            <c:dLbl>
              <c:idx val="2"/>
              <c:layout>
                <c:manualLayout>
                  <c:x val="5.4417483528845711E-3"/>
                  <c:y val="3.8647342995169559E-2"/>
                </c:manualLayout>
              </c:layout>
              <c:dLblPos val="t"/>
              <c:showVal val="1"/>
            </c:dLbl>
            <c:dLbl>
              <c:idx val="3"/>
              <c:layout>
                <c:manualLayout>
                  <c:x val="0"/>
                  <c:y val="1.9323671497584766E-2"/>
                </c:manualLayout>
              </c:layout>
              <c:dLblPos val="t"/>
              <c:showVal val="1"/>
            </c:dLbl>
            <c:dLblPos val="b"/>
            <c:showVal val="1"/>
          </c:dLbls>
          <c:val>
            <c:numRef>
              <c:f>'骨骼动画时间分布-508'!$Z$245:$Z$248</c:f>
              <c:numCache>
                <c:formatCode>0.0_ </c:formatCode>
                <c:ptCount val="4"/>
                <c:pt idx="0">
                  <c:v>0.83911671924290232</c:v>
                </c:pt>
                <c:pt idx="1">
                  <c:v>2.2024539877300615</c:v>
                </c:pt>
                <c:pt idx="2">
                  <c:v>2.5</c:v>
                </c:pt>
                <c:pt idx="3">
                  <c:v>2.833333333333333</c:v>
                </c:pt>
              </c:numCache>
            </c:numRef>
          </c:val>
        </c:ser>
        <c:dLbls>
          <c:showVal val="1"/>
        </c:dLbls>
        <c:marker val="1"/>
        <c:axId val="90362240"/>
        <c:axId val="90363776"/>
      </c:lineChart>
      <c:catAx>
        <c:axId val="90362240"/>
        <c:scaling>
          <c:orientation val="minMax"/>
        </c:scaling>
        <c:axPos val="b"/>
        <c:tickLblPos val="nextTo"/>
        <c:crossAx val="90363776"/>
        <c:crosses val="autoZero"/>
        <c:auto val="1"/>
        <c:lblAlgn val="ctr"/>
        <c:lblOffset val="100"/>
      </c:catAx>
      <c:valAx>
        <c:axId val="90363776"/>
        <c:scaling>
          <c:orientation val="minMax"/>
        </c:scaling>
        <c:delete val="1"/>
        <c:axPos val="l"/>
        <c:numFmt formatCode="0.0_ " sourceLinked="1"/>
        <c:tickLblPos val="nextTo"/>
        <c:crossAx val="9036224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1255" l="0.70000000000000062" r="0.70000000000000062" t="0.75000000000001255" header="0.30000000000000032" footer="0.30000000000000032"/>
    <c:pageSetup/>
  </c:printSettings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 sz="1200">
                <a:latin typeface="幼圆" pitchFamily="49" charset="-122"/>
                <a:ea typeface="幼圆" pitchFamily="49" charset="-122"/>
              </a:rPr>
              <a:t>耗时分布表  </a:t>
            </a:r>
            <a:r>
              <a:rPr lang="en-US" altLang="zh-CN" sz="1200">
                <a:latin typeface="幼圆" pitchFamily="49" charset="-122"/>
                <a:ea typeface="幼圆" pitchFamily="49" charset="-122"/>
              </a:rPr>
              <a:t>CUDA</a:t>
            </a:r>
            <a:endParaRPr lang="zh-CN" altLang="en-US" sz="1200">
              <a:latin typeface="幼圆" pitchFamily="49" charset="-122"/>
              <a:ea typeface="幼圆" pitchFamily="49" charset="-122"/>
            </a:endParaRPr>
          </a:p>
        </c:rich>
      </c:tx>
      <c:layout>
        <c:manualLayout>
          <c:xMode val="edge"/>
          <c:yMode val="edge"/>
          <c:x val="0.27316369352136066"/>
          <c:y val="3.2128514056224897E-2"/>
        </c:manualLayout>
      </c:layout>
    </c:title>
    <c:plotArea>
      <c:layout/>
      <c:barChart>
        <c:barDir val="bar"/>
        <c:grouping val="clustered"/>
        <c:ser>
          <c:idx val="0"/>
          <c:order val="0"/>
          <c:dPt>
            <c:idx val="0"/>
            <c:spPr>
              <a:solidFill>
                <a:schemeClr val="accent5"/>
              </a:solidFill>
            </c:spPr>
          </c:dPt>
          <c:dPt>
            <c:idx val="1"/>
            <c:spPr>
              <a:solidFill>
                <a:schemeClr val="accent3"/>
              </a:solidFill>
            </c:spPr>
          </c:dPt>
          <c:dPt>
            <c:idx val="2"/>
            <c:spPr>
              <a:solidFill>
                <a:schemeClr val="accent2"/>
              </a:solidFill>
            </c:spPr>
          </c:dPt>
          <c:dLbls>
            <c:showVal val="1"/>
          </c:dLbls>
          <c:cat>
            <c:strRef>
              <c:f>('骨骼动画时间分布-508'!$D$266,'骨骼动画时间分布-508'!$F$266,'骨骼动画时间分布-508'!$H$266,'骨骼动画时间分布-508'!$J$266,'骨骼动画时间分布-508'!$N$266)</c:f>
              <c:strCache>
                <c:ptCount val="5"/>
                <c:pt idx="0">
                  <c:v>CPU计算骨骼</c:v>
                </c:pt>
                <c:pt idx="1">
                  <c:v>CPU计算顶点</c:v>
                </c:pt>
                <c:pt idx="2">
                  <c:v>GPU渲染面片</c:v>
                </c:pt>
                <c:pt idx="3">
                  <c:v>异步等待</c:v>
                </c:pt>
                <c:pt idx="4">
                  <c:v>CUDA传输</c:v>
                </c:pt>
              </c:strCache>
            </c:strRef>
          </c:cat>
          <c:val>
            <c:numRef>
              <c:f>('骨骼动画时间分布-508'!$E$269,'骨骼动画时间分布-508'!$G$269,'骨骼动画时间分布-508'!$I$269,'骨骼动画时间分布-508'!$K$269,'骨骼动画时间分布-508'!$O$269)</c:f>
              <c:numCache>
                <c:formatCode>0%</c:formatCode>
                <c:ptCount val="5"/>
                <c:pt idx="0">
                  <c:v>8.5561497326203204E-2</c:v>
                </c:pt>
                <c:pt idx="1">
                  <c:v>0.31818181818181818</c:v>
                </c:pt>
                <c:pt idx="2">
                  <c:v>9.0909090909090912E-2</c:v>
                </c:pt>
                <c:pt idx="3">
                  <c:v>0.27540106951871662</c:v>
                </c:pt>
                <c:pt idx="4">
                  <c:v>0.2299465240641711</c:v>
                </c:pt>
              </c:numCache>
            </c:numRef>
          </c:val>
        </c:ser>
        <c:dLbls>
          <c:showVal val="1"/>
        </c:dLbls>
        <c:gapWidth val="75"/>
        <c:axId val="84892288"/>
        <c:axId val="84926848"/>
      </c:barChart>
      <c:catAx>
        <c:axId val="84892288"/>
        <c:scaling>
          <c:orientation val="minMax"/>
        </c:scaling>
        <c:axPos val="l"/>
        <c:numFmt formatCode="General" sourceLinked="1"/>
        <c:majorTickMark val="none"/>
        <c:tickLblPos val="nextTo"/>
        <c:crossAx val="84926848"/>
        <c:crosses val="autoZero"/>
        <c:auto val="1"/>
        <c:lblAlgn val="ctr"/>
        <c:lblOffset val="100"/>
      </c:catAx>
      <c:valAx>
        <c:axId val="84926848"/>
        <c:scaling>
          <c:orientation val="minMax"/>
        </c:scaling>
        <c:axPos val="b"/>
        <c:numFmt formatCode="0%" sourceLinked="1"/>
        <c:majorTickMark val="none"/>
        <c:tickLblPos val="nextTo"/>
        <c:crossAx val="84892288"/>
        <c:crosses val="autoZero"/>
        <c:crossBetween val="between"/>
      </c:valAx>
    </c:plotArea>
    <c:plotVisOnly val="1"/>
    <c:dispBlanksAs val="gap"/>
  </c:chart>
  <c:printSettings>
    <c:headerFooter/>
    <c:pageMargins b="0.75000000000001266" l="0.70000000000000062" r="0.70000000000000062" t="0.7500000000000126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1"/>
          <c:order val="0"/>
          <c:tx>
            <c:strRef>
              <c:f>'3770K'!$B$15</c:f>
              <c:strCache>
                <c:ptCount val="1"/>
                <c:pt idx="0">
                  <c:v>CPP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'3770K'!$C$13:$J$13</c:f>
              <c:strCache>
                <c:ptCount val="8"/>
                <c:pt idx="0">
                  <c:v>2K</c:v>
                </c:pt>
                <c:pt idx="1">
                  <c:v>8K</c:v>
                </c:pt>
                <c:pt idx="2">
                  <c:v>32K</c:v>
                </c:pt>
                <c:pt idx="3">
                  <c:v>128K</c:v>
                </c:pt>
                <c:pt idx="4">
                  <c:v>256K</c:v>
                </c:pt>
                <c:pt idx="5">
                  <c:v>512K</c:v>
                </c:pt>
                <c:pt idx="6">
                  <c:v>1M</c:v>
                </c:pt>
                <c:pt idx="7">
                  <c:v>2M</c:v>
                </c:pt>
              </c:strCache>
            </c:strRef>
          </c:cat>
          <c:val>
            <c:numRef>
              <c:f>'3770K'!$C$15:$J$15</c:f>
              <c:numCache>
                <c:formatCode>0.00_ </c:formatCode>
                <c:ptCount val="8"/>
                <c:pt idx="0">
                  <c:v>0.17199999999999999</c:v>
                </c:pt>
                <c:pt idx="1">
                  <c:v>0.32999999999999996</c:v>
                </c:pt>
                <c:pt idx="2">
                  <c:v>0.34100000000000003</c:v>
                </c:pt>
                <c:pt idx="3">
                  <c:v>0.60399999999999998</c:v>
                </c:pt>
                <c:pt idx="4">
                  <c:v>0.98699999999999988</c:v>
                </c:pt>
                <c:pt idx="5">
                  <c:v>1.8439999999999999</c:v>
                </c:pt>
                <c:pt idx="6">
                  <c:v>3.42</c:v>
                </c:pt>
                <c:pt idx="7">
                  <c:v>6.5629999999999997</c:v>
                </c:pt>
              </c:numCache>
            </c:numRef>
          </c:val>
        </c:ser>
        <c:ser>
          <c:idx val="3"/>
          <c:order val="1"/>
          <c:tx>
            <c:strRef>
              <c:f>'3770K'!$B$17</c:f>
              <c:strCache>
                <c:ptCount val="1"/>
                <c:pt idx="0">
                  <c:v>OpenCL</c:v>
                </c:pt>
              </c:strCache>
            </c:strRef>
          </c:tx>
          <c:marker>
            <c:symbol val="none"/>
          </c:marker>
          <c:dLbls>
            <c:dLbl>
              <c:idx val="0"/>
              <c:layout>
                <c:manualLayout>
                  <c:x val="-6.8918594212784109E-2"/>
                  <c:y val="1.8550192436707743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6.8918594212784109E-2"/>
                  <c:y val="1.8550192436707743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6.4950339004605423E-2"/>
                  <c:y val="1.8550192436707743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6.8918594212784109E-2"/>
                  <c:y val="1.8550192436707743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6.8918594212784179E-2"/>
                  <c:y val="1.8550192436707743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6.8918906673824179E-2"/>
                  <c:y val="2.4529265680355052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6.8918594212784109E-2"/>
                  <c:y val="3.6487412167650661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5.3601129109214156E-2"/>
                  <c:y val="4.8445558654943877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'3770K'!$C$13:$J$13</c:f>
              <c:strCache>
                <c:ptCount val="8"/>
                <c:pt idx="0">
                  <c:v>2K</c:v>
                </c:pt>
                <c:pt idx="1">
                  <c:v>8K</c:v>
                </c:pt>
                <c:pt idx="2">
                  <c:v>32K</c:v>
                </c:pt>
                <c:pt idx="3">
                  <c:v>128K</c:v>
                </c:pt>
                <c:pt idx="4">
                  <c:v>256K</c:v>
                </c:pt>
                <c:pt idx="5">
                  <c:v>512K</c:v>
                </c:pt>
                <c:pt idx="6">
                  <c:v>1M</c:v>
                </c:pt>
                <c:pt idx="7">
                  <c:v>2M</c:v>
                </c:pt>
              </c:strCache>
            </c:strRef>
          </c:cat>
          <c:val>
            <c:numRef>
              <c:f>'3770K'!$C$17:$J$17</c:f>
              <c:numCache>
                <c:formatCode>0.00_ </c:formatCode>
                <c:ptCount val="8"/>
                <c:pt idx="0">
                  <c:v>0.21299999999999997</c:v>
                </c:pt>
                <c:pt idx="1">
                  <c:v>0.223</c:v>
                </c:pt>
                <c:pt idx="2">
                  <c:v>0.28100000000000003</c:v>
                </c:pt>
                <c:pt idx="3">
                  <c:v>0.36899999999999999</c:v>
                </c:pt>
                <c:pt idx="4">
                  <c:v>0.51800000000000002</c:v>
                </c:pt>
                <c:pt idx="5">
                  <c:v>0.79400000000000004</c:v>
                </c:pt>
                <c:pt idx="6" formatCode="General">
                  <c:v>1.4700000000000002</c:v>
                </c:pt>
                <c:pt idx="7">
                  <c:v>2.4830000000000001</c:v>
                </c:pt>
              </c:numCache>
            </c:numRef>
          </c:val>
        </c:ser>
        <c:dLbls>
          <c:showVal val="1"/>
        </c:dLbls>
        <c:marker val="1"/>
        <c:axId val="83749504"/>
        <c:axId val="83771776"/>
      </c:lineChart>
      <c:catAx>
        <c:axId val="83749504"/>
        <c:scaling>
          <c:orientation val="minMax"/>
        </c:scaling>
        <c:axPos val="b"/>
        <c:numFmt formatCode="General" sourceLinked="0"/>
        <c:majorTickMark val="none"/>
        <c:tickLblPos val="nextTo"/>
        <c:spPr>
          <a:ln w="9525">
            <a:noFill/>
          </a:ln>
        </c:spPr>
        <c:crossAx val="83771776"/>
        <c:crosses val="autoZero"/>
        <c:auto val="1"/>
        <c:lblAlgn val="ctr"/>
        <c:lblOffset val="100"/>
      </c:catAx>
      <c:valAx>
        <c:axId val="83771776"/>
        <c:scaling>
          <c:orientation val="minMax"/>
        </c:scaling>
        <c:delete val="1"/>
        <c:axPos val="l"/>
        <c:numFmt formatCode="0.00_ " sourceLinked="1"/>
        <c:majorTickMark val="none"/>
        <c:tickLblPos val="none"/>
        <c:crossAx val="83749504"/>
        <c:crosses val="autoZero"/>
        <c:crossBetween val="between"/>
      </c:valAx>
    </c:plotArea>
    <c:legend>
      <c:legendPos val="b"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'骨骼动画时间分布-508'!$Y$267</c:f>
              <c:strCache>
                <c:ptCount val="1"/>
                <c:pt idx="0">
                  <c:v>局部</c:v>
                </c:pt>
              </c:strCache>
            </c:strRef>
          </c:tx>
          <c:dLbls>
            <c:dLbl>
              <c:idx val="0"/>
              <c:layout>
                <c:manualLayout>
                  <c:x val="-5.4421768707482955E-3"/>
                  <c:y val="2.836851915249694E-2"/>
                </c:manualLayout>
              </c:layout>
              <c:dLblPos val="t"/>
              <c:showVal val="1"/>
            </c:dLbl>
            <c:dLbl>
              <c:idx val="1"/>
              <c:layout>
                <c:manualLayout>
                  <c:x val="0"/>
                  <c:y val="3.782494579481975E-2"/>
                </c:manualLayout>
              </c:layout>
              <c:dLblPos val="t"/>
              <c:showVal val="1"/>
            </c:dLbl>
            <c:dLbl>
              <c:idx val="2"/>
              <c:layout>
                <c:manualLayout>
                  <c:x val="4.9886045027349726E-17"/>
                  <c:y val="3.7825059101654832E-2"/>
                </c:manualLayout>
              </c:layout>
              <c:dLblPos val="t"/>
              <c:showVal val="1"/>
            </c:dLbl>
            <c:dLbl>
              <c:idx val="3"/>
              <c:layout>
                <c:manualLayout>
                  <c:x val="1.0884353741496601E-2"/>
                  <c:y val="8.6340294419719188E-3"/>
                </c:manualLayout>
              </c:layout>
              <c:dLblPos val="t"/>
              <c:showVal val="1"/>
            </c:dLbl>
            <c:dLblPos val="t"/>
            <c:showVal val="1"/>
          </c:dLbls>
          <c:val>
            <c:numRef>
              <c:f>'骨骼动画时间分布-508'!$Y$268:$Y$271</c:f>
              <c:numCache>
                <c:formatCode>0.0_ </c:formatCode>
                <c:ptCount val="4"/>
                <c:pt idx="0">
                  <c:v>0.86315789473684201</c:v>
                </c:pt>
                <c:pt idx="1">
                  <c:v>4.2773109243697478</c:v>
                </c:pt>
                <c:pt idx="2">
                  <c:v>4.9545454545454541</c:v>
                </c:pt>
                <c:pt idx="3">
                  <c:v>5.6433566433566442</c:v>
                </c:pt>
              </c:numCache>
            </c:numRef>
          </c:val>
        </c:ser>
        <c:ser>
          <c:idx val="1"/>
          <c:order val="1"/>
          <c:tx>
            <c:strRef>
              <c:f>'骨骼动画时间分布-508'!$Z$267</c:f>
              <c:strCache>
                <c:ptCount val="1"/>
                <c:pt idx="0">
                  <c:v>全局</c:v>
                </c:pt>
              </c:strCache>
            </c:strRef>
          </c:tx>
          <c:dLbls>
            <c:dLbl>
              <c:idx val="0"/>
              <c:layout>
                <c:manualLayout>
                  <c:x val="5.4421768707482955E-3"/>
                  <c:y val="-2.8985507246376812E-2"/>
                </c:manualLayout>
              </c:layout>
              <c:dLblPos val="l"/>
              <c:showVal val="1"/>
            </c:dLbl>
            <c:dLbl>
              <c:idx val="1"/>
              <c:layout>
                <c:manualLayout>
                  <c:x val="0"/>
                  <c:y val="4.8309178743961297E-2"/>
                </c:manualLayout>
              </c:layout>
              <c:dLblPos val="t"/>
              <c:showVal val="1"/>
            </c:dLbl>
            <c:dLbl>
              <c:idx val="2"/>
              <c:layout>
                <c:manualLayout>
                  <c:x val="4.988604502734606E-17"/>
                  <c:y val="4.8309178743961352E-2"/>
                </c:manualLayout>
              </c:layout>
              <c:dLblPos val="t"/>
              <c:showVal val="1"/>
            </c:dLbl>
            <c:dLbl>
              <c:idx val="3"/>
              <c:layout>
                <c:manualLayout>
                  <c:x val="0"/>
                  <c:y val="4.8309178743961352E-2"/>
                </c:manualLayout>
              </c:layout>
              <c:dLblPos val="t"/>
              <c:showVal val="1"/>
            </c:dLbl>
            <c:dLblPos val="b"/>
            <c:showVal val="1"/>
          </c:dLbls>
          <c:val>
            <c:numRef>
              <c:f>'骨骼动画时间分布-508'!$Z$268:$Z$271</c:f>
              <c:numCache>
                <c:formatCode>0.0_ </c:formatCode>
                <c:ptCount val="4"/>
                <c:pt idx="0">
                  <c:v>0.76</c:v>
                </c:pt>
                <c:pt idx="1">
                  <c:v>1.9197860962566844</c:v>
                </c:pt>
                <c:pt idx="2">
                  <c:v>2.3209549071618039</c:v>
                </c:pt>
                <c:pt idx="3">
                  <c:v>2.5757575757575757</c:v>
                </c:pt>
              </c:numCache>
            </c:numRef>
          </c:val>
        </c:ser>
        <c:dLbls>
          <c:showVal val="1"/>
        </c:dLbls>
        <c:marker val="1"/>
        <c:axId val="92230784"/>
        <c:axId val="92232320"/>
      </c:lineChart>
      <c:catAx>
        <c:axId val="92230784"/>
        <c:scaling>
          <c:orientation val="minMax"/>
        </c:scaling>
        <c:axPos val="b"/>
        <c:tickLblPos val="nextTo"/>
        <c:crossAx val="92232320"/>
        <c:crosses val="autoZero"/>
        <c:auto val="1"/>
        <c:lblAlgn val="ctr"/>
        <c:lblOffset val="100"/>
      </c:catAx>
      <c:valAx>
        <c:axId val="92232320"/>
        <c:scaling>
          <c:orientation val="minMax"/>
        </c:scaling>
        <c:delete val="1"/>
        <c:axPos val="l"/>
        <c:numFmt formatCode="0.0_ " sourceLinked="1"/>
        <c:tickLblPos val="nextTo"/>
        <c:crossAx val="9223078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1277" l="0.70000000000000062" r="0.70000000000000062" t="0.75000000000001277" header="0.30000000000000032" footer="0.30000000000000032"/>
    <c:pageSetup/>
  </c:printSettings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'骨骼动画时间分布-508'!$Y$275</c:f>
              <c:strCache>
                <c:ptCount val="1"/>
                <c:pt idx="0">
                  <c:v>局部</c:v>
                </c:pt>
              </c:strCache>
            </c:strRef>
          </c:tx>
          <c:dLbls>
            <c:dLbl>
              <c:idx val="0"/>
              <c:layout>
                <c:manualLayout>
                  <c:x val="-5.2260995050896141E-4"/>
                  <c:y val="-4.2829017746340584E-2"/>
                </c:manualLayout>
              </c:layout>
              <c:dLblPos val="t"/>
              <c:showVal val="1"/>
            </c:dLbl>
            <c:dLbl>
              <c:idx val="1"/>
              <c:layout>
                <c:manualLayout>
                  <c:x val="0"/>
                  <c:y val="1.1934351637565363E-2"/>
                </c:manualLayout>
              </c:layout>
              <c:dLblPos val="t"/>
              <c:showVal val="1"/>
            </c:dLbl>
            <c:dLbl>
              <c:idx val="2"/>
              <c:layout>
                <c:manualLayout>
                  <c:x val="0"/>
                  <c:y val="-2.0427581771229636E-2"/>
                </c:manualLayout>
              </c:layout>
              <c:dLblPos val="t"/>
              <c:showVal val="1"/>
            </c:dLbl>
            <c:dLbl>
              <c:idx val="3"/>
              <c:layout>
                <c:manualLayout>
                  <c:x val="1.0884353741496601E-2"/>
                  <c:y val="3.7619536688348811E-2"/>
                </c:manualLayout>
              </c:layout>
              <c:dLblPos val="t"/>
              <c:showVal val="1"/>
            </c:dLbl>
            <c:dLblPos val="t"/>
            <c:showVal val="1"/>
          </c:dLbls>
          <c:cat>
            <c:strRef>
              <c:f>'骨骼动画时间分布-508'!$X$276:$X$280</c:f>
              <c:strCache>
                <c:ptCount val="5"/>
                <c:pt idx="0">
                  <c:v>未优化</c:v>
                </c:pt>
                <c:pt idx="1">
                  <c:v>对齐</c:v>
                </c:pt>
                <c:pt idx="2">
                  <c:v>合并</c:v>
                </c:pt>
                <c:pt idx="3">
                  <c:v>常量</c:v>
                </c:pt>
                <c:pt idx="4">
                  <c:v>共享</c:v>
                </c:pt>
              </c:strCache>
            </c:strRef>
          </c:cat>
          <c:val>
            <c:numRef>
              <c:f>'骨骼动画时间分布-508'!$Y$276:$Y$280</c:f>
              <c:numCache>
                <c:formatCode>0.0_ </c:formatCode>
                <c:ptCount val="5"/>
                <c:pt idx="0">
                  <c:v>1.071578947368421</c:v>
                </c:pt>
                <c:pt idx="1">
                  <c:v>3.439189189189189</c:v>
                </c:pt>
                <c:pt idx="2">
                  <c:v>1.0993520518358531</c:v>
                </c:pt>
                <c:pt idx="3">
                  <c:v>5.7840909090909092</c:v>
                </c:pt>
                <c:pt idx="4">
                  <c:v>4.2773109243697478</c:v>
                </c:pt>
              </c:numCache>
            </c:numRef>
          </c:val>
        </c:ser>
        <c:ser>
          <c:idx val="1"/>
          <c:order val="1"/>
          <c:tx>
            <c:strRef>
              <c:f>'骨骼动画时间分布-508'!$Z$275</c:f>
              <c:strCache>
                <c:ptCount val="1"/>
                <c:pt idx="0">
                  <c:v>全局</c:v>
                </c:pt>
              </c:strCache>
            </c:strRef>
          </c:tx>
          <c:dLbls>
            <c:dLbl>
              <c:idx val="0"/>
              <c:layout>
                <c:manualLayout>
                  <c:x val="-5.4120541205412064E-2"/>
                  <c:y val="5.1779908885707576E-2"/>
                </c:manualLayout>
              </c:layout>
              <c:dLblPos val="r"/>
              <c:showVal val="1"/>
            </c:dLbl>
            <c:dLbl>
              <c:idx val="1"/>
              <c:layout>
                <c:manualLayout>
                  <c:x val="-5.4120541205412064E-2"/>
                  <c:y val="5.8252397496421034E-2"/>
                </c:manualLayout>
              </c:layout>
              <c:dLblPos val="r"/>
              <c:showVal val="1"/>
            </c:dLbl>
            <c:dLbl>
              <c:idx val="2"/>
              <c:layout>
                <c:manualLayout>
                  <c:x val="-4.9200492004920104E-2"/>
                  <c:y val="4.5307420274994133E-2"/>
                </c:manualLayout>
              </c:layout>
              <c:dLblPos val="r"/>
              <c:showVal val="1"/>
            </c:dLbl>
            <c:dLbl>
              <c:idx val="3"/>
              <c:layout>
                <c:manualLayout>
                  <c:x val="-4.9200492004920104E-2"/>
                  <c:y val="-7.1197374717847914E-2"/>
                </c:manualLayout>
              </c:layout>
              <c:dLblPos val="r"/>
              <c:showVal val="1"/>
            </c:dLbl>
            <c:dLbl>
              <c:idx val="4"/>
              <c:layout>
                <c:manualLayout>
                  <c:x val="-5.4120541205412064E-2"/>
                  <c:y val="-5.8252397496421034E-2"/>
                </c:manualLayout>
              </c:layout>
              <c:dLblPos val="r"/>
              <c:showVal val="1"/>
            </c:dLbl>
            <c:dLblPos val="r"/>
            <c:showVal val="1"/>
          </c:dLbls>
          <c:cat>
            <c:strRef>
              <c:f>'骨骼动画时间分布-508'!$X$276:$X$280</c:f>
              <c:strCache>
                <c:ptCount val="5"/>
                <c:pt idx="0">
                  <c:v>未优化</c:v>
                </c:pt>
                <c:pt idx="1">
                  <c:v>对齐</c:v>
                </c:pt>
                <c:pt idx="2">
                  <c:v>合并</c:v>
                </c:pt>
                <c:pt idx="3">
                  <c:v>常量</c:v>
                </c:pt>
                <c:pt idx="4">
                  <c:v>共享</c:v>
                </c:pt>
              </c:strCache>
            </c:strRef>
          </c:cat>
          <c:val>
            <c:numRef>
              <c:f>'骨骼动画时间分布-508'!$Z$276:$Z$280</c:f>
              <c:numCache>
                <c:formatCode>0.0_ </c:formatCode>
                <c:ptCount val="5"/>
                <c:pt idx="0">
                  <c:v>0.98898071625344353</c:v>
                </c:pt>
                <c:pt idx="1">
                  <c:v>1.7994987468671677</c:v>
                </c:pt>
                <c:pt idx="2">
                  <c:v>1.0070126227208975</c:v>
                </c:pt>
                <c:pt idx="3">
                  <c:v>2.2024539877300615</c:v>
                </c:pt>
                <c:pt idx="4">
                  <c:v>1.9197860962566844</c:v>
                </c:pt>
              </c:numCache>
            </c:numRef>
          </c:val>
        </c:ser>
        <c:dLbls>
          <c:showVal val="1"/>
        </c:dLbls>
        <c:marker val="1"/>
        <c:axId val="92261760"/>
        <c:axId val="92300416"/>
      </c:lineChart>
      <c:catAx>
        <c:axId val="92261760"/>
        <c:scaling>
          <c:orientation val="minMax"/>
        </c:scaling>
        <c:axPos val="b"/>
        <c:tickLblPos val="nextTo"/>
        <c:crossAx val="92300416"/>
        <c:crosses val="autoZero"/>
        <c:auto val="1"/>
        <c:lblAlgn val="ctr"/>
        <c:lblOffset val="100"/>
      </c:catAx>
      <c:valAx>
        <c:axId val="92300416"/>
        <c:scaling>
          <c:orientation val="minMax"/>
        </c:scaling>
        <c:delete val="1"/>
        <c:axPos val="l"/>
        <c:numFmt formatCode="0.0_ " sourceLinked="1"/>
        <c:tickLblPos val="nextTo"/>
        <c:crossAx val="9226176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1299" l="0.70000000000000062" r="0.70000000000000062" t="0.75000000000001299" header="0.30000000000000032" footer="0.30000000000000032"/>
    <c:pageSetup/>
  </c:printSettings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 sz="1200">
                <a:latin typeface="幼圆" pitchFamily="49" charset="-122"/>
                <a:ea typeface="幼圆" pitchFamily="49" charset="-122"/>
              </a:rPr>
              <a:t>耗时分布表  </a:t>
            </a:r>
            <a:r>
              <a:rPr lang="en-US" altLang="zh-CN" sz="1200">
                <a:latin typeface="幼圆" pitchFamily="49" charset="-122"/>
                <a:ea typeface="幼圆" pitchFamily="49" charset="-122"/>
              </a:rPr>
              <a:t>CUDA</a:t>
            </a:r>
            <a:endParaRPr lang="zh-CN" altLang="en-US" sz="1200">
              <a:latin typeface="幼圆" pitchFamily="49" charset="-122"/>
              <a:ea typeface="幼圆" pitchFamily="49" charset="-122"/>
            </a:endParaRPr>
          </a:p>
        </c:rich>
      </c:tx>
      <c:layout>
        <c:manualLayout>
          <c:xMode val="edge"/>
          <c:yMode val="edge"/>
          <c:x val="0.27316369352136066"/>
          <c:y val="3.2128514056224897E-2"/>
        </c:manualLayout>
      </c:layout>
    </c:title>
    <c:plotArea>
      <c:layout/>
      <c:barChart>
        <c:barDir val="bar"/>
        <c:grouping val="clustered"/>
        <c:ser>
          <c:idx val="0"/>
          <c:order val="0"/>
          <c:dPt>
            <c:idx val="0"/>
            <c:spPr>
              <a:solidFill>
                <a:schemeClr val="accent5"/>
              </a:solidFill>
            </c:spPr>
          </c:dPt>
          <c:dPt>
            <c:idx val="1"/>
            <c:spPr>
              <a:solidFill>
                <a:schemeClr val="accent3"/>
              </a:solidFill>
            </c:spPr>
          </c:dPt>
          <c:dPt>
            <c:idx val="2"/>
            <c:spPr>
              <a:solidFill>
                <a:schemeClr val="accent2"/>
              </a:solidFill>
            </c:spPr>
          </c:dPt>
          <c:dLbls>
            <c:showVal val="1"/>
          </c:dLbls>
          <c:cat>
            <c:strRef>
              <c:f>('骨骼动画时间分布-508'!$D$289,'骨骼动画时间分布-508'!$F$289,'骨骼动画时间分布-508'!$H$289,'骨骼动画时间分布-508'!$J$289,'骨骼动画时间分布-508'!$N$289)</c:f>
              <c:strCache>
                <c:ptCount val="5"/>
                <c:pt idx="0">
                  <c:v>CPU计算骨骼</c:v>
                </c:pt>
                <c:pt idx="1">
                  <c:v>CPU计算顶点</c:v>
                </c:pt>
                <c:pt idx="2">
                  <c:v>GPU渲染面片</c:v>
                </c:pt>
                <c:pt idx="3">
                  <c:v>异步等待</c:v>
                </c:pt>
                <c:pt idx="4">
                  <c:v>CUDA传输</c:v>
                </c:pt>
              </c:strCache>
            </c:strRef>
          </c:cat>
          <c:val>
            <c:numRef>
              <c:f>('骨骼动画时间分布-508'!$E$292,'骨骼动画时间分布-508'!$G$292,'骨骼动画时间分布-508'!$I$292,'骨骼动画时间分布-508'!$K$292,'骨骼动画时间分布-508'!$O$292)</c:f>
              <c:numCache>
                <c:formatCode>0%</c:formatCode>
                <c:ptCount val="5"/>
                <c:pt idx="0">
                  <c:v>0.11387900355871886</c:v>
                </c:pt>
                <c:pt idx="1">
                  <c:v>0.11032028469750889</c:v>
                </c:pt>
                <c:pt idx="2">
                  <c:v>0.1209964412811388</c:v>
                </c:pt>
                <c:pt idx="3">
                  <c:v>0.34875444839857656</c:v>
                </c:pt>
                <c:pt idx="4">
                  <c:v>0.30604982206405695</c:v>
                </c:pt>
              </c:numCache>
            </c:numRef>
          </c:val>
        </c:ser>
        <c:dLbls>
          <c:showVal val="1"/>
        </c:dLbls>
        <c:gapWidth val="75"/>
        <c:axId val="92314240"/>
        <c:axId val="92344704"/>
      </c:barChart>
      <c:catAx>
        <c:axId val="92314240"/>
        <c:scaling>
          <c:orientation val="minMax"/>
        </c:scaling>
        <c:axPos val="l"/>
        <c:numFmt formatCode="General" sourceLinked="1"/>
        <c:majorTickMark val="none"/>
        <c:tickLblPos val="nextTo"/>
        <c:crossAx val="92344704"/>
        <c:crosses val="autoZero"/>
        <c:auto val="1"/>
        <c:lblAlgn val="ctr"/>
        <c:lblOffset val="100"/>
      </c:catAx>
      <c:valAx>
        <c:axId val="92344704"/>
        <c:scaling>
          <c:orientation val="minMax"/>
        </c:scaling>
        <c:axPos val="b"/>
        <c:numFmt formatCode="0%" sourceLinked="1"/>
        <c:majorTickMark val="none"/>
        <c:tickLblPos val="nextTo"/>
        <c:crossAx val="92314240"/>
        <c:crosses val="autoZero"/>
        <c:crossBetween val="between"/>
      </c:valAx>
    </c:plotArea>
    <c:plotVisOnly val="1"/>
    <c:dispBlanksAs val="gap"/>
  </c:chart>
  <c:printSettings>
    <c:headerFooter/>
    <c:pageMargins b="0.75000000000001288" l="0.70000000000000062" r="0.70000000000000062" t="0.75000000000001288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'骨骼动画时间分布-508'!$Y$290</c:f>
              <c:strCache>
                <c:ptCount val="1"/>
                <c:pt idx="0">
                  <c:v>局部</c:v>
                </c:pt>
              </c:strCache>
            </c:strRef>
          </c:tx>
          <c:dLbls>
            <c:dLbl>
              <c:idx val="0"/>
              <c:layout>
                <c:manualLayout>
                  <c:x val="-5.4421768707482955E-3"/>
                  <c:y val="2.836851915249693E-2"/>
                </c:manualLayout>
              </c:layout>
              <c:dLblPos val="t"/>
              <c:showVal val="1"/>
            </c:dLbl>
            <c:dLbl>
              <c:idx val="1"/>
              <c:layout>
                <c:manualLayout>
                  <c:x val="0"/>
                  <c:y val="5.7148617292403822E-2"/>
                </c:manualLayout>
              </c:layout>
              <c:dLblPos val="t"/>
              <c:showVal val="1"/>
            </c:dLbl>
            <c:dLbl>
              <c:idx val="2"/>
              <c:layout>
                <c:manualLayout>
                  <c:x val="0"/>
                  <c:y val="8.8394385484424926E-3"/>
                </c:manualLayout>
              </c:layout>
              <c:dLblPos val="t"/>
              <c:showVal val="1"/>
            </c:dLbl>
            <c:dLbl>
              <c:idx val="3"/>
              <c:layout>
                <c:manualLayout>
                  <c:x val="1.0884353741496601E-2"/>
                  <c:y val="5.6943208185933292E-2"/>
                </c:manualLayout>
              </c:layout>
              <c:dLblPos val="t"/>
              <c:showVal val="1"/>
            </c:dLbl>
            <c:dLblPos val="t"/>
            <c:showVal val="1"/>
          </c:dLbls>
          <c:val>
            <c:numRef>
              <c:f>'骨骼动画时间分布-508'!$Y$291:$Y$294</c:f>
              <c:numCache>
                <c:formatCode>0_ </c:formatCode>
                <c:ptCount val="4"/>
                <c:pt idx="0" formatCode="0.0_ ">
                  <c:v>4.5555555555555545</c:v>
                </c:pt>
                <c:pt idx="1">
                  <c:v>16.419354838709676</c:v>
                </c:pt>
                <c:pt idx="2">
                  <c:v>18.685714285714287</c:v>
                </c:pt>
                <c:pt idx="3">
                  <c:v>15.226415094339622</c:v>
                </c:pt>
              </c:numCache>
            </c:numRef>
          </c:val>
        </c:ser>
        <c:ser>
          <c:idx val="1"/>
          <c:order val="1"/>
          <c:tx>
            <c:strRef>
              <c:f>'骨骼动画时间分布-508'!$Z$290</c:f>
              <c:strCache>
                <c:ptCount val="1"/>
                <c:pt idx="0">
                  <c:v>全局</c:v>
                </c:pt>
              </c:strCache>
            </c:strRef>
          </c:tx>
          <c:dLbls>
            <c:dLbl>
              <c:idx val="0"/>
              <c:layout>
                <c:manualLayout>
                  <c:x val="5.4421768707482955E-3"/>
                  <c:y val="-2.8985507246376812E-2"/>
                </c:manualLayout>
              </c:layout>
              <c:dLblPos val="l"/>
              <c:showVal val="1"/>
            </c:dLbl>
            <c:dLbl>
              <c:idx val="1"/>
              <c:layout>
                <c:manualLayout>
                  <c:x val="0"/>
                  <c:y val="4.8309178743961297E-2"/>
                </c:manualLayout>
              </c:layout>
              <c:dLblPos val="t"/>
              <c:showVal val="1"/>
            </c:dLbl>
            <c:dLbl>
              <c:idx val="2"/>
              <c:layout>
                <c:manualLayout>
                  <c:x val="4.9886045027346177E-17"/>
                  <c:y val="4.8309178743961352E-2"/>
                </c:manualLayout>
              </c:layout>
              <c:dLblPos val="t"/>
              <c:showVal val="1"/>
            </c:dLbl>
            <c:dLbl>
              <c:idx val="3"/>
              <c:layout>
                <c:manualLayout>
                  <c:x val="0"/>
                  <c:y val="4.8309178743961352E-2"/>
                </c:manualLayout>
              </c:layout>
              <c:dLblPos val="t"/>
              <c:showVal val="1"/>
            </c:dLbl>
            <c:dLblPos val="b"/>
            <c:showVal val="1"/>
          </c:dLbls>
          <c:val>
            <c:numRef>
              <c:f>'骨骼动画时间分布-508'!$Z$291:$Z$294</c:f>
              <c:numCache>
                <c:formatCode>0.0_ </c:formatCode>
                <c:ptCount val="4"/>
                <c:pt idx="0">
                  <c:v>1</c:v>
                </c:pt>
                <c:pt idx="1">
                  <c:v>2.5551601423487544</c:v>
                </c:pt>
                <c:pt idx="2">
                  <c:v>3.0918727915194344</c:v>
                </c:pt>
                <c:pt idx="3">
                  <c:v>3.4228187919463084</c:v>
                </c:pt>
              </c:numCache>
            </c:numRef>
          </c:val>
        </c:ser>
        <c:dLbls>
          <c:showVal val="1"/>
        </c:dLbls>
        <c:marker val="1"/>
        <c:axId val="92374144"/>
        <c:axId val="92375680"/>
      </c:lineChart>
      <c:catAx>
        <c:axId val="92374144"/>
        <c:scaling>
          <c:orientation val="minMax"/>
        </c:scaling>
        <c:axPos val="b"/>
        <c:tickLblPos val="nextTo"/>
        <c:crossAx val="92375680"/>
        <c:crosses val="autoZero"/>
        <c:auto val="1"/>
        <c:lblAlgn val="ctr"/>
        <c:lblOffset val="100"/>
      </c:catAx>
      <c:valAx>
        <c:axId val="92375680"/>
        <c:scaling>
          <c:orientation val="minMax"/>
        </c:scaling>
        <c:delete val="1"/>
        <c:axPos val="l"/>
        <c:numFmt formatCode="0.0_ " sourceLinked="1"/>
        <c:tickLblPos val="nextTo"/>
        <c:crossAx val="9237414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1299" l="0.70000000000000062" r="0.70000000000000062" t="0.75000000000001299" header="0.30000000000000032" footer="0.30000000000000032"/>
    <c:pageSetup/>
  </c:printSettings>
  <c:userShapes r:id="rId1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'骨骼动画时间分布-508'!$Y$298</c:f>
              <c:strCache>
                <c:ptCount val="1"/>
                <c:pt idx="0">
                  <c:v>局部</c:v>
                </c:pt>
              </c:strCache>
            </c:strRef>
          </c:tx>
          <c:dLbls>
            <c:dLbl>
              <c:idx val="0"/>
              <c:layout>
                <c:manualLayout>
                  <c:x val="-4.9723101955429852E-2"/>
                  <c:y val="5.4633722782039283E-2"/>
                </c:manualLayout>
              </c:layout>
              <c:dLblPos val="t"/>
              <c:showVal val="1"/>
            </c:dLbl>
            <c:dLbl>
              <c:idx val="1"/>
              <c:layout>
                <c:manualLayout>
                  <c:x val="0"/>
                  <c:y val="3.1257671138665795E-2"/>
                </c:manualLayout>
              </c:layout>
              <c:dLblPos val="t"/>
              <c:showVal val="1"/>
            </c:dLbl>
            <c:dLbl>
              <c:idx val="2"/>
              <c:layout>
                <c:manualLayout>
                  <c:x val="-1.9680196801968211E-2"/>
                  <c:y val="-1.3392159766614913E-2"/>
                </c:manualLayout>
              </c:layout>
              <c:dLblPos val="t"/>
              <c:showVal val="1"/>
            </c:dLbl>
            <c:dLbl>
              <c:idx val="3"/>
              <c:layout>
                <c:manualLayout>
                  <c:x val="1.0884353741496601E-2"/>
                  <c:y val="3.7619536688348811E-2"/>
                </c:manualLayout>
              </c:layout>
              <c:dLblPos val="t"/>
              <c:showVal val="1"/>
            </c:dLbl>
            <c:dLbl>
              <c:idx val="4"/>
              <c:layout>
                <c:manualLayout>
                  <c:x val="9.8400984009840205E-3"/>
                  <c:y val="3.2362443053567232E-2"/>
                </c:manualLayout>
              </c:layout>
              <c:dLblPos val="t"/>
              <c:showVal val="1"/>
            </c:dLbl>
            <c:dLblPos val="t"/>
            <c:showVal val="1"/>
          </c:dLbls>
          <c:cat>
            <c:strRef>
              <c:f>'骨骼动画时间分布-508'!$X$299:$X$303</c:f>
              <c:strCache>
                <c:ptCount val="5"/>
                <c:pt idx="0">
                  <c:v>未优化</c:v>
                </c:pt>
                <c:pt idx="1">
                  <c:v>对齐</c:v>
                </c:pt>
                <c:pt idx="2">
                  <c:v>合并</c:v>
                </c:pt>
                <c:pt idx="3">
                  <c:v>常量</c:v>
                </c:pt>
                <c:pt idx="4">
                  <c:v>共享</c:v>
                </c:pt>
              </c:strCache>
            </c:strRef>
          </c:cat>
          <c:val>
            <c:numRef>
              <c:f>'骨骼动画时间分布-508'!$Y$299:$Y$303</c:f>
              <c:numCache>
                <c:formatCode>0.0_ </c:formatCode>
                <c:ptCount val="5"/>
                <c:pt idx="0">
                  <c:v>1.071578947368421</c:v>
                </c:pt>
                <c:pt idx="1">
                  <c:v>3.439189189189189</c:v>
                </c:pt>
                <c:pt idx="2">
                  <c:v>3.7153284671532845</c:v>
                </c:pt>
                <c:pt idx="3" formatCode="0_ ">
                  <c:v>16.419354838709676</c:v>
                </c:pt>
                <c:pt idx="4" formatCode="0_ ">
                  <c:v>12.414634146341465</c:v>
                </c:pt>
              </c:numCache>
            </c:numRef>
          </c:val>
        </c:ser>
        <c:ser>
          <c:idx val="1"/>
          <c:order val="1"/>
          <c:tx>
            <c:strRef>
              <c:f>'骨骼动画时间分布-508'!$Z$298</c:f>
              <c:strCache>
                <c:ptCount val="1"/>
                <c:pt idx="0">
                  <c:v>全局</c:v>
                </c:pt>
              </c:strCache>
            </c:strRef>
          </c:tx>
          <c:dLbls>
            <c:dLbl>
              <c:idx val="0"/>
              <c:layout>
                <c:manualLayout>
                  <c:x val="-0.10824108241082422"/>
                  <c:y val="5.1779908885707576E-2"/>
                </c:manualLayout>
              </c:layout>
              <c:dLblPos val="r"/>
              <c:showVal val="1"/>
            </c:dLbl>
            <c:dLbl>
              <c:idx val="1"/>
              <c:layout>
                <c:manualLayout>
                  <c:x val="-7.3800738007380073E-2"/>
                  <c:y val="5.1779908885707576E-2"/>
                </c:manualLayout>
              </c:layout>
              <c:dLblPos val="r"/>
              <c:showVal val="1"/>
            </c:dLbl>
            <c:dLbl>
              <c:idx val="2"/>
              <c:layout>
                <c:manualLayout>
                  <c:x val="-8.8560885608857581E-2"/>
                  <c:y val="4.5307420274994133E-2"/>
                </c:manualLayout>
              </c:layout>
              <c:dLblPos val="r"/>
              <c:showVal val="1"/>
            </c:dLbl>
            <c:dLbl>
              <c:idx val="3"/>
              <c:layout>
                <c:manualLayout>
                  <c:x val="-4.9200492004920104E-2"/>
                  <c:y val="-7.1197374717847914E-2"/>
                </c:manualLayout>
              </c:layout>
              <c:dLblPos val="r"/>
              <c:showVal val="1"/>
            </c:dLbl>
            <c:dLbl>
              <c:idx val="4"/>
              <c:layout>
                <c:manualLayout>
                  <c:x val="-5.4120541205412064E-2"/>
                  <c:y val="-5.8252397496421034E-2"/>
                </c:manualLayout>
              </c:layout>
              <c:dLblPos val="r"/>
              <c:showVal val="1"/>
            </c:dLbl>
            <c:dLblPos val="r"/>
            <c:showVal val="1"/>
          </c:dLbls>
          <c:cat>
            <c:strRef>
              <c:f>'骨骼动画时间分布-508'!$X$299:$X$303</c:f>
              <c:strCache>
                <c:ptCount val="5"/>
                <c:pt idx="0">
                  <c:v>未优化</c:v>
                </c:pt>
                <c:pt idx="1">
                  <c:v>对齐</c:v>
                </c:pt>
                <c:pt idx="2">
                  <c:v>合并</c:v>
                </c:pt>
                <c:pt idx="3">
                  <c:v>常量</c:v>
                </c:pt>
                <c:pt idx="4">
                  <c:v>共享</c:v>
                </c:pt>
              </c:strCache>
            </c:strRef>
          </c:cat>
          <c:val>
            <c:numRef>
              <c:f>'骨骼动画时间分布-508'!$Z$299:$Z$303</c:f>
              <c:numCache>
                <c:formatCode>0.0_ </c:formatCode>
                <c:ptCount val="5"/>
                <c:pt idx="0">
                  <c:v>0.98898071625344353</c:v>
                </c:pt>
                <c:pt idx="1">
                  <c:v>1.7994987468671677</c:v>
                </c:pt>
                <c:pt idx="2">
                  <c:v>1.9045092838196285</c:v>
                </c:pt>
                <c:pt idx="3">
                  <c:v>2.5551601423487544</c:v>
                </c:pt>
                <c:pt idx="4">
                  <c:v>2.4844290657439445</c:v>
                </c:pt>
              </c:numCache>
            </c:numRef>
          </c:val>
        </c:ser>
        <c:dLbls>
          <c:showVal val="1"/>
        </c:dLbls>
        <c:marker val="1"/>
        <c:axId val="92474752"/>
        <c:axId val="92509312"/>
      </c:lineChart>
      <c:catAx>
        <c:axId val="92474752"/>
        <c:scaling>
          <c:orientation val="minMax"/>
        </c:scaling>
        <c:axPos val="b"/>
        <c:tickLblPos val="nextTo"/>
        <c:crossAx val="92509312"/>
        <c:crosses val="autoZero"/>
        <c:auto val="1"/>
        <c:lblAlgn val="ctr"/>
        <c:lblOffset val="100"/>
      </c:catAx>
      <c:valAx>
        <c:axId val="92509312"/>
        <c:scaling>
          <c:orientation val="minMax"/>
        </c:scaling>
        <c:delete val="1"/>
        <c:axPos val="l"/>
        <c:numFmt formatCode="0.0_ " sourceLinked="1"/>
        <c:tickLblPos val="nextTo"/>
        <c:crossAx val="9247475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1321" l="0.70000000000000062" r="0.70000000000000062" t="0.75000000000001321" header="0.30000000000000032" footer="0.30000000000000032"/>
    <c:pageSetup/>
  </c:printSettings>
  <c:userShapes r:id="rId1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1"/>
          <c:order val="0"/>
          <c:tx>
            <c:strRef>
              <c:f>'骨骼动画时间分布-508'!$Z$311</c:f>
              <c:strCache>
                <c:ptCount val="1"/>
                <c:pt idx="0">
                  <c:v>全局</c:v>
                </c:pt>
              </c:strCache>
            </c:strRef>
          </c:tx>
          <c:dLbls>
            <c:dLbl>
              <c:idx val="0"/>
              <c:layout>
                <c:manualLayout>
                  <c:x val="5.4421768707482955E-3"/>
                  <c:y val="-2.8985507246376812E-2"/>
                </c:manualLayout>
              </c:layout>
              <c:dLblPos val="l"/>
              <c:showVal val="1"/>
            </c:dLbl>
            <c:dLbl>
              <c:idx val="1"/>
              <c:layout>
                <c:manualLayout>
                  <c:x val="0"/>
                  <c:y val="4.8309178743961297E-2"/>
                </c:manualLayout>
              </c:layout>
              <c:dLblPos val="t"/>
              <c:showVal val="1"/>
            </c:dLbl>
            <c:dLbl>
              <c:idx val="2"/>
              <c:layout>
                <c:manualLayout>
                  <c:x val="4.98860450273463E-17"/>
                  <c:y val="4.8309178743961352E-2"/>
                </c:manualLayout>
              </c:layout>
              <c:dLblPos val="t"/>
              <c:showVal val="1"/>
            </c:dLbl>
            <c:dLbl>
              <c:idx val="3"/>
              <c:layout>
                <c:manualLayout>
                  <c:x val="0"/>
                  <c:y val="4.8309178743961352E-2"/>
                </c:manualLayout>
              </c:layout>
              <c:dLblPos val="t"/>
              <c:showVal val="1"/>
            </c:dLbl>
            <c:dLblPos val="b"/>
            <c:showVal val="1"/>
          </c:dLbls>
          <c:val>
            <c:numRef>
              <c:f>'骨骼动画时间分布-508'!$Z$312:$Z$315</c:f>
              <c:numCache>
                <c:formatCode>0.0_ </c:formatCode>
                <c:ptCount val="4"/>
                <c:pt idx="0">
                  <c:v>4.9259259259259256</c:v>
                </c:pt>
                <c:pt idx="1">
                  <c:v>6.1896551724137936</c:v>
                </c:pt>
                <c:pt idx="2">
                  <c:v>6.6793893129770989</c:v>
                </c:pt>
                <c:pt idx="3">
                  <c:v>2.8176795580110494</c:v>
                </c:pt>
              </c:numCache>
            </c:numRef>
          </c:val>
        </c:ser>
        <c:dLbls>
          <c:showVal val="1"/>
        </c:dLbls>
        <c:marker val="1"/>
        <c:axId val="92521600"/>
        <c:axId val="92535040"/>
      </c:lineChart>
      <c:catAx>
        <c:axId val="92521600"/>
        <c:scaling>
          <c:orientation val="minMax"/>
        </c:scaling>
        <c:axPos val="b"/>
        <c:tickLblPos val="nextTo"/>
        <c:crossAx val="92535040"/>
        <c:crosses val="autoZero"/>
        <c:auto val="1"/>
        <c:lblAlgn val="ctr"/>
        <c:lblOffset val="100"/>
      </c:catAx>
      <c:valAx>
        <c:axId val="92535040"/>
        <c:scaling>
          <c:orientation val="minMax"/>
        </c:scaling>
        <c:delete val="1"/>
        <c:axPos val="l"/>
        <c:numFmt formatCode="0.0_ " sourceLinked="1"/>
        <c:tickLblPos val="nextTo"/>
        <c:crossAx val="9252160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1321" l="0.70000000000000062" r="0.70000000000000062" t="0.75000000000001321" header="0.30000000000000032" footer="0.30000000000000032"/>
    <c:pageSetup/>
  </c:printSettings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 sz="1200">
                <a:latin typeface="幼圆" pitchFamily="49" charset="-122"/>
                <a:ea typeface="幼圆" pitchFamily="49" charset="-122"/>
              </a:rPr>
              <a:t>耗时分布表 </a:t>
            </a:r>
            <a:r>
              <a:rPr lang="en-US" altLang="zh-CN" sz="1200">
                <a:latin typeface="幼圆" pitchFamily="49" charset="-122"/>
                <a:ea typeface="幼圆" pitchFamily="49" charset="-122"/>
              </a:rPr>
              <a:t>GLSL</a:t>
            </a:r>
            <a:r>
              <a:rPr lang="zh-CN" altLang="en-US" sz="1200">
                <a:latin typeface="幼圆" pitchFamily="49" charset="-122"/>
                <a:ea typeface="幼圆" pitchFamily="49" charset="-122"/>
              </a:rPr>
              <a:t> </a:t>
            </a:r>
          </a:p>
        </c:rich>
      </c:tx>
      <c:layout>
        <c:manualLayout>
          <c:xMode val="edge"/>
          <c:yMode val="edge"/>
          <c:x val="0.27316369352136066"/>
          <c:y val="3.2128514056224897E-2"/>
        </c:manualLayout>
      </c:layout>
    </c:title>
    <c:plotArea>
      <c:layout/>
      <c:barChart>
        <c:barDir val="bar"/>
        <c:grouping val="clustered"/>
        <c:ser>
          <c:idx val="0"/>
          <c:order val="0"/>
          <c:dPt>
            <c:idx val="0"/>
            <c:spPr>
              <a:solidFill>
                <a:schemeClr val="accent5"/>
              </a:solidFill>
            </c:spPr>
          </c:dPt>
          <c:dPt>
            <c:idx val="1"/>
            <c:spPr>
              <a:solidFill>
                <a:schemeClr val="accent3"/>
              </a:solidFill>
            </c:spPr>
          </c:dPt>
          <c:dPt>
            <c:idx val="2"/>
            <c:spPr>
              <a:solidFill>
                <a:schemeClr val="accent2"/>
              </a:solidFill>
            </c:spPr>
          </c:dPt>
          <c:dLbls>
            <c:showVal val="1"/>
          </c:dLbls>
          <c:cat>
            <c:strRef>
              <c:f>('骨骼动画时间分布-508'!$D$310,'骨骼动画时间分布-508'!$F$310,'骨骼动画时间分布-508'!$H$310,'骨骼动画时间分布-508'!$J$310,'骨骼动画时间分布-508'!$N$310)</c:f>
              <c:strCache>
                <c:ptCount val="5"/>
                <c:pt idx="0">
                  <c:v>CPU计算骨骼</c:v>
                </c:pt>
                <c:pt idx="1">
                  <c:v>CPU计算顶点</c:v>
                </c:pt>
                <c:pt idx="2">
                  <c:v>GPU渲染面片</c:v>
                </c:pt>
                <c:pt idx="3">
                  <c:v>异步等待</c:v>
                </c:pt>
                <c:pt idx="4">
                  <c:v>GLSL传输</c:v>
                </c:pt>
              </c:strCache>
            </c:strRef>
          </c:cat>
          <c:val>
            <c:numRef>
              <c:f>('骨骼动画时间分布-508'!$E$313,'骨骼动画时间分布-508'!$G$313,'骨骼动画时间分布-508'!$I$313,'骨骼动画时间分布-508'!$K$313,'骨骼动画时间分布-508'!$O$313)</c:f>
              <c:numCache>
                <c:formatCode>0%</c:formatCode>
                <c:ptCount val="5"/>
                <c:pt idx="0">
                  <c:v>0.27586206896551729</c:v>
                </c:pt>
                <c:pt idx="1">
                  <c:v>1.7241379310344831E-2</c:v>
                </c:pt>
                <c:pt idx="2">
                  <c:v>0.3</c:v>
                </c:pt>
                <c:pt idx="3">
                  <c:v>-0.69655172413793121</c:v>
                </c:pt>
                <c:pt idx="4">
                  <c:v>1.1034482758620692</c:v>
                </c:pt>
              </c:numCache>
            </c:numRef>
          </c:val>
        </c:ser>
        <c:dLbls>
          <c:showVal val="1"/>
        </c:dLbls>
        <c:gapWidth val="75"/>
        <c:axId val="92564864"/>
        <c:axId val="92591232"/>
      </c:barChart>
      <c:catAx>
        <c:axId val="92564864"/>
        <c:scaling>
          <c:orientation val="minMax"/>
        </c:scaling>
        <c:axPos val="l"/>
        <c:numFmt formatCode="General" sourceLinked="1"/>
        <c:majorTickMark val="none"/>
        <c:tickLblPos val="nextTo"/>
        <c:crossAx val="92591232"/>
        <c:crosses val="autoZero"/>
        <c:auto val="1"/>
        <c:lblAlgn val="ctr"/>
        <c:lblOffset val="100"/>
      </c:catAx>
      <c:valAx>
        <c:axId val="92591232"/>
        <c:scaling>
          <c:orientation val="minMax"/>
        </c:scaling>
        <c:axPos val="b"/>
        <c:numFmt formatCode="0%" sourceLinked="1"/>
        <c:majorTickMark val="none"/>
        <c:tickLblPos val="nextTo"/>
        <c:crossAx val="92564864"/>
        <c:crosses val="autoZero"/>
        <c:crossBetween val="between"/>
      </c:valAx>
    </c:plotArea>
    <c:plotVisOnly val="1"/>
    <c:dispBlanksAs val="gap"/>
  </c:chart>
  <c:printSettings>
    <c:headerFooter/>
    <c:pageMargins b="0.7500000000000131" l="0.70000000000000062" r="0.70000000000000062" t="0.7500000000000131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1"/>
          <c:order val="0"/>
          <c:tx>
            <c:strRef>
              <c:f>'骨骼动画时间分布-508'!$Y$334</c:f>
              <c:strCache>
                <c:ptCount val="1"/>
                <c:pt idx="0">
                  <c:v>未VBO</c:v>
                </c:pt>
              </c:strCache>
            </c:strRef>
          </c:tx>
          <c:dLbls>
            <c:dLbl>
              <c:idx val="0"/>
              <c:layout>
                <c:manualLayout>
                  <c:x val="4.3537414965986919E-2"/>
                  <c:y val="-8.6956521739130543E-2"/>
                </c:manualLayout>
              </c:layout>
              <c:dLblPos val="l"/>
              <c:showVal val="1"/>
            </c:dLbl>
            <c:dLbl>
              <c:idx val="1"/>
              <c:layout>
                <c:manualLayout>
                  <c:x val="0"/>
                  <c:y val="4.8309178743961297E-2"/>
                </c:manualLayout>
              </c:layout>
              <c:dLblPos val="t"/>
              <c:showVal val="1"/>
            </c:dLbl>
            <c:dLbl>
              <c:idx val="2"/>
              <c:layout>
                <c:manualLayout>
                  <c:x val="4.9886045027346423E-17"/>
                  <c:y val="4.8309178743961352E-2"/>
                </c:manualLayout>
              </c:layout>
              <c:dLblPos val="t"/>
              <c:showVal val="1"/>
            </c:dLbl>
            <c:dLbl>
              <c:idx val="3"/>
              <c:layout>
                <c:manualLayout>
                  <c:x val="0"/>
                  <c:y val="4.8309178743961352E-2"/>
                </c:manualLayout>
              </c:layout>
              <c:dLblPos val="t"/>
              <c:showVal val="1"/>
            </c:dLbl>
            <c:dLblPos val="b"/>
            <c:showVal val="1"/>
          </c:dLbls>
          <c:val>
            <c:numRef>
              <c:f>'骨骼动画时间分布-508'!$Y$335:$Y$338</c:f>
              <c:numCache>
                <c:formatCode>0.0_ </c:formatCode>
                <c:ptCount val="4"/>
                <c:pt idx="0">
                  <c:v>4.9259259259259256</c:v>
                </c:pt>
                <c:pt idx="1">
                  <c:v>6.1896551724137936</c:v>
                </c:pt>
                <c:pt idx="2">
                  <c:v>6.6793893129770989</c:v>
                </c:pt>
                <c:pt idx="3">
                  <c:v>2.8176795580110494</c:v>
                </c:pt>
              </c:numCache>
            </c:numRef>
          </c:val>
        </c:ser>
        <c:ser>
          <c:idx val="0"/>
          <c:order val="1"/>
          <c:tx>
            <c:strRef>
              <c:f>'骨骼动画时间分布-508'!$Z$334</c:f>
              <c:strCache>
                <c:ptCount val="1"/>
                <c:pt idx="0">
                  <c:v>VBO</c:v>
                </c:pt>
              </c:strCache>
            </c:strRef>
          </c:tx>
          <c:dLbls>
            <c:dLbl>
              <c:idx val="0"/>
              <c:layout>
                <c:manualLayout>
                  <c:x val="-5.4421768707482956E-2"/>
                  <c:y val="4.8309178743961352E-2"/>
                </c:manualLayout>
              </c:layout>
              <c:showVal val="1"/>
            </c:dLbl>
            <c:dLbl>
              <c:idx val="1"/>
              <c:layout>
                <c:manualLayout>
                  <c:x val="-9.7959183673469397E-2"/>
                  <c:y val="-9.6618357487922676E-2"/>
                </c:manualLayout>
              </c:layout>
              <c:showVal val="1"/>
            </c:dLbl>
            <c:dLbl>
              <c:idx val="2"/>
              <c:layout>
                <c:manualLayout>
                  <c:x val="-8.1632653061224553E-2"/>
                  <c:y val="-7.7294685990338952E-2"/>
                </c:manualLayout>
              </c:layout>
              <c:showVal val="1"/>
            </c:dLbl>
            <c:dLbl>
              <c:idx val="3"/>
              <c:layout>
                <c:manualLayout>
                  <c:x val="-7.6190476190476197E-2"/>
                  <c:y val="-6.7632850241545903E-2"/>
                </c:manualLayout>
              </c:layout>
              <c:showVal val="1"/>
            </c:dLbl>
            <c:showVal val="1"/>
          </c:dLbls>
          <c:val>
            <c:numRef>
              <c:f>'骨骼动画时间分布-508'!$Z$335:$Z$338</c:f>
              <c:numCache>
                <c:formatCode>0.0_ </c:formatCode>
                <c:ptCount val="4"/>
                <c:pt idx="0">
                  <c:v>4.836363636363636</c:v>
                </c:pt>
                <c:pt idx="1">
                  <c:v>12.379310344827587</c:v>
                </c:pt>
                <c:pt idx="2" formatCode="0_ ">
                  <c:v>14.344262295081968</c:v>
                </c:pt>
                <c:pt idx="3" formatCode="0_ ">
                  <c:v>11.59090909090909</c:v>
                </c:pt>
              </c:numCache>
            </c:numRef>
          </c:val>
        </c:ser>
        <c:dLbls>
          <c:showVal val="1"/>
        </c:dLbls>
        <c:marker val="1"/>
        <c:axId val="92436352"/>
        <c:axId val="92437888"/>
      </c:lineChart>
      <c:catAx>
        <c:axId val="92436352"/>
        <c:scaling>
          <c:orientation val="minMax"/>
        </c:scaling>
        <c:axPos val="b"/>
        <c:tickLblPos val="nextTo"/>
        <c:crossAx val="92437888"/>
        <c:crosses val="autoZero"/>
        <c:auto val="1"/>
        <c:lblAlgn val="ctr"/>
        <c:lblOffset val="100"/>
      </c:catAx>
      <c:valAx>
        <c:axId val="92437888"/>
        <c:scaling>
          <c:orientation val="minMax"/>
        </c:scaling>
        <c:delete val="1"/>
        <c:axPos val="l"/>
        <c:numFmt formatCode="0.0_ " sourceLinked="1"/>
        <c:tickLblPos val="nextTo"/>
        <c:crossAx val="9243635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1343" l="0.70000000000000062" r="0.70000000000000062" t="0.75000000000001343" header="0.30000000000000032" footer="0.30000000000000032"/>
    <c:pageSetup/>
  </c:printSettings>
  <c:userShapes r:id="rId1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sz="1800" b="1" i="0" baseline="0"/>
              <a:t>骨骼动画并行计算方案的</a:t>
            </a:r>
            <a:r>
              <a:rPr lang="zh-CN" altLang="en-US" sz="1800" b="1" i="0" baseline="0"/>
              <a:t>耗时</a:t>
            </a:r>
            <a:endParaRPr lang="zh-CN" sz="1800" b="1" i="0" baseline="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'骨骼动画时间分布-508'!$F$387</c:f>
              <c:strCache>
                <c:ptCount val="1"/>
                <c:pt idx="0">
                  <c:v>Bench
mark</c:v>
                </c:pt>
              </c:strCache>
            </c:strRef>
          </c:tx>
          <c:dLbls>
            <c:showVal val="1"/>
          </c:dLbls>
          <c:cat>
            <c:strRef>
              <c:f>('骨骼动画时间分布-508'!$C$388,'骨骼动画时间分布-508'!$C$390)</c:f>
              <c:strCache>
                <c:ptCount val="2"/>
                <c:pt idx="0">
                  <c:v>配置一
Intel CPU
i7 3770K</c:v>
                </c:pt>
                <c:pt idx="1">
                  <c:v>配置二
Intel CPU
i7 870</c:v>
                </c:pt>
              </c:strCache>
            </c:strRef>
          </c:cat>
          <c:val>
            <c:numRef>
              <c:f>('骨骼动画时间分布-508'!$F$388,'骨骼动画时间分布-508'!$F$390)</c:f>
              <c:numCache>
                <c:formatCode>0.00_ </c:formatCode>
                <c:ptCount val="2"/>
                <c:pt idx="0" formatCode="0.0_ ">
                  <c:v>4.97</c:v>
                </c:pt>
                <c:pt idx="1">
                  <c:v>7.18</c:v>
                </c:pt>
              </c:numCache>
            </c:numRef>
          </c:val>
        </c:ser>
        <c:ser>
          <c:idx val="1"/>
          <c:order val="1"/>
          <c:tx>
            <c:strRef>
              <c:f>'骨骼动画时间分布-508'!$G$387</c:f>
              <c:strCache>
                <c:ptCount val="1"/>
                <c:pt idx="0">
                  <c:v>SSE</c:v>
                </c:pt>
              </c:strCache>
            </c:strRef>
          </c:tx>
          <c:dLbls>
            <c:showVal val="1"/>
          </c:dLbls>
          <c:cat>
            <c:strRef>
              <c:f>('骨骼动画时间分布-508'!$C$388,'骨骼动画时间分布-508'!$C$390)</c:f>
              <c:strCache>
                <c:ptCount val="2"/>
                <c:pt idx="0">
                  <c:v>配置一
Intel CPU
i7 3770K</c:v>
                </c:pt>
                <c:pt idx="1">
                  <c:v>配置二
Intel CPU
i7 870</c:v>
                </c:pt>
              </c:strCache>
            </c:strRef>
          </c:cat>
          <c:val>
            <c:numRef>
              <c:f>('骨骼动画时间分布-508'!$G$388,'骨骼动画时间分布-508'!$G$390)</c:f>
              <c:numCache>
                <c:formatCode>0.00_ </c:formatCode>
                <c:ptCount val="2"/>
                <c:pt idx="0" formatCode="0.0_ ">
                  <c:v>1.5</c:v>
                </c:pt>
                <c:pt idx="1">
                  <c:v>2</c:v>
                </c:pt>
              </c:numCache>
            </c:numRef>
          </c:val>
        </c:ser>
        <c:ser>
          <c:idx val="2"/>
          <c:order val="2"/>
          <c:tx>
            <c:strRef>
              <c:f>'骨骼动画时间分布-508'!$H$387</c:f>
              <c:strCache>
                <c:ptCount val="1"/>
                <c:pt idx="0">
                  <c:v>OpenCL</c:v>
                </c:pt>
              </c:strCache>
            </c:strRef>
          </c:tx>
          <c:dLbls>
            <c:showVal val="1"/>
          </c:dLbls>
          <c:cat>
            <c:strRef>
              <c:f>('骨骼动画时间分布-508'!$C$388,'骨骼动画时间分布-508'!$C$390)</c:f>
              <c:strCache>
                <c:ptCount val="2"/>
                <c:pt idx="0">
                  <c:v>配置一
Intel CPU
i7 3770K</c:v>
                </c:pt>
                <c:pt idx="1">
                  <c:v>配置二
Intel CPU
i7 870</c:v>
                </c:pt>
              </c:strCache>
            </c:strRef>
          </c:cat>
          <c:val>
            <c:numRef>
              <c:f>('骨骼动画时间分布-508'!$H$388,'骨骼动画时间分布-508'!$H$390)</c:f>
              <c:numCache>
                <c:formatCode>0.00_ </c:formatCode>
                <c:ptCount val="2"/>
                <c:pt idx="0" formatCode="0.0_ ">
                  <c:v>0.8</c:v>
                </c:pt>
                <c:pt idx="1">
                  <c:v>1.59</c:v>
                </c:pt>
              </c:numCache>
            </c:numRef>
          </c:val>
        </c:ser>
        <c:ser>
          <c:idx val="3"/>
          <c:order val="3"/>
          <c:tx>
            <c:strRef>
              <c:f>'骨骼动画时间分布-508'!$I$387</c:f>
              <c:strCache>
                <c:ptCount val="1"/>
                <c:pt idx="0">
                  <c:v>OpenCL
GPU</c:v>
                </c:pt>
              </c:strCache>
            </c:strRef>
          </c:tx>
          <c:dLbls>
            <c:showVal val="1"/>
          </c:dLbls>
          <c:cat>
            <c:strRef>
              <c:f>('骨骼动画时间分布-508'!$C$388,'骨骼动画时间分布-508'!$C$390)</c:f>
              <c:strCache>
                <c:ptCount val="2"/>
                <c:pt idx="0">
                  <c:v>配置一
Intel CPU
i7 3770K</c:v>
                </c:pt>
                <c:pt idx="1">
                  <c:v>配置二
Intel CPU
i7 870</c:v>
                </c:pt>
              </c:strCache>
            </c:strRef>
          </c:cat>
          <c:val>
            <c:numRef>
              <c:f>('骨骼动画时间分布-508'!$I$388,'骨骼动画时间分布-508'!$I$390)</c:f>
              <c:numCache>
                <c:formatCode>0.0_ </c:formatCode>
                <c:ptCount val="2"/>
                <c:pt idx="0">
                  <c:v>1</c:v>
                </c:pt>
                <c:pt idx="1">
                  <c:v>2.14</c:v>
                </c:pt>
              </c:numCache>
            </c:numRef>
          </c:val>
        </c:ser>
        <c:ser>
          <c:idx val="4"/>
          <c:order val="4"/>
          <c:tx>
            <c:strRef>
              <c:f>'骨骼动画时间分布-508'!$J$387</c:f>
              <c:strCache>
                <c:ptCount val="1"/>
                <c:pt idx="0">
                  <c:v>GLSL</c:v>
                </c:pt>
              </c:strCache>
            </c:strRef>
          </c:tx>
          <c:dLbls>
            <c:showVal val="1"/>
          </c:dLbls>
          <c:cat>
            <c:strRef>
              <c:f>('骨骼动画时间分布-508'!$C$388,'骨骼动画时间分布-508'!$C$390)</c:f>
              <c:strCache>
                <c:ptCount val="2"/>
                <c:pt idx="0">
                  <c:v>配置一
Intel CPU
i7 3770K</c:v>
                </c:pt>
                <c:pt idx="1">
                  <c:v>配置二
Intel CPU
i7 870</c:v>
                </c:pt>
              </c:strCache>
            </c:strRef>
          </c:cat>
          <c:val>
            <c:numRef>
              <c:f>('骨骼动画时间分布-508'!$J$388,'骨骼动画时间分布-508'!$J$390)</c:f>
              <c:numCache>
                <c:formatCode>0.00_ </c:formatCode>
                <c:ptCount val="2"/>
                <c:pt idx="0">
                  <c:v>0.78</c:v>
                </c:pt>
                <c:pt idx="1">
                  <c:v>0.57999999999999996</c:v>
                </c:pt>
              </c:numCache>
            </c:numRef>
          </c:val>
        </c:ser>
        <c:ser>
          <c:idx val="5"/>
          <c:order val="5"/>
          <c:tx>
            <c:strRef>
              <c:f>'骨骼动画时间分布-508'!$K$387</c:f>
              <c:strCache>
                <c:ptCount val="1"/>
                <c:pt idx="0">
                  <c:v>CUDA</c:v>
                </c:pt>
              </c:strCache>
            </c:strRef>
          </c:tx>
          <c:dLbls>
            <c:showVal val="1"/>
          </c:dLbls>
          <c:cat>
            <c:strRef>
              <c:f>('骨骼动画时间分布-508'!$C$388,'骨骼动画时间分布-508'!$C$390)</c:f>
              <c:strCache>
                <c:ptCount val="2"/>
                <c:pt idx="0">
                  <c:v>配置一
Intel CPU
i7 3770K</c:v>
                </c:pt>
                <c:pt idx="1">
                  <c:v>配置二
Intel CPU
i7 870</c:v>
                </c:pt>
              </c:strCache>
            </c:strRef>
          </c:cat>
          <c:val>
            <c:numRef>
              <c:f>('骨骼动画时间分布-508'!$K$388,'骨骼动画时间分布-508'!$K$390)</c:f>
              <c:numCache>
                <c:formatCode>0.0_ </c:formatCode>
                <c:ptCount val="2"/>
                <c:pt idx="0">
                  <c:v>1.1399999999999999</c:v>
                </c:pt>
                <c:pt idx="1">
                  <c:v>2.81</c:v>
                </c:pt>
              </c:numCache>
            </c:numRef>
          </c:val>
        </c:ser>
        <c:dLbls>
          <c:showVal val="1"/>
        </c:dLbls>
        <c:axId val="94422144"/>
        <c:axId val="94423680"/>
      </c:barChart>
      <c:catAx>
        <c:axId val="94422144"/>
        <c:scaling>
          <c:orientation val="minMax"/>
        </c:scaling>
        <c:axPos val="b"/>
        <c:tickLblPos val="nextTo"/>
        <c:crossAx val="94423680"/>
        <c:crosses val="autoZero"/>
        <c:auto val="1"/>
        <c:lblAlgn val="ctr"/>
        <c:lblOffset val="100"/>
      </c:catAx>
      <c:valAx>
        <c:axId val="94423680"/>
        <c:scaling>
          <c:orientation val="minMax"/>
        </c:scaling>
        <c:axPos val="l"/>
        <c:numFmt formatCode="0.0_ " sourceLinked="1"/>
        <c:tickLblPos val="nextTo"/>
        <c:crossAx val="944221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136193690074469"/>
          <c:y val="0.12400663458734326"/>
          <c:w val="0.13231153248701066"/>
          <c:h val="0.80013487897346169"/>
        </c:manualLayout>
      </c:layout>
    </c:legend>
    <c:plotVisOnly val="1"/>
    <c:dispBlanksAs val="gap"/>
  </c:chart>
  <c:printSettings>
    <c:headerFooter/>
    <c:pageMargins b="0.75000000000000289" l="0.70000000000000062" r="0.70000000000000062" t="0.75000000000000289" header="0.30000000000000032" footer="0.30000000000000032"/>
    <c:pageSetup/>
  </c:printSettings>
  <c:userShapes r:id="rId1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 sz="1800" b="1" i="0" u="none" strike="noStrike" baseline="0"/>
              <a:t>骨骼动画并行计算方案的加速比</a:t>
            </a:r>
            <a:endParaRPr lang="zh-CN" alt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'骨骼动画时间分布-508'!$G$387</c:f>
              <c:strCache>
                <c:ptCount val="1"/>
                <c:pt idx="0">
                  <c:v>SSE</c:v>
                </c:pt>
              </c:strCache>
            </c:strRef>
          </c:tx>
          <c:dLbls>
            <c:showVal val="1"/>
          </c:dLbls>
          <c:cat>
            <c:strRef>
              <c:f>('骨骼动画时间分布-508'!$C$388,'骨骼动画时间分布-508'!$C$390)</c:f>
              <c:strCache>
                <c:ptCount val="2"/>
                <c:pt idx="0">
                  <c:v>配置一
Intel CPU
i7 3770K</c:v>
                </c:pt>
                <c:pt idx="1">
                  <c:v>配置二
Intel CPU
i7 870</c:v>
                </c:pt>
              </c:strCache>
            </c:strRef>
          </c:cat>
          <c:val>
            <c:numRef>
              <c:f>('骨骼动画时间分布-508'!$G$389,'骨骼动画时间分布-508'!$G$391)</c:f>
              <c:numCache>
                <c:formatCode>0.0_ </c:formatCode>
                <c:ptCount val="2"/>
                <c:pt idx="0">
                  <c:v>3.313333333333333</c:v>
                </c:pt>
                <c:pt idx="1">
                  <c:v>3.59</c:v>
                </c:pt>
              </c:numCache>
            </c:numRef>
          </c:val>
        </c:ser>
        <c:ser>
          <c:idx val="1"/>
          <c:order val="1"/>
          <c:tx>
            <c:strRef>
              <c:f>'骨骼动画时间分布-508'!$H$387</c:f>
              <c:strCache>
                <c:ptCount val="1"/>
                <c:pt idx="0">
                  <c:v>OpenCL</c:v>
                </c:pt>
              </c:strCache>
            </c:strRef>
          </c:tx>
          <c:dLbls>
            <c:showVal val="1"/>
          </c:dLbls>
          <c:cat>
            <c:strRef>
              <c:f>('骨骼动画时间分布-508'!$C$388,'骨骼动画时间分布-508'!$C$390)</c:f>
              <c:strCache>
                <c:ptCount val="2"/>
                <c:pt idx="0">
                  <c:v>配置一
Intel CPU
i7 3770K</c:v>
                </c:pt>
                <c:pt idx="1">
                  <c:v>配置二
Intel CPU
i7 870</c:v>
                </c:pt>
              </c:strCache>
            </c:strRef>
          </c:cat>
          <c:val>
            <c:numRef>
              <c:f>('骨骼动画时间分布-508'!$H$389,'骨骼动画时间分布-508'!$H$391)</c:f>
              <c:numCache>
                <c:formatCode>0.0_ </c:formatCode>
                <c:ptCount val="2"/>
                <c:pt idx="0">
                  <c:v>6.2124999999999995</c:v>
                </c:pt>
                <c:pt idx="1">
                  <c:v>4.515723270440251</c:v>
                </c:pt>
              </c:numCache>
            </c:numRef>
          </c:val>
        </c:ser>
        <c:ser>
          <c:idx val="2"/>
          <c:order val="2"/>
          <c:tx>
            <c:strRef>
              <c:f>'骨骼动画时间分布-508'!$I$387</c:f>
              <c:strCache>
                <c:ptCount val="1"/>
                <c:pt idx="0">
                  <c:v>OpenCL
GPU</c:v>
                </c:pt>
              </c:strCache>
            </c:strRef>
          </c:tx>
          <c:dLbls>
            <c:showVal val="1"/>
          </c:dLbls>
          <c:cat>
            <c:strRef>
              <c:f>('骨骼动画时间分布-508'!$C$388,'骨骼动画时间分布-508'!$C$390)</c:f>
              <c:strCache>
                <c:ptCount val="2"/>
                <c:pt idx="0">
                  <c:v>配置一
Intel CPU
i7 3770K</c:v>
                </c:pt>
                <c:pt idx="1">
                  <c:v>配置二
Intel CPU
i7 870</c:v>
                </c:pt>
              </c:strCache>
            </c:strRef>
          </c:cat>
          <c:val>
            <c:numRef>
              <c:f>('骨骼动画时间分布-508'!$I$389,'骨骼动画时间分布-508'!$I$391)</c:f>
              <c:numCache>
                <c:formatCode>0.00_ </c:formatCode>
                <c:ptCount val="2"/>
                <c:pt idx="0">
                  <c:v>4.97</c:v>
                </c:pt>
                <c:pt idx="1">
                  <c:v>3.3551401869158877</c:v>
                </c:pt>
              </c:numCache>
            </c:numRef>
          </c:val>
        </c:ser>
        <c:ser>
          <c:idx val="3"/>
          <c:order val="3"/>
          <c:tx>
            <c:strRef>
              <c:f>'骨骼动画时间分布-508'!$J$387</c:f>
              <c:strCache>
                <c:ptCount val="1"/>
                <c:pt idx="0">
                  <c:v>GLSL</c:v>
                </c:pt>
              </c:strCache>
            </c:strRef>
          </c:tx>
          <c:dLbls>
            <c:showVal val="1"/>
          </c:dLbls>
          <c:cat>
            <c:strRef>
              <c:f>('骨骼动画时间分布-508'!$C$388,'骨骼动画时间分布-508'!$C$390)</c:f>
              <c:strCache>
                <c:ptCount val="2"/>
                <c:pt idx="0">
                  <c:v>配置一
Intel CPU
i7 3770K</c:v>
                </c:pt>
                <c:pt idx="1">
                  <c:v>配置二
Intel CPU
i7 870</c:v>
                </c:pt>
              </c:strCache>
            </c:strRef>
          </c:cat>
          <c:val>
            <c:numRef>
              <c:f>('骨骼动画时间分布-508'!$J$389,'骨骼动画时间分布-508'!$J$391)</c:f>
              <c:numCache>
                <c:formatCode>0.0_ </c:formatCode>
                <c:ptCount val="2"/>
                <c:pt idx="0" formatCode="0.00_ ">
                  <c:v>6.3717948717948714</c:v>
                </c:pt>
                <c:pt idx="1">
                  <c:v>12.379310344827587</c:v>
                </c:pt>
              </c:numCache>
            </c:numRef>
          </c:val>
        </c:ser>
        <c:ser>
          <c:idx val="4"/>
          <c:order val="4"/>
          <c:tx>
            <c:strRef>
              <c:f>'骨骼动画时间分布-508'!$K$387</c:f>
              <c:strCache>
                <c:ptCount val="1"/>
                <c:pt idx="0">
                  <c:v>CUDA</c:v>
                </c:pt>
              </c:strCache>
            </c:strRef>
          </c:tx>
          <c:dLbls>
            <c:showVal val="1"/>
          </c:dLbls>
          <c:cat>
            <c:strRef>
              <c:f>('骨骼动画时间分布-508'!$C$388,'骨骼动画时间分布-508'!$C$390)</c:f>
              <c:strCache>
                <c:ptCount val="2"/>
                <c:pt idx="0">
                  <c:v>配置一
Intel CPU
i7 3770K</c:v>
                </c:pt>
                <c:pt idx="1">
                  <c:v>配置二
Intel CPU
i7 870</c:v>
                </c:pt>
              </c:strCache>
            </c:strRef>
          </c:cat>
          <c:val>
            <c:numRef>
              <c:f>('骨骼动画时间分布-508'!$K$389,'骨骼动画时间分布-508'!$K$391)</c:f>
              <c:numCache>
                <c:formatCode>0.00_ </c:formatCode>
                <c:ptCount val="2"/>
                <c:pt idx="0">
                  <c:v>4.359649122807018</c:v>
                </c:pt>
                <c:pt idx="1">
                  <c:v>2.5551601423487544</c:v>
                </c:pt>
              </c:numCache>
            </c:numRef>
          </c:val>
        </c:ser>
        <c:dLbls>
          <c:showVal val="1"/>
        </c:dLbls>
        <c:axId val="92659072"/>
        <c:axId val="94385280"/>
      </c:barChart>
      <c:catAx>
        <c:axId val="92659072"/>
        <c:scaling>
          <c:orientation val="minMax"/>
        </c:scaling>
        <c:axPos val="b"/>
        <c:tickLblPos val="nextTo"/>
        <c:crossAx val="94385280"/>
        <c:crosses val="autoZero"/>
        <c:auto val="1"/>
        <c:lblAlgn val="ctr"/>
        <c:lblOffset val="100"/>
      </c:catAx>
      <c:valAx>
        <c:axId val="94385280"/>
        <c:scaling>
          <c:orientation val="minMax"/>
        </c:scaling>
        <c:axPos val="l"/>
        <c:numFmt formatCode="0.0_ " sourceLinked="1"/>
        <c:tickLblPos val="nextTo"/>
        <c:crossAx val="926590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826531058617716"/>
          <c:y val="0.15641404199475079"/>
          <c:w val="0.13506802274715671"/>
          <c:h val="0.76772747156605492"/>
        </c:manualLayout>
      </c:layout>
    </c:legend>
    <c:plotVisOnly val="1"/>
    <c:dispBlanksAs val="gap"/>
  </c:chart>
  <c:printSettings>
    <c:headerFooter/>
    <c:pageMargins b="0.75000000000000289" l="0.70000000000000062" r="0.70000000000000062" t="0.75000000000000289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/>
              <a:t>渲染时间</a:t>
            </a:r>
            <a:r>
              <a:rPr lang="en-US"/>
              <a:t>ms</a:t>
            </a:r>
            <a:r>
              <a:rPr lang="zh-CN"/>
              <a:t>与数据量</a:t>
            </a:r>
            <a:endParaRPr lang="en-US"/>
          </a:p>
          <a:p>
            <a:pPr>
              <a:defRPr/>
            </a:pPr>
            <a:r>
              <a:rPr lang="zh-CN"/>
              <a:t>关系图</a:t>
            </a:r>
            <a:endParaRPr lang="en-US"/>
          </a:p>
        </c:rich>
      </c:tx>
      <c:layout>
        <c:manualLayout>
          <c:xMode val="edge"/>
          <c:yMode val="edge"/>
          <c:x val="0.27134711286089241"/>
          <c:y val="8.3333333333333343E-2"/>
        </c:manualLayout>
      </c:layout>
      <c:overlay val="1"/>
    </c:title>
    <c:plotArea>
      <c:layout/>
      <c:lineChart>
        <c:grouping val="standard"/>
        <c:ser>
          <c:idx val="0"/>
          <c:order val="0"/>
          <c:tx>
            <c:strRef>
              <c:f>'3770K'!$B$14</c:f>
              <c:strCache>
                <c:ptCount val="1"/>
                <c:pt idx="0">
                  <c:v>GTX670</c:v>
                </c:pt>
              </c:strCache>
            </c:strRef>
          </c:tx>
          <c:dLbls>
            <c:dLbl>
              <c:idx val="0"/>
              <c:layout>
                <c:manualLayout>
                  <c:x val="0"/>
                  <c:y val="2.9520295202952029E-2"/>
                </c:manualLayout>
              </c:layout>
              <c:dLblPos val="ctr"/>
              <c:showVal val="1"/>
            </c:dLbl>
            <c:dLbl>
              <c:idx val="1"/>
              <c:layout>
                <c:manualLayout>
                  <c:x val="0"/>
                  <c:y val="2.9520295202952029E-2"/>
                </c:manualLayout>
              </c:layout>
              <c:dLblPos val="ctr"/>
              <c:showVal val="1"/>
            </c:dLbl>
            <c:dLbl>
              <c:idx val="2"/>
              <c:layout>
                <c:manualLayout>
                  <c:x val="0"/>
                  <c:y val="1.9680196801968405E-2"/>
                </c:manualLayout>
              </c:layout>
              <c:dLblPos val="ctr"/>
              <c:showVal val="1"/>
            </c:dLbl>
            <c:dLbl>
              <c:idx val="3"/>
              <c:layout>
                <c:manualLayout>
                  <c:x val="-5.092533763208402E-17"/>
                  <c:y val="2.4600246002460052E-2"/>
                </c:manualLayout>
              </c:layout>
              <c:dLblPos val="ctr"/>
              <c:showVal val="1"/>
            </c:dLbl>
            <c:dLbl>
              <c:idx val="4"/>
              <c:layout>
                <c:manualLayout>
                  <c:x val="0"/>
                  <c:y val="-2.9520295202952029E-2"/>
                </c:manualLayout>
              </c:layout>
              <c:dLblPos val="ctr"/>
              <c:showVal val="1"/>
            </c:dLbl>
            <c:dLbl>
              <c:idx val="5"/>
              <c:layout>
                <c:manualLayout>
                  <c:x val="0"/>
                  <c:y val="-4.4280442804428104E-2"/>
                </c:manualLayout>
              </c:layout>
              <c:dLblPos val="ctr"/>
              <c:showVal val="1"/>
            </c:dLbl>
            <c:dLbl>
              <c:idx val="6"/>
              <c:layout>
                <c:manualLayout>
                  <c:x val="-2.7777777777779024E-3"/>
                  <c:y val="-4.4280442804428104E-2"/>
                </c:manualLayout>
              </c:layout>
              <c:dLblPos val="ctr"/>
              <c:showVal val="1"/>
            </c:dLbl>
            <c:dLbl>
              <c:idx val="7"/>
              <c:layout>
                <c:manualLayout>
                  <c:x val="0"/>
                  <c:y val="-4.4280442804428104E-2"/>
                </c:manualLayout>
              </c:layout>
              <c:dLblPos val="ctr"/>
              <c:showVal val="1"/>
            </c:dLbl>
            <c:dLblPos val="ctr"/>
            <c:showVal val="1"/>
          </c:dLbls>
          <c:cat>
            <c:strRef>
              <c:f>'3770K'!$C$13:$J$13</c:f>
              <c:strCache>
                <c:ptCount val="8"/>
                <c:pt idx="0">
                  <c:v>2K</c:v>
                </c:pt>
                <c:pt idx="1">
                  <c:v>8K</c:v>
                </c:pt>
                <c:pt idx="2">
                  <c:v>32K</c:v>
                </c:pt>
                <c:pt idx="3">
                  <c:v>128K</c:v>
                </c:pt>
                <c:pt idx="4">
                  <c:v>256K</c:v>
                </c:pt>
                <c:pt idx="5">
                  <c:v>512K</c:v>
                </c:pt>
                <c:pt idx="6">
                  <c:v>1M</c:v>
                </c:pt>
                <c:pt idx="7">
                  <c:v>2M</c:v>
                </c:pt>
              </c:strCache>
            </c:strRef>
          </c:cat>
          <c:val>
            <c:numRef>
              <c:f>'3770K'!$C$14:$J$14</c:f>
              <c:numCache>
                <c:formatCode>0.00_ </c:formatCode>
                <c:ptCount val="8"/>
                <c:pt idx="0">
                  <c:v>8.3000000000000004E-2</c:v>
                </c:pt>
                <c:pt idx="1">
                  <c:v>8.8999999999999996E-2</c:v>
                </c:pt>
                <c:pt idx="2">
                  <c:v>0.10199999999999999</c:v>
                </c:pt>
                <c:pt idx="3">
                  <c:v>0.13500000000000001</c:v>
                </c:pt>
                <c:pt idx="4">
                  <c:v>0.16300000000000001</c:v>
                </c:pt>
                <c:pt idx="5">
                  <c:v>0.246</c:v>
                </c:pt>
                <c:pt idx="6" formatCode="General">
                  <c:v>0.37</c:v>
                </c:pt>
                <c:pt idx="7">
                  <c:v>0.747</c:v>
                </c:pt>
              </c:numCache>
            </c:numRef>
          </c:val>
        </c:ser>
        <c:ser>
          <c:idx val="1"/>
          <c:order val="1"/>
          <c:tx>
            <c:strRef>
              <c:f>'3770K'!$B$19</c:f>
              <c:strCache>
                <c:ptCount val="1"/>
                <c:pt idx="0">
                  <c:v>GTS250</c:v>
                </c:pt>
              </c:strCache>
            </c:strRef>
          </c:tx>
          <c:dLbls>
            <c:dLblPos val="t"/>
            <c:showVal val="1"/>
          </c:dLbls>
          <c:cat>
            <c:strRef>
              <c:f>'3770K'!$C$13:$J$13</c:f>
              <c:strCache>
                <c:ptCount val="8"/>
                <c:pt idx="0">
                  <c:v>2K</c:v>
                </c:pt>
                <c:pt idx="1">
                  <c:v>8K</c:v>
                </c:pt>
                <c:pt idx="2">
                  <c:v>32K</c:v>
                </c:pt>
                <c:pt idx="3">
                  <c:v>128K</c:v>
                </c:pt>
                <c:pt idx="4">
                  <c:v>256K</c:v>
                </c:pt>
                <c:pt idx="5">
                  <c:v>512K</c:v>
                </c:pt>
                <c:pt idx="6">
                  <c:v>1M</c:v>
                </c:pt>
                <c:pt idx="7">
                  <c:v>2M</c:v>
                </c:pt>
              </c:strCache>
            </c:strRef>
          </c:cat>
          <c:val>
            <c:numRef>
              <c:f>'3770K'!$C$19:$J$19</c:f>
              <c:numCache>
                <c:formatCode>0.00_ </c:formatCode>
                <c:ptCount val="8"/>
                <c:pt idx="0" formatCode="General">
                  <c:v>0.15</c:v>
                </c:pt>
                <c:pt idx="1">
                  <c:v>0.22700000000000001</c:v>
                </c:pt>
                <c:pt idx="2">
                  <c:v>0.23300000000000001</c:v>
                </c:pt>
                <c:pt idx="3">
                  <c:v>0.39100000000000001</c:v>
                </c:pt>
                <c:pt idx="4">
                  <c:v>0.72899999999999998</c:v>
                </c:pt>
                <c:pt idx="5">
                  <c:v>1.1000000000000001</c:v>
                </c:pt>
                <c:pt idx="6" formatCode="General">
                  <c:v>2.09</c:v>
                </c:pt>
                <c:pt idx="7" formatCode="General">
                  <c:v>3.89</c:v>
                </c:pt>
              </c:numCache>
            </c:numRef>
          </c:val>
        </c:ser>
        <c:dLbls>
          <c:showVal val="1"/>
        </c:dLbls>
        <c:marker val="1"/>
        <c:axId val="83809408"/>
        <c:axId val="83810944"/>
      </c:lineChart>
      <c:catAx>
        <c:axId val="83809408"/>
        <c:scaling>
          <c:orientation val="minMax"/>
        </c:scaling>
        <c:axPos val="b"/>
        <c:tickLblPos val="nextTo"/>
        <c:crossAx val="83810944"/>
        <c:crosses val="autoZero"/>
        <c:auto val="1"/>
        <c:lblAlgn val="ctr"/>
        <c:lblOffset val="100"/>
      </c:catAx>
      <c:valAx>
        <c:axId val="83810944"/>
        <c:scaling>
          <c:orientation val="minMax"/>
        </c:scaling>
        <c:delete val="1"/>
        <c:axPos val="l"/>
        <c:numFmt formatCode="0.00_ " sourceLinked="1"/>
        <c:tickLblPos val="nextTo"/>
        <c:crossAx val="83809408"/>
        <c:crosses val="autoZero"/>
        <c:crossBetween val="between"/>
      </c:valAx>
    </c:plotArea>
    <c:legend>
      <c:legendPos val="l"/>
      <c:overlay val="1"/>
    </c:legend>
    <c:plotVisOnly val="1"/>
    <c:dispBlanksAs val="gap"/>
  </c:chart>
  <c:printSettings>
    <c:headerFooter/>
    <c:pageMargins b="0.75000000000001066" l="0.70000000000000062" r="0.70000000000000062" t="0.75000000000001066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CN" sz="1200" b="1"/>
              <a:t>CUDA</a:t>
            </a:r>
            <a:r>
              <a:rPr lang="zh-CN" altLang="en-US" sz="1200" b="1"/>
              <a:t>时间分布图</a:t>
            </a:r>
            <a:endParaRPr lang="en-US" altLang="zh-CN" sz="1200" b="1"/>
          </a:p>
          <a:p>
            <a:pPr>
              <a:defRPr/>
            </a:pPr>
            <a:r>
              <a:rPr lang="zh-CN" altLang="en-US" sz="1200" b="1"/>
              <a:t>未优化</a:t>
            </a:r>
          </a:p>
        </c:rich>
      </c:tx>
      <c:layout>
        <c:manualLayout>
          <c:xMode val="edge"/>
          <c:yMode val="edge"/>
          <c:x val="1.0604795397016739E-2"/>
          <c:y val="4.0816326530612498E-2"/>
        </c:manualLayout>
      </c:layout>
    </c:title>
    <c:plotArea>
      <c:layout/>
      <c:pieChart>
        <c:varyColors val="1"/>
        <c:ser>
          <c:idx val="0"/>
          <c:order val="0"/>
          <c:dLbls>
            <c:dLblPos val="inEnd"/>
            <c:showVal val="1"/>
          </c:dLbls>
          <c:cat>
            <c:strRef>
              <c:f>'骨骼动画时间分布-508'!$J$185:$N$185</c:f>
              <c:strCache>
                <c:ptCount val="5"/>
                <c:pt idx="0">
                  <c:v>CPU计算骨骼</c:v>
                </c:pt>
                <c:pt idx="1">
                  <c:v>CPU计算顶点</c:v>
                </c:pt>
                <c:pt idx="2">
                  <c:v>GPU渲染面片</c:v>
                </c:pt>
                <c:pt idx="3">
                  <c:v>异步等待</c:v>
                </c:pt>
                <c:pt idx="4">
                  <c:v>CUDA传输</c:v>
                </c:pt>
              </c:strCache>
            </c:strRef>
          </c:cat>
          <c:val>
            <c:numRef>
              <c:f>'骨骼动画时间分布-508'!$J$186:$N$186</c:f>
              <c:numCache>
                <c:formatCode>0%</c:formatCode>
                <c:ptCount val="5"/>
                <c:pt idx="0">
                  <c:v>4.4077134986225897E-2</c:v>
                </c:pt>
                <c:pt idx="1">
                  <c:v>0.65426997245179064</c:v>
                </c:pt>
                <c:pt idx="2">
                  <c:v>4.6831955922865015E-2</c:v>
                </c:pt>
                <c:pt idx="3">
                  <c:v>0.13360881542699718</c:v>
                </c:pt>
                <c:pt idx="4">
                  <c:v>0.12121212121212122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>
        <c:manualLayout>
          <c:xMode val="edge"/>
          <c:yMode val="edge"/>
          <c:x val="0.59549228944246313"/>
          <c:y val="8.9580588140768164E-2"/>
          <c:w val="0.37603795966785464"/>
          <c:h val="0.82083882371846373"/>
        </c:manualLayout>
      </c:layout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zero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CN" sz="1200" b="1"/>
              <a:t>CUDA</a:t>
            </a:r>
            <a:r>
              <a:rPr lang="zh-CN" altLang="en-US" sz="1200" b="1"/>
              <a:t>时间分布图</a:t>
            </a:r>
            <a:endParaRPr lang="en-US" altLang="zh-CN" sz="1200" b="1"/>
          </a:p>
          <a:p>
            <a:pPr>
              <a:defRPr/>
            </a:pPr>
            <a:r>
              <a:rPr lang="zh-CN" altLang="en-US" sz="1200" b="1"/>
              <a:t>对齐优化</a:t>
            </a:r>
          </a:p>
        </c:rich>
      </c:tx>
      <c:layout>
        <c:manualLayout>
          <c:xMode val="edge"/>
          <c:yMode val="edge"/>
          <c:x val="1.0604795397016746E-2"/>
          <c:y val="4.0816326530612519E-2"/>
        </c:manualLayout>
      </c:layout>
    </c:title>
    <c:plotArea>
      <c:layout/>
      <c:pieChart>
        <c:varyColors val="1"/>
        <c:ser>
          <c:idx val="0"/>
          <c:order val="0"/>
          <c:dLbls>
            <c:dLblPos val="inEnd"/>
            <c:showVal val="1"/>
          </c:dLbls>
          <c:cat>
            <c:strRef>
              <c:f>'骨骼动画时间分布-508'!$J$207:$N$207</c:f>
              <c:strCache>
                <c:ptCount val="5"/>
                <c:pt idx="0">
                  <c:v>CPU计算骨骼</c:v>
                </c:pt>
                <c:pt idx="1">
                  <c:v>CPU计算顶点</c:v>
                </c:pt>
                <c:pt idx="2">
                  <c:v>GPU渲染面片</c:v>
                </c:pt>
                <c:pt idx="3">
                  <c:v>异步等待</c:v>
                </c:pt>
                <c:pt idx="4">
                  <c:v>CUDA传输</c:v>
                </c:pt>
              </c:strCache>
            </c:strRef>
          </c:cat>
          <c:val>
            <c:numRef>
              <c:f>'骨骼动画时间分布-508'!$J$208:$N$208</c:f>
              <c:numCache>
                <c:formatCode>0%</c:formatCode>
                <c:ptCount val="5"/>
                <c:pt idx="0">
                  <c:v>8.0200501253132828E-2</c:v>
                </c:pt>
                <c:pt idx="1">
                  <c:v>0.37092731829573933</c:v>
                </c:pt>
                <c:pt idx="2">
                  <c:v>8.5213032581453629E-2</c:v>
                </c:pt>
                <c:pt idx="3">
                  <c:v>0.24310776942355897</c:v>
                </c:pt>
                <c:pt idx="4">
                  <c:v>0.22055137844611528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>
        <c:manualLayout>
          <c:xMode val="edge"/>
          <c:yMode val="edge"/>
          <c:x val="0.59549228944246269"/>
          <c:y val="8.9580588140768164E-2"/>
          <c:w val="0.37603795966785486"/>
          <c:h val="0.82083882371846373"/>
        </c:manualLayout>
      </c:layout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zero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 algn="ctr">
              <a:defRPr/>
            </a:pPr>
            <a:r>
              <a:rPr lang="en-US" altLang="zh-CN" sz="1200" b="1"/>
              <a:t>OpenCL</a:t>
            </a:r>
            <a:r>
              <a:rPr lang="zh-CN" altLang="en-US" sz="1200" b="1"/>
              <a:t>时间分布图</a:t>
            </a:r>
            <a:endParaRPr lang="en-US" altLang="zh-CN" sz="1200" b="1"/>
          </a:p>
          <a:p>
            <a:pPr algn="ctr">
              <a:defRPr/>
            </a:pPr>
            <a:r>
              <a:rPr lang="zh-CN" altLang="zh-CN"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与</a:t>
            </a:r>
            <a:r>
              <a:rPr lang="en-US" altLang="zh-CN"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OpenGL</a:t>
            </a:r>
            <a:r>
              <a:rPr lang="zh-CN" altLang="zh-CN"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互操作</a:t>
            </a:r>
          </a:p>
        </c:rich>
      </c:tx>
      <c:layout>
        <c:manualLayout>
          <c:xMode val="edge"/>
          <c:yMode val="edge"/>
          <c:x val="1.0604795397016746E-2"/>
          <c:y val="4.0816326530612519E-2"/>
        </c:manualLayout>
      </c:layout>
    </c:title>
    <c:plotArea>
      <c:layout/>
      <c:pieChart>
        <c:varyColors val="1"/>
        <c:ser>
          <c:idx val="0"/>
          <c:order val="0"/>
          <c:dLbls>
            <c:dLblPos val="inEnd"/>
            <c:showVal val="1"/>
          </c:dLbls>
          <c:cat>
            <c:strRef>
              <c:f>'骨骼动画时间分布-508'!$J$117:$N$117</c:f>
              <c:strCache>
                <c:ptCount val="5"/>
                <c:pt idx="0">
                  <c:v>CPU计算骨骼</c:v>
                </c:pt>
                <c:pt idx="1">
                  <c:v>CPU计算顶点</c:v>
                </c:pt>
                <c:pt idx="2">
                  <c:v>GPU渲染面片</c:v>
                </c:pt>
                <c:pt idx="3">
                  <c:v>异步等待</c:v>
                </c:pt>
                <c:pt idx="4">
                  <c:v>OpenCL传输</c:v>
                </c:pt>
              </c:strCache>
            </c:strRef>
          </c:cat>
          <c:val>
            <c:numRef>
              <c:f>'骨骼动画时间分布-508'!$J$118:$N$118</c:f>
              <c:numCache>
                <c:formatCode>0%</c:formatCode>
                <c:ptCount val="5"/>
                <c:pt idx="0">
                  <c:v>0.20125786163522011</c:v>
                </c:pt>
                <c:pt idx="1">
                  <c:v>0.26415094339622641</c:v>
                </c:pt>
                <c:pt idx="2">
                  <c:v>0.20754716981132076</c:v>
                </c:pt>
                <c:pt idx="3">
                  <c:v>0.22012578616352199</c:v>
                </c:pt>
                <c:pt idx="4">
                  <c:v>0.1069182389937107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>
        <c:manualLayout>
          <c:xMode val="edge"/>
          <c:yMode val="edge"/>
          <c:x val="0.59549228944246269"/>
          <c:y val="8.9580588140768164E-2"/>
          <c:w val="0.37603795966785486"/>
          <c:h val="0.82083882371846373"/>
        </c:manualLayout>
      </c:layout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zero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CN" sz="1200" b="1"/>
              <a:t>OpenCL</a:t>
            </a:r>
            <a:r>
              <a:rPr lang="zh-CN" altLang="en-US" sz="1200" b="1"/>
              <a:t>时间分布图</a:t>
            </a:r>
            <a:endParaRPr lang="en-US" altLang="zh-CN" sz="1200" b="1"/>
          </a:p>
          <a:p>
            <a:pPr>
              <a:defRPr/>
            </a:pPr>
            <a:r>
              <a:rPr lang="zh-CN" altLang="en-US" sz="1200" b="1"/>
              <a:t>与</a:t>
            </a:r>
            <a:r>
              <a:rPr lang="en-US" altLang="zh-CN" sz="1200" b="1"/>
              <a:t>OpenGL</a:t>
            </a:r>
            <a:r>
              <a:rPr lang="zh-CN" altLang="en-US" sz="1200" b="1"/>
              <a:t>互操作</a:t>
            </a:r>
          </a:p>
        </c:rich>
      </c:tx>
      <c:layout>
        <c:manualLayout>
          <c:xMode val="edge"/>
          <c:yMode val="edge"/>
          <c:x val="1.0604795397016755E-2"/>
          <c:y val="4.0816326530612533E-2"/>
        </c:manualLayout>
      </c:layout>
    </c:title>
    <c:plotArea>
      <c:layout/>
      <c:pieChart>
        <c:varyColors val="1"/>
        <c:ser>
          <c:idx val="0"/>
          <c:order val="0"/>
          <c:dLbls>
            <c:dLblPos val="inEnd"/>
            <c:showVal val="1"/>
          </c:dLbls>
          <c:cat>
            <c:strRef>
              <c:f>'骨骼动画时间分布-508'!$J$150:$N$150</c:f>
              <c:strCache>
                <c:ptCount val="5"/>
                <c:pt idx="0">
                  <c:v>CPU计算骨骼</c:v>
                </c:pt>
                <c:pt idx="1">
                  <c:v>CPU计算顶点</c:v>
                </c:pt>
                <c:pt idx="2">
                  <c:v>GPU渲染面片</c:v>
                </c:pt>
                <c:pt idx="3">
                  <c:v>异步等待</c:v>
                </c:pt>
                <c:pt idx="4">
                  <c:v>OpenCL传输</c:v>
                </c:pt>
              </c:strCache>
            </c:strRef>
          </c:cat>
          <c:val>
            <c:numRef>
              <c:f>'骨骼动画时间分布-508'!$J$151:$N$151</c:f>
              <c:numCache>
                <c:formatCode>0%</c:formatCode>
                <c:ptCount val="5"/>
                <c:pt idx="0">
                  <c:v>0.14953271028037382</c:v>
                </c:pt>
                <c:pt idx="1">
                  <c:v>0.19626168224299065</c:v>
                </c:pt>
                <c:pt idx="2">
                  <c:v>0.1542056074766355</c:v>
                </c:pt>
                <c:pt idx="3">
                  <c:v>0.14018691588785048</c:v>
                </c:pt>
                <c:pt idx="4">
                  <c:v>0.35981308411214952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>
        <c:manualLayout>
          <c:xMode val="edge"/>
          <c:yMode val="edge"/>
          <c:x val="0.59549228944246235"/>
          <c:y val="8.9580588140768164E-2"/>
          <c:w val="0.37603795966785497"/>
          <c:h val="0.82083882371846373"/>
        </c:manualLayout>
      </c:layout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zero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CN" sz="1200" b="1"/>
              <a:t>OpenCL</a:t>
            </a:r>
            <a:r>
              <a:rPr lang="zh-CN" altLang="en-US" sz="1200" b="1"/>
              <a:t>时间分布图</a:t>
            </a:r>
            <a:endParaRPr lang="en-US" altLang="zh-CN" sz="1200" b="1"/>
          </a:p>
          <a:p>
            <a:pPr>
              <a:defRPr/>
            </a:pPr>
            <a:r>
              <a:rPr lang="zh-CN" altLang="en-US" sz="1200" b="1"/>
              <a:t>未与</a:t>
            </a:r>
            <a:r>
              <a:rPr lang="en-US" altLang="zh-CN" sz="1200" b="1"/>
              <a:t>OpenGL</a:t>
            </a:r>
            <a:r>
              <a:rPr lang="zh-CN" altLang="en-US" sz="1200" b="1"/>
              <a:t>互操作</a:t>
            </a:r>
          </a:p>
        </c:rich>
      </c:tx>
      <c:layout>
        <c:manualLayout>
          <c:xMode val="edge"/>
          <c:yMode val="edge"/>
          <c:x val="1.0604795397016763E-2"/>
          <c:y val="4.0816326530612533E-2"/>
        </c:manualLayout>
      </c:layout>
    </c:title>
    <c:plotArea>
      <c:layout/>
      <c:pieChart>
        <c:varyColors val="1"/>
        <c:ser>
          <c:idx val="0"/>
          <c:order val="0"/>
          <c:dLbls>
            <c:dLblPos val="inEnd"/>
            <c:showVal val="1"/>
          </c:dLbls>
          <c:cat>
            <c:strRef>
              <c:f>'骨骼动画时间分布-508'!$J$91:$N$91</c:f>
              <c:strCache>
                <c:ptCount val="5"/>
                <c:pt idx="0">
                  <c:v>CPU计算骨骼</c:v>
                </c:pt>
                <c:pt idx="1">
                  <c:v>CPU计算顶点</c:v>
                </c:pt>
                <c:pt idx="2">
                  <c:v>GPU渲染面片</c:v>
                </c:pt>
                <c:pt idx="3">
                  <c:v>异步等待</c:v>
                </c:pt>
                <c:pt idx="4">
                  <c:v>OpenCL传输</c:v>
                </c:pt>
              </c:strCache>
            </c:strRef>
          </c:cat>
          <c:val>
            <c:numRef>
              <c:f>'骨骼动画时间分布-508'!$J$92:$N$92</c:f>
              <c:numCache>
                <c:formatCode>0%</c:formatCode>
                <c:ptCount val="5"/>
                <c:pt idx="0">
                  <c:v>0.10031347962382446</c:v>
                </c:pt>
                <c:pt idx="1">
                  <c:v>0.14106583072100315</c:v>
                </c:pt>
                <c:pt idx="2">
                  <c:v>0.75235109717868343</c:v>
                </c:pt>
                <c:pt idx="3">
                  <c:v>8.4639498432601865E-2</c:v>
                </c:pt>
                <c:pt idx="4">
                  <c:v>9.0909090909090898E-2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>
        <c:manualLayout>
          <c:xMode val="edge"/>
          <c:yMode val="edge"/>
          <c:x val="0.59549228944246191"/>
          <c:y val="8.9580588140768164E-2"/>
          <c:w val="0.37603795966785514"/>
          <c:h val="0.82083882371846373"/>
        </c:manualLayout>
      </c:layout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zero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sz="1800" b="1" i="0" baseline="0"/>
              <a:t>骨骼动画</a:t>
            </a:r>
            <a:r>
              <a:rPr lang="en-US" altLang="zh-CN" sz="1800" b="1" i="0" baseline="0"/>
              <a:t>CPU</a:t>
            </a:r>
            <a:r>
              <a:rPr lang="zh-CN" sz="1800" b="1" i="0" baseline="0"/>
              <a:t>并行计算</a:t>
            </a:r>
            <a:r>
              <a:rPr lang="zh-CN" altLang="en-US" sz="1800" b="1" i="0" baseline="0"/>
              <a:t>多</a:t>
            </a:r>
            <a:r>
              <a:rPr lang="zh-CN" sz="1800" b="1" i="0" baseline="0"/>
              <a:t>方案</a:t>
            </a:r>
            <a:endParaRPr lang="en-US" altLang="zh-CN" sz="1800" b="1" i="0" baseline="0"/>
          </a:p>
          <a:p>
            <a:pPr>
              <a:defRPr/>
            </a:pPr>
            <a:r>
              <a:rPr lang="zh-CN" altLang="en-US" sz="1800" b="1" i="0" baseline="0"/>
              <a:t>时间对比</a:t>
            </a:r>
            <a:endParaRPr lang="zh-CN" sz="1800" b="1" i="0" baseline="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'骨骼动画时间分布-508'!$F$387</c:f>
              <c:strCache>
                <c:ptCount val="1"/>
                <c:pt idx="0">
                  <c:v>Bench
mark</c:v>
                </c:pt>
              </c:strCache>
            </c:strRef>
          </c:tx>
          <c:dLbls>
            <c:showVal val="1"/>
          </c:dLbls>
          <c:cat>
            <c:strRef>
              <c:f>('骨骼动画时间分布-508'!$C$388,'骨骼动画时间分布-508'!$C$390)</c:f>
              <c:strCache>
                <c:ptCount val="2"/>
                <c:pt idx="0">
                  <c:v>配置一
Intel CPU
i7 3770K</c:v>
                </c:pt>
                <c:pt idx="1">
                  <c:v>配置二
Intel CPU
i7 870</c:v>
                </c:pt>
              </c:strCache>
            </c:strRef>
          </c:cat>
          <c:val>
            <c:numRef>
              <c:f>('骨骼动画时间分布-508'!$F$388,'骨骼动画时间分布-508'!$F$390)</c:f>
              <c:numCache>
                <c:formatCode>0.00_ </c:formatCode>
                <c:ptCount val="2"/>
                <c:pt idx="0" formatCode="0.0_ ">
                  <c:v>4.97</c:v>
                </c:pt>
                <c:pt idx="1">
                  <c:v>7.18</c:v>
                </c:pt>
              </c:numCache>
            </c:numRef>
          </c:val>
        </c:ser>
        <c:ser>
          <c:idx val="1"/>
          <c:order val="1"/>
          <c:tx>
            <c:strRef>
              <c:f>'骨骼动画时间分布-508'!$G$387</c:f>
              <c:strCache>
                <c:ptCount val="1"/>
                <c:pt idx="0">
                  <c:v>SSE</c:v>
                </c:pt>
              </c:strCache>
            </c:strRef>
          </c:tx>
          <c:dLbls>
            <c:showVal val="1"/>
          </c:dLbls>
          <c:cat>
            <c:strRef>
              <c:f>('骨骼动画时间分布-508'!$C$388,'骨骼动画时间分布-508'!$C$390)</c:f>
              <c:strCache>
                <c:ptCount val="2"/>
                <c:pt idx="0">
                  <c:v>配置一
Intel CPU
i7 3770K</c:v>
                </c:pt>
                <c:pt idx="1">
                  <c:v>配置二
Intel CPU
i7 870</c:v>
                </c:pt>
              </c:strCache>
            </c:strRef>
          </c:cat>
          <c:val>
            <c:numRef>
              <c:f>('骨骼动画时间分布-508'!$G$388,'骨骼动画时间分布-508'!$G$390)</c:f>
              <c:numCache>
                <c:formatCode>0.00_ </c:formatCode>
                <c:ptCount val="2"/>
                <c:pt idx="0" formatCode="0.0_ ">
                  <c:v>1.5</c:v>
                </c:pt>
                <c:pt idx="1">
                  <c:v>2</c:v>
                </c:pt>
              </c:numCache>
            </c:numRef>
          </c:val>
        </c:ser>
        <c:ser>
          <c:idx val="2"/>
          <c:order val="2"/>
          <c:tx>
            <c:strRef>
              <c:f>'骨骼动画时间分布-508'!$H$387</c:f>
              <c:strCache>
                <c:ptCount val="1"/>
                <c:pt idx="0">
                  <c:v>OpenCL</c:v>
                </c:pt>
              </c:strCache>
            </c:strRef>
          </c:tx>
          <c:dLbls>
            <c:showVal val="1"/>
          </c:dLbls>
          <c:cat>
            <c:strRef>
              <c:f>('骨骼动画时间分布-508'!$C$388,'骨骼动画时间分布-508'!$C$390)</c:f>
              <c:strCache>
                <c:ptCount val="2"/>
                <c:pt idx="0">
                  <c:v>配置一
Intel CPU
i7 3770K</c:v>
                </c:pt>
                <c:pt idx="1">
                  <c:v>配置二
Intel CPU
i7 870</c:v>
                </c:pt>
              </c:strCache>
            </c:strRef>
          </c:cat>
          <c:val>
            <c:numRef>
              <c:f>('骨骼动画时间分布-508'!$H$388,'骨骼动画时间分布-508'!$H$390)</c:f>
              <c:numCache>
                <c:formatCode>0.00_ </c:formatCode>
                <c:ptCount val="2"/>
                <c:pt idx="0" formatCode="0.0_ ">
                  <c:v>0.8</c:v>
                </c:pt>
                <c:pt idx="1">
                  <c:v>1.59</c:v>
                </c:pt>
              </c:numCache>
            </c:numRef>
          </c:val>
        </c:ser>
        <c:dLbls>
          <c:showVal val="1"/>
        </c:dLbls>
        <c:axId val="100382976"/>
        <c:axId val="100397056"/>
      </c:barChart>
      <c:catAx>
        <c:axId val="100382976"/>
        <c:scaling>
          <c:orientation val="minMax"/>
        </c:scaling>
        <c:axPos val="b"/>
        <c:tickLblPos val="nextTo"/>
        <c:crossAx val="100397056"/>
        <c:crosses val="autoZero"/>
        <c:auto val="1"/>
        <c:lblAlgn val="ctr"/>
        <c:lblOffset val="100"/>
      </c:catAx>
      <c:valAx>
        <c:axId val="100397056"/>
        <c:scaling>
          <c:orientation val="minMax"/>
        </c:scaling>
        <c:axPos val="l"/>
        <c:numFmt formatCode="0.0_ " sourceLinked="1"/>
        <c:tickLblPos val="nextTo"/>
        <c:crossAx val="10038297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289" l="0.70000000000000062" r="0.70000000000000062" t="0.75000000000000289" header="0.30000000000000032" footer="0.30000000000000032"/>
    <c:pageSetup/>
  </c:printSettings>
  <c:userShapes r:id="rId1"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 sz="1800" b="1" i="0" u="none" strike="noStrike" baseline="0"/>
              <a:t>骨骼动画</a:t>
            </a:r>
            <a:r>
              <a:rPr lang="en-US" altLang="zh-CN" sz="1800" b="1" i="0" u="none" strike="noStrike" baseline="0"/>
              <a:t>CPU</a:t>
            </a:r>
            <a:r>
              <a:rPr lang="zh-CN" altLang="en-US" sz="1800" b="1" i="0" u="none" strike="noStrike" baseline="0"/>
              <a:t>并行计算多方案</a:t>
            </a:r>
            <a:endParaRPr lang="en-US" altLang="zh-CN" sz="1800" b="1" i="0" u="none" strike="noStrike" baseline="0"/>
          </a:p>
          <a:p>
            <a:pPr>
              <a:defRPr/>
            </a:pPr>
            <a:r>
              <a:rPr lang="zh-CN" altLang="en-US" sz="1800" b="1" i="0" u="none" strike="noStrike" baseline="0"/>
              <a:t>加速比对比</a:t>
            </a:r>
            <a:endParaRPr lang="zh-CN" alt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'骨骼动画时间分布-508'!$G$387</c:f>
              <c:strCache>
                <c:ptCount val="1"/>
                <c:pt idx="0">
                  <c:v>SSE</c:v>
                </c:pt>
              </c:strCache>
            </c:strRef>
          </c:tx>
          <c:dLbls>
            <c:showVal val="1"/>
          </c:dLbls>
          <c:cat>
            <c:strRef>
              <c:f>('骨骼动画时间分布-508'!$C$388,'骨骼动画时间分布-508'!$C$390)</c:f>
              <c:strCache>
                <c:ptCount val="2"/>
                <c:pt idx="0">
                  <c:v>配置一
Intel CPU
i7 3770K</c:v>
                </c:pt>
                <c:pt idx="1">
                  <c:v>配置二
Intel CPU
i7 870</c:v>
                </c:pt>
              </c:strCache>
            </c:strRef>
          </c:cat>
          <c:val>
            <c:numRef>
              <c:f>('骨骼动画时间分布-508'!$G$389,'骨骼动画时间分布-508'!$G$391)</c:f>
              <c:numCache>
                <c:formatCode>0.0_ </c:formatCode>
                <c:ptCount val="2"/>
                <c:pt idx="0">
                  <c:v>3.313333333333333</c:v>
                </c:pt>
                <c:pt idx="1">
                  <c:v>3.59</c:v>
                </c:pt>
              </c:numCache>
            </c:numRef>
          </c:val>
        </c:ser>
        <c:ser>
          <c:idx val="1"/>
          <c:order val="1"/>
          <c:tx>
            <c:strRef>
              <c:f>'骨骼动画时间分布-508'!$H$387</c:f>
              <c:strCache>
                <c:ptCount val="1"/>
                <c:pt idx="0">
                  <c:v>OpenCL</c:v>
                </c:pt>
              </c:strCache>
            </c:strRef>
          </c:tx>
          <c:dLbls>
            <c:showVal val="1"/>
          </c:dLbls>
          <c:cat>
            <c:strRef>
              <c:f>('骨骼动画时间分布-508'!$C$388,'骨骼动画时间分布-508'!$C$390)</c:f>
              <c:strCache>
                <c:ptCount val="2"/>
                <c:pt idx="0">
                  <c:v>配置一
Intel CPU
i7 3770K</c:v>
                </c:pt>
                <c:pt idx="1">
                  <c:v>配置二
Intel CPU
i7 870</c:v>
                </c:pt>
              </c:strCache>
            </c:strRef>
          </c:cat>
          <c:val>
            <c:numRef>
              <c:f>('骨骼动画时间分布-508'!$H$389,'骨骼动画时间分布-508'!$H$391)</c:f>
              <c:numCache>
                <c:formatCode>0.0_ </c:formatCode>
                <c:ptCount val="2"/>
                <c:pt idx="0">
                  <c:v>6.2124999999999995</c:v>
                </c:pt>
                <c:pt idx="1">
                  <c:v>4.515723270440251</c:v>
                </c:pt>
              </c:numCache>
            </c:numRef>
          </c:val>
        </c:ser>
        <c:dLbls>
          <c:showVal val="1"/>
        </c:dLbls>
        <c:axId val="105822080"/>
        <c:axId val="105823616"/>
      </c:barChart>
      <c:catAx>
        <c:axId val="105822080"/>
        <c:scaling>
          <c:orientation val="minMax"/>
        </c:scaling>
        <c:axPos val="b"/>
        <c:tickLblPos val="nextTo"/>
        <c:crossAx val="105823616"/>
        <c:crosses val="autoZero"/>
        <c:auto val="1"/>
        <c:lblAlgn val="ctr"/>
        <c:lblOffset val="100"/>
      </c:catAx>
      <c:valAx>
        <c:axId val="105823616"/>
        <c:scaling>
          <c:orientation val="minMax"/>
        </c:scaling>
        <c:axPos val="l"/>
        <c:numFmt formatCode="0.0_ " sourceLinked="1"/>
        <c:tickLblPos val="nextTo"/>
        <c:crossAx val="10582208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289" l="0.70000000000000062" r="0.70000000000000062" t="0.75000000000000289" header="0.30000000000000032" footer="0.30000000000000032"/>
    <c:pageSetup/>
  </c:printSettings>
  <c:userShapes r:id="rId1"/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>
        <c:manualLayout>
          <c:layoutTarget val="inner"/>
          <c:xMode val="edge"/>
          <c:yMode val="edge"/>
          <c:x val="0.15594437087873458"/>
          <c:y val="5.6756441507670514E-2"/>
          <c:w val="0.6299955132384758"/>
          <c:h val="0.54245217485625219"/>
        </c:manualLayout>
      </c:layout>
      <c:barChart>
        <c:barDir val="col"/>
        <c:grouping val="clustered"/>
        <c:ser>
          <c:idx val="0"/>
          <c:order val="0"/>
          <c:tx>
            <c:strRef>
              <c:f>'骨骼动画时间分布-508'!$G$387</c:f>
              <c:strCache>
                <c:ptCount val="1"/>
                <c:pt idx="0">
                  <c:v>SSE</c:v>
                </c:pt>
              </c:strCache>
            </c:strRef>
          </c:tx>
          <c:dLbls>
            <c:dLbl>
              <c:idx val="0"/>
              <c:layout>
                <c:manualLayout>
                  <c:x val="-8.8202350502365554E-3"/>
                  <c:y val="3.0666169075181878E-2"/>
                </c:manualLayout>
              </c:layout>
              <c:showVal val="1"/>
            </c:dLbl>
            <c:dLbl>
              <c:idx val="1"/>
              <c:layout>
                <c:manualLayout>
                  <c:x val="-8.8202350502365554E-3"/>
                  <c:y val="3.5030686860998271E-2"/>
                </c:manualLayout>
              </c:layout>
              <c:showVal val="1"/>
            </c:dLbl>
            <c:dLbl>
              <c:idx val="2"/>
              <c:layout>
                <c:manualLayout>
                  <c:x val="-2.6146922875567797E-3"/>
                  <c:y val="2.6854856825329326E-2"/>
                </c:manualLayout>
              </c:layout>
              <c:showVal val="1"/>
            </c:dLbl>
            <c:showVal val="1"/>
          </c:dLbls>
          <c:cat>
            <c:strRef>
              <c:f>('骨骼动画时间分布-508'!$C$388,'骨骼动画时间分布-508'!$C$390,'骨骼动画时间分布-508'!$C$392)</c:f>
              <c:strCache>
                <c:ptCount val="3"/>
                <c:pt idx="0">
                  <c:v>配置一
Intel CPU
i7 3770K</c:v>
                </c:pt>
                <c:pt idx="1">
                  <c:v>配置二
Intel CPU
i7 870</c:v>
                </c:pt>
                <c:pt idx="2">
                  <c:v>配置三
AMD CPU
FX 8350</c:v>
                </c:pt>
              </c:strCache>
            </c:strRef>
          </c:cat>
          <c:val>
            <c:numRef>
              <c:f>('骨骼动画时间分布-508'!$G$389,'骨骼动画时间分布-508'!$G$391,'骨骼动画时间分布-508'!$G$393)</c:f>
              <c:numCache>
                <c:formatCode>0.0_ </c:formatCode>
                <c:ptCount val="3"/>
                <c:pt idx="0">
                  <c:v>3.313333333333333</c:v>
                </c:pt>
                <c:pt idx="1">
                  <c:v>3.59</c:v>
                </c:pt>
                <c:pt idx="2">
                  <c:v>4.2867132867132867</c:v>
                </c:pt>
              </c:numCache>
            </c:numRef>
          </c:val>
        </c:ser>
        <c:ser>
          <c:idx val="1"/>
          <c:order val="1"/>
          <c:tx>
            <c:strRef>
              <c:f>'骨骼动画时间分布-508'!$H$387</c:f>
              <c:strCache>
                <c:ptCount val="1"/>
                <c:pt idx="0">
                  <c:v>OpenCL</c:v>
                </c:pt>
              </c:strCache>
            </c:strRef>
          </c:tx>
          <c:dLbls>
            <c:dLblPos val="outEnd"/>
            <c:showVal val="1"/>
          </c:dLbls>
          <c:cat>
            <c:strRef>
              <c:f>('骨骼动画时间分布-508'!$C$388,'骨骼动画时间分布-508'!$C$390,'骨骼动画时间分布-508'!$C$392)</c:f>
              <c:strCache>
                <c:ptCount val="3"/>
                <c:pt idx="0">
                  <c:v>配置一
Intel CPU
i7 3770K</c:v>
                </c:pt>
                <c:pt idx="1">
                  <c:v>配置二
Intel CPU
i7 870</c:v>
                </c:pt>
                <c:pt idx="2">
                  <c:v>配置三
AMD CPU
FX 8350</c:v>
                </c:pt>
              </c:strCache>
            </c:strRef>
          </c:cat>
          <c:val>
            <c:numRef>
              <c:f>('骨骼动画时间分布-508'!$H$389,'骨骼动画时间分布-508'!$H$391,'骨骼动画时间分布-508'!$H$393)</c:f>
              <c:numCache>
                <c:formatCode>0.0_ </c:formatCode>
                <c:ptCount val="3"/>
                <c:pt idx="0">
                  <c:v>6.2124999999999995</c:v>
                </c:pt>
                <c:pt idx="1">
                  <c:v>4.515723270440251</c:v>
                </c:pt>
                <c:pt idx="2">
                  <c:v>2.6885964912280702</c:v>
                </c:pt>
              </c:numCache>
            </c:numRef>
          </c:val>
        </c:ser>
        <c:dLbls>
          <c:showVal val="1"/>
        </c:dLbls>
        <c:axId val="105871232"/>
        <c:axId val="105872768"/>
      </c:barChart>
      <c:catAx>
        <c:axId val="105871232"/>
        <c:scaling>
          <c:orientation val="minMax"/>
        </c:scaling>
        <c:axPos val="b"/>
        <c:tickLblPos val="nextTo"/>
        <c:crossAx val="105872768"/>
        <c:crosses val="autoZero"/>
        <c:auto val="1"/>
        <c:lblAlgn val="ctr"/>
        <c:lblOffset val="100"/>
      </c:catAx>
      <c:valAx>
        <c:axId val="105872768"/>
        <c:scaling>
          <c:orientation val="minMax"/>
        </c:scaling>
        <c:axPos val="l"/>
        <c:numFmt formatCode="0.0_ " sourceLinked="1"/>
        <c:tickLblPos val="nextTo"/>
        <c:crossAx val="1058712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03220385693448"/>
          <c:y val="0.29032754159184876"/>
          <c:w val="0.20967796143065517"/>
          <c:h val="0.26837801272959788"/>
        </c:manualLayout>
      </c:layout>
    </c:legend>
    <c:plotVisOnly val="1"/>
    <c:dispBlanksAs val="gap"/>
  </c:chart>
  <c:txPr>
    <a:bodyPr/>
    <a:lstStyle/>
    <a:p>
      <a:pPr>
        <a:defRPr sz="750" baseline="0">
          <a:latin typeface="Times New Roman" pitchFamily="18" charset="0"/>
          <a:ea typeface="宋体" pitchFamily="2" charset="-122"/>
        </a:defRPr>
      </a:pPr>
      <a:endParaRPr lang="zh-CN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>
        <c:manualLayout>
          <c:layoutTarget val="inner"/>
          <c:xMode val="edge"/>
          <c:yMode val="edge"/>
          <c:x val="2.3181820842773072E-2"/>
          <c:y val="5.6756441507670514E-2"/>
          <c:w val="0.74151594447970848"/>
          <c:h val="0.56689809888628784"/>
        </c:manualLayout>
      </c:layout>
      <c:barChart>
        <c:barDir val="col"/>
        <c:grouping val="clustered"/>
        <c:ser>
          <c:idx val="0"/>
          <c:order val="0"/>
          <c:tx>
            <c:strRef>
              <c:f>'骨骼动画时间分布-508'!$X$387</c:f>
              <c:strCache>
                <c:ptCount val="1"/>
                <c:pt idx="0">
                  <c:v>OpenCL
CPU</c:v>
                </c:pt>
              </c:strCache>
            </c:strRef>
          </c:tx>
          <c:dLbls>
            <c:dLbl>
              <c:idx val="0"/>
              <c:layout>
                <c:manualLayout>
                  <c:x val="-8.8202350502365554E-3"/>
                  <c:y val="3.0666169075181878E-2"/>
                </c:manualLayout>
              </c:layout>
              <c:showVal val="1"/>
            </c:dLbl>
            <c:dLbl>
              <c:idx val="1"/>
              <c:layout>
                <c:manualLayout>
                  <c:x val="-8.8202350502365554E-3"/>
                  <c:y val="3.5030686860998271E-2"/>
                </c:manualLayout>
              </c:layout>
              <c:showVal val="1"/>
            </c:dLbl>
            <c:dLbl>
              <c:idx val="2"/>
              <c:layout>
                <c:manualLayout>
                  <c:x val="-2.614692287556781E-3"/>
                  <c:y val="2.6854856825329343E-2"/>
                </c:manualLayout>
              </c:layout>
              <c:showVal val="1"/>
            </c:dLbl>
            <c:txPr>
              <a:bodyPr/>
              <a:lstStyle/>
              <a:p>
                <a:pPr>
                  <a:defRPr>
                    <a:latin typeface="Arial" pitchFamily="34" charset="0"/>
                    <a:cs typeface="Arial" pitchFamily="34" charset="0"/>
                  </a:defRPr>
                </a:pPr>
                <a:endParaRPr lang="zh-CN"/>
              </a:p>
            </c:txPr>
            <c:showVal val="1"/>
          </c:dLbls>
          <c:cat>
            <c:strRef>
              <c:f>('骨骼动画时间分布-508'!$T$388,'骨骼动画时间分布-508'!$T$390,'骨骼动画时间分布-508'!$T$392)</c:f>
              <c:strCache>
                <c:ptCount val="3"/>
                <c:pt idx="0">
                  <c:v>GPU 1:
NVIDIA GPU
GTX 670</c:v>
                </c:pt>
                <c:pt idx="1">
                  <c:v>GPU 2:
NVIDIA GPU
GTS 250</c:v>
                </c:pt>
                <c:pt idx="2">
                  <c:v>GPU 3:
AMD GPU
HD 7750</c:v>
                </c:pt>
              </c:strCache>
            </c:strRef>
          </c:cat>
          <c:val>
            <c:numRef>
              <c:f>('骨骼动画时间分布-508'!$X$389,'骨骼动画时间分布-508'!$X$391,'骨骼动画时间分布-508'!$X$393)</c:f>
              <c:numCache>
                <c:formatCode>0.0_ </c:formatCode>
                <c:ptCount val="3"/>
                <c:pt idx="0">
                  <c:v>6.25</c:v>
                </c:pt>
                <c:pt idx="1">
                  <c:v>4.515723270440251</c:v>
                </c:pt>
                <c:pt idx="2">
                  <c:v>2.6885964912280702</c:v>
                </c:pt>
              </c:numCache>
            </c:numRef>
          </c:val>
        </c:ser>
        <c:ser>
          <c:idx val="1"/>
          <c:order val="1"/>
          <c:tx>
            <c:strRef>
              <c:f>'骨骼动画时间分布-508'!$Y$387</c:f>
              <c:strCache>
                <c:ptCount val="1"/>
                <c:pt idx="0">
                  <c:v>OpenCL
GPU</c:v>
                </c:pt>
              </c:strCache>
            </c:strRef>
          </c:tx>
          <c:dLbls>
            <c:txPr>
              <a:bodyPr/>
              <a:lstStyle/>
              <a:p>
                <a:pPr>
                  <a:defRPr>
                    <a:latin typeface="Arial" pitchFamily="34" charset="0"/>
                    <a:cs typeface="Arial" pitchFamily="34" charset="0"/>
                  </a:defRPr>
                </a:pPr>
                <a:endParaRPr lang="zh-CN"/>
              </a:p>
            </c:txPr>
            <c:dLblPos val="outEnd"/>
            <c:showVal val="1"/>
          </c:dLbls>
          <c:cat>
            <c:strRef>
              <c:f>('骨骼动画时间分布-508'!$T$388,'骨骼动画时间分布-508'!$T$390,'骨骼动画时间分布-508'!$T$392)</c:f>
              <c:strCache>
                <c:ptCount val="3"/>
                <c:pt idx="0">
                  <c:v>GPU 1:
NVIDIA GPU
GTX 670</c:v>
                </c:pt>
                <c:pt idx="1">
                  <c:v>GPU 2:
NVIDIA GPU
GTS 250</c:v>
                </c:pt>
                <c:pt idx="2">
                  <c:v>GPU 3:
AMD GPU
HD 7750</c:v>
                </c:pt>
              </c:strCache>
            </c:strRef>
          </c:cat>
          <c:val>
            <c:numRef>
              <c:f>('骨骼动画时间分布-508'!$Y$389,'骨骼动画时间分布-508'!$Y$391,'骨骼动画时间分布-508'!$Y$393)</c:f>
              <c:numCache>
                <c:formatCode>0.0_ </c:formatCode>
                <c:ptCount val="3"/>
                <c:pt idx="0">
                  <c:v>9.0909090909090899</c:v>
                </c:pt>
                <c:pt idx="1">
                  <c:v>3.4190476190476189</c:v>
                </c:pt>
                <c:pt idx="2">
                  <c:v>7.7594936708860756</c:v>
                </c:pt>
              </c:numCache>
            </c:numRef>
          </c:val>
        </c:ser>
        <c:dLbls>
          <c:showVal val="1"/>
        </c:dLbls>
        <c:axId val="105902464"/>
        <c:axId val="105994112"/>
      </c:barChart>
      <c:catAx>
        <c:axId val="105902464"/>
        <c:scaling>
          <c:orientation val="minMax"/>
        </c:scaling>
        <c:axPos val="b"/>
        <c:tickLblPos val="nextTo"/>
        <c:crossAx val="105994112"/>
        <c:crosses val="autoZero"/>
        <c:auto val="1"/>
        <c:lblAlgn val="ctr"/>
        <c:lblOffset val="100"/>
      </c:catAx>
      <c:valAx>
        <c:axId val="105994112"/>
        <c:scaling>
          <c:orientation val="minMax"/>
        </c:scaling>
        <c:delete val="1"/>
        <c:axPos val="l"/>
        <c:numFmt formatCode="0.0_ " sourceLinked="1"/>
        <c:tickLblPos val="nextTo"/>
        <c:crossAx val="105902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03220385693448"/>
          <c:y val="0.29032754159184893"/>
          <c:w val="0.20967796143065517"/>
          <c:h val="0.49360310113262895"/>
        </c:manualLayout>
      </c:layout>
      <c:txPr>
        <a:bodyPr/>
        <a:lstStyle/>
        <a:p>
          <a:pPr>
            <a:defRPr>
              <a:latin typeface="Arial" pitchFamily="34" charset="0"/>
              <a:cs typeface="Arial" pitchFamily="34" charset="0"/>
            </a:defRPr>
          </a:pPr>
          <a:endParaRPr lang="zh-CN"/>
        </a:p>
      </c:txPr>
    </c:legend>
    <c:plotVisOnly val="1"/>
    <c:dispBlanksAs val="gap"/>
  </c:chart>
  <c:txPr>
    <a:bodyPr/>
    <a:lstStyle/>
    <a:p>
      <a:pPr>
        <a:defRPr sz="700" baseline="0">
          <a:latin typeface="Arial" pitchFamily="34" charset="0"/>
          <a:ea typeface="宋体" pitchFamily="2" charset="-122"/>
          <a:cs typeface="Arial" pitchFamily="34" charset="0"/>
        </a:defRPr>
      </a:pPr>
      <a:endParaRPr lang="zh-CN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  <c:userShapes r:id="rId1"/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'骨骼动画时间分布-503'!$V$24</c:f>
              <c:strCache>
                <c:ptCount val="1"/>
                <c:pt idx="0">
                  <c:v>全局</c:v>
                </c:pt>
              </c:strCache>
            </c:strRef>
          </c:tx>
          <c:dLbls>
            <c:dLbl>
              <c:idx val="0"/>
              <c:delete val="1"/>
            </c:dLbl>
            <c:dLblPos val="b"/>
            <c:showVal val="1"/>
          </c:dLbls>
          <c:cat>
            <c:strRef>
              <c:f>'骨骼动画时间分布-503'!$S$25:$S$26</c:f>
              <c:strCache>
                <c:ptCount val="2"/>
                <c:pt idx="0">
                  <c:v>串行
未优化</c:v>
                </c:pt>
                <c:pt idx="1">
                  <c:v>串行
优化</c:v>
                </c:pt>
              </c:strCache>
            </c:strRef>
          </c:cat>
          <c:val>
            <c:numRef>
              <c:f>'骨骼动画时间分布-503'!$V$25:$V$26</c:f>
              <c:numCache>
                <c:formatCode>0.00</c:formatCode>
                <c:ptCount val="2"/>
                <c:pt idx="0" formatCode="General">
                  <c:v>1</c:v>
                </c:pt>
                <c:pt idx="1">
                  <c:v>1.1529175050301812</c:v>
                </c:pt>
              </c:numCache>
            </c:numRef>
          </c:val>
        </c:ser>
        <c:ser>
          <c:idx val="1"/>
          <c:order val="1"/>
          <c:tx>
            <c:strRef>
              <c:f>'骨骼动画时间分布-503'!$W$24</c:f>
              <c:strCache>
                <c:ptCount val="1"/>
                <c:pt idx="0">
                  <c:v>局部</c:v>
                </c:pt>
              </c:strCache>
            </c:strRef>
          </c:tx>
          <c:dLbls>
            <c:dLbl>
              <c:idx val="0"/>
              <c:layout>
                <c:manualLayout>
                  <c:x val="-0.11991858160587048"/>
                  <c:y val="-3.2135414210948184E-2"/>
                </c:manualLayout>
              </c:layout>
              <c:dLblPos val="r"/>
              <c:showVal val="1"/>
            </c:dLbl>
            <c:dLbl>
              <c:idx val="2"/>
              <c:layout>
                <c:manualLayout>
                  <c:x val="4.9886045027348876E-17"/>
                  <c:y val="6.8965517241379309E-2"/>
                </c:manualLayout>
              </c:layout>
              <c:dLblPos val="t"/>
              <c:showVal val="1"/>
            </c:dLbl>
            <c:dLbl>
              <c:idx val="3"/>
              <c:layout>
                <c:manualLayout>
                  <c:x val="5.4421768707482956E-2"/>
                  <c:y val="8.0459770114942528E-2"/>
                </c:manualLayout>
              </c:layout>
              <c:dLblPos val="t"/>
              <c:showVal val="1"/>
            </c:dLbl>
            <c:dLblPos val="t"/>
            <c:showVal val="1"/>
          </c:dLbls>
          <c:cat>
            <c:strRef>
              <c:f>'骨骼动画时间分布-503'!$S$25:$S$26</c:f>
              <c:strCache>
                <c:ptCount val="2"/>
                <c:pt idx="0">
                  <c:v>串行
未优化</c:v>
                </c:pt>
                <c:pt idx="1">
                  <c:v>串行
优化</c:v>
                </c:pt>
              </c:strCache>
            </c:strRef>
          </c:cat>
          <c:val>
            <c:numRef>
              <c:f>'骨骼动画时间分布-503'!$W$25:$W$26</c:f>
              <c:numCache>
                <c:formatCode>0.00</c:formatCode>
                <c:ptCount val="2"/>
                <c:pt idx="0" formatCode="General">
                  <c:v>1</c:v>
                </c:pt>
                <c:pt idx="1">
                  <c:v>1.193384223918575</c:v>
                </c:pt>
              </c:numCache>
            </c:numRef>
          </c:val>
        </c:ser>
        <c:dLbls>
          <c:showVal val="1"/>
        </c:dLbls>
        <c:marker val="1"/>
        <c:axId val="106041344"/>
        <c:axId val="106405888"/>
      </c:lineChart>
      <c:catAx>
        <c:axId val="106041344"/>
        <c:scaling>
          <c:orientation val="minMax"/>
        </c:scaling>
        <c:axPos val="b"/>
        <c:tickLblPos val="nextTo"/>
        <c:crossAx val="106405888"/>
        <c:crosses val="autoZero"/>
        <c:auto val="1"/>
        <c:lblAlgn val="ctr"/>
        <c:lblOffset val="100"/>
      </c:catAx>
      <c:valAx>
        <c:axId val="106405888"/>
        <c:scaling>
          <c:orientation val="minMax"/>
        </c:scaling>
        <c:delete val="1"/>
        <c:axPos val="l"/>
        <c:numFmt formatCode="General" sourceLinked="1"/>
        <c:tickLblPos val="nextTo"/>
        <c:crossAx val="10604134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1077" l="0.70000000000000062" r="0.70000000000000062" t="0.7500000000000107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2"/>
          <c:order val="0"/>
          <c:tx>
            <c:strRef>
              <c:f>'8350'!$B$31</c:f>
              <c:strCache>
                <c:ptCount val="1"/>
                <c:pt idx="0">
                  <c:v>kernel
speedup</c:v>
                </c:pt>
              </c:strCache>
            </c:strRef>
          </c:tx>
          <c:dLbls>
            <c:dLbl>
              <c:idx val="1"/>
              <c:layout>
                <c:manualLayout>
                  <c:x val="-5.1020997375328093E-2"/>
                  <c:y val="-6.3177541403815762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5.1020997375328093E-2"/>
                  <c:y val="-7.8772083314147534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5.1020997375328093E-2"/>
                  <c:y val="-6.3177541403815748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5.1020997375327982E-2"/>
                  <c:y val="-7.097481235898144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'8350'!$C$28:$G$28</c:f>
              <c:strCache>
                <c:ptCount val="5"/>
                <c:pt idx="0">
                  <c:v>cpu</c:v>
                </c:pt>
                <c:pt idx="1">
                  <c:v>openmp</c:v>
                </c:pt>
                <c:pt idx="2">
                  <c:v>sse</c:v>
                </c:pt>
                <c:pt idx="3">
                  <c:v>openmp
+sse</c:v>
                </c:pt>
                <c:pt idx="4">
                  <c:v>opencl</c:v>
                </c:pt>
              </c:strCache>
            </c:strRef>
          </c:cat>
          <c:val>
            <c:numRef>
              <c:f>'8350'!$C$31:$G$31</c:f>
              <c:numCache>
                <c:formatCode>0.00_ </c:formatCode>
                <c:ptCount val="5"/>
                <c:pt idx="0" formatCode="General">
                  <c:v>1</c:v>
                </c:pt>
                <c:pt idx="1">
                  <c:v>1.7722222222222221</c:v>
                </c:pt>
                <c:pt idx="2">
                  <c:v>1.4700460829493085</c:v>
                </c:pt>
                <c:pt idx="3">
                  <c:v>1.7624309392265192</c:v>
                </c:pt>
                <c:pt idx="4">
                  <c:v>27.5</c:v>
                </c:pt>
              </c:numCache>
            </c:numRef>
          </c:val>
        </c:ser>
        <c:ser>
          <c:idx val="3"/>
          <c:order val="1"/>
          <c:tx>
            <c:strRef>
              <c:f>'8350'!$B$32</c:f>
              <c:strCache>
                <c:ptCount val="1"/>
                <c:pt idx="0">
                  <c:v>frame
speedup</c:v>
                </c:pt>
              </c:strCache>
            </c:strRef>
          </c:tx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5.1020997375328093E-2"/>
                  <c:y val="4.7582999493484414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5.1020997375328093E-2"/>
                  <c:y val="4.7582999493484393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5.1020997375328093E-2"/>
                  <c:y val="4.7582999493484414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5.1020997375327982E-2"/>
                  <c:y val="5.5380270448650112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'8350'!$C$28:$G$28</c:f>
              <c:strCache>
                <c:ptCount val="5"/>
                <c:pt idx="0">
                  <c:v>cpu</c:v>
                </c:pt>
                <c:pt idx="1">
                  <c:v>openmp</c:v>
                </c:pt>
                <c:pt idx="2">
                  <c:v>sse</c:v>
                </c:pt>
                <c:pt idx="3">
                  <c:v>openmp
+sse</c:v>
                </c:pt>
                <c:pt idx="4">
                  <c:v>opencl</c:v>
                </c:pt>
              </c:strCache>
            </c:strRef>
          </c:cat>
          <c:val>
            <c:numRef>
              <c:f>'8350'!$C$32:$G$32</c:f>
              <c:numCache>
                <c:formatCode>0.00_ </c:formatCode>
                <c:ptCount val="5"/>
                <c:pt idx="0" formatCode="General">
                  <c:v>1</c:v>
                </c:pt>
                <c:pt idx="1">
                  <c:v>1.4557377049180327</c:v>
                </c:pt>
                <c:pt idx="2">
                  <c:v>1.2982456140350875</c:v>
                </c:pt>
                <c:pt idx="3">
                  <c:v>1.4509803921568627</c:v>
                </c:pt>
                <c:pt idx="4">
                  <c:v>16.028880866425993</c:v>
                </c:pt>
              </c:numCache>
            </c:numRef>
          </c:val>
        </c:ser>
        <c:dLbls>
          <c:showVal val="1"/>
        </c:dLbls>
        <c:marker val="1"/>
        <c:axId val="83882752"/>
        <c:axId val="83884288"/>
      </c:lineChart>
      <c:catAx>
        <c:axId val="83882752"/>
        <c:scaling>
          <c:orientation val="minMax"/>
        </c:scaling>
        <c:axPos val="b"/>
        <c:numFmt formatCode="General" sourceLinked="0"/>
        <c:majorTickMark val="none"/>
        <c:tickLblPos val="nextTo"/>
        <c:spPr>
          <a:ln w="9525">
            <a:noFill/>
          </a:ln>
        </c:spPr>
        <c:crossAx val="83884288"/>
        <c:crosses val="autoZero"/>
        <c:auto val="1"/>
        <c:lblAlgn val="ctr"/>
        <c:lblOffset val="100"/>
      </c:catAx>
      <c:valAx>
        <c:axId val="83884288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83882752"/>
        <c:crosses val="autoZero"/>
        <c:crossBetween val="between"/>
      </c:valAx>
    </c:plotArea>
    <c:legend>
      <c:legendPos val="b"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 algn="ctr">
              <a:defRPr/>
            </a:pPr>
            <a:r>
              <a:rPr lang="zh-CN" sz="1800" b="1" i="0" baseline="0"/>
              <a:t>基于</a:t>
            </a:r>
            <a:r>
              <a:rPr lang="en-US" sz="1800" b="1" i="0" baseline="0"/>
              <a:t>OpenCL</a:t>
            </a:r>
            <a:r>
              <a:rPr lang="zh-CN" sz="1800" b="1" i="0" baseline="0"/>
              <a:t>的</a:t>
            </a:r>
            <a:r>
              <a:rPr lang="zh-CN" altLang="en-US" sz="1800" b="1" i="0" baseline="0"/>
              <a:t>骨骼动画</a:t>
            </a:r>
            <a:endParaRPr lang="en-US" sz="1800" b="1" i="0" baseline="0"/>
          </a:p>
          <a:p>
            <a:pPr algn="ctr">
              <a:defRPr/>
            </a:pPr>
            <a:r>
              <a:rPr lang="zh-CN" sz="1800" b="1" i="0" baseline="0"/>
              <a:t>加速比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'骨骼动画时间分布-503'!$F$354</c:f>
              <c:strCache>
                <c:ptCount val="1"/>
                <c:pt idx="0">
                  <c:v>OpenCL
CPU</c:v>
                </c:pt>
              </c:strCache>
            </c:strRef>
          </c:tx>
          <c:dLbls>
            <c:dLbl>
              <c:idx val="0"/>
              <c:layout>
                <c:manualLayout>
                  <c:x val="2.5044577202648601E-2"/>
                  <c:y val="0.11348624900148387"/>
                </c:manualLayout>
              </c:layout>
              <c:dLblPos val="t"/>
              <c:showVal val="1"/>
            </c:dLbl>
            <c:dLbl>
              <c:idx val="1"/>
              <c:layout>
                <c:manualLayout>
                  <c:x val="0"/>
                  <c:y val="-1.3888888888888975E-2"/>
                </c:manualLayout>
              </c:layout>
              <c:dLblPos val="t"/>
              <c:showVal val="1"/>
            </c:dLbl>
            <c:dLbl>
              <c:idx val="2"/>
              <c:layout>
                <c:manualLayout>
                  <c:x val="-1.9079464932835202E-2"/>
                  <c:y val="0.12270500969987437"/>
                </c:manualLayout>
              </c:layout>
              <c:dLblPos val="t"/>
              <c:showVal val="1"/>
            </c:dLbl>
            <c:dLblPos val="t"/>
            <c:showVal val="1"/>
          </c:dLbls>
          <c:cat>
            <c:strRef>
              <c:f>('骨骼动画时间分布-503'!$C$355,'骨骼动画时间分布-503'!$C$357,'骨骼动画时间分布-503'!$C$359)</c:f>
              <c:strCache>
                <c:ptCount val="3"/>
                <c:pt idx="0">
                  <c:v>100K</c:v>
                </c:pt>
                <c:pt idx="1">
                  <c:v>500K</c:v>
                </c:pt>
                <c:pt idx="2">
                  <c:v>1000K</c:v>
                </c:pt>
              </c:strCache>
            </c:strRef>
          </c:cat>
          <c:val>
            <c:numRef>
              <c:f>('骨骼动画时间分布-503'!$F$356,'骨骼动画时间分布-503'!$F$358,'骨骼动画时间分布-503'!$F$360)</c:f>
              <c:numCache>
                <c:formatCode>0.0_ </c:formatCode>
                <c:ptCount val="3"/>
                <c:pt idx="0">
                  <c:v>3.8828124999999996</c:v>
                </c:pt>
                <c:pt idx="1">
                  <c:v>5.3488372093023262</c:v>
                </c:pt>
                <c:pt idx="2">
                  <c:v>2.3076923076923075</c:v>
                </c:pt>
              </c:numCache>
            </c:numRef>
          </c:val>
        </c:ser>
        <c:ser>
          <c:idx val="1"/>
          <c:order val="1"/>
          <c:tx>
            <c:strRef>
              <c:f>'骨骼动画时间分布-503'!$G$354</c:f>
              <c:strCache>
                <c:ptCount val="1"/>
                <c:pt idx="0">
                  <c:v>OpenCL
GPU</c:v>
                </c:pt>
              </c:strCache>
            </c:strRef>
          </c:tx>
          <c:dLbls>
            <c:dLbl>
              <c:idx val="0"/>
              <c:layout>
                <c:manualLayout>
                  <c:x val="0"/>
                  <c:y val="-1.8518518518518583E-2"/>
                </c:manualLayout>
              </c:layout>
              <c:dLblPos val="t"/>
              <c:showVal val="1"/>
            </c:dLbl>
            <c:dLbl>
              <c:idx val="2"/>
              <c:layout>
                <c:manualLayout>
                  <c:x val="4.9612632201136195E-2"/>
                  <c:y val="9.7262581307771309E-2"/>
                </c:manualLayout>
              </c:layout>
              <c:dLblPos val="t"/>
              <c:showVal val="1"/>
            </c:dLbl>
            <c:dLblPos val="t"/>
            <c:showVal val="1"/>
          </c:dLbls>
          <c:cat>
            <c:strRef>
              <c:f>('骨骼动画时间分布-503'!$C$355,'骨骼动画时间分布-503'!$C$357,'骨骼动画时间分布-503'!$C$359)</c:f>
              <c:strCache>
                <c:ptCount val="3"/>
                <c:pt idx="0">
                  <c:v>100K</c:v>
                </c:pt>
                <c:pt idx="1">
                  <c:v>500K</c:v>
                </c:pt>
                <c:pt idx="2">
                  <c:v>1000K</c:v>
                </c:pt>
              </c:strCache>
            </c:strRef>
          </c:cat>
          <c:val>
            <c:numRef>
              <c:f>('骨骼动画时间分布-503'!$G$356,'骨骼动画时间分布-503'!$G$358,'骨骼动画时间分布-503'!$G$360)</c:f>
              <c:numCache>
                <c:formatCode>0_ </c:formatCode>
                <c:ptCount val="3"/>
                <c:pt idx="0" formatCode="0.0_ ">
                  <c:v>4.97</c:v>
                </c:pt>
                <c:pt idx="1">
                  <c:v>11.5</c:v>
                </c:pt>
                <c:pt idx="2" formatCode="0.0_ ">
                  <c:v>3.0927835051546393</c:v>
                </c:pt>
              </c:numCache>
            </c:numRef>
          </c:val>
        </c:ser>
        <c:dLbls>
          <c:showVal val="1"/>
        </c:dLbls>
        <c:marker val="1"/>
        <c:axId val="107557632"/>
        <c:axId val="107559168"/>
      </c:lineChart>
      <c:catAx>
        <c:axId val="107557632"/>
        <c:scaling>
          <c:orientation val="minMax"/>
        </c:scaling>
        <c:axPos val="b"/>
        <c:tickLblPos val="nextTo"/>
        <c:crossAx val="107559168"/>
        <c:crosses val="autoZero"/>
        <c:auto val="1"/>
        <c:lblAlgn val="ctr"/>
        <c:lblOffset val="100"/>
      </c:catAx>
      <c:valAx>
        <c:axId val="107559168"/>
        <c:scaling>
          <c:orientation val="minMax"/>
        </c:scaling>
        <c:axPos val="l"/>
        <c:numFmt formatCode="0.0_ " sourceLinked="1"/>
        <c:tickLblPos val="nextTo"/>
        <c:crossAx val="10755763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/>
            </a:pPr>
            <a:r>
              <a:rPr lang="zh-CN" altLang="en-US" sz="1200">
                <a:latin typeface="幼圆" pitchFamily="49" charset="-122"/>
                <a:ea typeface="幼圆" pitchFamily="49" charset="-122"/>
              </a:rPr>
              <a:t>未优化</a:t>
            </a:r>
          </a:p>
        </c:rich>
      </c:tx>
      <c:layout>
        <c:manualLayout>
          <c:xMode val="edge"/>
          <c:yMode val="edge"/>
          <c:x val="0.22175953553157349"/>
          <c:y val="0.85239517934596543"/>
        </c:manualLayout>
      </c:layout>
      <c:overlay val="1"/>
    </c:title>
    <c:plotArea>
      <c:layout/>
      <c:pieChart>
        <c:varyColors val="1"/>
        <c:ser>
          <c:idx val="0"/>
          <c:order val="0"/>
          <c:dLbls>
            <c:dLbl>
              <c:idx val="1"/>
              <c:spPr/>
              <c:txPr>
                <a:bodyPr/>
                <a:lstStyle/>
                <a:p>
                  <a:pPr>
                    <a:defRPr sz="1600" b="1"/>
                  </a:pPr>
                  <a:endParaRPr lang="zh-CN"/>
                </a:p>
              </c:txPr>
            </c:dLbl>
            <c:dLblPos val="bestFit"/>
            <c:showVal val="1"/>
            <c:showLeaderLines val="1"/>
          </c:dLbls>
          <c:cat>
            <c:strRef>
              <c:f>('骨骼动画时间分布-503'!$E$11,'骨骼动画时间分布-503'!$G$11,'骨骼动画时间分布-503'!$I$11,'骨骼动画时间分布-503'!$K$11)</c:f>
              <c:strCache>
                <c:ptCount val="4"/>
                <c:pt idx="0">
                  <c:v>CPU计算骨骼</c:v>
                </c:pt>
                <c:pt idx="1">
                  <c:v>CPU计算顶点</c:v>
                </c:pt>
                <c:pt idx="2">
                  <c:v>GPU渲染面片</c:v>
                </c:pt>
                <c:pt idx="3">
                  <c:v>其它</c:v>
                </c:pt>
              </c:strCache>
            </c:strRef>
          </c:cat>
          <c:val>
            <c:numRef>
              <c:f>('骨骼动画时间分布-503'!$E$8,'骨骼动画时间分布-503'!$G$8,'骨骼动画时间分布-503'!$I$8,'骨骼动画时间分布-503'!$K$8)</c:f>
              <c:numCache>
                <c:formatCode>0%</c:formatCode>
                <c:ptCount val="4"/>
                <c:pt idx="0">
                  <c:v>3.1413612565445025E-2</c:v>
                </c:pt>
                <c:pt idx="1">
                  <c:v>0.81849912739965092</c:v>
                </c:pt>
                <c:pt idx="2">
                  <c:v>0.13089005235602094</c:v>
                </c:pt>
                <c:pt idx="3">
                  <c:v>1.9197207678883128E-2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egendEntry>
        <c:idx val="1"/>
        <c:txPr>
          <a:bodyPr/>
          <a:lstStyle/>
          <a:p>
            <a:pPr rtl="0">
              <a:defRPr b="1">
                <a:solidFill>
                  <a:srgbClr val="C00000"/>
                </a:solidFill>
              </a:defRPr>
            </a:pPr>
            <a:endParaRPr lang="zh-CN"/>
          </a:p>
        </c:txPr>
      </c:legendEntry>
      <c:layout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zero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 sz="1200">
                <a:latin typeface="幼圆" pitchFamily="49" charset="-122"/>
                <a:ea typeface="幼圆" pitchFamily="49" charset="-122"/>
              </a:rPr>
              <a:t>串行优化</a:t>
            </a:r>
          </a:p>
        </c:rich>
      </c:tx>
      <c:layout>
        <c:manualLayout>
          <c:xMode val="edge"/>
          <c:yMode val="edge"/>
          <c:x val="0.19461084500744791"/>
          <c:y val="0.85239517934596543"/>
        </c:manualLayout>
      </c:layout>
      <c:overlay val="1"/>
    </c:title>
    <c:plotArea>
      <c:layout/>
      <c:pieChart>
        <c:varyColors val="1"/>
        <c:ser>
          <c:idx val="0"/>
          <c:order val="0"/>
          <c:dLbls>
            <c:dLbl>
              <c:idx val="1"/>
              <c:spPr/>
              <c:txPr>
                <a:bodyPr/>
                <a:lstStyle/>
                <a:p>
                  <a:pPr>
                    <a:defRPr sz="1600" b="1"/>
                  </a:pPr>
                  <a:endParaRPr lang="zh-CN"/>
                </a:p>
              </c:txPr>
            </c:dLbl>
            <c:dLblPos val="bestFit"/>
            <c:showVal val="1"/>
            <c:showLeaderLines val="1"/>
          </c:dLbls>
          <c:cat>
            <c:strRef>
              <c:f>('骨骼动画时间分布-503'!$E$11,'骨骼动画时间分布-503'!$G$11,'骨骼动画时间分布-503'!$I$11,'骨骼动画时间分布-503'!$K$11)</c:f>
              <c:strCache>
                <c:ptCount val="4"/>
                <c:pt idx="0">
                  <c:v>CPU计算骨骼</c:v>
                </c:pt>
                <c:pt idx="1">
                  <c:v>CPU计算顶点</c:v>
                </c:pt>
                <c:pt idx="2">
                  <c:v>GPU渲染面片</c:v>
                </c:pt>
                <c:pt idx="3">
                  <c:v>其它</c:v>
                </c:pt>
              </c:strCache>
            </c:strRef>
          </c:cat>
          <c:val>
            <c:numRef>
              <c:f>('骨骼动画时间分布-503'!$E$20,'骨骼动画时间分布-503'!$G$20,'骨骼动画时间分布-503'!$I$20,'骨骼动画时间分布-503'!$K$20)</c:f>
              <c:numCache>
                <c:formatCode>0%</c:formatCode>
                <c:ptCount val="4"/>
                <c:pt idx="0">
                  <c:v>3.6217303822937627E-2</c:v>
                </c:pt>
                <c:pt idx="1">
                  <c:v>0.7907444668008049</c:v>
                </c:pt>
                <c:pt idx="2">
                  <c:v>0.15090543259557346</c:v>
                </c:pt>
                <c:pt idx="3">
                  <c:v>2.213279678068408E-2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egendEntry>
        <c:idx val="1"/>
        <c:txPr>
          <a:bodyPr/>
          <a:lstStyle/>
          <a:p>
            <a:pPr rtl="0">
              <a:defRPr b="1">
                <a:solidFill>
                  <a:srgbClr val="C00000"/>
                </a:solidFill>
              </a:defRPr>
            </a:pPr>
            <a:endParaRPr lang="zh-CN"/>
          </a:p>
        </c:txPr>
      </c:legendEntry>
      <c:layout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zero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0"/>
          <c:order val="0"/>
          <c:tx>
            <c:strRef>
              <c:f>'骨骼动画时间分布-503'!$S$25</c:f>
              <c:strCache>
                <c:ptCount val="1"/>
                <c:pt idx="0">
                  <c:v>串行
未优化</c:v>
                </c:pt>
              </c:strCache>
            </c:strRef>
          </c:tx>
          <c:dLbls>
            <c:dLblPos val="outEnd"/>
            <c:showVal val="1"/>
          </c:dLbls>
          <c:cat>
            <c:strRef>
              <c:f>'骨骼动画时间分布-503'!$T$24:$U$24</c:f>
              <c:strCache>
                <c:ptCount val="2"/>
                <c:pt idx="0">
                  <c:v>全局
动画渲染</c:v>
                </c:pt>
                <c:pt idx="1">
                  <c:v>局部
计算顶点</c:v>
                </c:pt>
              </c:strCache>
            </c:strRef>
          </c:cat>
          <c:val>
            <c:numRef>
              <c:f>'骨骼动画时间分布-503'!$T$25:$U$25</c:f>
              <c:numCache>
                <c:formatCode>0.0_ </c:formatCode>
                <c:ptCount val="2"/>
                <c:pt idx="0">
                  <c:v>5.73</c:v>
                </c:pt>
                <c:pt idx="1">
                  <c:v>4.6900000000000004</c:v>
                </c:pt>
              </c:numCache>
            </c:numRef>
          </c:val>
        </c:ser>
        <c:ser>
          <c:idx val="1"/>
          <c:order val="1"/>
          <c:tx>
            <c:strRef>
              <c:f>'骨骼动画时间分布-503'!$S$26</c:f>
              <c:strCache>
                <c:ptCount val="1"/>
                <c:pt idx="0">
                  <c:v>串行
优化</c:v>
                </c:pt>
              </c:strCache>
            </c:strRef>
          </c:tx>
          <c:dLbls>
            <c:dLblPos val="outEnd"/>
            <c:showVal val="1"/>
          </c:dLbls>
          <c:cat>
            <c:strRef>
              <c:f>'骨骼动画时间分布-503'!$T$24:$U$24</c:f>
              <c:strCache>
                <c:ptCount val="2"/>
                <c:pt idx="0">
                  <c:v>全局
动画渲染</c:v>
                </c:pt>
                <c:pt idx="1">
                  <c:v>局部
计算顶点</c:v>
                </c:pt>
              </c:strCache>
            </c:strRef>
          </c:cat>
          <c:val>
            <c:numRef>
              <c:f>'骨骼动画时间分布-503'!$T$26:$U$26</c:f>
              <c:numCache>
                <c:formatCode>0.0_ </c:formatCode>
                <c:ptCount val="2"/>
                <c:pt idx="0">
                  <c:v>4.97</c:v>
                </c:pt>
                <c:pt idx="1">
                  <c:v>3.93</c:v>
                </c:pt>
              </c:numCache>
            </c:numRef>
          </c:val>
        </c:ser>
        <c:dLbls>
          <c:showVal val="1"/>
        </c:dLbls>
        <c:axId val="107673472"/>
        <c:axId val="107675008"/>
      </c:barChart>
      <c:catAx>
        <c:axId val="107673472"/>
        <c:scaling>
          <c:orientation val="minMax"/>
        </c:scaling>
        <c:axPos val="b"/>
        <c:tickLblPos val="nextTo"/>
        <c:crossAx val="107675008"/>
        <c:crosses val="autoZero"/>
        <c:auto val="1"/>
        <c:lblAlgn val="ctr"/>
        <c:lblOffset val="100"/>
      </c:catAx>
      <c:valAx>
        <c:axId val="107675008"/>
        <c:scaling>
          <c:orientation val="minMax"/>
        </c:scaling>
        <c:delete val="1"/>
        <c:axPos val="l"/>
        <c:numFmt formatCode="0.0_ " sourceLinked="1"/>
        <c:tickLblPos val="nextTo"/>
        <c:crossAx val="10767347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1"/>
          <c:order val="0"/>
          <c:tx>
            <c:strRef>
              <c:f>'骨骼动画时间分布-503'!$S$31</c:f>
              <c:strCache>
                <c:ptCount val="1"/>
                <c:pt idx="0">
                  <c:v>串行
优化</c:v>
                </c:pt>
              </c:strCache>
            </c:strRef>
          </c:tx>
          <c:dLbls>
            <c:dLblPos val="outEnd"/>
            <c:showVal val="1"/>
          </c:dLbls>
          <c:cat>
            <c:strRef>
              <c:f>'骨骼动画时间分布-503'!$T$30:$U$30</c:f>
              <c:strCache>
                <c:ptCount val="2"/>
                <c:pt idx="0">
                  <c:v>全局
动画渲染</c:v>
                </c:pt>
                <c:pt idx="1">
                  <c:v>局部
计算顶点</c:v>
                </c:pt>
              </c:strCache>
            </c:strRef>
          </c:cat>
          <c:val>
            <c:numRef>
              <c:f>'骨骼动画时间分布-503'!$T$31:$U$31</c:f>
              <c:numCache>
                <c:formatCode>0.0_ </c:formatCode>
                <c:ptCount val="2"/>
                <c:pt idx="0">
                  <c:v>4.97</c:v>
                </c:pt>
                <c:pt idx="1">
                  <c:v>3.93</c:v>
                </c:pt>
              </c:numCache>
            </c:numRef>
          </c:val>
        </c:ser>
        <c:ser>
          <c:idx val="2"/>
          <c:order val="1"/>
          <c:tx>
            <c:strRef>
              <c:f>'骨骼动画时间分布-503'!$S$32</c:f>
              <c:strCache>
                <c:ptCount val="1"/>
                <c:pt idx="0">
                  <c:v>并行
OMP多线程</c:v>
                </c:pt>
              </c:strCache>
            </c:strRef>
          </c:tx>
          <c:dLbls>
            <c:dLblPos val="outEnd"/>
            <c:showVal val="1"/>
          </c:dLbls>
          <c:val>
            <c:numRef>
              <c:f>'骨骼动画时间分布-503'!$T$32:$U$32</c:f>
              <c:numCache>
                <c:formatCode>0.0</c:formatCode>
                <c:ptCount val="2"/>
                <c:pt idx="0">
                  <c:v>2.1</c:v>
                </c:pt>
                <c:pt idx="1">
                  <c:v>0.98</c:v>
                </c:pt>
              </c:numCache>
            </c:numRef>
          </c:val>
        </c:ser>
        <c:dLbls>
          <c:showVal val="1"/>
        </c:dLbls>
        <c:axId val="107708800"/>
        <c:axId val="107710336"/>
      </c:barChart>
      <c:catAx>
        <c:axId val="107708800"/>
        <c:scaling>
          <c:orientation val="minMax"/>
        </c:scaling>
        <c:axPos val="b"/>
        <c:tickLblPos val="nextTo"/>
        <c:crossAx val="107710336"/>
        <c:crosses val="autoZero"/>
        <c:auto val="1"/>
        <c:lblAlgn val="ctr"/>
        <c:lblOffset val="100"/>
      </c:catAx>
      <c:valAx>
        <c:axId val="107710336"/>
        <c:scaling>
          <c:orientation val="minMax"/>
        </c:scaling>
        <c:delete val="1"/>
        <c:axPos val="l"/>
        <c:numFmt formatCode="0.0_ " sourceLinked="1"/>
        <c:tickLblPos val="nextTo"/>
        <c:crossAx val="10770880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'骨骼动画时间分布-503'!$V$30</c:f>
              <c:strCache>
                <c:ptCount val="1"/>
                <c:pt idx="0">
                  <c:v>全局</c:v>
                </c:pt>
              </c:strCache>
            </c:strRef>
          </c:tx>
          <c:dLbls>
            <c:dLbl>
              <c:idx val="0"/>
              <c:delete val="1"/>
            </c:dLbl>
            <c:dLbl>
              <c:idx val="1"/>
              <c:layout>
                <c:manualLayout>
                  <c:x val="-9.974711300892751E-2"/>
                  <c:y val="5.8136920238148045E-2"/>
                </c:manualLayout>
              </c:layout>
              <c:dLblPos val="r"/>
              <c:showVal val="1"/>
            </c:dLbl>
            <c:dLblPos val="b"/>
            <c:showVal val="1"/>
          </c:dLbls>
          <c:cat>
            <c:strRef>
              <c:f>'骨骼动画时间分布-503'!$S$31:$S$32</c:f>
              <c:strCache>
                <c:ptCount val="2"/>
                <c:pt idx="0">
                  <c:v>串行
优化</c:v>
                </c:pt>
                <c:pt idx="1">
                  <c:v>并行
OMP多线程</c:v>
                </c:pt>
              </c:strCache>
            </c:strRef>
          </c:cat>
          <c:val>
            <c:numRef>
              <c:f>'骨骼动画时间分布-503'!$V$31:$V$32</c:f>
              <c:numCache>
                <c:formatCode>0.0</c:formatCode>
                <c:ptCount val="2"/>
                <c:pt idx="0" formatCode="0">
                  <c:v>1</c:v>
                </c:pt>
                <c:pt idx="1">
                  <c:v>2.3666666666666663</c:v>
                </c:pt>
              </c:numCache>
            </c:numRef>
          </c:val>
        </c:ser>
        <c:ser>
          <c:idx val="1"/>
          <c:order val="1"/>
          <c:tx>
            <c:strRef>
              <c:f>'骨骼动画时间分布-503'!$W$30</c:f>
              <c:strCache>
                <c:ptCount val="1"/>
                <c:pt idx="0">
                  <c:v>局部</c:v>
                </c:pt>
              </c:strCache>
            </c:strRef>
          </c:tx>
          <c:dLbls>
            <c:dLbl>
              <c:idx val="0"/>
              <c:layout>
                <c:manualLayout>
                  <c:x val="-0.10905740799813909"/>
                  <c:y val="4.6791710475691153E-2"/>
                </c:manualLayout>
              </c:layout>
              <c:dLblPos val="r"/>
              <c:showVal val="1"/>
            </c:dLbl>
            <c:dLbl>
              <c:idx val="1"/>
              <c:layout>
                <c:manualLayout>
                  <c:x val="-9.6841521016474003E-2"/>
                  <c:y val="-5.8136920238147982E-2"/>
                </c:manualLayout>
              </c:layout>
              <c:dLblPos val="r"/>
              <c:showVal val="1"/>
            </c:dLbl>
            <c:dLbl>
              <c:idx val="2"/>
              <c:layout>
                <c:manualLayout>
                  <c:x val="-8.5980294142548819E-2"/>
                  <c:y val="-6.0923404781826833E-2"/>
                </c:manualLayout>
              </c:layout>
              <c:dLblPos val="r"/>
              <c:showVal val="1"/>
            </c:dLbl>
            <c:dLbl>
              <c:idx val="3"/>
              <c:layout>
                <c:manualLayout>
                  <c:x val="5.4421768707482956E-2"/>
                  <c:y val="8.0459770114942528E-2"/>
                </c:manualLayout>
              </c:layout>
              <c:dLblPos val="t"/>
              <c:showVal val="1"/>
            </c:dLbl>
            <c:dLblPos val="t"/>
            <c:showVal val="1"/>
          </c:dLbls>
          <c:cat>
            <c:strRef>
              <c:f>'骨骼动画时间分布-503'!$S$31:$S$32</c:f>
              <c:strCache>
                <c:ptCount val="2"/>
                <c:pt idx="0">
                  <c:v>串行
优化</c:v>
                </c:pt>
                <c:pt idx="1">
                  <c:v>并行
OMP多线程</c:v>
                </c:pt>
              </c:strCache>
            </c:strRef>
          </c:cat>
          <c:val>
            <c:numRef>
              <c:f>'骨骼动画时间分布-503'!$W$31:$W$32</c:f>
              <c:numCache>
                <c:formatCode>0.0</c:formatCode>
                <c:ptCount val="2"/>
                <c:pt idx="0" formatCode="0">
                  <c:v>1</c:v>
                </c:pt>
                <c:pt idx="1">
                  <c:v>4.0102040816326534</c:v>
                </c:pt>
              </c:numCache>
            </c:numRef>
          </c:val>
        </c:ser>
        <c:dLbls>
          <c:showVal val="1"/>
        </c:dLbls>
        <c:marker val="1"/>
        <c:axId val="107739776"/>
        <c:axId val="107749760"/>
      </c:lineChart>
      <c:catAx>
        <c:axId val="107739776"/>
        <c:scaling>
          <c:orientation val="minMax"/>
        </c:scaling>
        <c:axPos val="b"/>
        <c:tickLblPos val="nextTo"/>
        <c:crossAx val="107749760"/>
        <c:crosses val="autoZero"/>
        <c:auto val="1"/>
        <c:lblAlgn val="ctr"/>
        <c:lblOffset val="100"/>
      </c:catAx>
      <c:valAx>
        <c:axId val="107749760"/>
        <c:scaling>
          <c:orientation val="minMax"/>
        </c:scaling>
        <c:delete val="1"/>
        <c:axPos val="l"/>
        <c:numFmt formatCode="0" sourceLinked="1"/>
        <c:tickLblPos val="nextTo"/>
        <c:crossAx val="10773977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1077" l="0.70000000000000062" r="0.70000000000000062" t="0.75000000000001077" header="0.30000000000000032" footer="0.30000000000000032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 sz="1200">
                <a:latin typeface="幼圆" pitchFamily="49" charset="-122"/>
                <a:ea typeface="幼圆" pitchFamily="49" charset="-122"/>
              </a:rPr>
              <a:t>线程并行</a:t>
            </a:r>
          </a:p>
        </c:rich>
      </c:tx>
      <c:layout>
        <c:manualLayout>
          <c:xMode val="edge"/>
          <c:yMode val="edge"/>
          <c:x val="0.19461084500744791"/>
          <c:y val="0.85239517934596543"/>
        </c:manualLayout>
      </c:layout>
      <c:overlay val="1"/>
    </c:title>
    <c:plotArea>
      <c:layout/>
      <c:pieChart>
        <c:varyColors val="1"/>
        <c:ser>
          <c:idx val="0"/>
          <c:order val="0"/>
          <c:dLbls>
            <c:dLbl>
              <c:idx val="1"/>
              <c:spPr/>
              <c:txPr>
                <a:bodyPr/>
                <a:lstStyle/>
                <a:p>
                  <a:pPr>
                    <a:defRPr sz="1600" b="1"/>
                  </a:pPr>
                  <a:endParaRPr lang="zh-CN"/>
                </a:p>
              </c:txPr>
            </c:dLbl>
            <c:dLblPos val="bestFit"/>
            <c:showVal val="1"/>
            <c:showLeaderLines val="1"/>
          </c:dLbls>
          <c:cat>
            <c:strRef>
              <c:f>('骨骼动画时间分布-503'!$E$11,'骨骼动画时间分布-503'!$G$11,'骨骼动画时间分布-503'!$I$11,'骨骼动画时间分布-503'!$K$11)</c:f>
              <c:strCache>
                <c:ptCount val="4"/>
                <c:pt idx="0">
                  <c:v>CPU计算骨骼</c:v>
                </c:pt>
                <c:pt idx="1">
                  <c:v>CPU计算顶点</c:v>
                </c:pt>
                <c:pt idx="2">
                  <c:v>GPU渲染面片</c:v>
                </c:pt>
                <c:pt idx="3">
                  <c:v>其它</c:v>
                </c:pt>
              </c:strCache>
            </c:strRef>
          </c:cat>
          <c:val>
            <c:numRef>
              <c:f>('骨骼动画时间分布-503'!$E$39,'骨骼动画时间分布-503'!$G$39,'骨骼动画时间分布-503'!$I$39,'骨骼动画时间分布-503'!$K$39)</c:f>
              <c:numCache>
                <c:formatCode>0%</c:formatCode>
                <c:ptCount val="4"/>
                <c:pt idx="0">
                  <c:v>5.4878048780487805E-2</c:v>
                </c:pt>
                <c:pt idx="1">
                  <c:v>0.29878048780487804</c:v>
                </c:pt>
                <c:pt idx="2">
                  <c:v>0.22865853658536586</c:v>
                </c:pt>
                <c:pt idx="3">
                  <c:v>0.41768292682926822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egendEntry>
        <c:idx val="1"/>
        <c:txPr>
          <a:bodyPr/>
          <a:lstStyle/>
          <a:p>
            <a:pPr rtl="0">
              <a:defRPr b="1">
                <a:solidFill>
                  <a:srgbClr val="C00000"/>
                </a:solidFill>
              </a:defRPr>
            </a:pPr>
            <a:endParaRPr lang="zh-CN"/>
          </a:p>
        </c:txPr>
      </c:legendEntry>
      <c:layout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zero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 sz="1200">
                <a:latin typeface="幼圆" pitchFamily="49" charset="-122"/>
                <a:ea typeface="幼圆" pitchFamily="49" charset="-122"/>
              </a:rPr>
              <a:t>指令并行</a:t>
            </a:r>
          </a:p>
        </c:rich>
      </c:tx>
      <c:layout>
        <c:manualLayout>
          <c:xMode val="edge"/>
          <c:yMode val="edge"/>
          <c:x val="0.19461084500744791"/>
          <c:y val="0.85239517934596543"/>
        </c:manualLayout>
      </c:layout>
      <c:overlay val="1"/>
    </c:title>
    <c:plotArea>
      <c:layout/>
      <c:pieChart>
        <c:varyColors val="1"/>
        <c:ser>
          <c:idx val="0"/>
          <c:order val="0"/>
          <c:dLbls>
            <c:dLbl>
              <c:idx val="1"/>
              <c:spPr/>
              <c:txPr>
                <a:bodyPr/>
                <a:lstStyle/>
                <a:p>
                  <a:pPr>
                    <a:defRPr sz="1600" b="1"/>
                  </a:pPr>
                  <a:endParaRPr lang="zh-CN"/>
                </a:p>
              </c:txPr>
            </c:dLbl>
            <c:dLblPos val="bestFit"/>
            <c:showVal val="1"/>
            <c:showLeaderLines val="1"/>
          </c:dLbls>
          <c:cat>
            <c:strRef>
              <c:f>('骨骼动画时间分布-503'!$E$11,'骨骼动画时间分布-503'!$G$11,'骨骼动画时间分布-503'!$I$11,'骨骼动画时间分布-503'!$K$11)</c:f>
              <c:strCache>
                <c:ptCount val="4"/>
                <c:pt idx="0">
                  <c:v>CPU计算骨骼</c:v>
                </c:pt>
                <c:pt idx="1">
                  <c:v>CPU计算顶点</c:v>
                </c:pt>
                <c:pt idx="2">
                  <c:v>GPU渲染面片</c:v>
                </c:pt>
                <c:pt idx="3">
                  <c:v>其它</c:v>
                </c:pt>
              </c:strCache>
            </c:strRef>
          </c:cat>
          <c:val>
            <c:numRef>
              <c:f>('骨骼动画时间分布-503'!$E$51,'骨骼动画时间分布-503'!$G$51,'骨骼动画时间分布-503'!$I$51,'骨骼动画时间分布-503'!$K$51)</c:f>
              <c:numCache>
                <c:formatCode>0%</c:formatCode>
                <c:ptCount val="4"/>
                <c:pt idx="0">
                  <c:v>9.2307692307692313E-2</c:v>
                </c:pt>
                <c:pt idx="1">
                  <c:v>0.49230769230769228</c:v>
                </c:pt>
                <c:pt idx="2">
                  <c:v>0.38461538461538464</c:v>
                </c:pt>
                <c:pt idx="3">
                  <c:v>3.0769230769230799E-2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egendEntry>
        <c:idx val="1"/>
        <c:txPr>
          <a:bodyPr/>
          <a:lstStyle/>
          <a:p>
            <a:pPr rtl="0">
              <a:defRPr b="1">
                <a:solidFill>
                  <a:srgbClr val="C00000"/>
                </a:solidFill>
              </a:defRPr>
            </a:pPr>
            <a:endParaRPr lang="zh-CN"/>
          </a:p>
        </c:txPr>
      </c:legendEntry>
      <c:layout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zero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1"/>
          <c:order val="0"/>
          <c:tx>
            <c:strRef>
              <c:f>'骨骼动画时间分布-503'!$S$31</c:f>
              <c:strCache>
                <c:ptCount val="1"/>
                <c:pt idx="0">
                  <c:v>串行
优化</c:v>
                </c:pt>
              </c:strCache>
            </c:strRef>
          </c:tx>
          <c:dLbls>
            <c:dLblPos val="outEnd"/>
            <c:showVal val="1"/>
          </c:dLbls>
          <c:cat>
            <c:strRef>
              <c:f>'骨骼动画时间分布-503'!$T$30:$U$30</c:f>
              <c:strCache>
                <c:ptCount val="2"/>
                <c:pt idx="0">
                  <c:v>全局
动画渲染</c:v>
                </c:pt>
                <c:pt idx="1">
                  <c:v>局部
计算顶点</c:v>
                </c:pt>
              </c:strCache>
            </c:strRef>
          </c:cat>
          <c:val>
            <c:numRef>
              <c:f>'骨骼动画时间分布-503'!$T$31:$U$31</c:f>
              <c:numCache>
                <c:formatCode>0.0_ </c:formatCode>
                <c:ptCount val="2"/>
                <c:pt idx="0">
                  <c:v>4.97</c:v>
                </c:pt>
                <c:pt idx="1">
                  <c:v>3.93</c:v>
                </c:pt>
              </c:numCache>
            </c:numRef>
          </c:val>
        </c:ser>
        <c:ser>
          <c:idx val="2"/>
          <c:order val="1"/>
          <c:tx>
            <c:strRef>
              <c:f>'骨骼动画时间分布-503'!$S$32</c:f>
              <c:strCache>
                <c:ptCount val="1"/>
                <c:pt idx="0">
                  <c:v>并行
OMP多线程</c:v>
                </c:pt>
              </c:strCache>
            </c:strRef>
          </c:tx>
          <c:dLbls>
            <c:dLblPos val="outEnd"/>
            <c:showVal val="1"/>
          </c:dLbls>
          <c:cat>
            <c:strRef>
              <c:f>'骨骼动画时间分布-503'!$T$30:$U$30</c:f>
              <c:strCache>
                <c:ptCount val="2"/>
                <c:pt idx="0">
                  <c:v>全局
动画渲染</c:v>
                </c:pt>
                <c:pt idx="1">
                  <c:v>局部
计算顶点</c:v>
                </c:pt>
              </c:strCache>
            </c:strRef>
          </c:cat>
          <c:val>
            <c:numRef>
              <c:f>'骨骼动画时间分布-503'!$T$32:$U$32</c:f>
              <c:numCache>
                <c:formatCode>0.0</c:formatCode>
                <c:ptCount val="2"/>
                <c:pt idx="0">
                  <c:v>2.1</c:v>
                </c:pt>
                <c:pt idx="1">
                  <c:v>0.98</c:v>
                </c:pt>
              </c:numCache>
            </c:numRef>
          </c:val>
        </c:ser>
        <c:ser>
          <c:idx val="3"/>
          <c:order val="2"/>
          <c:tx>
            <c:strRef>
              <c:f>'骨骼动画时间分布-503'!$S$33</c:f>
              <c:strCache>
                <c:ptCount val="1"/>
                <c:pt idx="0">
                  <c:v>并行
SSE多指令</c:v>
                </c:pt>
              </c:strCache>
            </c:strRef>
          </c:tx>
          <c:dLbls>
            <c:dLblPos val="outEnd"/>
            <c:showVal val="1"/>
          </c:dLbls>
          <c:cat>
            <c:strRef>
              <c:f>'骨骼动画时间分布-503'!$T$30:$U$30</c:f>
              <c:strCache>
                <c:ptCount val="2"/>
                <c:pt idx="0">
                  <c:v>全局
动画渲染</c:v>
                </c:pt>
                <c:pt idx="1">
                  <c:v>局部
计算顶点</c:v>
                </c:pt>
              </c:strCache>
            </c:strRef>
          </c:cat>
          <c:val>
            <c:numRef>
              <c:f>'骨骼动画时间分布-503'!$T$33:$U$33</c:f>
              <c:numCache>
                <c:formatCode>0.0</c:formatCode>
                <c:ptCount val="2"/>
                <c:pt idx="0">
                  <c:v>1.95</c:v>
                </c:pt>
                <c:pt idx="1">
                  <c:v>0.96</c:v>
                </c:pt>
              </c:numCache>
            </c:numRef>
          </c:val>
        </c:ser>
        <c:dLbls>
          <c:showVal val="1"/>
        </c:dLbls>
        <c:axId val="107995904"/>
        <c:axId val="107997440"/>
      </c:barChart>
      <c:catAx>
        <c:axId val="107995904"/>
        <c:scaling>
          <c:orientation val="minMax"/>
        </c:scaling>
        <c:axPos val="b"/>
        <c:tickLblPos val="nextTo"/>
        <c:crossAx val="107997440"/>
        <c:crosses val="autoZero"/>
        <c:auto val="1"/>
        <c:lblAlgn val="ctr"/>
        <c:lblOffset val="100"/>
      </c:catAx>
      <c:valAx>
        <c:axId val="107997440"/>
        <c:scaling>
          <c:orientation val="minMax"/>
        </c:scaling>
        <c:delete val="1"/>
        <c:axPos val="l"/>
        <c:numFmt formatCode="0.0_ " sourceLinked="1"/>
        <c:tickLblPos val="nextTo"/>
        <c:crossAx val="10799590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'骨骼动画时间分布-503'!$V$30</c:f>
              <c:strCache>
                <c:ptCount val="1"/>
                <c:pt idx="0">
                  <c:v>全局</c:v>
                </c:pt>
              </c:strCache>
            </c:strRef>
          </c:tx>
          <c:dLbls>
            <c:dLbl>
              <c:idx val="0"/>
              <c:delete val="1"/>
            </c:dLbl>
            <c:dLbl>
              <c:idx val="1"/>
              <c:layout>
                <c:manualLayout>
                  <c:x val="-7.6743914977566913E-2"/>
                  <c:y val="6.4917226352793567E-2"/>
                </c:manualLayout>
              </c:layout>
              <c:dLblPos val="r"/>
              <c:showVal val="1"/>
            </c:dLbl>
            <c:dLbl>
              <c:idx val="2"/>
              <c:layout>
                <c:manualLayout>
                  <c:x val="-7.6743914977566871E-2"/>
                  <c:y val="5.0653653496260026E-2"/>
                </c:manualLayout>
              </c:layout>
              <c:dLblPos val="r"/>
              <c:showVal val="1"/>
            </c:dLbl>
            <c:dLblPos val="b"/>
            <c:showVal val="1"/>
          </c:dLbls>
          <c:cat>
            <c:strRef>
              <c:f>'骨骼动画时间分布-503'!$S$31:$S$33</c:f>
              <c:strCache>
                <c:ptCount val="3"/>
                <c:pt idx="0">
                  <c:v>串行
优化</c:v>
                </c:pt>
                <c:pt idx="1">
                  <c:v>并行
OMP多线程</c:v>
                </c:pt>
                <c:pt idx="2">
                  <c:v>并行
SSE多指令</c:v>
                </c:pt>
              </c:strCache>
            </c:strRef>
          </c:cat>
          <c:val>
            <c:numRef>
              <c:f>'骨骼动画时间分布-503'!$V$31:$V$33</c:f>
              <c:numCache>
                <c:formatCode>0.0</c:formatCode>
                <c:ptCount val="3"/>
                <c:pt idx="0" formatCode="0">
                  <c:v>1</c:v>
                </c:pt>
                <c:pt idx="1">
                  <c:v>2.3666666666666663</c:v>
                </c:pt>
                <c:pt idx="2">
                  <c:v>2.5487179487179485</c:v>
                </c:pt>
              </c:numCache>
            </c:numRef>
          </c:val>
        </c:ser>
        <c:ser>
          <c:idx val="1"/>
          <c:order val="1"/>
          <c:tx>
            <c:strRef>
              <c:f>'骨骼动画时间分布-503'!$W$30</c:f>
              <c:strCache>
                <c:ptCount val="1"/>
                <c:pt idx="0">
                  <c:v>局部</c:v>
                </c:pt>
              </c:strCache>
            </c:strRef>
          </c:tx>
          <c:dLbls>
            <c:dLbl>
              <c:idx val="0"/>
              <c:layout>
                <c:manualLayout>
                  <c:x val="-0.10905740799813909"/>
                  <c:y val="4.6791710475691153E-2"/>
                </c:manualLayout>
              </c:layout>
              <c:dLblPos val="r"/>
              <c:showVal val="1"/>
            </c:dLbl>
            <c:dLbl>
              <c:idx val="1"/>
              <c:layout>
                <c:manualLayout>
                  <c:x val="-7.5759246920302822E-2"/>
                  <c:y val="-7.1707023967294864E-2"/>
                </c:manualLayout>
              </c:layout>
              <c:dLblPos val="r"/>
              <c:showVal val="1"/>
            </c:dLbl>
            <c:dLbl>
              <c:idx val="2"/>
              <c:layout>
                <c:manualLayout>
                  <c:x val="-8.5980310118247166E-2"/>
                  <c:y val="-8.2318785237763481E-2"/>
                </c:manualLayout>
              </c:layout>
              <c:dLblPos val="r"/>
              <c:showVal val="1"/>
            </c:dLbl>
            <c:dLbl>
              <c:idx val="3"/>
              <c:layout>
                <c:manualLayout>
                  <c:x val="5.4421768707482956E-2"/>
                  <c:y val="8.0459770114942528E-2"/>
                </c:manualLayout>
              </c:layout>
              <c:dLblPos val="t"/>
              <c:showVal val="1"/>
            </c:dLbl>
            <c:dLblPos val="t"/>
            <c:showVal val="1"/>
          </c:dLbls>
          <c:cat>
            <c:strRef>
              <c:f>'骨骼动画时间分布-503'!$S$31:$S$33</c:f>
              <c:strCache>
                <c:ptCount val="3"/>
                <c:pt idx="0">
                  <c:v>串行
优化</c:v>
                </c:pt>
                <c:pt idx="1">
                  <c:v>并行
OMP多线程</c:v>
                </c:pt>
                <c:pt idx="2">
                  <c:v>并行
SSE多指令</c:v>
                </c:pt>
              </c:strCache>
            </c:strRef>
          </c:cat>
          <c:val>
            <c:numRef>
              <c:f>'骨骼动画时间分布-503'!$W$31:$W$33</c:f>
              <c:numCache>
                <c:formatCode>0.0</c:formatCode>
                <c:ptCount val="3"/>
                <c:pt idx="0" formatCode="0">
                  <c:v>1</c:v>
                </c:pt>
                <c:pt idx="1">
                  <c:v>4.0102040816326534</c:v>
                </c:pt>
                <c:pt idx="2">
                  <c:v>4.09375</c:v>
                </c:pt>
              </c:numCache>
            </c:numRef>
          </c:val>
        </c:ser>
        <c:dLbls>
          <c:showVal val="1"/>
        </c:dLbls>
        <c:marker val="1"/>
        <c:axId val="108018688"/>
        <c:axId val="108053248"/>
      </c:lineChart>
      <c:catAx>
        <c:axId val="108018688"/>
        <c:scaling>
          <c:orientation val="minMax"/>
        </c:scaling>
        <c:axPos val="b"/>
        <c:tickLblPos val="nextTo"/>
        <c:crossAx val="108053248"/>
        <c:crosses val="autoZero"/>
        <c:auto val="1"/>
        <c:lblAlgn val="ctr"/>
        <c:lblOffset val="100"/>
      </c:catAx>
      <c:valAx>
        <c:axId val="108053248"/>
        <c:scaling>
          <c:orientation val="minMax"/>
        </c:scaling>
        <c:delete val="1"/>
        <c:axPos val="l"/>
        <c:numFmt formatCode="0" sourceLinked="1"/>
        <c:tickLblPos val="nextTo"/>
        <c:crossAx val="10801868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1077" l="0.70000000000000062" r="0.70000000000000062" t="0.75000000000001077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1"/>
          <c:order val="0"/>
          <c:tx>
            <c:strRef>
              <c:f>'8350'!$B$15</c:f>
              <c:strCache>
                <c:ptCount val="1"/>
                <c:pt idx="0">
                  <c:v>CPP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'8350'!$C$13:$J$13</c:f>
              <c:strCache>
                <c:ptCount val="8"/>
                <c:pt idx="0">
                  <c:v>2K</c:v>
                </c:pt>
                <c:pt idx="1">
                  <c:v>8K</c:v>
                </c:pt>
                <c:pt idx="2">
                  <c:v>32K</c:v>
                </c:pt>
                <c:pt idx="3">
                  <c:v>128K</c:v>
                </c:pt>
                <c:pt idx="4">
                  <c:v>256K</c:v>
                </c:pt>
                <c:pt idx="5">
                  <c:v>512K</c:v>
                </c:pt>
                <c:pt idx="6">
                  <c:v>1M</c:v>
                </c:pt>
                <c:pt idx="7">
                  <c:v>2M</c:v>
                </c:pt>
              </c:strCache>
            </c:strRef>
          </c:cat>
          <c:val>
            <c:numRef>
              <c:f>'8350'!$C$15:$J$15</c:f>
              <c:numCache>
                <c:formatCode>0.00_ </c:formatCode>
                <c:ptCount val="8"/>
                <c:pt idx="0">
                  <c:v>0.31000000000000005</c:v>
                </c:pt>
                <c:pt idx="1">
                  <c:v>0.37</c:v>
                </c:pt>
                <c:pt idx="2">
                  <c:v>0.56999999999999995</c:v>
                </c:pt>
                <c:pt idx="3">
                  <c:v>1.6</c:v>
                </c:pt>
                <c:pt idx="4">
                  <c:v>5.53</c:v>
                </c:pt>
                <c:pt idx="5">
                  <c:v>9.98</c:v>
                </c:pt>
                <c:pt idx="6" formatCode="0.0_ ">
                  <c:v>10.99</c:v>
                </c:pt>
                <c:pt idx="7" formatCode="0.0_ ">
                  <c:v>21.91</c:v>
                </c:pt>
              </c:numCache>
            </c:numRef>
          </c:val>
        </c:ser>
        <c:ser>
          <c:idx val="3"/>
          <c:order val="1"/>
          <c:tx>
            <c:strRef>
              <c:f>'8350'!$B$17</c:f>
              <c:strCache>
                <c:ptCount val="1"/>
                <c:pt idx="0">
                  <c:v>OpenCL</c:v>
                </c:pt>
              </c:strCache>
            </c:strRef>
          </c:tx>
          <c:marker>
            <c:symbol val="none"/>
          </c:marker>
          <c:dLbls>
            <c:dLbl>
              <c:idx val="0"/>
              <c:layout>
                <c:manualLayout>
                  <c:x val="-6.8918594212784109E-2"/>
                  <c:y val="1.8550192436707743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6.8918594212784109E-2"/>
                  <c:y val="1.8550192436707743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6.4950339004605423E-2"/>
                  <c:y val="1.8550192436707743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6.8918594212784109E-2"/>
                  <c:y val="1.8550192436707743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6.8918594212784179E-2"/>
                  <c:y val="1.8550192436707743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6.8918906673824179E-2"/>
                  <c:y val="2.4529265680355052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6.8918417309252064E-2"/>
                  <c:y val="1.7070050709680713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4.908122182034895E-2"/>
                  <c:y val="1.6082868282241421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'8350'!$C$13:$J$13</c:f>
              <c:strCache>
                <c:ptCount val="8"/>
                <c:pt idx="0">
                  <c:v>2K</c:v>
                </c:pt>
                <c:pt idx="1">
                  <c:v>8K</c:v>
                </c:pt>
                <c:pt idx="2">
                  <c:v>32K</c:v>
                </c:pt>
                <c:pt idx="3">
                  <c:v>128K</c:v>
                </c:pt>
                <c:pt idx="4">
                  <c:v>256K</c:v>
                </c:pt>
                <c:pt idx="5">
                  <c:v>512K</c:v>
                </c:pt>
                <c:pt idx="6">
                  <c:v>1M</c:v>
                </c:pt>
                <c:pt idx="7">
                  <c:v>2M</c:v>
                </c:pt>
              </c:strCache>
            </c:strRef>
          </c:cat>
          <c:val>
            <c:numRef>
              <c:f>'8350'!$C$17:$J$17</c:f>
              <c:numCache>
                <c:formatCode>0.00_ </c:formatCode>
                <c:ptCount val="8"/>
                <c:pt idx="0">
                  <c:v>6.0000000000000026E-2</c:v>
                </c:pt>
                <c:pt idx="1">
                  <c:v>5.999999999999997E-2</c:v>
                </c:pt>
                <c:pt idx="2">
                  <c:v>3.999999999999998E-2</c:v>
                </c:pt>
                <c:pt idx="3">
                  <c:v>0.06</c:v>
                </c:pt>
                <c:pt idx="4">
                  <c:v>6.0000000000000053E-2</c:v>
                </c:pt>
                <c:pt idx="5">
                  <c:v>7.999999999999996E-2</c:v>
                </c:pt>
                <c:pt idx="6">
                  <c:v>0.10000000000000009</c:v>
                </c:pt>
                <c:pt idx="7">
                  <c:v>0.10999999999999988</c:v>
                </c:pt>
              </c:numCache>
            </c:numRef>
          </c:val>
        </c:ser>
        <c:dLbls>
          <c:showVal val="1"/>
        </c:dLbls>
        <c:marker val="1"/>
        <c:axId val="83917824"/>
        <c:axId val="83956480"/>
      </c:lineChart>
      <c:catAx>
        <c:axId val="83917824"/>
        <c:scaling>
          <c:orientation val="minMax"/>
        </c:scaling>
        <c:axPos val="b"/>
        <c:numFmt formatCode="General" sourceLinked="0"/>
        <c:majorTickMark val="none"/>
        <c:tickLblPos val="nextTo"/>
        <c:spPr>
          <a:ln w="9525">
            <a:noFill/>
          </a:ln>
        </c:spPr>
        <c:crossAx val="83956480"/>
        <c:crosses val="autoZero"/>
        <c:auto val="1"/>
        <c:lblAlgn val="ctr"/>
        <c:lblOffset val="100"/>
      </c:catAx>
      <c:valAx>
        <c:axId val="83956480"/>
        <c:scaling>
          <c:orientation val="minMax"/>
        </c:scaling>
        <c:delete val="1"/>
        <c:axPos val="l"/>
        <c:numFmt formatCode="0.00_ " sourceLinked="1"/>
        <c:majorTickMark val="none"/>
        <c:tickLblPos val="none"/>
        <c:crossAx val="83917824"/>
        <c:crosses val="autoZero"/>
        <c:crossBetween val="between"/>
      </c:valAx>
    </c:plotArea>
    <c:legend>
      <c:legendPos val="b"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 sz="1200">
                <a:latin typeface="幼圆" pitchFamily="49" charset="-122"/>
                <a:ea typeface="幼圆" pitchFamily="49" charset="-122"/>
              </a:rPr>
              <a:t>线程与指令并行</a:t>
            </a:r>
          </a:p>
        </c:rich>
      </c:tx>
      <c:layout>
        <c:manualLayout>
          <c:xMode val="edge"/>
          <c:yMode val="edge"/>
          <c:x val="0.10965536593274625"/>
          <c:y val="0.85239537174256952"/>
        </c:manualLayout>
      </c:layout>
      <c:overlay val="1"/>
    </c:title>
    <c:plotArea>
      <c:layout>
        <c:manualLayout>
          <c:layoutTarget val="inner"/>
          <c:xMode val="edge"/>
          <c:yMode val="edge"/>
          <c:x val="8.008472293761576E-2"/>
          <c:y val="8.5303652303045957E-2"/>
          <c:w val="0.4335005564519735"/>
          <c:h val="0.75184392057295724"/>
        </c:manualLayout>
      </c:layout>
      <c:pieChart>
        <c:varyColors val="1"/>
        <c:ser>
          <c:idx val="0"/>
          <c:order val="0"/>
          <c:dLbls>
            <c:dLbl>
              <c:idx val="1"/>
              <c:spPr/>
              <c:txPr>
                <a:bodyPr/>
                <a:lstStyle/>
                <a:p>
                  <a:pPr>
                    <a:defRPr sz="1600" b="1"/>
                  </a:pPr>
                  <a:endParaRPr lang="zh-CN"/>
                </a:p>
              </c:txPr>
            </c:dLbl>
            <c:dLblPos val="inEnd"/>
            <c:showVal val="1"/>
            <c:showLeaderLines val="1"/>
          </c:dLbls>
          <c:cat>
            <c:strRef>
              <c:f>('骨骼动画时间分布-503'!$E$11,'骨骼动画时间分布-503'!$G$11,'骨骼动画时间分布-503'!$I$11,'骨骼动画时间分布-503'!$K$11)</c:f>
              <c:strCache>
                <c:ptCount val="4"/>
                <c:pt idx="0">
                  <c:v>CPU计算骨骼</c:v>
                </c:pt>
                <c:pt idx="1">
                  <c:v>CPU计算顶点</c:v>
                </c:pt>
                <c:pt idx="2">
                  <c:v>GPU渲染面片</c:v>
                </c:pt>
                <c:pt idx="3">
                  <c:v>其它</c:v>
                </c:pt>
              </c:strCache>
            </c:strRef>
          </c:cat>
          <c:val>
            <c:numRef>
              <c:f>('骨骼动画时间分布-503'!$E$74,'骨骼动画时间分布-503'!$G$74,'骨骼动画时间分布-503'!$I$74,'骨骼动画时间分布-503'!$K$74)</c:f>
              <c:numCache>
                <c:formatCode>0%</c:formatCode>
                <c:ptCount val="4"/>
                <c:pt idx="0">
                  <c:v>5.921052631578947E-2</c:v>
                </c:pt>
                <c:pt idx="1">
                  <c:v>0.17105263157894737</c:v>
                </c:pt>
                <c:pt idx="2">
                  <c:v>0.24671052631578946</c:v>
                </c:pt>
                <c:pt idx="3">
                  <c:v>0.52302631578947367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egendEntry>
        <c:idx val="1"/>
        <c:txPr>
          <a:bodyPr/>
          <a:lstStyle/>
          <a:p>
            <a:pPr rtl="0">
              <a:defRPr b="1">
                <a:solidFill>
                  <a:srgbClr val="C00000"/>
                </a:solidFill>
              </a:defRPr>
            </a:pPr>
            <a:endParaRPr lang="zh-CN"/>
          </a:p>
        </c:txPr>
      </c:legendEntry>
      <c:layout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zero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1"/>
          <c:order val="0"/>
          <c:tx>
            <c:strRef>
              <c:f>'骨骼动画时间分布-503'!$S$31</c:f>
              <c:strCache>
                <c:ptCount val="1"/>
                <c:pt idx="0">
                  <c:v>串行
优化</c:v>
                </c:pt>
              </c:strCache>
            </c:strRef>
          </c:tx>
          <c:dLbls>
            <c:dLblPos val="outEnd"/>
            <c:showVal val="1"/>
          </c:dLbls>
          <c:cat>
            <c:strRef>
              <c:f>'骨骼动画时间分布-503'!$T$30:$U$30</c:f>
              <c:strCache>
                <c:ptCount val="2"/>
                <c:pt idx="0">
                  <c:v>全局
动画渲染</c:v>
                </c:pt>
                <c:pt idx="1">
                  <c:v>局部
计算顶点</c:v>
                </c:pt>
              </c:strCache>
            </c:strRef>
          </c:cat>
          <c:val>
            <c:numRef>
              <c:f>'骨骼动画时间分布-503'!$T$31:$U$31</c:f>
              <c:numCache>
                <c:formatCode>0.0_ </c:formatCode>
                <c:ptCount val="2"/>
                <c:pt idx="0">
                  <c:v>4.97</c:v>
                </c:pt>
                <c:pt idx="1">
                  <c:v>3.93</c:v>
                </c:pt>
              </c:numCache>
            </c:numRef>
          </c:val>
        </c:ser>
        <c:ser>
          <c:idx val="2"/>
          <c:order val="1"/>
          <c:tx>
            <c:strRef>
              <c:f>'骨骼动画时间分布-503'!$S$32</c:f>
              <c:strCache>
                <c:ptCount val="1"/>
                <c:pt idx="0">
                  <c:v>并行
OMP多线程</c:v>
                </c:pt>
              </c:strCache>
            </c:strRef>
          </c:tx>
          <c:dLbls>
            <c:dLblPos val="outEnd"/>
            <c:showVal val="1"/>
          </c:dLbls>
          <c:cat>
            <c:strRef>
              <c:f>'骨骼动画时间分布-503'!$T$30:$U$30</c:f>
              <c:strCache>
                <c:ptCount val="2"/>
                <c:pt idx="0">
                  <c:v>全局
动画渲染</c:v>
                </c:pt>
                <c:pt idx="1">
                  <c:v>局部
计算顶点</c:v>
                </c:pt>
              </c:strCache>
            </c:strRef>
          </c:cat>
          <c:val>
            <c:numRef>
              <c:f>'骨骼动画时间分布-503'!$T$32:$U$32</c:f>
              <c:numCache>
                <c:formatCode>0.0</c:formatCode>
                <c:ptCount val="2"/>
                <c:pt idx="0">
                  <c:v>2.1</c:v>
                </c:pt>
                <c:pt idx="1">
                  <c:v>0.98</c:v>
                </c:pt>
              </c:numCache>
            </c:numRef>
          </c:val>
        </c:ser>
        <c:ser>
          <c:idx val="3"/>
          <c:order val="2"/>
          <c:tx>
            <c:strRef>
              <c:f>'骨骼动画时间分布-503'!$S$33</c:f>
              <c:strCache>
                <c:ptCount val="1"/>
                <c:pt idx="0">
                  <c:v>并行
SSE多指令</c:v>
                </c:pt>
              </c:strCache>
            </c:strRef>
          </c:tx>
          <c:dLbls>
            <c:dLblPos val="outEnd"/>
            <c:showVal val="1"/>
          </c:dLbls>
          <c:cat>
            <c:strRef>
              <c:f>'骨骼动画时间分布-503'!$T$30:$U$30</c:f>
              <c:strCache>
                <c:ptCount val="2"/>
                <c:pt idx="0">
                  <c:v>全局
动画渲染</c:v>
                </c:pt>
                <c:pt idx="1">
                  <c:v>局部
计算顶点</c:v>
                </c:pt>
              </c:strCache>
            </c:strRef>
          </c:cat>
          <c:val>
            <c:numRef>
              <c:f>'骨骼动画时间分布-503'!$T$33:$U$33</c:f>
              <c:numCache>
                <c:formatCode>0.0</c:formatCode>
                <c:ptCount val="2"/>
                <c:pt idx="0">
                  <c:v>1.95</c:v>
                </c:pt>
                <c:pt idx="1">
                  <c:v>0.96</c:v>
                </c:pt>
              </c:numCache>
            </c:numRef>
          </c:val>
        </c:ser>
        <c:ser>
          <c:idx val="4"/>
          <c:order val="3"/>
          <c:tx>
            <c:strRef>
              <c:f>'骨骼动画时间分布-503'!$S$34</c:f>
              <c:strCache>
                <c:ptCount val="1"/>
                <c:pt idx="0">
                  <c:v>并行
SSE与OMP</c:v>
                </c:pt>
              </c:strCache>
            </c:strRef>
          </c:tx>
          <c:dLbls>
            <c:dLblPos val="outEnd"/>
            <c:showVal val="1"/>
          </c:dLbls>
          <c:cat>
            <c:strRef>
              <c:f>'骨骼动画时间分布-503'!$T$30:$U$30</c:f>
              <c:strCache>
                <c:ptCount val="2"/>
                <c:pt idx="0">
                  <c:v>全局
动画渲染</c:v>
                </c:pt>
                <c:pt idx="1">
                  <c:v>局部
计算顶点</c:v>
                </c:pt>
              </c:strCache>
            </c:strRef>
          </c:cat>
          <c:val>
            <c:numRef>
              <c:f>'骨骼动画时间分布-503'!$T$34:$U$34</c:f>
              <c:numCache>
                <c:formatCode>0.0_ </c:formatCode>
                <c:ptCount val="2"/>
                <c:pt idx="0" formatCode="0.0">
                  <c:v>1.5</c:v>
                </c:pt>
                <c:pt idx="1">
                  <c:v>0.36</c:v>
                </c:pt>
              </c:numCache>
            </c:numRef>
          </c:val>
        </c:ser>
        <c:dLbls>
          <c:showVal val="1"/>
        </c:dLbls>
        <c:axId val="108141568"/>
        <c:axId val="108151552"/>
      </c:barChart>
      <c:catAx>
        <c:axId val="108141568"/>
        <c:scaling>
          <c:orientation val="minMax"/>
        </c:scaling>
        <c:axPos val="b"/>
        <c:tickLblPos val="nextTo"/>
        <c:crossAx val="108151552"/>
        <c:crosses val="autoZero"/>
        <c:auto val="1"/>
        <c:lblAlgn val="ctr"/>
        <c:lblOffset val="100"/>
      </c:catAx>
      <c:valAx>
        <c:axId val="108151552"/>
        <c:scaling>
          <c:orientation val="minMax"/>
        </c:scaling>
        <c:delete val="1"/>
        <c:axPos val="l"/>
        <c:numFmt formatCode="0.0_ " sourceLinked="1"/>
        <c:tickLblPos val="nextTo"/>
        <c:crossAx val="10814156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'骨骼动画时间分布-503'!$V$30</c:f>
              <c:strCache>
                <c:ptCount val="1"/>
                <c:pt idx="0">
                  <c:v>全局</c:v>
                </c:pt>
              </c:strCache>
            </c:strRef>
          </c:tx>
          <c:dLbls>
            <c:dLbl>
              <c:idx val="0"/>
              <c:delete val="1"/>
            </c:dLbl>
            <c:dLbl>
              <c:idx val="1"/>
              <c:layout>
                <c:manualLayout>
                  <c:x val="-5.5330966550272573E-2"/>
                  <c:y val="6.3441800837900228E-2"/>
                </c:manualLayout>
              </c:layout>
              <c:dLblPos val="r"/>
              <c:showVal val="1"/>
            </c:dLbl>
            <c:dLbl>
              <c:idx val="2"/>
              <c:layout>
                <c:manualLayout>
                  <c:x val="-5.5330966550272503E-2"/>
                  <c:y val="5.6472104200806304E-2"/>
                </c:manualLayout>
              </c:layout>
              <c:dLblPos val="r"/>
              <c:showVal val="1"/>
            </c:dLbl>
            <c:dLbl>
              <c:idx val="3"/>
              <c:layout>
                <c:manualLayout>
                  <c:x val="-5.2318524690993524E-2"/>
                  <c:y val="4.9502407563712512E-2"/>
                </c:manualLayout>
              </c:layout>
              <c:dLblPos val="r"/>
              <c:showVal val="1"/>
            </c:dLbl>
            <c:dLblPos val="b"/>
            <c:showVal val="1"/>
          </c:dLbls>
          <c:cat>
            <c:strRef>
              <c:f>'骨骼动画时间分布-503'!$S$31:$S$34</c:f>
              <c:strCache>
                <c:ptCount val="4"/>
                <c:pt idx="0">
                  <c:v>串行
优化</c:v>
                </c:pt>
                <c:pt idx="1">
                  <c:v>并行
OMP多线程</c:v>
                </c:pt>
                <c:pt idx="2">
                  <c:v>并行
SSE多指令</c:v>
                </c:pt>
                <c:pt idx="3">
                  <c:v>并行
SSE与OMP</c:v>
                </c:pt>
              </c:strCache>
            </c:strRef>
          </c:cat>
          <c:val>
            <c:numRef>
              <c:f>'骨骼动画时间分布-503'!$V$31:$V$34</c:f>
              <c:numCache>
                <c:formatCode>0.0</c:formatCode>
                <c:ptCount val="4"/>
                <c:pt idx="0" formatCode="0">
                  <c:v>1</c:v>
                </c:pt>
                <c:pt idx="1">
                  <c:v>2.3666666666666663</c:v>
                </c:pt>
                <c:pt idx="2">
                  <c:v>2.5487179487179485</c:v>
                </c:pt>
                <c:pt idx="3">
                  <c:v>3.313333333333333</c:v>
                </c:pt>
              </c:numCache>
            </c:numRef>
          </c:val>
        </c:ser>
        <c:ser>
          <c:idx val="1"/>
          <c:order val="1"/>
          <c:tx>
            <c:strRef>
              <c:f>'骨骼动画时间分布-503'!$W$30</c:f>
              <c:strCache>
                <c:ptCount val="1"/>
                <c:pt idx="0">
                  <c:v>局部</c:v>
                </c:pt>
              </c:strCache>
            </c:strRef>
          </c:tx>
          <c:dLbls>
            <c:dLbl>
              <c:idx val="0"/>
              <c:layout>
                <c:manualLayout>
                  <c:x val="-3.9771348546876528E-2"/>
                  <c:y val="5.3761605642490794E-2"/>
                </c:manualLayout>
              </c:layout>
              <c:dLblPos val="r"/>
              <c:showVal val="1"/>
            </c:dLbl>
            <c:dLbl>
              <c:idx val="1"/>
              <c:layout>
                <c:manualLayout>
                  <c:x val="-5.1060889514781008E-2"/>
                  <c:y val="-5.4849317353886123E-2"/>
                </c:manualLayout>
              </c:layout>
              <c:dLblPos val="r"/>
              <c:showVal val="1"/>
            </c:dLbl>
            <c:dLbl>
              <c:idx val="2"/>
              <c:layout>
                <c:manualLayout>
                  <c:x val="-4.9831006755697314E-2"/>
                  <c:y val="-7.4862773807551103E-2"/>
                </c:manualLayout>
              </c:layout>
              <c:dLblPos val="r"/>
              <c:showVal val="1"/>
            </c:dLbl>
            <c:dLbl>
              <c:idx val="3"/>
              <c:layout>
                <c:manualLayout>
                  <c:x val="-4.7496720114975938E-2"/>
                  <c:y val="-6.6618226360380506E-2"/>
                </c:manualLayout>
              </c:layout>
              <c:dLblPos val="r"/>
              <c:showVal val="1"/>
            </c:dLbl>
            <c:dLblPos val="t"/>
            <c:showVal val="1"/>
          </c:dLbls>
          <c:cat>
            <c:strRef>
              <c:f>'骨骼动画时间分布-503'!$S$31:$S$34</c:f>
              <c:strCache>
                <c:ptCount val="4"/>
                <c:pt idx="0">
                  <c:v>串行
优化</c:v>
                </c:pt>
                <c:pt idx="1">
                  <c:v>并行
OMP多线程</c:v>
                </c:pt>
                <c:pt idx="2">
                  <c:v>并行
SSE多指令</c:v>
                </c:pt>
                <c:pt idx="3">
                  <c:v>并行
SSE与OMP</c:v>
                </c:pt>
              </c:strCache>
            </c:strRef>
          </c:cat>
          <c:val>
            <c:numRef>
              <c:f>'骨骼动画时间分布-503'!$W$31:$W$34</c:f>
              <c:numCache>
                <c:formatCode>0.0</c:formatCode>
                <c:ptCount val="4"/>
                <c:pt idx="0" formatCode="0">
                  <c:v>1</c:v>
                </c:pt>
                <c:pt idx="1">
                  <c:v>4.0102040816326534</c:v>
                </c:pt>
                <c:pt idx="2">
                  <c:v>4.09375</c:v>
                </c:pt>
                <c:pt idx="3" formatCode="0">
                  <c:v>10.916666666666668</c:v>
                </c:pt>
              </c:numCache>
            </c:numRef>
          </c:val>
        </c:ser>
        <c:dLbls>
          <c:showVal val="1"/>
        </c:dLbls>
        <c:marker val="1"/>
        <c:axId val="108180992"/>
        <c:axId val="108182528"/>
      </c:lineChart>
      <c:catAx>
        <c:axId val="108180992"/>
        <c:scaling>
          <c:orientation val="minMax"/>
        </c:scaling>
        <c:axPos val="b"/>
        <c:tickLblPos val="nextTo"/>
        <c:crossAx val="108182528"/>
        <c:crosses val="autoZero"/>
        <c:auto val="1"/>
        <c:lblAlgn val="ctr"/>
        <c:lblOffset val="100"/>
      </c:catAx>
      <c:valAx>
        <c:axId val="108182528"/>
        <c:scaling>
          <c:orientation val="minMax"/>
        </c:scaling>
        <c:delete val="1"/>
        <c:axPos val="l"/>
        <c:numFmt formatCode="0" sourceLinked="1"/>
        <c:tickLblPos val="nextTo"/>
        <c:crossAx val="10818099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1077" l="0.70000000000000062" r="0.70000000000000062" t="0.75000000000001077" header="0.30000000000000032" footer="0.30000000000000032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CN" sz="1200">
                <a:latin typeface="幼圆" pitchFamily="49" charset="-122"/>
                <a:ea typeface="幼圆" pitchFamily="49" charset="-122"/>
              </a:rPr>
              <a:t>CPU OpenCL</a:t>
            </a:r>
            <a:endParaRPr lang="zh-CN" altLang="en-US" sz="1200">
              <a:latin typeface="幼圆" pitchFamily="49" charset="-122"/>
              <a:ea typeface="幼圆" pitchFamily="49" charset="-122"/>
            </a:endParaRPr>
          </a:p>
        </c:rich>
      </c:tx>
      <c:layout>
        <c:manualLayout>
          <c:xMode val="edge"/>
          <c:yMode val="edge"/>
          <c:x val="0.19013934008070241"/>
          <c:y val="0.85239537174256952"/>
        </c:manualLayout>
      </c:layout>
      <c:overlay val="1"/>
    </c:title>
    <c:plotArea>
      <c:layout>
        <c:manualLayout>
          <c:layoutTarget val="inner"/>
          <c:xMode val="edge"/>
          <c:yMode val="edge"/>
          <c:x val="5.3839765068476486E-2"/>
          <c:y val="7.8185951601944526E-2"/>
          <c:w val="0.49046145201398295"/>
          <c:h val="0.77965777275815928"/>
        </c:manualLayout>
      </c:layout>
      <c:pieChart>
        <c:varyColors val="1"/>
        <c:ser>
          <c:idx val="0"/>
          <c:order val="0"/>
          <c:dLbls>
            <c:dLbl>
              <c:idx val="1"/>
              <c:spPr/>
              <c:txPr>
                <a:bodyPr/>
                <a:lstStyle/>
                <a:p>
                  <a:pPr>
                    <a:defRPr sz="1600" b="1"/>
                  </a:pPr>
                  <a:endParaRPr lang="zh-CN"/>
                </a:p>
              </c:txPr>
            </c:dLbl>
            <c:dLblPos val="inEnd"/>
            <c:showVal val="1"/>
            <c:showLeaderLines val="1"/>
          </c:dLbls>
          <c:cat>
            <c:strRef>
              <c:f>('骨骼动画时间分布-503'!$E$88,'骨骼动画时间分布-503'!$G$88,'骨骼动画时间分布-503'!$I$88,'骨骼动画时间分布-503'!$K$88,'骨骼动画时间分布-503'!$O$88)</c:f>
              <c:strCache>
                <c:ptCount val="5"/>
                <c:pt idx="0">
                  <c:v>CPU计算骨骼</c:v>
                </c:pt>
                <c:pt idx="1">
                  <c:v>CPU计算顶点</c:v>
                </c:pt>
                <c:pt idx="2">
                  <c:v>GPU渲染面片</c:v>
                </c:pt>
                <c:pt idx="3">
                  <c:v>其它</c:v>
                </c:pt>
                <c:pt idx="4">
                  <c:v>传输</c:v>
                </c:pt>
              </c:strCache>
            </c:strRef>
          </c:cat>
          <c:val>
            <c:numRef>
              <c:f>('骨骼动画时间分布-503'!$E$85,'骨骼动画时间分布-503'!$G$85,'骨骼动画时间分布-503'!$I$85,'骨骼动画时间分布-503'!$K$85,'骨骼动画时间分布-503'!$O$85)</c:f>
              <c:numCache>
                <c:formatCode>0%</c:formatCode>
                <c:ptCount val="5"/>
                <c:pt idx="0">
                  <c:v>9.6774193548387094E-2</c:v>
                </c:pt>
                <c:pt idx="1">
                  <c:v>0.11827956989247311</c:v>
                </c:pt>
                <c:pt idx="2">
                  <c:v>0.5376344086021505</c:v>
                </c:pt>
                <c:pt idx="3">
                  <c:v>0.14516129032258074</c:v>
                </c:pt>
                <c:pt idx="4">
                  <c:v>0.10215053763440859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egendEntry>
        <c:idx val="1"/>
        <c:txPr>
          <a:bodyPr/>
          <a:lstStyle/>
          <a:p>
            <a:pPr rtl="0">
              <a:defRPr b="1">
                <a:solidFill>
                  <a:srgbClr val="C00000"/>
                </a:solidFill>
              </a:defRPr>
            </a:pPr>
            <a:endParaRPr lang="zh-CN"/>
          </a:p>
        </c:txPr>
      </c:legendEntry>
      <c:layout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zero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1"/>
          <c:order val="0"/>
          <c:tx>
            <c:strRef>
              <c:f>'骨骼动画时间分布-503'!$S$31</c:f>
              <c:strCache>
                <c:ptCount val="1"/>
                <c:pt idx="0">
                  <c:v>串行
优化</c:v>
                </c:pt>
              </c:strCache>
            </c:strRef>
          </c:tx>
          <c:dLbls>
            <c:dLblPos val="outEnd"/>
            <c:showVal val="1"/>
          </c:dLbls>
          <c:cat>
            <c:strRef>
              <c:f>'骨骼动画时间分布-503'!$T$30:$U$30</c:f>
              <c:strCache>
                <c:ptCount val="2"/>
                <c:pt idx="0">
                  <c:v>全局
动画渲染</c:v>
                </c:pt>
                <c:pt idx="1">
                  <c:v>局部
计算顶点</c:v>
                </c:pt>
              </c:strCache>
            </c:strRef>
          </c:cat>
          <c:val>
            <c:numRef>
              <c:f>'骨骼动画时间分布-503'!$T$31:$U$31</c:f>
              <c:numCache>
                <c:formatCode>0.0_ </c:formatCode>
                <c:ptCount val="2"/>
                <c:pt idx="0">
                  <c:v>4.97</c:v>
                </c:pt>
                <c:pt idx="1">
                  <c:v>3.93</c:v>
                </c:pt>
              </c:numCache>
            </c:numRef>
          </c:val>
        </c:ser>
        <c:ser>
          <c:idx val="2"/>
          <c:order val="1"/>
          <c:tx>
            <c:strRef>
              <c:f>'骨骼动画时间分布-503'!$S$32</c:f>
              <c:strCache>
                <c:ptCount val="1"/>
                <c:pt idx="0">
                  <c:v>并行
OMP多线程</c:v>
                </c:pt>
              </c:strCache>
            </c:strRef>
          </c:tx>
          <c:dLbls>
            <c:dLblPos val="outEnd"/>
            <c:showVal val="1"/>
          </c:dLbls>
          <c:cat>
            <c:strRef>
              <c:f>'骨骼动画时间分布-503'!$T$30:$U$30</c:f>
              <c:strCache>
                <c:ptCount val="2"/>
                <c:pt idx="0">
                  <c:v>全局
动画渲染</c:v>
                </c:pt>
                <c:pt idx="1">
                  <c:v>局部
计算顶点</c:v>
                </c:pt>
              </c:strCache>
            </c:strRef>
          </c:cat>
          <c:val>
            <c:numRef>
              <c:f>'骨骼动画时间分布-503'!$T$32:$U$32</c:f>
              <c:numCache>
                <c:formatCode>0.0</c:formatCode>
                <c:ptCount val="2"/>
                <c:pt idx="0">
                  <c:v>2.1</c:v>
                </c:pt>
                <c:pt idx="1">
                  <c:v>0.98</c:v>
                </c:pt>
              </c:numCache>
            </c:numRef>
          </c:val>
        </c:ser>
        <c:ser>
          <c:idx val="3"/>
          <c:order val="2"/>
          <c:tx>
            <c:strRef>
              <c:f>'骨骼动画时间分布-503'!$S$33</c:f>
              <c:strCache>
                <c:ptCount val="1"/>
                <c:pt idx="0">
                  <c:v>并行
SSE多指令</c:v>
                </c:pt>
              </c:strCache>
            </c:strRef>
          </c:tx>
          <c:dLbls>
            <c:dLblPos val="outEnd"/>
            <c:showVal val="1"/>
          </c:dLbls>
          <c:cat>
            <c:strRef>
              <c:f>'骨骼动画时间分布-503'!$T$30:$U$30</c:f>
              <c:strCache>
                <c:ptCount val="2"/>
                <c:pt idx="0">
                  <c:v>全局
动画渲染</c:v>
                </c:pt>
                <c:pt idx="1">
                  <c:v>局部
计算顶点</c:v>
                </c:pt>
              </c:strCache>
            </c:strRef>
          </c:cat>
          <c:val>
            <c:numRef>
              <c:f>'骨骼动画时间分布-503'!$T$33:$U$33</c:f>
              <c:numCache>
                <c:formatCode>0.0</c:formatCode>
                <c:ptCount val="2"/>
                <c:pt idx="0">
                  <c:v>1.95</c:v>
                </c:pt>
                <c:pt idx="1">
                  <c:v>0.96</c:v>
                </c:pt>
              </c:numCache>
            </c:numRef>
          </c:val>
        </c:ser>
        <c:ser>
          <c:idx val="4"/>
          <c:order val="3"/>
          <c:tx>
            <c:strRef>
              <c:f>'骨骼动画时间分布-503'!$S$34</c:f>
              <c:strCache>
                <c:ptCount val="1"/>
                <c:pt idx="0">
                  <c:v>并行
SSE与OMP</c:v>
                </c:pt>
              </c:strCache>
            </c:strRef>
          </c:tx>
          <c:dLbls>
            <c:dLblPos val="outEnd"/>
            <c:showVal val="1"/>
          </c:dLbls>
          <c:cat>
            <c:strRef>
              <c:f>'骨骼动画时间分布-503'!$T$30:$U$30</c:f>
              <c:strCache>
                <c:ptCount val="2"/>
                <c:pt idx="0">
                  <c:v>全局
动画渲染</c:v>
                </c:pt>
                <c:pt idx="1">
                  <c:v>局部
计算顶点</c:v>
                </c:pt>
              </c:strCache>
            </c:strRef>
          </c:cat>
          <c:val>
            <c:numRef>
              <c:f>'骨骼动画时间分布-503'!$T$34:$U$34</c:f>
              <c:numCache>
                <c:formatCode>0.0_ </c:formatCode>
                <c:ptCount val="2"/>
                <c:pt idx="0" formatCode="0.0">
                  <c:v>1.5</c:v>
                </c:pt>
                <c:pt idx="1">
                  <c:v>0.36</c:v>
                </c:pt>
              </c:numCache>
            </c:numRef>
          </c:val>
        </c:ser>
        <c:ser>
          <c:idx val="0"/>
          <c:order val="4"/>
          <c:tx>
            <c:strRef>
              <c:f>'骨骼动画时间分布-503'!$S$35</c:f>
              <c:strCache>
                <c:ptCount val="1"/>
                <c:pt idx="0">
                  <c:v>OpenCL</c:v>
                </c:pt>
              </c:strCache>
            </c:strRef>
          </c:tx>
          <c:dLbls>
            <c:dLblPos val="outEnd"/>
            <c:showVal val="1"/>
          </c:dLbls>
          <c:cat>
            <c:strRef>
              <c:f>'骨骼动画时间分布-503'!$T$30:$U$30</c:f>
              <c:strCache>
                <c:ptCount val="2"/>
                <c:pt idx="0">
                  <c:v>全局
动画渲染</c:v>
                </c:pt>
                <c:pt idx="1">
                  <c:v>局部
计算顶点</c:v>
                </c:pt>
              </c:strCache>
            </c:strRef>
          </c:cat>
          <c:val>
            <c:numRef>
              <c:f>'骨骼动画时间分布-503'!$T$35:$U$35</c:f>
              <c:numCache>
                <c:formatCode>0.0_ </c:formatCode>
                <c:ptCount val="2"/>
                <c:pt idx="0" formatCode="0.0">
                  <c:v>1.43</c:v>
                </c:pt>
                <c:pt idx="1">
                  <c:v>0.32</c:v>
                </c:pt>
              </c:numCache>
            </c:numRef>
          </c:val>
        </c:ser>
        <c:dLbls>
          <c:showVal val="1"/>
        </c:dLbls>
        <c:axId val="109415040"/>
        <c:axId val="109425024"/>
      </c:barChart>
      <c:catAx>
        <c:axId val="109415040"/>
        <c:scaling>
          <c:orientation val="minMax"/>
        </c:scaling>
        <c:axPos val="b"/>
        <c:tickLblPos val="nextTo"/>
        <c:crossAx val="109425024"/>
        <c:crosses val="autoZero"/>
        <c:auto val="1"/>
        <c:lblAlgn val="ctr"/>
        <c:lblOffset val="100"/>
      </c:catAx>
      <c:valAx>
        <c:axId val="109425024"/>
        <c:scaling>
          <c:orientation val="minMax"/>
        </c:scaling>
        <c:delete val="1"/>
        <c:axPos val="l"/>
        <c:numFmt formatCode="0.0_ " sourceLinked="1"/>
        <c:tickLblPos val="nextTo"/>
        <c:crossAx val="10941504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CN" sz="1200">
                <a:latin typeface="幼圆" pitchFamily="49" charset="-122"/>
                <a:ea typeface="幼圆" pitchFamily="49" charset="-122"/>
              </a:rPr>
              <a:t>CPU OpenCL GL</a:t>
            </a:r>
            <a:r>
              <a:rPr lang="zh-CN" altLang="en-US" sz="1200">
                <a:latin typeface="幼圆" pitchFamily="49" charset="-122"/>
                <a:ea typeface="幼圆" pitchFamily="49" charset="-122"/>
              </a:rPr>
              <a:t>互操作</a:t>
            </a:r>
          </a:p>
        </c:rich>
      </c:tx>
      <c:layout>
        <c:manualLayout>
          <c:xMode val="edge"/>
          <c:yMode val="edge"/>
          <c:x val="6.4942046961659575E-2"/>
          <c:y val="0.85102880356895594"/>
        </c:manualLayout>
      </c:layout>
      <c:overlay val="1"/>
    </c:title>
    <c:plotArea>
      <c:layout>
        <c:manualLayout>
          <c:layoutTarget val="inner"/>
          <c:xMode val="edge"/>
          <c:yMode val="edge"/>
          <c:x val="8.008472293761576E-2"/>
          <c:y val="8.5303652303045957E-2"/>
          <c:w val="0.4469145521432995"/>
          <c:h val="0.77510855301924264"/>
        </c:manualLayout>
      </c:layout>
      <c:pieChart>
        <c:varyColors val="1"/>
        <c:ser>
          <c:idx val="0"/>
          <c:order val="0"/>
          <c:dLbls>
            <c:dLbl>
              <c:idx val="1"/>
              <c:spPr/>
              <c:txPr>
                <a:bodyPr/>
                <a:lstStyle/>
                <a:p>
                  <a:pPr>
                    <a:defRPr sz="1600" b="1"/>
                  </a:pPr>
                  <a:endParaRPr lang="zh-CN"/>
                </a:p>
              </c:txPr>
            </c:dLbl>
            <c:dLbl>
              <c:idx val="3"/>
              <c:layout/>
              <c:dLblPos val="inEnd"/>
              <c:showVal val="1"/>
            </c:dLbl>
            <c:dLblPos val="bestFit"/>
            <c:showVal val="1"/>
            <c:showLeaderLines val="1"/>
          </c:dLbls>
          <c:cat>
            <c:strRef>
              <c:f>('骨骼动画时间分布-503'!$E$88,'骨骼动画时间分布-503'!$G$88,'骨骼动画时间分布-503'!$I$88,'骨骼动画时间分布-503'!$K$88,'骨骼动画时间分布-503'!$O$88)</c:f>
              <c:strCache>
                <c:ptCount val="5"/>
                <c:pt idx="0">
                  <c:v>CPU计算骨骼</c:v>
                </c:pt>
                <c:pt idx="1">
                  <c:v>CPU计算顶点</c:v>
                </c:pt>
                <c:pt idx="2">
                  <c:v>GPU渲染面片</c:v>
                </c:pt>
                <c:pt idx="3">
                  <c:v>其它</c:v>
                </c:pt>
                <c:pt idx="4">
                  <c:v>传输</c:v>
                </c:pt>
              </c:strCache>
            </c:strRef>
          </c:cat>
          <c:val>
            <c:numRef>
              <c:f>('骨骼动画时间分布-503'!$E$111,'骨骼动画时间分布-503'!$G$111,'骨骼动画时间分布-503'!$I$111,'骨骼动画时间分布-503'!$K$111,'骨骼动画时间分布-503'!$O$111)</c:f>
              <c:numCache>
                <c:formatCode>0%</c:formatCode>
                <c:ptCount val="5"/>
                <c:pt idx="0">
                  <c:v>0.140625</c:v>
                </c:pt>
                <c:pt idx="1">
                  <c:v>0.171875</c:v>
                </c:pt>
                <c:pt idx="2">
                  <c:v>0.26953125</c:v>
                </c:pt>
                <c:pt idx="3">
                  <c:v>5.8593749999999875E-2</c:v>
                </c:pt>
                <c:pt idx="4">
                  <c:v>0.4765625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egendEntry>
        <c:idx val="1"/>
        <c:txPr>
          <a:bodyPr/>
          <a:lstStyle/>
          <a:p>
            <a:pPr rtl="0">
              <a:defRPr b="1">
                <a:solidFill>
                  <a:srgbClr val="C00000"/>
                </a:solidFill>
              </a:defRPr>
            </a:pPr>
            <a:endParaRPr lang="zh-CN"/>
          </a:p>
        </c:txPr>
      </c:legendEntry>
      <c:layout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zero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'骨骼动画时间分布-503'!$V$30</c:f>
              <c:strCache>
                <c:ptCount val="1"/>
                <c:pt idx="0">
                  <c:v>全局</c:v>
                </c:pt>
              </c:strCache>
            </c:strRef>
          </c:tx>
          <c:dLbls>
            <c:dLbl>
              <c:idx val="0"/>
              <c:delete val="1"/>
            </c:dLbl>
            <c:dLbl>
              <c:idx val="1"/>
              <c:layout>
                <c:manualLayout>
                  <c:x val="-1.9741202351177402E-2"/>
                  <c:y val="2.1045709014391411E-2"/>
                </c:manualLayout>
              </c:layout>
              <c:dLblPos val="r"/>
              <c:showVal val="1"/>
            </c:dLbl>
            <c:dLbl>
              <c:idx val="2"/>
              <c:layout>
                <c:manualLayout>
                  <c:x val="-2.5672624010125881E-2"/>
                  <c:y val="3.5274068254729667E-2"/>
                </c:manualLayout>
              </c:layout>
              <c:dLblPos val="r"/>
              <c:showVal val="1"/>
            </c:dLbl>
            <c:dLbl>
              <c:idx val="3"/>
              <c:layout>
                <c:manualLayout>
                  <c:x val="-2.5626151593490125E-2"/>
                  <c:y val="2.1238217218245488E-2"/>
                </c:manualLayout>
              </c:layout>
              <c:dLblPos val="r"/>
              <c:showVal val="1"/>
            </c:dLbl>
            <c:dLbl>
              <c:idx val="4"/>
              <c:layout>
                <c:manualLayout>
                  <c:x val="-2.1850909948600106E-2"/>
                  <c:y val="7.2440948386658869E-4"/>
                </c:manualLayout>
              </c:layout>
              <c:dLblPos val="r"/>
              <c:showVal val="1"/>
            </c:dLbl>
            <c:dLblPos val="b"/>
            <c:showVal val="1"/>
          </c:dLbls>
          <c:cat>
            <c:strRef>
              <c:f>'骨骼动画时间分布-503'!$S$31:$S$35</c:f>
              <c:strCache>
                <c:ptCount val="5"/>
                <c:pt idx="0">
                  <c:v>串行
优化</c:v>
                </c:pt>
                <c:pt idx="1">
                  <c:v>并行
OMP多线程</c:v>
                </c:pt>
                <c:pt idx="2">
                  <c:v>并行
SSE多指令</c:v>
                </c:pt>
                <c:pt idx="3">
                  <c:v>并行
SSE与OMP</c:v>
                </c:pt>
                <c:pt idx="4">
                  <c:v>OpenCL</c:v>
                </c:pt>
              </c:strCache>
            </c:strRef>
          </c:cat>
          <c:val>
            <c:numRef>
              <c:f>'骨骼动画时间分布-503'!$V$31:$V$35</c:f>
              <c:numCache>
                <c:formatCode>0.0</c:formatCode>
                <c:ptCount val="5"/>
                <c:pt idx="0" formatCode="0">
                  <c:v>1</c:v>
                </c:pt>
                <c:pt idx="1">
                  <c:v>2.3666666666666663</c:v>
                </c:pt>
                <c:pt idx="2">
                  <c:v>2.5487179487179485</c:v>
                </c:pt>
                <c:pt idx="3">
                  <c:v>3.313333333333333</c:v>
                </c:pt>
                <c:pt idx="4">
                  <c:v>3.4755244755244754</c:v>
                </c:pt>
              </c:numCache>
            </c:numRef>
          </c:val>
        </c:ser>
        <c:ser>
          <c:idx val="1"/>
          <c:order val="1"/>
          <c:tx>
            <c:strRef>
              <c:f>'骨骼动画时间分布-503'!$W$30</c:f>
              <c:strCache>
                <c:ptCount val="1"/>
                <c:pt idx="0">
                  <c:v>局部</c:v>
                </c:pt>
              </c:strCache>
            </c:strRef>
          </c:tx>
          <c:dLbls>
            <c:dLbl>
              <c:idx val="0"/>
              <c:layout>
                <c:manualLayout>
                  <c:x val="-6.0532074141019528E-2"/>
                  <c:y val="-2.7668881438314558E-3"/>
                </c:manualLayout>
              </c:layout>
              <c:dLblPos val="r"/>
              <c:showVal val="1"/>
            </c:dLbl>
            <c:dLbl>
              <c:idx val="1"/>
              <c:layout>
                <c:manualLayout>
                  <c:x val="-5.1060889514781008E-2"/>
                  <c:y val="-5.4849317353886123E-2"/>
                </c:manualLayout>
              </c:layout>
              <c:dLblPos val="r"/>
              <c:showVal val="1"/>
            </c:dLbl>
            <c:dLbl>
              <c:idx val="2"/>
              <c:layout>
                <c:manualLayout>
                  <c:x val="-4.9831006755697314E-2"/>
                  <c:y val="-7.4862773807551103E-2"/>
                </c:manualLayout>
              </c:layout>
              <c:dLblPos val="r"/>
              <c:showVal val="1"/>
            </c:dLbl>
            <c:dLbl>
              <c:idx val="3"/>
              <c:layout>
                <c:manualLayout>
                  <c:x val="-6.2325816011265474E-2"/>
                  <c:y val="-6.6618409793215025E-2"/>
                </c:manualLayout>
              </c:layout>
              <c:dLblPos val="r"/>
              <c:showVal val="1"/>
            </c:dLbl>
            <c:dLblPos val="t"/>
            <c:showVal val="1"/>
          </c:dLbls>
          <c:cat>
            <c:strRef>
              <c:f>'骨骼动画时间分布-503'!$S$31:$S$35</c:f>
              <c:strCache>
                <c:ptCount val="5"/>
                <c:pt idx="0">
                  <c:v>串行
优化</c:v>
                </c:pt>
                <c:pt idx="1">
                  <c:v>并行
OMP多线程</c:v>
                </c:pt>
                <c:pt idx="2">
                  <c:v>并行
SSE多指令</c:v>
                </c:pt>
                <c:pt idx="3">
                  <c:v>并行
SSE与OMP</c:v>
                </c:pt>
                <c:pt idx="4">
                  <c:v>OpenCL</c:v>
                </c:pt>
              </c:strCache>
            </c:strRef>
          </c:cat>
          <c:val>
            <c:numRef>
              <c:f>'骨骼动画时间分布-503'!$W$31:$W$35</c:f>
              <c:numCache>
                <c:formatCode>0.0</c:formatCode>
                <c:ptCount val="5"/>
                <c:pt idx="0" formatCode="0">
                  <c:v>1</c:v>
                </c:pt>
                <c:pt idx="1">
                  <c:v>4.0102040816326534</c:v>
                </c:pt>
                <c:pt idx="2">
                  <c:v>4.09375</c:v>
                </c:pt>
                <c:pt idx="3" formatCode="0">
                  <c:v>10.916666666666668</c:v>
                </c:pt>
                <c:pt idx="4" formatCode="0">
                  <c:v>12.28125</c:v>
                </c:pt>
              </c:numCache>
            </c:numRef>
          </c:val>
        </c:ser>
        <c:dLbls>
          <c:showVal val="1"/>
        </c:dLbls>
        <c:marker val="1"/>
        <c:axId val="109556864"/>
        <c:axId val="109558400"/>
      </c:lineChart>
      <c:catAx>
        <c:axId val="109556864"/>
        <c:scaling>
          <c:orientation val="minMax"/>
        </c:scaling>
        <c:axPos val="b"/>
        <c:tickLblPos val="nextTo"/>
        <c:crossAx val="109558400"/>
        <c:crosses val="autoZero"/>
        <c:auto val="1"/>
        <c:lblAlgn val="ctr"/>
        <c:lblOffset val="100"/>
      </c:catAx>
      <c:valAx>
        <c:axId val="109558400"/>
        <c:scaling>
          <c:orientation val="minMax"/>
        </c:scaling>
        <c:delete val="1"/>
        <c:axPos val="l"/>
        <c:numFmt formatCode="0" sourceLinked="1"/>
        <c:tickLblPos val="nextTo"/>
        <c:crossAx val="10955686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1077" l="0.70000000000000062" r="0.70000000000000062" t="0.75000000000001077" header="0.30000000000000032" footer="0.30000000000000032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'骨骼动画时间分布-503'!$V$30</c:f>
              <c:strCache>
                <c:ptCount val="1"/>
                <c:pt idx="0">
                  <c:v>全局</c:v>
                </c:pt>
              </c:strCache>
            </c:strRef>
          </c:tx>
          <c:dLbls>
            <c:dLbl>
              <c:idx val="0"/>
              <c:delete val="1"/>
            </c:dLbl>
            <c:dLbl>
              <c:idx val="1"/>
              <c:layout>
                <c:manualLayout>
                  <c:x val="-1.4522702226050061E-2"/>
                  <c:y val="3.5305907617162978E-2"/>
                </c:manualLayout>
              </c:layout>
              <c:dLblPos val="r"/>
              <c:showVal val="1"/>
            </c:dLbl>
            <c:dLbl>
              <c:idx val="2"/>
              <c:layout>
                <c:manualLayout>
                  <c:x val="-2.5672624010125881E-2"/>
                  <c:y val="3.5274068254729667E-2"/>
                </c:manualLayout>
              </c:layout>
              <c:dLblPos val="r"/>
              <c:showVal val="1"/>
            </c:dLbl>
            <c:dLbl>
              <c:idx val="3"/>
              <c:layout>
                <c:manualLayout>
                  <c:x val="-2.5626243508689556E-2"/>
                  <c:y val="4.2628601906045518E-2"/>
                </c:manualLayout>
              </c:layout>
              <c:dLblPos val="r"/>
              <c:showVal val="1"/>
            </c:dLbl>
            <c:dLbl>
              <c:idx val="4"/>
              <c:layout>
                <c:manualLayout>
                  <c:x val="-3.4897137536478412E-2"/>
                  <c:y val="-6.3446881973977853E-2"/>
                </c:manualLayout>
              </c:layout>
              <c:dLblPos val="r"/>
              <c:showVal val="1"/>
            </c:dLbl>
            <c:dLbl>
              <c:idx val="5"/>
              <c:layout>
                <c:manualLayout>
                  <c:x val="-4.5316517904470929E-2"/>
                  <c:y val="-6.3440144848204136E-2"/>
                </c:manualLayout>
              </c:layout>
              <c:dLblPos val="r"/>
              <c:showVal val="1"/>
            </c:dLbl>
            <c:dLblPos val="b"/>
            <c:showVal val="1"/>
          </c:dLbls>
          <c:cat>
            <c:strRef>
              <c:f>'骨骼动画时间分布-503'!$S$31:$S$36</c:f>
              <c:strCache>
                <c:ptCount val="6"/>
                <c:pt idx="0">
                  <c:v>串行
优化</c:v>
                </c:pt>
                <c:pt idx="1">
                  <c:v>并行
OMP多线程</c:v>
                </c:pt>
                <c:pt idx="2">
                  <c:v>并行
SSE多指令</c:v>
                </c:pt>
                <c:pt idx="3">
                  <c:v>并行
SSE与OMP</c:v>
                </c:pt>
                <c:pt idx="4">
                  <c:v>OpenCL</c:v>
                </c:pt>
                <c:pt idx="5">
                  <c:v>OpenCL
GL-inter</c:v>
                </c:pt>
              </c:strCache>
            </c:strRef>
          </c:cat>
          <c:val>
            <c:numRef>
              <c:f>'骨骼动画时间分布-503'!$V$31:$V$36</c:f>
              <c:numCache>
                <c:formatCode>0.0</c:formatCode>
                <c:ptCount val="6"/>
                <c:pt idx="0" formatCode="0">
                  <c:v>1</c:v>
                </c:pt>
                <c:pt idx="1">
                  <c:v>2.3666666666666663</c:v>
                </c:pt>
                <c:pt idx="2">
                  <c:v>2.5487179487179485</c:v>
                </c:pt>
                <c:pt idx="3">
                  <c:v>3.313333333333333</c:v>
                </c:pt>
                <c:pt idx="4">
                  <c:v>3.4755244755244754</c:v>
                </c:pt>
                <c:pt idx="5">
                  <c:v>6.2124999999999995</c:v>
                </c:pt>
              </c:numCache>
            </c:numRef>
          </c:val>
        </c:ser>
        <c:ser>
          <c:idx val="1"/>
          <c:order val="1"/>
          <c:tx>
            <c:strRef>
              <c:f>'骨骼动画时间分布-503'!$W$30</c:f>
              <c:strCache>
                <c:ptCount val="1"/>
                <c:pt idx="0">
                  <c:v>局部</c:v>
                </c:pt>
              </c:strCache>
            </c:strRef>
          </c:tx>
          <c:dLbls>
            <c:dLbl>
              <c:idx val="0"/>
              <c:layout>
                <c:manualLayout>
                  <c:x val="-6.0532074141019528E-2"/>
                  <c:y val="-2.7668881438314558E-3"/>
                </c:manualLayout>
              </c:layout>
              <c:dLblPos val="r"/>
              <c:showVal val="1"/>
            </c:dLbl>
            <c:dLbl>
              <c:idx val="1"/>
              <c:layout>
                <c:manualLayout>
                  <c:x val="-5.1060889514781008E-2"/>
                  <c:y val="-5.4849317353886123E-2"/>
                </c:manualLayout>
              </c:layout>
              <c:dLblPos val="r"/>
              <c:showVal val="1"/>
            </c:dLbl>
            <c:dLbl>
              <c:idx val="2"/>
              <c:layout>
                <c:manualLayout>
                  <c:x val="-4.9831006755697314E-2"/>
                  <c:y val="-7.4862773807551103E-2"/>
                </c:manualLayout>
              </c:layout>
              <c:dLblPos val="r"/>
              <c:showVal val="1"/>
            </c:dLbl>
            <c:dLbl>
              <c:idx val="3"/>
              <c:layout>
                <c:manualLayout>
                  <c:x val="-6.2325816011265474E-2"/>
                  <c:y val="-6.6618409793215025E-2"/>
                </c:manualLayout>
              </c:layout>
              <c:dLblPos val="r"/>
              <c:showVal val="1"/>
            </c:dLbl>
            <c:dLblPos val="t"/>
            <c:showVal val="1"/>
          </c:dLbls>
          <c:cat>
            <c:strRef>
              <c:f>'骨骼动画时间分布-503'!$S$31:$S$36</c:f>
              <c:strCache>
                <c:ptCount val="6"/>
                <c:pt idx="0">
                  <c:v>串行
优化</c:v>
                </c:pt>
                <c:pt idx="1">
                  <c:v>并行
OMP多线程</c:v>
                </c:pt>
                <c:pt idx="2">
                  <c:v>并行
SSE多指令</c:v>
                </c:pt>
                <c:pt idx="3">
                  <c:v>并行
SSE与OMP</c:v>
                </c:pt>
                <c:pt idx="4">
                  <c:v>OpenCL</c:v>
                </c:pt>
                <c:pt idx="5">
                  <c:v>OpenCL
GL-inter</c:v>
                </c:pt>
              </c:strCache>
            </c:strRef>
          </c:cat>
          <c:val>
            <c:numRef>
              <c:f>'骨骼动画时间分布-503'!$W$31:$W$36</c:f>
              <c:numCache>
                <c:formatCode>0.0</c:formatCode>
                <c:ptCount val="6"/>
                <c:pt idx="0" formatCode="0">
                  <c:v>1</c:v>
                </c:pt>
                <c:pt idx="1">
                  <c:v>4.0102040816326534</c:v>
                </c:pt>
                <c:pt idx="2">
                  <c:v>4.09375</c:v>
                </c:pt>
                <c:pt idx="3" formatCode="0">
                  <c:v>10.916666666666668</c:v>
                </c:pt>
                <c:pt idx="4" formatCode="0">
                  <c:v>12.28125</c:v>
                </c:pt>
                <c:pt idx="5" formatCode="0">
                  <c:v>12.28125</c:v>
                </c:pt>
              </c:numCache>
            </c:numRef>
          </c:val>
        </c:ser>
        <c:dLbls>
          <c:showVal val="1"/>
        </c:dLbls>
        <c:marker val="1"/>
        <c:axId val="109456384"/>
        <c:axId val="109486848"/>
      </c:lineChart>
      <c:catAx>
        <c:axId val="109456384"/>
        <c:scaling>
          <c:orientation val="minMax"/>
        </c:scaling>
        <c:axPos val="b"/>
        <c:tickLblPos val="nextTo"/>
        <c:crossAx val="109486848"/>
        <c:crosses val="autoZero"/>
        <c:auto val="1"/>
        <c:lblAlgn val="ctr"/>
        <c:lblOffset val="100"/>
      </c:catAx>
      <c:valAx>
        <c:axId val="109486848"/>
        <c:scaling>
          <c:orientation val="minMax"/>
        </c:scaling>
        <c:delete val="1"/>
        <c:axPos val="l"/>
        <c:numFmt formatCode="0" sourceLinked="1"/>
        <c:tickLblPos val="nextTo"/>
        <c:crossAx val="10945638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1077" l="0.70000000000000062" r="0.70000000000000062" t="0.75000000000001077" header="0.30000000000000032" footer="0.30000000000000032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0882472466178118"/>
          <c:y val="0.12349734124785162"/>
          <c:w val="0.46802031848853726"/>
          <c:h val="0.73775584147990014"/>
        </c:manualLayout>
      </c:layout>
      <c:pieChart>
        <c:varyColors val="1"/>
        <c:ser>
          <c:idx val="0"/>
          <c:order val="0"/>
          <c:dLbls>
            <c:dLbl>
              <c:idx val="1"/>
              <c:spPr/>
              <c:txPr>
                <a:bodyPr/>
                <a:lstStyle/>
                <a:p>
                  <a:pPr>
                    <a:defRPr sz="1600" b="1"/>
                  </a:pPr>
                  <a:endParaRPr lang="zh-CN"/>
                </a:p>
              </c:txPr>
            </c:dLbl>
            <c:dLblPos val="bestFit"/>
            <c:showVal val="1"/>
            <c:showLeaderLines val="1"/>
          </c:dLbls>
          <c:cat>
            <c:strRef>
              <c:f>('骨骼动画时间分布-503'!$E$371,'骨骼动画时间分布-503'!$G$371,'骨骼动画时间分布-503'!$I$371)</c:f>
              <c:strCache>
                <c:ptCount val="3"/>
                <c:pt idx="0">
                  <c:v>静态模型</c:v>
                </c:pt>
                <c:pt idx="1">
                  <c:v>骨骼动画</c:v>
                </c:pt>
                <c:pt idx="2">
                  <c:v>其他模块</c:v>
                </c:pt>
              </c:strCache>
            </c:strRef>
          </c:cat>
          <c:val>
            <c:numRef>
              <c:f>('骨骼动画时间分布-503'!$E$368,'骨骼动画时间分布-503'!$G$368,'骨骼动画时间分布-503'!$I$368)</c:f>
              <c:numCache>
                <c:formatCode>0%</c:formatCode>
                <c:ptCount val="3"/>
                <c:pt idx="0">
                  <c:v>5.3571428571428575E-2</c:v>
                </c:pt>
                <c:pt idx="1">
                  <c:v>0.8928571428571429</c:v>
                </c:pt>
                <c:pt idx="2">
                  <c:v>5.3571428571428575E-2</c:v>
                </c:pt>
              </c:numCache>
            </c:numRef>
          </c:val>
        </c:ser>
        <c:firstSliceAng val="0"/>
      </c:pieChart>
    </c:plotArea>
    <c:legend>
      <c:legendPos val="r"/>
      <c:legendEntry>
        <c:idx val="1"/>
        <c:txPr>
          <a:bodyPr/>
          <a:lstStyle/>
          <a:p>
            <a:pPr rtl="0">
              <a:defRPr b="1">
                <a:solidFill>
                  <a:srgbClr val="C00000"/>
                </a:solidFill>
              </a:defRPr>
            </a:pPr>
            <a:endParaRPr lang="zh-CN"/>
          </a:p>
        </c:txPr>
      </c:legendEntry>
      <c:layout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zero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CN" sz="1200">
                <a:latin typeface="幼圆" pitchFamily="49" charset="-122"/>
                <a:ea typeface="幼圆" pitchFamily="49" charset="-122"/>
              </a:rPr>
              <a:t>GPU OpenCL GL</a:t>
            </a:r>
            <a:r>
              <a:rPr lang="zh-CN" altLang="en-US" sz="1200">
                <a:latin typeface="幼圆" pitchFamily="49" charset="-122"/>
                <a:ea typeface="幼圆" pitchFamily="49" charset="-122"/>
              </a:rPr>
              <a:t>互操作</a:t>
            </a:r>
          </a:p>
        </c:rich>
      </c:tx>
      <c:layout>
        <c:manualLayout>
          <c:xMode val="edge"/>
          <c:yMode val="edge"/>
          <c:x val="6.4942046961659575E-2"/>
          <c:y val="0.85102880356895594"/>
        </c:manualLayout>
      </c:layout>
      <c:overlay val="1"/>
    </c:title>
    <c:plotArea>
      <c:layout>
        <c:manualLayout>
          <c:layoutTarget val="inner"/>
          <c:xMode val="edge"/>
          <c:yMode val="edge"/>
          <c:x val="8.008472293761576E-2"/>
          <c:y val="8.5303652303045957E-2"/>
          <c:w val="0.4469145521432995"/>
          <c:h val="0.77510855301924264"/>
        </c:manualLayout>
      </c:layout>
      <c:pieChart>
        <c:varyColors val="1"/>
        <c:ser>
          <c:idx val="0"/>
          <c:order val="0"/>
          <c:dLbls>
            <c:dLbl>
              <c:idx val="1"/>
              <c:spPr/>
              <c:txPr>
                <a:bodyPr/>
                <a:lstStyle/>
                <a:p>
                  <a:pPr>
                    <a:defRPr sz="1600" b="1"/>
                  </a:pPr>
                  <a:endParaRPr lang="zh-CN"/>
                </a:p>
              </c:txPr>
            </c:dLbl>
            <c:dLbl>
              <c:idx val="3"/>
              <c:layout/>
              <c:dLblPos val="inEnd"/>
              <c:showVal val="1"/>
            </c:dLbl>
            <c:dLblPos val="bestFit"/>
            <c:showVal val="1"/>
            <c:showLeaderLines val="1"/>
          </c:dLbls>
          <c:cat>
            <c:strRef>
              <c:f>('骨骼动画时间分布-503'!$E$88,'骨骼动画时间分布-503'!$G$88,'骨骼动画时间分布-503'!$I$88,'骨骼动画时间分布-503'!$K$88,'骨骼动画时间分布-503'!$O$88)</c:f>
              <c:strCache>
                <c:ptCount val="5"/>
                <c:pt idx="0">
                  <c:v>CPU计算骨骼</c:v>
                </c:pt>
                <c:pt idx="1">
                  <c:v>CPU计算顶点</c:v>
                </c:pt>
                <c:pt idx="2">
                  <c:v>GPU渲染面片</c:v>
                </c:pt>
                <c:pt idx="3">
                  <c:v>其它</c:v>
                </c:pt>
                <c:pt idx="4">
                  <c:v>传输</c:v>
                </c:pt>
              </c:strCache>
            </c:strRef>
          </c:cat>
          <c:val>
            <c:numRef>
              <c:f>('骨骼动画时间分布-503'!$E$144,'骨骼动画时间分布-503'!$G$144,'骨骼动画时间分布-503'!$I$144,'骨骼动画时间分布-503'!$K$144,'骨骼动画时间分布-503'!$O$144)</c:f>
              <c:numCache>
                <c:formatCode>0%</c:formatCode>
                <c:ptCount val="5"/>
                <c:pt idx="0">
                  <c:v>0.18</c:v>
                </c:pt>
                <c:pt idx="1">
                  <c:v>0.17</c:v>
                </c:pt>
                <c:pt idx="2">
                  <c:v>0.34499999999999997</c:v>
                </c:pt>
                <c:pt idx="3">
                  <c:v>0.17499999999999993</c:v>
                </c:pt>
                <c:pt idx="4">
                  <c:v>0.48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egendEntry>
        <c:idx val="1"/>
        <c:txPr>
          <a:bodyPr/>
          <a:lstStyle/>
          <a:p>
            <a:pPr rtl="0">
              <a:defRPr b="1">
                <a:solidFill>
                  <a:srgbClr val="C00000"/>
                </a:solidFill>
              </a:defRPr>
            </a:pPr>
            <a:endParaRPr lang="zh-CN"/>
          </a:p>
        </c:txPr>
      </c:legendEntry>
      <c:layout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zero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2"/>
          <c:order val="0"/>
          <c:tx>
            <c:strRef>
              <c:f>'8350m'!$B$31</c:f>
              <c:strCache>
                <c:ptCount val="1"/>
                <c:pt idx="0">
                  <c:v>kernel
speedup</c:v>
                </c:pt>
              </c:strCache>
            </c:strRef>
          </c:tx>
          <c:dLbls>
            <c:dLbl>
              <c:idx val="1"/>
              <c:layout>
                <c:manualLayout>
                  <c:x val="-5.1020997375328093E-2"/>
                  <c:y val="-6.3177541403815762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5.1020997375328093E-2"/>
                  <c:y val="-7.8772083314147534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5.1020997375328093E-2"/>
                  <c:y val="-6.3177541403815748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5.1020997375327982E-2"/>
                  <c:y val="-7.097481235898144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'8350m'!$C$28:$G$28</c:f>
              <c:strCache>
                <c:ptCount val="5"/>
                <c:pt idx="0">
                  <c:v>cpu</c:v>
                </c:pt>
                <c:pt idx="1">
                  <c:v>openmp</c:v>
                </c:pt>
                <c:pt idx="2">
                  <c:v>sse</c:v>
                </c:pt>
                <c:pt idx="3">
                  <c:v>openmp
+sse</c:v>
                </c:pt>
                <c:pt idx="4">
                  <c:v>opencl</c:v>
                </c:pt>
              </c:strCache>
            </c:strRef>
          </c:cat>
          <c:val>
            <c:numRef>
              <c:f>'8350m'!$C$31:$G$31</c:f>
              <c:numCache>
                <c:formatCode>0.00_ </c:formatCode>
                <c:ptCount val="5"/>
                <c:pt idx="0" formatCode="General">
                  <c:v>1</c:v>
                </c:pt>
                <c:pt idx="1">
                  <c:v>1.7722222222222221</c:v>
                </c:pt>
                <c:pt idx="2">
                  <c:v>1.4700460829493085</c:v>
                </c:pt>
                <c:pt idx="3">
                  <c:v>1.7624309392265192</c:v>
                </c:pt>
                <c:pt idx="4">
                  <c:v>27.5</c:v>
                </c:pt>
              </c:numCache>
            </c:numRef>
          </c:val>
        </c:ser>
        <c:ser>
          <c:idx val="3"/>
          <c:order val="1"/>
          <c:tx>
            <c:strRef>
              <c:f>'8350m'!$B$32</c:f>
              <c:strCache>
                <c:ptCount val="1"/>
                <c:pt idx="0">
                  <c:v>frame
speedup</c:v>
                </c:pt>
              </c:strCache>
            </c:strRef>
          </c:tx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5.1020997375328093E-2"/>
                  <c:y val="4.7582999493484414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5.1020997375328093E-2"/>
                  <c:y val="4.7582999493484393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5.1020997375328093E-2"/>
                  <c:y val="4.7582999493484414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5.1020997375327982E-2"/>
                  <c:y val="5.5380270448650112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'8350m'!$C$28:$G$28</c:f>
              <c:strCache>
                <c:ptCount val="5"/>
                <c:pt idx="0">
                  <c:v>cpu</c:v>
                </c:pt>
                <c:pt idx="1">
                  <c:v>openmp</c:v>
                </c:pt>
                <c:pt idx="2">
                  <c:v>sse</c:v>
                </c:pt>
                <c:pt idx="3">
                  <c:v>openmp
+sse</c:v>
                </c:pt>
                <c:pt idx="4">
                  <c:v>opencl</c:v>
                </c:pt>
              </c:strCache>
            </c:strRef>
          </c:cat>
          <c:val>
            <c:numRef>
              <c:f>'8350m'!$C$32:$G$32</c:f>
              <c:numCache>
                <c:formatCode>0.00_ </c:formatCode>
                <c:ptCount val="5"/>
                <c:pt idx="0" formatCode="General">
                  <c:v>1</c:v>
                </c:pt>
                <c:pt idx="1">
                  <c:v>1.4557377049180327</c:v>
                </c:pt>
                <c:pt idx="2">
                  <c:v>1.2982456140350875</c:v>
                </c:pt>
                <c:pt idx="3">
                  <c:v>1.4509803921568627</c:v>
                </c:pt>
                <c:pt idx="4">
                  <c:v>16.028880866425993</c:v>
                </c:pt>
              </c:numCache>
            </c:numRef>
          </c:val>
        </c:ser>
        <c:dLbls>
          <c:showVal val="1"/>
        </c:dLbls>
        <c:marker val="1"/>
        <c:axId val="84060032"/>
        <c:axId val="84061568"/>
      </c:lineChart>
      <c:catAx>
        <c:axId val="84060032"/>
        <c:scaling>
          <c:orientation val="minMax"/>
        </c:scaling>
        <c:axPos val="b"/>
        <c:numFmt formatCode="General" sourceLinked="0"/>
        <c:majorTickMark val="none"/>
        <c:tickLblPos val="nextTo"/>
        <c:spPr>
          <a:ln w="9525">
            <a:noFill/>
          </a:ln>
        </c:spPr>
        <c:crossAx val="84061568"/>
        <c:crosses val="autoZero"/>
        <c:auto val="1"/>
        <c:lblAlgn val="ctr"/>
        <c:lblOffset val="100"/>
      </c:catAx>
      <c:valAx>
        <c:axId val="84061568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84060032"/>
        <c:crosses val="autoZero"/>
        <c:crossBetween val="between"/>
      </c:valAx>
    </c:plotArea>
    <c:legend>
      <c:legendPos val="b"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3137254901960784E-2"/>
          <c:y val="1.0937406947103486E-2"/>
          <c:w val="0.63812193237119152"/>
          <c:h val="0.73442860183017866"/>
        </c:manualLayout>
      </c:layout>
      <c:barChart>
        <c:barDir val="col"/>
        <c:grouping val="clustered"/>
        <c:ser>
          <c:idx val="1"/>
          <c:order val="0"/>
          <c:tx>
            <c:strRef>
              <c:f>'骨骼动画时间分布-503'!$T$188</c:f>
              <c:strCache>
                <c:ptCount val="1"/>
                <c:pt idx="0">
                  <c:v>串行
优化</c:v>
                </c:pt>
              </c:strCache>
            </c:strRef>
          </c:tx>
          <c:dLbls>
            <c:dLblPos val="outEnd"/>
            <c:showVal val="1"/>
          </c:dLbls>
          <c:cat>
            <c:strRef>
              <c:f>'骨骼动画时间分布-503'!$U$187:$V$187</c:f>
              <c:strCache>
                <c:ptCount val="2"/>
                <c:pt idx="0">
                  <c:v>全局
动画渲染</c:v>
                </c:pt>
                <c:pt idx="1">
                  <c:v>局部
计算顶点</c:v>
                </c:pt>
              </c:strCache>
            </c:strRef>
          </c:cat>
          <c:val>
            <c:numRef>
              <c:f>'骨骼动画时间分布-503'!$U$188:$V$188</c:f>
              <c:numCache>
                <c:formatCode>0.0_ </c:formatCode>
                <c:ptCount val="2"/>
                <c:pt idx="0">
                  <c:v>4.97</c:v>
                </c:pt>
                <c:pt idx="1">
                  <c:v>3.93</c:v>
                </c:pt>
              </c:numCache>
            </c:numRef>
          </c:val>
        </c:ser>
        <c:ser>
          <c:idx val="2"/>
          <c:order val="1"/>
          <c:tx>
            <c:strRef>
              <c:f>'骨骼动画时间分布-503'!$T$189</c:f>
              <c:strCache>
                <c:ptCount val="1"/>
                <c:pt idx="0">
                  <c:v>CPU
OpenCL</c:v>
                </c:pt>
              </c:strCache>
            </c:strRef>
          </c:tx>
          <c:dLbls>
            <c:dLblPos val="outEnd"/>
            <c:showVal val="1"/>
          </c:dLbls>
          <c:cat>
            <c:strRef>
              <c:f>'骨骼动画时间分布-503'!$U$187:$V$187</c:f>
              <c:strCache>
                <c:ptCount val="2"/>
                <c:pt idx="0">
                  <c:v>全局
动画渲染</c:v>
                </c:pt>
                <c:pt idx="1">
                  <c:v>局部
计算顶点</c:v>
                </c:pt>
              </c:strCache>
            </c:strRef>
          </c:cat>
          <c:val>
            <c:numRef>
              <c:f>'骨骼动画时间分布-503'!$U$189:$V$189</c:f>
              <c:numCache>
                <c:formatCode>0.0</c:formatCode>
                <c:ptCount val="2"/>
                <c:pt idx="0">
                  <c:v>1.28</c:v>
                </c:pt>
                <c:pt idx="1">
                  <c:v>0.22</c:v>
                </c:pt>
              </c:numCache>
            </c:numRef>
          </c:val>
        </c:ser>
        <c:ser>
          <c:idx val="3"/>
          <c:order val="2"/>
          <c:tx>
            <c:strRef>
              <c:f>'骨骼动画时间分布-503'!$T$190</c:f>
              <c:strCache>
                <c:ptCount val="1"/>
                <c:pt idx="0">
                  <c:v>GLSL</c:v>
                </c:pt>
              </c:strCache>
            </c:strRef>
          </c:tx>
          <c:dLbls>
            <c:dLbl>
              <c:idx val="1"/>
              <c:layout>
                <c:manualLayout>
                  <c:x val="0"/>
                  <c:y val="3.003003003003004E-2"/>
                </c:manualLayout>
              </c:layout>
              <c:dLblPos val="outEnd"/>
              <c:showVal val="1"/>
            </c:dLbl>
            <c:dLblPos val="outEnd"/>
            <c:showVal val="1"/>
          </c:dLbls>
          <c:cat>
            <c:strRef>
              <c:f>'骨骼动画时间分布-503'!$U$187:$V$187</c:f>
              <c:strCache>
                <c:ptCount val="2"/>
                <c:pt idx="0">
                  <c:v>全局
动画渲染</c:v>
                </c:pt>
                <c:pt idx="1">
                  <c:v>局部
计算顶点</c:v>
                </c:pt>
              </c:strCache>
            </c:strRef>
          </c:cat>
          <c:val>
            <c:numRef>
              <c:f>'骨骼动画时间分布-503'!$U$190:$V$190</c:f>
              <c:numCache>
                <c:formatCode>0.00</c:formatCode>
                <c:ptCount val="2"/>
                <c:pt idx="0">
                  <c:v>0.16</c:v>
                </c:pt>
                <c:pt idx="1">
                  <c:v>0.02</c:v>
                </c:pt>
              </c:numCache>
            </c:numRef>
          </c:val>
        </c:ser>
        <c:ser>
          <c:idx val="4"/>
          <c:order val="3"/>
          <c:tx>
            <c:strRef>
              <c:f>'骨骼动画时间分布-503'!$T$191</c:f>
              <c:strCache>
                <c:ptCount val="1"/>
                <c:pt idx="0">
                  <c:v>CUDA</c:v>
                </c:pt>
              </c:strCache>
            </c:strRef>
          </c:tx>
          <c:dLbls>
            <c:dLblPos val="outEnd"/>
            <c:showVal val="1"/>
          </c:dLbls>
          <c:cat>
            <c:strRef>
              <c:f>'骨骼动画时间分布-503'!$U$187:$V$187</c:f>
              <c:strCache>
                <c:ptCount val="2"/>
                <c:pt idx="0">
                  <c:v>全局
动画渲染</c:v>
                </c:pt>
                <c:pt idx="1">
                  <c:v>局部
计算顶点</c:v>
                </c:pt>
              </c:strCache>
            </c:strRef>
          </c:cat>
          <c:val>
            <c:numRef>
              <c:f>'骨骼动画时间分布-503'!$U$191:$V$191</c:f>
              <c:numCache>
                <c:formatCode>General</c:formatCode>
                <c:ptCount val="2"/>
                <c:pt idx="0" formatCode="0.0">
                  <c:v>1.1399999999999999</c:v>
                </c:pt>
                <c:pt idx="1">
                  <c:v>0.1</c:v>
                </c:pt>
              </c:numCache>
            </c:numRef>
          </c:val>
        </c:ser>
        <c:ser>
          <c:idx val="0"/>
          <c:order val="4"/>
          <c:tx>
            <c:strRef>
              <c:f>'骨骼动画时间分布-503'!$T$192</c:f>
              <c:strCache>
                <c:ptCount val="1"/>
                <c:pt idx="0">
                  <c:v>GPU
OpenCL</c:v>
                </c:pt>
              </c:strCache>
            </c:strRef>
          </c:tx>
          <c:dLbls>
            <c:dLblPos val="outEnd"/>
            <c:showVal val="1"/>
          </c:dLbls>
          <c:cat>
            <c:strRef>
              <c:f>'骨骼动画时间分布-503'!$U$187:$V$187</c:f>
              <c:strCache>
                <c:ptCount val="2"/>
                <c:pt idx="0">
                  <c:v>全局
动画渲染</c:v>
                </c:pt>
                <c:pt idx="1">
                  <c:v>局部
计算顶点</c:v>
                </c:pt>
              </c:strCache>
            </c:strRef>
          </c:cat>
          <c:val>
            <c:numRef>
              <c:f>'骨骼动画时间分布-503'!$U$192:$V$192</c:f>
              <c:numCache>
                <c:formatCode>0.0</c:formatCode>
                <c:ptCount val="2"/>
                <c:pt idx="0">
                  <c:v>0.54</c:v>
                </c:pt>
                <c:pt idx="1">
                  <c:v>0.17</c:v>
                </c:pt>
              </c:numCache>
            </c:numRef>
          </c:val>
        </c:ser>
        <c:dLbls>
          <c:showVal val="1"/>
        </c:dLbls>
        <c:axId val="109645184"/>
        <c:axId val="109655168"/>
      </c:barChart>
      <c:catAx>
        <c:axId val="109645184"/>
        <c:scaling>
          <c:orientation val="minMax"/>
        </c:scaling>
        <c:axPos val="b"/>
        <c:tickLblPos val="nextTo"/>
        <c:crossAx val="109655168"/>
        <c:crosses val="autoZero"/>
        <c:auto val="1"/>
        <c:lblAlgn val="ctr"/>
        <c:lblOffset val="100"/>
      </c:catAx>
      <c:valAx>
        <c:axId val="109655168"/>
        <c:scaling>
          <c:orientation val="minMax"/>
        </c:scaling>
        <c:delete val="1"/>
        <c:axPos val="l"/>
        <c:numFmt formatCode="0.0_ " sourceLinked="1"/>
        <c:tickLblPos val="nextTo"/>
        <c:crossAx val="109645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378632082754356"/>
          <c:y val="0.1315294047966562"/>
          <c:w val="0.17197045329546079"/>
          <c:h val="0.86847036012390344"/>
        </c:manualLayout>
      </c:layout>
    </c:legend>
    <c:plotVisOnly val="1"/>
    <c:dispBlanksAs val="gap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CN" sz="1200">
                <a:latin typeface="幼圆" pitchFamily="49" charset="-122"/>
                <a:ea typeface="幼圆" pitchFamily="49" charset="-122"/>
              </a:rPr>
              <a:t>GLSL GL</a:t>
            </a:r>
            <a:r>
              <a:rPr lang="zh-CN" altLang="en-US" sz="1200">
                <a:latin typeface="幼圆" pitchFamily="49" charset="-122"/>
                <a:ea typeface="幼圆" pitchFamily="49" charset="-122"/>
              </a:rPr>
              <a:t>互操作</a:t>
            </a:r>
          </a:p>
        </c:rich>
      </c:tx>
      <c:layout>
        <c:manualLayout>
          <c:xMode val="edge"/>
          <c:yMode val="edge"/>
          <c:x val="0.13216896267094755"/>
          <c:y val="0.85102891546249915"/>
        </c:manualLayout>
      </c:layout>
      <c:overlay val="1"/>
    </c:title>
    <c:plotArea>
      <c:layout>
        <c:manualLayout>
          <c:layoutTarget val="inner"/>
          <c:xMode val="edge"/>
          <c:yMode val="edge"/>
          <c:x val="8.008472293761576E-2"/>
          <c:y val="8.5303652303045957E-2"/>
          <c:w val="0.4469145521432995"/>
          <c:h val="0.77510855301924264"/>
        </c:manualLayout>
      </c:layout>
      <c:pieChart>
        <c:varyColors val="1"/>
        <c:ser>
          <c:idx val="0"/>
          <c:order val="0"/>
          <c:dLbls>
            <c:dLbl>
              <c:idx val="1"/>
              <c:spPr/>
              <c:txPr>
                <a:bodyPr/>
                <a:lstStyle/>
                <a:p>
                  <a:pPr>
                    <a:defRPr sz="1600" b="1"/>
                  </a:pPr>
                  <a:endParaRPr lang="zh-CN"/>
                </a:p>
              </c:txPr>
            </c:dLbl>
            <c:dLbl>
              <c:idx val="3"/>
              <c:layout/>
              <c:dLblPos val="inEnd"/>
              <c:showVal val="1"/>
            </c:dLbl>
            <c:dLblPos val="bestFit"/>
            <c:showVal val="1"/>
            <c:showLeaderLines val="1"/>
          </c:dLbls>
          <c:cat>
            <c:strRef>
              <c:f>('骨骼动画时间分布-503'!$E$88,'骨骼动画时间分布-503'!$G$88,'骨骼动画时间分布-503'!$I$88,'骨骼动画时间分布-503'!$K$88,'骨骼动画时间分布-503'!$O$88)</c:f>
              <c:strCache>
                <c:ptCount val="5"/>
                <c:pt idx="0">
                  <c:v>CPU计算骨骼</c:v>
                </c:pt>
                <c:pt idx="1">
                  <c:v>CPU计算顶点</c:v>
                </c:pt>
                <c:pt idx="2">
                  <c:v>GPU渲染面片</c:v>
                </c:pt>
                <c:pt idx="3">
                  <c:v>其它</c:v>
                </c:pt>
                <c:pt idx="4">
                  <c:v>传输</c:v>
                </c:pt>
              </c:strCache>
            </c:strRef>
          </c:cat>
          <c:val>
            <c:numRef>
              <c:f>('骨骼动画时间分布-503'!$E$335,'骨骼动画时间分布-503'!$G$335,'骨骼动画时间分布-503'!$I$335,'骨骼动画时间分布-503'!$K$335,'骨骼动画时间分布-503'!$O$335)</c:f>
              <c:numCache>
                <c:formatCode>0%</c:formatCode>
                <c:ptCount val="5"/>
                <c:pt idx="0">
                  <c:v>0.23076923076923075</c:v>
                </c:pt>
                <c:pt idx="1">
                  <c:v>2.564102564102564E-2</c:v>
                </c:pt>
                <c:pt idx="2">
                  <c:v>0.4358974358974359</c:v>
                </c:pt>
                <c:pt idx="3">
                  <c:v>0.17948717948717954</c:v>
                </c:pt>
                <c:pt idx="4">
                  <c:v>0.12820512820512822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egendEntry>
        <c:idx val="1"/>
        <c:txPr>
          <a:bodyPr/>
          <a:lstStyle/>
          <a:p>
            <a:pPr rtl="0">
              <a:defRPr b="1">
                <a:solidFill>
                  <a:srgbClr val="C00000"/>
                </a:solidFill>
              </a:defRPr>
            </a:pPr>
            <a:endParaRPr lang="zh-CN"/>
          </a:p>
        </c:txPr>
      </c:legendEntry>
      <c:layout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zero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3137254901960784E-2"/>
          <c:y val="1.0937406947103486E-2"/>
          <c:w val="0.62751181102362263"/>
          <c:h val="0.6803745477761225"/>
        </c:manualLayout>
      </c:layout>
      <c:barChart>
        <c:barDir val="col"/>
        <c:grouping val="clustered"/>
        <c:ser>
          <c:idx val="1"/>
          <c:order val="0"/>
          <c:tx>
            <c:strRef>
              <c:f>'骨骼动画时间分布-503'!$T$188</c:f>
              <c:strCache>
                <c:ptCount val="1"/>
                <c:pt idx="0">
                  <c:v>串行
优化</c:v>
                </c:pt>
              </c:strCache>
            </c:strRef>
          </c:tx>
          <c:dLbls>
            <c:dLblPos val="outEnd"/>
            <c:showVal val="1"/>
          </c:dLbls>
          <c:cat>
            <c:strRef>
              <c:f>'骨骼动画时间分布-503'!$U$187:$V$187</c:f>
              <c:strCache>
                <c:ptCount val="2"/>
                <c:pt idx="0">
                  <c:v>全局
动画渲染</c:v>
                </c:pt>
                <c:pt idx="1">
                  <c:v>局部
计算顶点</c:v>
                </c:pt>
              </c:strCache>
            </c:strRef>
          </c:cat>
          <c:val>
            <c:numRef>
              <c:f>'骨骼动画时间分布-503'!$U$188:$V$188</c:f>
              <c:numCache>
                <c:formatCode>0.0_ </c:formatCode>
                <c:ptCount val="2"/>
                <c:pt idx="0">
                  <c:v>4.97</c:v>
                </c:pt>
                <c:pt idx="1">
                  <c:v>3.93</c:v>
                </c:pt>
              </c:numCache>
            </c:numRef>
          </c:val>
        </c:ser>
        <c:ser>
          <c:idx val="2"/>
          <c:order val="1"/>
          <c:tx>
            <c:strRef>
              <c:f>'骨骼动画时间分布-503'!$T$189</c:f>
              <c:strCache>
                <c:ptCount val="1"/>
                <c:pt idx="0">
                  <c:v>CPU
OpenCL</c:v>
                </c:pt>
              </c:strCache>
            </c:strRef>
          </c:tx>
          <c:dLbls>
            <c:dLblPos val="outEnd"/>
            <c:showVal val="1"/>
          </c:dLbls>
          <c:cat>
            <c:strRef>
              <c:f>'骨骼动画时间分布-503'!$U$187:$V$187</c:f>
              <c:strCache>
                <c:ptCount val="2"/>
                <c:pt idx="0">
                  <c:v>全局
动画渲染</c:v>
                </c:pt>
                <c:pt idx="1">
                  <c:v>局部
计算顶点</c:v>
                </c:pt>
              </c:strCache>
            </c:strRef>
          </c:cat>
          <c:val>
            <c:numRef>
              <c:f>'骨骼动画时间分布-503'!$U$189:$V$189</c:f>
              <c:numCache>
                <c:formatCode>0.0</c:formatCode>
                <c:ptCount val="2"/>
                <c:pt idx="0">
                  <c:v>1.28</c:v>
                </c:pt>
                <c:pt idx="1">
                  <c:v>0.22</c:v>
                </c:pt>
              </c:numCache>
            </c:numRef>
          </c:val>
        </c:ser>
        <c:ser>
          <c:idx val="0"/>
          <c:order val="2"/>
          <c:tx>
            <c:strRef>
              <c:f>'骨骼动画时间分布-503'!$T$190</c:f>
              <c:strCache>
                <c:ptCount val="1"/>
                <c:pt idx="0">
                  <c:v>GLSL</c:v>
                </c:pt>
              </c:strCache>
            </c:strRef>
          </c:tx>
          <c:dLbls>
            <c:dLbl>
              <c:idx val="1"/>
              <c:layout>
                <c:manualLayout>
                  <c:x val="0"/>
                  <c:y val="4.0404040404040414E-2"/>
                </c:manualLayout>
              </c:layout>
              <c:dLblPos val="outEnd"/>
              <c:showVal val="1"/>
            </c:dLbl>
            <c:dLblPos val="outEnd"/>
            <c:showVal val="1"/>
          </c:dLbls>
          <c:cat>
            <c:strRef>
              <c:f>'骨骼动画时间分布-503'!$U$187:$V$187</c:f>
              <c:strCache>
                <c:ptCount val="2"/>
                <c:pt idx="0">
                  <c:v>全局
动画渲染</c:v>
                </c:pt>
                <c:pt idx="1">
                  <c:v>局部
计算顶点</c:v>
                </c:pt>
              </c:strCache>
            </c:strRef>
          </c:cat>
          <c:val>
            <c:numRef>
              <c:f>'骨骼动画时间分布-503'!$U$190:$V$190</c:f>
              <c:numCache>
                <c:formatCode>0.00</c:formatCode>
                <c:ptCount val="2"/>
                <c:pt idx="0">
                  <c:v>0.16</c:v>
                </c:pt>
                <c:pt idx="1">
                  <c:v>0.02</c:v>
                </c:pt>
              </c:numCache>
            </c:numRef>
          </c:val>
        </c:ser>
        <c:dLbls>
          <c:showVal val="1"/>
        </c:dLbls>
        <c:axId val="109730048"/>
        <c:axId val="109748224"/>
      </c:barChart>
      <c:catAx>
        <c:axId val="109730048"/>
        <c:scaling>
          <c:orientation val="minMax"/>
        </c:scaling>
        <c:axPos val="b"/>
        <c:tickLblPos val="nextTo"/>
        <c:crossAx val="109748224"/>
        <c:crosses val="autoZero"/>
        <c:auto val="1"/>
        <c:lblAlgn val="ctr"/>
        <c:lblOffset val="100"/>
      </c:catAx>
      <c:valAx>
        <c:axId val="109748224"/>
        <c:scaling>
          <c:orientation val="minMax"/>
        </c:scaling>
        <c:delete val="1"/>
        <c:axPos val="l"/>
        <c:numFmt formatCode="0.0_ " sourceLinked="1"/>
        <c:tickLblPos val="nextTo"/>
        <c:crossAx val="1097300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378632082754356"/>
          <c:y val="0.1315294047966562"/>
          <c:w val="0.24191366004622647"/>
          <c:h val="0.60941064185158678"/>
        </c:manualLayout>
      </c:layout>
    </c:legend>
    <c:plotVisOnly val="1"/>
    <c:dispBlanksAs val="gap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'骨骼动画时间分布-503'!$V$30</c:f>
              <c:strCache>
                <c:ptCount val="1"/>
                <c:pt idx="0">
                  <c:v>全局</c:v>
                </c:pt>
              </c:strCache>
            </c:strRef>
          </c:tx>
          <c:dLbls>
            <c:dLbl>
              <c:idx val="0"/>
              <c:delete val="1"/>
            </c:dLbl>
            <c:dLbl>
              <c:idx val="1"/>
              <c:layout>
                <c:manualLayout>
                  <c:x val="-2.658995609358818E-2"/>
                  <c:y val="-5.0481033380801413E-2"/>
                </c:manualLayout>
              </c:layout>
              <c:dLblPos val="r"/>
              <c:showVal val="1"/>
            </c:dLbl>
            <c:dLbl>
              <c:idx val="2"/>
              <c:layout>
                <c:manualLayout>
                  <c:x val="-5.5330961446034929E-2"/>
                  <c:y val="-7.1691353733334809E-2"/>
                </c:manualLayout>
              </c:layout>
              <c:dLblPos val="r"/>
              <c:showVal val="1"/>
            </c:dLbl>
            <c:dLbl>
              <c:idx val="3"/>
              <c:layout>
                <c:manualLayout>
                  <c:x val="-5.2318524690993524E-2"/>
                  <c:y val="4.9502407563712512E-2"/>
                </c:manualLayout>
              </c:layout>
              <c:dLblPos val="r"/>
              <c:showVal val="1"/>
            </c:dLbl>
            <c:dLblPos val="b"/>
            <c:showVal val="1"/>
          </c:dLbls>
          <c:cat>
            <c:strRef>
              <c:f>'骨骼动画时间分布-503'!$T$188:$T$190</c:f>
              <c:strCache>
                <c:ptCount val="3"/>
                <c:pt idx="0">
                  <c:v>串行
优化</c:v>
                </c:pt>
                <c:pt idx="1">
                  <c:v>CPU
OpenCL</c:v>
                </c:pt>
                <c:pt idx="2">
                  <c:v>GLSL</c:v>
                </c:pt>
              </c:strCache>
            </c:strRef>
          </c:cat>
          <c:val>
            <c:numRef>
              <c:f>'骨骼动画时间分布-503'!$W$188:$W$190</c:f>
              <c:numCache>
                <c:formatCode>0.00</c:formatCode>
                <c:ptCount val="3"/>
                <c:pt idx="0" formatCode="0">
                  <c:v>1</c:v>
                </c:pt>
                <c:pt idx="1">
                  <c:v>3.8828124999999996</c:v>
                </c:pt>
                <c:pt idx="2" formatCode="0">
                  <c:v>31.062499999999996</c:v>
                </c:pt>
              </c:numCache>
            </c:numRef>
          </c:val>
        </c:ser>
        <c:ser>
          <c:idx val="1"/>
          <c:order val="1"/>
          <c:tx>
            <c:strRef>
              <c:f>'骨骼动画时间分布-503'!$X$187</c:f>
              <c:strCache>
                <c:ptCount val="1"/>
                <c:pt idx="0">
                  <c:v>局部</c:v>
                </c:pt>
              </c:strCache>
            </c:strRef>
          </c:tx>
          <c:dLbls>
            <c:dLbl>
              <c:idx val="0"/>
              <c:layout>
                <c:manualLayout>
                  <c:x val="-8.2882722836850387E-2"/>
                  <c:y val="-3.8801116804772252E-2"/>
                </c:manualLayout>
              </c:layout>
              <c:dLblPos val="r"/>
              <c:showVal val="1"/>
            </c:dLbl>
            <c:dLbl>
              <c:idx val="1"/>
              <c:layout>
                <c:manualLayout>
                  <c:x val="-7.2616582824590506E-2"/>
                  <c:y val="-8.3330343226848264E-2"/>
                </c:manualLayout>
              </c:layout>
              <c:dLblPos val="r"/>
              <c:showVal val="1"/>
            </c:dLbl>
            <c:dLbl>
              <c:idx val="2"/>
              <c:layout>
                <c:manualLayout>
                  <c:x val="-4.9831006755697314E-2"/>
                  <c:y val="-7.4862773807551103E-2"/>
                </c:manualLayout>
              </c:layout>
              <c:dLblPos val="r"/>
              <c:showVal val="1"/>
            </c:dLbl>
            <c:dLbl>
              <c:idx val="3"/>
              <c:layout>
                <c:manualLayout>
                  <c:x val="-4.7496720114975938E-2"/>
                  <c:y val="-6.6618226360380506E-2"/>
                </c:manualLayout>
              </c:layout>
              <c:dLblPos val="r"/>
              <c:showVal val="1"/>
            </c:dLbl>
            <c:dLblPos val="t"/>
            <c:showVal val="1"/>
          </c:dLbls>
          <c:cat>
            <c:strRef>
              <c:f>'骨骼动画时间分布-503'!$T$188:$T$190</c:f>
              <c:strCache>
                <c:ptCount val="3"/>
                <c:pt idx="0">
                  <c:v>串行
优化</c:v>
                </c:pt>
                <c:pt idx="1">
                  <c:v>CPU
OpenCL</c:v>
                </c:pt>
                <c:pt idx="2">
                  <c:v>GLSL</c:v>
                </c:pt>
              </c:strCache>
            </c:strRef>
          </c:cat>
          <c:val>
            <c:numRef>
              <c:f>'骨骼动画时间分布-503'!$X$188:$X$190</c:f>
              <c:numCache>
                <c:formatCode>0.0</c:formatCode>
                <c:ptCount val="3"/>
                <c:pt idx="0" formatCode="0">
                  <c:v>1</c:v>
                </c:pt>
                <c:pt idx="1">
                  <c:v>17.863636363636363</c:v>
                </c:pt>
                <c:pt idx="2" formatCode="0">
                  <c:v>50</c:v>
                </c:pt>
              </c:numCache>
            </c:numRef>
          </c:val>
        </c:ser>
        <c:dLbls>
          <c:showVal val="1"/>
        </c:dLbls>
        <c:marker val="1"/>
        <c:axId val="109773184"/>
        <c:axId val="109774720"/>
      </c:lineChart>
      <c:catAx>
        <c:axId val="109773184"/>
        <c:scaling>
          <c:orientation val="minMax"/>
        </c:scaling>
        <c:axPos val="b"/>
        <c:tickLblPos val="nextTo"/>
        <c:crossAx val="109774720"/>
        <c:crosses val="autoZero"/>
        <c:auto val="1"/>
        <c:lblAlgn val="ctr"/>
        <c:lblOffset val="100"/>
      </c:catAx>
      <c:valAx>
        <c:axId val="109774720"/>
        <c:scaling>
          <c:orientation val="minMax"/>
        </c:scaling>
        <c:delete val="1"/>
        <c:axPos val="l"/>
        <c:numFmt formatCode="0" sourceLinked="1"/>
        <c:tickLblPos val="nextTo"/>
        <c:crossAx val="10977318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1077" l="0.70000000000000062" r="0.70000000000000062" t="0.75000000000001077" header="0.30000000000000032" footer="0.30000000000000032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CN" sz="1200">
                <a:latin typeface="幼圆" pitchFamily="49" charset="-122"/>
                <a:ea typeface="幼圆" pitchFamily="49" charset="-122"/>
              </a:rPr>
              <a:t>CUDA</a:t>
            </a:r>
            <a:endParaRPr lang="zh-CN" altLang="en-US" sz="1200">
              <a:latin typeface="幼圆" pitchFamily="49" charset="-122"/>
              <a:ea typeface="幼圆" pitchFamily="49" charset="-122"/>
            </a:endParaRPr>
          </a:p>
        </c:rich>
      </c:tx>
      <c:layout>
        <c:manualLayout>
          <c:xMode val="edge"/>
          <c:yMode val="edge"/>
          <c:x val="0.23525006784437691"/>
          <c:y val="0.85102891546249915"/>
        </c:manualLayout>
      </c:layout>
      <c:overlay val="1"/>
    </c:title>
    <c:plotArea>
      <c:layout>
        <c:manualLayout>
          <c:layoutTarget val="inner"/>
          <c:xMode val="edge"/>
          <c:yMode val="edge"/>
          <c:x val="8.008472293761576E-2"/>
          <c:y val="8.5303652303045957E-2"/>
          <c:w val="0.4469145521432995"/>
          <c:h val="0.77510855301924264"/>
        </c:manualLayout>
      </c:layout>
      <c:pieChart>
        <c:varyColors val="1"/>
        <c:ser>
          <c:idx val="0"/>
          <c:order val="0"/>
          <c:dLbls>
            <c:dLbl>
              <c:idx val="1"/>
              <c:spPr/>
              <c:txPr>
                <a:bodyPr/>
                <a:lstStyle/>
                <a:p>
                  <a:pPr>
                    <a:defRPr sz="1600" b="1"/>
                  </a:pPr>
                  <a:endParaRPr lang="zh-CN"/>
                </a:p>
              </c:txPr>
            </c:dLbl>
            <c:dLbl>
              <c:idx val="3"/>
              <c:dLblPos val="inEnd"/>
              <c:showVal val="1"/>
            </c:dLbl>
            <c:dLblPos val="bestFit"/>
            <c:showVal val="1"/>
            <c:showLeaderLines val="1"/>
          </c:dLbls>
          <c:cat>
            <c:strRef>
              <c:f>('骨骼动画时间分布-503'!$E$88,'骨骼动画时间分布-503'!$G$88,'骨骼动画时间分布-503'!$I$88,'骨骼动画时间分布-503'!$K$88,'骨骼动画时间分布-503'!$O$88)</c:f>
              <c:strCache>
                <c:ptCount val="5"/>
                <c:pt idx="0">
                  <c:v>CPU计算骨骼</c:v>
                </c:pt>
                <c:pt idx="1">
                  <c:v>CPU计算顶点</c:v>
                </c:pt>
                <c:pt idx="2">
                  <c:v>GPU渲染面片</c:v>
                </c:pt>
                <c:pt idx="3">
                  <c:v>其它</c:v>
                </c:pt>
                <c:pt idx="4">
                  <c:v>传输</c:v>
                </c:pt>
              </c:strCache>
            </c:strRef>
          </c:cat>
          <c:val>
            <c:numRef>
              <c:f>('骨骼动画时间分布-503'!$E$291,'骨骼动画时间分布-503'!$G$291,'骨骼动画时间分布-503'!$I$291,'骨骼动画时间分布-503'!$K$291,'骨骼动画时间分布-503'!$O$291)</c:f>
              <c:numCache>
                <c:formatCode>0%</c:formatCode>
                <c:ptCount val="5"/>
                <c:pt idx="0">
                  <c:v>0.15789473684210528</c:v>
                </c:pt>
                <c:pt idx="1">
                  <c:v>8.7719298245614044E-2</c:v>
                </c:pt>
                <c:pt idx="2">
                  <c:v>0.29824561403508776</c:v>
                </c:pt>
                <c:pt idx="3">
                  <c:v>0.2192982456140351</c:v>
                </c:pt>
                <c:pt idx="4">
                  <c:v>0.23684210526315794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egendEntry>
        <c:idx val="1"/>
        <c:txPr>
          <a:bodyPr/>
          <a:lstStyle/>
          <a:p>
            <a:pPr rtl="0">
              <a:defRPr b="1">
                <a:solidFill>
                  <a:srgbClr val="C00000"/>
                </a:solidFill>
              </a:defRPr>
            </a:pPr>
            <a:endParaRPr lang="zh-CN"/>
          </a:p>
        </c:txPr>
      </c:legendEntry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zero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3137254901960784E-2"/>
          <c:y val="1.0937406947103486E-2"/>
          <c:w val="0.62751181102362263"/>
          <c:h val="0.6803745477761225"/>
        </c:manualLayout>
      </c:layout>
      <c:barChart>
        <c:barDir val="col"/>
        <c:grouping val="clustered"/>
        <c:ser>
          <c:idx val="1"/>
          <c:order val="0"/>
          <c:tx>
            <c:strRef>
              <c:f>'骨骼动画时间分布-503'!$T$188</c:f>
              <c:strCache>
                <c:ptCount val="1"/>
                <c:pt idx="0">
                  <c:v>串行
优化</c:v>
                </c:pt>
              </c:strCache>
            </c:strRef>
          </c:tx>
          <c:dLbls>
            <c:dLblPos val="outEnd"/>
            <c:showVal val="1"/>
          </c:dLbls>
          <c:cat>
            <c:strRef>
              <c:f>'骨骼动画时间分布-503'!$U$187:$V$187</c:f>
              <c:strCache>
                <c:ptCount val="2"/>
                <c:pt idx="0">
                  <c:v>全局
动画渲染</c:v>
                </c:pt>
                <c:pt idx="1">
                  <c:v>局部
计算顶点</c:v>
                </c:pt>
              </c:strCache>
            </c:strRef>
          </c:cat>
          <c:val>
            <c:numRef>
              <c:f>'骨骼动画时间分布-503'!$U$188:$V$188</c:f>
              <c:numCache>
                <c:formatCode>0.0_ </c:formatCode>
                <c:ptCount val="2"/>
                <c:pt idx="0">
                  <c:v>4.97</c:v>
                </c:pt>
                <c:pt idx="1">
                  <c:v>3.93</c:v>
                </c:pt>
              </c:numCache>
            </c:numRef>
          </c:val>
        </c:ser>
        <c:ser>
          <c:idx val="3"/>
          <c:order val="1"/>
          <c:tx>
            <c:strRef>
              <c:f>'骨骼动画时间分布-503'!$T$189</c:f>
              <c:strCache>
                <c:ptCount val="1"/>
                <c:pt idx="0">
                  <c:v>CPU
OpenCL</c:v>
                </c:pt>
              </c:strCache>
            </c:strRef>
          </c:tx>
          <c:dLbls>
            <c:dLblPos val="outEnd"/>
            <c:showVal val="1"/>
          </c:dLbls>
          <c:cat>
            <c:strRef>
              <c:f>'骨骼动画时间分布-503'!$U$187:$V$187</c:f>
              <c:strCache>
                <c:ptCount val="2"/>
                <c:pt idx="0">
                  <c:v>全局
动画渲染</c:v>
                </c:pt>
                <c:pt idx="1">
                  <c:v>局部
计算顶点</c:v>
                </c:pt>
              </c:strCache>
            </c:strRef>
          </c:cat>
          <c:val>
            <c:numRef>
              <c:f>'骨骼动画时间分布-503'!$U$189:$V$189</c:f>
              <c:numCache>
                <c:formatCode>0.0</c:formatCode>
                <c:ptCount val="2"/>
                <c:pt idx="0">
                  <c:v>1.28</c:v>
                </c:pt>
                <c:pt idx="1">
                  <c:v>0.22</c:v>
                </c:pt>
              </c:numCache>
            </c:numRef>
          </c:val>
        </c:ser>
        <c:ser>
          <c:idx val="0"/>
          <c:order val="2"/>
          <c:tx>
            <c:strRef>
              <c:f>'骨骼动画时间分布-503'!$T$190</c:f>
              <c:strCache>
                <c:ptCount val="1"/>
                <c:pt idx="0">
                  <c:v>GLSL</c:v>
                </c:pt>
              </c:strCache>
            </c:strRef>
          </c:tx>
          <c:dLbls>
            <c:dLbl>
              <c:idx val="1"/>
              <c:layout>
                <c:manualLayout>
                  <c:x val="-6.2517055311685813E-17"/>
                  <c:y val="3.367003367003369E-2"/>
                </c:manualLayout>
              </c:layout>
              <c:dLblPos val="outEnd"/>
              <c:showVal val="1"/>
            </c:dLbl>
            <c:dLblPos val="outEnd"/>
            <c:showVal val="1"/>
          </c:dLbls>
          <c:cat>
            <c:strRef>
              <c:f>'骨骼动画时间分布-503'!$U$187:$V$187</c:f>
              <c:strCache>
                <c:ptCount val="2"/>
                <c:pt idx="0">
                  <c:v>全局
动画渲染</c:v>
                </c:pt>
                <c:pt idx="1">
                  <c:v>局部
计算顶点</c:v>
                </c:pt>
              </c:strCache>
            </c:strRef>
          </c:cat>
          <c:val>
            <c:numRef>
              <c:f>'骨骼动画时间分布-503'!$U$190:$V$190</c:f>
              <c:numCache>
                <c:formatCode>0.00</c:formatCode>
                <c:ptCount val="2"/>
                <c:pt idx="0">
                  <c:v>0.16</c:v>
                </c:pt>
                <c:pt idx="1">
                  <c:v>0.02</c:v>
                </c:pt>
              </c:numCache>
            </c:numRef>
          </c:val>
        </c:ser>
        <c:ser>
          <c:idx val="2"/>
          <c:order val="3"/>
          <c:tx>
            <c:strRef>
              <c:f>'骨骼动画时间分布-503'!$T$191</c:f>
              <c:strCache>
                <c:ptCount val="1"/>
                <c:pt idx="0">
                  <c:v>CUDA</c:v>
                </c:pt>
              </c:strCache>
            </c:strRef>
          </c:tx>
          <c:dLbls>
            <c:dLblPos val="outEnd"/>
            <c:showVal val="1"/>
          </c:dLbls>
          <c:cat>
            <c:strRef>
              <c:f>'骨骼动画时间分布-503'!$U$187:$V$187</c:f>
              <c:strCache>
                <c:ptCount val="2"/>
                <c:pt idx="0">
                  <c:v>全局
动画渲染</c:v>
                </c:pt>
                <c:pt idx="1">
                  <c:v>局部
计算顶点</c:v>
                </c:pt>
              </c:strCache>
            </c:strRef>
          </c:cat>
          <c:val>
            <c:numRef>
              <c:f>'骨骼动画时间分布-503'!$U$191:$V$191</c:f>
              <c:numCache>
                <c:formatCode>General</c:formatCode>
                <c:ptCount val="2"/>
                <c:pt idx="0" formatCode="0.0">
                  <c:v>1.1399999999999999</c:v>
                </c:pt>
                <c:pt idx="1">
                  <c:v>0.1</c:v>
                </c:pt>
              </c:numCache>
            </c:numRef>
          </c:val>
        </c:ser>
        <c:dLbls>
          <c:showVal val="1"/>
        </c:dLbls>
        <c:axId val="110989696"/>
        <c:axId val="110991232"/>
      </c:barChart>
      <c:catAx>
        <c:axId val="110989696"/>
        <c:scaling>
          <c:orientation val="minMax"/>
        </c:scaling>
        <c:axPos val="b"/>
        <c:tickLblPos val="nextTo"/>
        <c:crossAx val="110991232"/>
        <c:crosses val="autoZero"/>
        <c:auto val="1"/>
        <c:lblAlgn val="ctr"/>
        <c:lblOffset val="100"/>
      </c:catAx>
      <c:valAx>
        <c:axId val="110991232"/>
        <c:scaling>
          <c:orientation val="minMax"/>
        </c:scaling>
        <c:delete val="1"/>
        <c:axPos val="l"/>
        <c:numFmt formatCode="0.0_ " sourceLinked="1"/>
        <c:tickLblPos val="nextTo"/>
        <c:crossAx val="1109896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378632082754356"/>
          <c:y val="0.1315294047966562"/>
          <c:w val="0.16581298798101321"/>
          <c:h val="0.81254752246878492"/>
        </c:manualLayout>
      </c:layout>
    </c:legend>
    <c:plotVisOnly val="1"/>
    <c:dispBlanksAs val="gap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'骨骼动画时间分布-503'!$V$30</c:f>
              <c:strCache>
                <c:ptCount val="1"/>
                <c:pt idx="0">
                  <c:v>全局</c:v>
                </c:pt>
              </c:strCache>
            </c:strRef>
          </c:tx>
          <c:dLbls>
            <c:dLbl>
              <c:idx val="0"/>
              <c:delete val="1"/>
            </c:dLbl>
            <c:dLbl>
              <c:idx val="1"/>
              <c:layout>
                <c:manualLayout>
                  <c:x val="-5.1738335776978846E-2"/>
                  <c:y val="-5.7601224448605881E-2"/>
                </c:manualLayout>
              </c:layout>
              <c:dLblPos val="r"/>
              <c:showVal val="1"/>
            </c:dLbl>
            <c:dLbl>
              <c:idx val="2"/>
              <c:layout>
                <c:manualLayout>
                  <c:x val="-6.9701464122257903E-2"/>
                  <c:y val="-6.4571162665530396E-2"/>
                </c:manualLayout>
              </c:layout>
              <c:dLblPos val="r"/>
              <c:showVal val="1"/>
            </c:dLbl>
            <c:dLbl>
              <c:idx val="3"/>
              <c:layout>
                <c:manualLayout>
                  <c:x val="-5.2318530678335924E-2"/>
                  <c:y val="-7.1541100882455147E-2"/>
                </c:manualLayout>
              </c:layout>
              <c:dLblPos val="r"/>
              <c:showVal val="1"/>
            </c:dLbl>
            <c:dLblPos val="b"/>
            <c:showVal val="1"/>
          </c:dLbls>
          <c:cat>
            <c:strRef>
              <c:f>'骨骼动画时间分布-503'!$T$188:$T$191</c:f>
              <c:strCache>
                <c:ptCount val="4"/>
                <c:pt idx="0">
                  <c:v>串行
优化</c:v>
                </c:pt>
                <c:pt idx="1">
                  <c:v>CPU
OpenCL</c:v>
                </c:pt>
                <c:pt idx="2">
                  <c:v>GLSL</c:v>
                </c:pt>
                <c:pt idx="3">
                  <c:v>CUDA</c:v>
                </c:pt>
              </c:strCache>
            </c:strRef>
          </c:cat>
          <c:val>
            <c:numRef>
              <c:f>'骨骼动画时间分布-503'!$W$188:$W$191</c:f>
              <c:numCache>
                <c:formatCode>0.00</c:formatCode>
                <c:ptCount val="4"/>
                <c:pt idx="0" formatCode="0">
                  <c:v>1</c:v>
                </c:pt>
                <c:pt idx="1">
                  <c:v>3.8828124999999996</c:v>
                </c:pt>
                <c:pt idx="2" formatCode="0">
                  <c:v>31.062499999999996</c:v>
                </c:pt>
                <c:pt idx="3" formatCode="0.0">
                  <c:v>4.359649122807018</c:v>
                </c:pt>
              </c:numCache>
            </c:numRef>
          </c:val>
        </c:ser>
        <c:ser>
          <c:idx val="1"/>
          <c:order val="1"/>
          <c:tx>
            <c:strRef>
              <c:f>'骨骼动画时间分布-503'!$X$187</c:f>
              <c:strCache>
                <c:ptCount val="1"/>
                <c:pt idx="0">
                  <c:v>局部</c:v>
                </c:pt>
              </c:strCache>
            </c:strRef>
          </c:tx>
          <c:dLbls>
            <c:dLbl>
              <c:idx val="0"/>
              <c:layout>
                <c:manualLayout>
                  <c:x val="-7.9290097167794574E-2"/>
                  <c:y val="-3.8801116804772252E-2"/>
                </c:manualLayout>
              </c:layout>
              <c:dLblPos val="r"/>
              <c:showVal val="1"/>
            </c:dLbl>
            <c:dLbl>
              <c:idx val="1"/>
              <c:layout>
                <c:manualLayout>
                  <c:x val="-7.6209208493646E-2"/>
                  <c:y val="-6.9089961091239424E-2"/>
                </c:manualLayout>
              </c:layout>
              <c:dLblPos val="r"/>
              <c:showVal val="1"/>
            </c:dLbl>
            <c:dLbl>
              <c:idx val="2"/>
              <c:layout>
                <c:manualLayout>
                  <c:x val="-4.9831006755697314E-2"/>
                  <c:y val="-7.4862773807551103E-2"/>
                </c:manualLayout>
              </c:layout>
              <c:dLblPos val="r"/>
              <c:showVal val="1"/>
            </c:dLbl>
            <c:dLbl>
              <c:idx val="3"/>
              <c:layout>
                <c:manualLayout>
                  <c:x val="-4.7496720114975938E-2"/>
                  <c:y val="-6.6618226360380506E-2"/>
                </c:manualLayout>
              </c:layout>
              <c:dLblPos val="r"/>
              <c:showVal val="1"/>
            </c:dLbl>
            <c:dLblPos val="t"/>
            <c:showVal val="1"/>
          </c:dLbls>
          <c:cat>
            <c:strRef>
              <c:f>'骨骼动画时间分布-503'!$T$188:$T$191</c:f>
              <c:strCache>
                <c:ptCount val="4"/>
                <c:pt idx="0">
                  <c:v>串行
优化</c:v>
                </c:pt>
                <c:pt idx="1">
                  <c:v>CPU
OpenCL</c:v>
                </c:pt>
                <c:pt idx="2">
                  <c:v>GLSL</c:v>
                </c:pt>
                <c:pt idx="3">
                  <c:v>CUDA</c:v>
                </c:pt>
              </c:strCache>
            </c:strRef>
          </c:cat>
          <c:val>
            <c:numRef>
              <c:f>'骨骼动画时间分布-503'!$X$188:$X$191</c:f>
              <c:numCache>
                <c:formatCode>0.0</c:formatCode>
                <c:ptCount val="4"/>
                <c:pt idx="0" formatCode="0">
                  <c:v>1</c:v>
                </c:pt>
                <c:pt idx="1">
                  <c:v>17.863636363636363</c:v>
                </c:pt>
                <c:pt idx="2" formatCode="0">
                  <c:v>50</c:v>
                </c:pt>
                <c:pt idx="3" formatCode="0">
                  <c:v>39.299999999999997</c:v>
                </c:pt>
              </c:numCache>
            </c:numRef>
          </c:val>
        </c:ser>
        <c:dLbls>
          <c:showVal val="1"/>
        </c:dLbls>
        <c:marker val="1"/>
        <c:axId val="111028864"/>
        <c:axId val="111042944"/>
      </c:lineChart>
      <c:catAx>
        <c:axId val="111028864"/>
        <c:scaling>
          <c:orientation val="minMax"/>
        </c:scaling>
        <c:axPos val="b"/>
        <c:tickLblPos val="nextTo"/>
        <c:crossAx val="111042944"/>
        <c:crosses val="autoZero"/>
        <c:auto val="1"/>
        <c:lblAlgn val="ctr"/>
        <c:lblOffset val="100"/>
      </c:catAx>
      <c:valAx>
        <c:axId val="111042944"/>
        <c:scaling>
          <c:orientation val="minMax"/>
        </c:scaling>
        <c:delete val="1"/>
        <c:axPos val="l"/>
        <c:numFmt formatCode="0" sourceLinked="1"/>
        <c:tickLblPos val="nextTo"/>
        <c:crossAx val="11102886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1077" l="0.70000000000000062" r="0.70000000000000062" t="0.75000000000001077" header="0.30000000000000032" footer="0.30000000000000032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CN" sz="1200">
                <a:latin typeface="幼圆" pitchFamily="49" charset="-122"/>
                <a:ea typeface="幼圆" pitchFamily="49" charset="-122"/>
              </a:rPr>
              <a:t>CUDA </a:t>
            </a:r>
            <a:r>
              <a:rPr lang="zh-CN" altLang="en-US" sz="1200">
                <a:latin typeface="幼圆" pitchFamily="49" charset="-122"/>
                <a:ea typeface="幼圆" pitchFamily="49" charset="-122"/>
              </a:rPr>
              <a:t>未优化</a:t>
            </a:r>
          </a:p>
        </c:rich>
      </c:tx>
      <c:layout>
        <c:manualLayout>
          <c:xMode val="edge"/>
          <c:yMode val="edge"/>
          <c:x val="0.11424181394513376"/>
          <c:y val="0.85102891546249915"/>
        </c:manualLayout>
      </c:layout>
      <c:overlay val="1"/>
    </c:title>
    <c:plotArea>
      <c:layout>
        <c:manualLayout>
          <c:layoutTarget val="inner"/>
          <c:xMode val="edge"/>
          <c:yMode val="edge"/>
          <c:x val="8.008472293761576E-2"/>
          <c:y val="8.5303652303045957E-2"/>
          <c:w val="0.4469145521432995"/>
          <c:h val="0.77510855301924264"/>
        </c:manualLayout>
      </c:layout>
      <c:pieChart>
        <c:varyColors val="1"/>
        <c:ser>
          <c:idx val="0"/>
          <c:order val="0"/>
          <c:dLbls>
            <c:dLbl>
              <c:idx val="1"/>
              <c:spPr/>
              <c:txPr>
                <a:bodyPr/>
                <a:lstStyle/>
                <a:p>
                  <a:pPr>
                    <a:defRPr sz="1600" b="1"/>
                  </a:pPr>
                  <a:endParaRPr lang="zh-CN"/>
                </a:p>
              </c:txPr>
            </c:dLbl>
            <c:dLbl>
              <c:idx val="3"/>
              <c:layout/>
              <c:dLblPos val="inEnd"/>
              <c:showVal val="1"/>
            </c:dLbl>
            <c:dLblPos val="bestFit"/>
            <c:showVal val="1"/>
            <c:showLeaderLines val="1"/>
          </c:dLbls>
          <c:cat>
            <c:strRef>
              <c:f>('骨骼动画时间分布-503'!$E$88,'骨骼动画时间分布-503'!$G$88,'骨骼动画时间分布-503'!$I$88,'骨骼动画时间分布-503'!$K$88,'骨骼动画时间分布-503'!$O$88)</c:f>
              <c:strCache>
                <c:ptCount val="5"/>
                <c:pt idx="0">
                  <c:v>CPU计算骨骼</c:v>
                </c:pt>
                <c:pt idx="1">
                  <c:v>CPU计算顶点</c:v>
                </c:pt>
                <c:pt idx="2">
                  <c:v>GPU渲染面片</c:v>
                </c:pt>
                <c:pt idx="3">
                  <c:v>其它</c:v>
                </c:pt>
                <c:pt idx="4">
                  <c:v>传输</c:v>
                </c:pt>
              </c:strCache>
            </c:strRef>
          </c:cat>
          <c:val>
            <c:numRef>
              <c:f>('骨骼动画时间分布-503'!$E$174,'骨骼动画时间分布-503'!$G$174,'骨骼动画时间分布-503'!$I$174,'骨骼动画时间分布-503'!$K$174,'骨骼动画时间分布-503'!$O$174)</c:f>
              <c:numCache>
                <c:formatCode>0%</c:formatCode>
                <c:ptCount val="5"/>
                <c:pt idx="0">
                  <c:v>0.14754098360655737</c:v>
                </c:pt>
                <c:pt idx="1">
                  <c:v>0.13934426229508198</c:v>
                </c:pt>
                <c:pt idx="2">
                  <c:v>0.27868852459016397</c:v>
                </c:pt>
                <c:pt idx="3">
                  <c:v>0.22131147540983609</c:v>
                </c:pt>
                <c:pt idx="4">
                  <c:v>0.21311475409836067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egendEntry>
        <c:idx val="1"/>
        <c:txPr>
          <a:bodyPr/>
          <a:lstStyle/>
          <a:p>
            <a:pPr rtl="0">
              <a:defRPr b="1">
                <a:solidFill>
                  <a:srgbClr val="C00000"/>
                </a:solidFill>
              </a:defRPr>
            </a:pPr>
            <a:endParaRPr lang="zh-CN"/>
          </a:p>
        </c:txPr>
      </c:legendEntry>
      <c:layout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zero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3137254901960784E-2"/>
          <c:y val="1.0937406947103486E-2"/>
          <c:w val="0.62751181102362263"/>
          <c:h val="0.6803745477761225"/>
        </c:manualLayout>
      </c:layout>
      <c:barChart>
        <c:barDir val="col"/>
        <c:grouping val="clustered"/>
        <c:ser>
          <c:idx val="1"/>
          <c:order val="0"/>
          <c:tx>
            <c:strRef>
              <c:f>'骨骼动画时间分布-503'!$T$188</c:f>
              <c:strCache>
                <c:ptCount val="1"/>
                <c:pt idx="0">
                  <c:v>串行
优化</c:v>
                </c:pt>
              </c:strCache>
            </c:strRef>
          </c:tx>
          <c:dLbls>
            <c:dLblPos val="outEnd"/>
            <c:showVal val="1"/>
          </c:dLbls>
          <c:cat>
            <c:strRef>
              <c:f>'骨骼动画时间分布-503'!$U$187:$V$187</c:f>
              <c:strCache>
                <c:ptCount val="2"/>
                <c:pt idx="0">
                  <c:v>全局
动画渲染</c:v>
                </c:pt>
                <c:pt idx="1">
                  <c:v>局部
计算顶点</c:v>
                </c:pt>
              </c:strCache>
            </c:strRef>
          </c:cat>
          <c:val>
            <c:numRef>
              <c:f>'骨骼动画时间分布-503'!$U$188:$V$188</c:f>
              <c:numCache>
                <c:formatCode>0.0_ </c:formatCode>
                <c:ptCount val="2"/>
                <c:pt idx="0">
                  <c:v>4.97</c:v>
                </c:pt>
                <c:pt idx="1">
                  <c:v>3.93</c:v>
                </c:pt>
              </c:numCache>
            </c:numRef>
          </c:val>
        </c:ser>
        <c:ser>
          <c:idx val="3"/>
          <c:order val="1"/>
          <c:tx>
            <c:strRef>
              <c:f>'骨骼动画时间分布-503'!$T$189</c:f>
              <c:strCache>
                <c:ptCount val="1"/>
                <c:pt idx="0">
                  <c:v>CPU
OpenCL</c:v>
                </c:pt>
              </c:strCache>
            </c:strRef>
          </c:tx>
          <c:dLbls>
            <c:dLblPos val="outEnd"/>
            <c:showVal val="1"/>
          </c:dLbls>
          <c:cat>
            <c:strRef>
              <c:f>'骨骼动画时间分布-503'!$U$187:$V$187</c:f>
              <c:strCache>
                <c:ptCount val="2"/>
                <c:pt idx="0">
                  <c:v>全局
动画渲染</c:v>
                </c:pt>
                <c:pt idx="1">
                  <c:v>局部
计算顶点</c:v>
                </c:pt>
              </c:strCache>
            </c:strRef>
          </c:cat>
          <c:val>
            <c:numRef>
              <c:f>'骨骼动画时间分布-503'!$U$189:$V$189</c:f>
              <c:numCache>
                <c:formatCode>0.0</c:formatCode>
                <c:ptCount val="2"/>
                <c:pt idx="0">
                  <c:v>1.28</c:v>
                </c:pt>
                <c:pt idx="1">
                  <c:v>0.22</c:v>
                </c:pt>
              </c:numCache>
            </c:numRef>
          </c:val>
        </c:ser>
        <c:ser>
          <c:idx val="0"/>
          <c:order val="2"/>
          <c:tx>
            <c:strRef>
              <c:f>'骨骼动画时间分布-503'!$T$190</c:f>
              <c:strCache>
                <c:ptCount val="1"/>
                <c:pt idx="0">
                  <c:v>GLSL</c:v>
                </c:pt>
              </c:strCache>
            </c:strRef>
          </c:tx>
          <c:dLbls>
            <c:dLbl>
              <c:idx val="1"/>
              <c:layout>
                <c:manualLayout>
                  <c:x val="-6.2517055311685813E-17"/>
                  <c:y val="3.367003367003369E-2"/>
                </c:manualLayout>
              </c:layout>
              <c:dLblPos val="outEnd"/>
              <c:showVal val="1"/>
            </c:dLbl>
            <c:dLblPos val="outEnd"/>
            <c:showVal val="1"/>
          </c:dLbls>
          <c:cat>
            <c:strRef>
              <c:f>'骨骼动画时间分布-503'!$U$187:$V$187</c:f>
              <c:strCache>
                <c:ptCount val="2"/>
                <c:pt idx="0">
                  <c:v>全局
动画渲染</c:v>
                </c:pt>
                <c:pt idx="1">
                  <c:v>局部
计算顶点</c:v>
                </c:pt>
              </c:strCache>
            </c:strRef>
          </c:cat>
          <c:val>
            <c:numRef>
              <c:f>'骨骼动画时间分布-503'!$U$190:$V$190</c:f>
              <c:numCache>
                <c:formatCode>0.00</c:formatCode>
                <c:ptCount val="2"/>
                <c:pt idx="0">
                  <c:v>0.16</c:v>
                </c:pt>
                <c:pt idx="1">
                  <c:v>0.02</c:v>
                </c:pt>
              </c:numCache>
            </c:numRef>
          </c:val>
        </c:ser>
        <c:ser>
          <c:idx val="2"/>
          <c:order val="3"/>
          <c:tx>
            <c:strRef>
              <c:f>'骨骼动画时间分布-503'!$T$191</c:f>
              <c:strCache>
                <c:ptCount val="1"/>
                <c:pt idx="0">
                  <c:v>CUDA</c:v>
                </c:pt>
              </c:strCache>
            </c:strRef>
          </c:tx>
          <c:dLbls>
            <c:dLbl>
              <c:idx val="1"/>
              <c:layout>
                <c:manualLayout>
                  <c:x val="6.8201211833501252E-3"/>
                  <c:y val="3.367003367003369E-2"/>
                </c:manualLayout>
              </c:layout>
              <c:dLblPos val="outEnd"/>
              <c:showVal val="1"/>
            </c:dLbl>
            <c:dLblPos val="outEnd"/>
            <c:showVal val="1"/>
          </c:dLbls>
          <c:cat>
            <c:strRef>
              <c:f>'骨骼动画时间分布-503'!$U$187:$V$187</c:f>
              <c:strCache>
                <c:ptCount val="2"/>
                <c:pt idx="0">
                  <c:v>全局
动画渲染</c:v>
                </c:pt>
                <c:pt idx="1">
                  <c:v>局部
计算顶点</c:v>
                </c:pt>
              </c:strCache>
            </c:strRef>
          </c:cat>
          <c:val>
            <c:numRef>
              <c:f>'骨骼动画时间分布-503'!$U$193:$V$193</c:f>
              <c:numCache>
                <c:formatCode>General</c:formatCode>
                <c:ptCount val="2"/>
                <c:pt idx="0">
                  <c:v>1.22</c:v>
                </c:pt>
                <c:pt idx="1">
                  <c:v>0.17</c:v>
                </c:pt>
              </c:numCache>
            </c:numRef>
          </c:val>
        </c:ser>
        <c:dLbls>
          <c:showVal val="1"/>
        </c:dLbls>
        <c:axId val="111184512"/>
        <c:axId val="111194496"/>
      </c:barChart>
      <c:catAx>
        <c:axId val="111184512"/>
        <c:scaling>
          <c:orientation val="minMax"/>
        </c:scaling>
        <c:axPos val="b"/>
        <c:tickLblPos val="nextTo"/>
        <c:crossAx val="111194496"/>
        <c:crosses val="autoZero"/>
        <c:auto val="1"/>
        <c:lblAlgn val="ctr"/>
        <c:lblOffset val="100"/>
      </c:catAx>
      <c:valAx>
        <c:axId val="111194496"/>
        <c:scaling>
          <c:orientation val="minMax"/>
        </c:scaling>
        <c:delete val="1"/>
        <c:axPos val="l"/>
        <c:numFmt formatCode="0.0_ " sourceLinked="1"/>
        <c:tickLblPos val="nextTo"/>
        <c:crossAx val="1111845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378632082754356"/>
          <c:y val="0.1315294047966562"/>
          <c:w val="0.16581298798101321"/>
          <c:h val="0.81254752246878492"/>
        </c:manualLayout>
      </c:layout>
    </c:legend>
    <c:plotVisOnly val="1"/>
    <c:dispBlanksAs val="gap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'骨骼动画时间分布-503'!$V$30</c:f>
              <c:strCache>
                <c:ptCount val="1"/>
                <c:pt idx="0">
                  <c:v>全局</c:v>
                </c:pt>
              </c:strCache>
            </c:strRef>
          </c:tx>
          <c:dLbls>
            <c:dLbl>
              <c:idx val="0"/>
              <c:delete val="1"/>
            </c:dLbl>
            <c:dLbl>
              <c:idx val="1"/>
              <c:layout>
                <c:manualLayout>
                  <c:x val="-5.1738335776978846E-2"/>
                  <c:y val="-5.7601224448605881E-2"/>
                </c:manualLayout>
              </c:layout>
              <c:dLblPos val="r"/>
              <c:showVal val="1"/>
            </c:dLbl>
            <c:dLbl>
              <c:idx val="2"/>
              <c:layout>
                <c:manualLayout>
                  <c:x val="-6.9701464122257903E-2"/>
                  <c:y val="-6.4571162665530396E-2"/>
                </c:manualLayout>
              </c:layout>
              <c:dLblPos val="r"/>
              <c:showVal val="1"/>
            </c:dLbl>
            <c:dLbl>
              <c:idx val="3"/>
              <c:layout>
                <c:manualLayout>
                  <c:x val="-5.2318530678335924E-2"/>
                  <c:y val="-7.1541100882455147E-2"/>
                </c:manualLayout>
              </c:layout>
              <c:dLblPos val="r"/>
              <c:showVal val="1"/>
            </c:dLbl>
            <c:dLblPos val="b"/>
            <c:showVal val="1"/>
          </c:dLbls>
          <c:cat>
            <c:strRef>
              <c:f>'骨骼动画时间分布-503'!$T$188:$T$191</c:f>
              <c:strCache>
                <c:ptCount val="4"/>
                <c:pt idx="0">
                  <c:v>串行
优化</c:v>
                </c:pt>
                <c:pt idx="1">
                  <c:v>CPU
OpenCL</c:v>
                </c:pt>
                <c:pt idx="2">
                  <c:v>GLSL</c:v>
                </c:pt>
                <c:pt idx="3">
                  <c:v>CUDA</c:v>
                </c:pt>
              </c:strCache>
            </c:strRef>
          </c:cat>
          <c:val>
            <c:numRef>
              <c:f>('骨骼动画时间分布-503'!$W$188:$W$190,'骨骼动画时间分布-503'!$W$193)</c:f>
              <c:numCache>
                <c:formatCode>0.00</c:formatCode>
                <c:ptCount val="4"/>
                <c:pt idx="0" formatCode="0">
                  <c:v>1</c:v>
                </c:pt>
                <c:pt idx="1">
                  <c:v>3.8828124999999996</c:v>
                </c:pt>
                <c:pt idx="2" formatCode="0">
                  <c:v>31.062499999999996</c:v>
                </c:pt>
                <c:pt idx="3" formatCode="0.0">
                  <c:v>4.0737704918032787</c:v>
                </c:pt>
              </c:numCache>
            </c:numRef>
          </c:val>
        </c:ser>
        <c:ser>
          <c:idx val="1"/>
          <c:order val="1"/>
          <c:tx>
            <c:strRef>
              <c:f>'骨骼动画时间分布-503'!$X$187</c:f>
              <c:strCache>
                <c:ptCount val="1"/>
                <c:pt idx="0">
                  <c:v>局部</c:v>
                </c:pt>
              </c:strCache>
            </c:strRef>
          </c:tx>
          <c:dLbls>
            <c:dLbl>
              <c:idx val="0"/>
              <c:layout>
                <c:manualLayout>
                  <c:x val="-7.9290097167794574E-2"/>
                  <c:y val="-3.8801116804772252E-2"/>
                </c:manualLayout>
              </c:layout>
              <c:dLblPos val="r"/>
              <c:showVal val="1"/>
            </c:dLbl>
            <c:dLbl>
              <c:idx val="1"/>
              <c:layout>
                <c:manualLayout>
                  <c:x val="-7.6209208493646E-2"/>
                  <c:y val="-6.9089961091239424E-2"/>
                </c:manualLayout>
              </c:layout>
              <c:dLblPos val="r"/>
              <c:showVal val="1"/>
            </c:dLbl>
            <c:dLbl>
              <c:idx val="2"/>
              <c:layout>
                <c:manualLayout>
                  <c:x val="-4.9831006755697314E-2"/>
                  <c:y val="-7.4862773807551103E-2"/>
                </c:manualLayout>
              </c:layout>
              <c:dLblPos val="r"/>
              <c:showVal val="1"/>
            </c:dLbl>
            <c:dLbl>
              <c:idx val="3"/>
              <c:layout>
                <c:manualLayout>
                  <c:x val="-4.7496720114975938E-2"/>
                  <c:y val="-6.6618226360380506E-2"/>
                </c:manualLayout>
              </c:layout>
              <c:dLblPos val="r"/>
              <c:showVal val="1"/>
            </c:dLbl>
            <c:dLblPos val="t"/>
            <c:showVal val="1"/>
          </c:dLbls>
          <c:cat>
            <c:strRef>
              <c:f>'骨骼动画时间分布-503'!$T$188:$T$191</c:f>
              <c:strCache>
                <c:ptCount val="4"/>
                <c:pt idx="0">
                  <c:v>串行
优化</c:v>
                </c:pt>
                <c:pt idx="1">
                  <c:v>CPU
OpenCL</c:v>
                </c:pt>
                <c:pt idx="2">
                  <c:v>GLSL</c:v>
                </c:pt>
                <c:pt idx="3">
                  <c:v>CUDA</c:v>
                </c:pt>
              </c:strCache>
            </c:strRef>
          </c:cat>
          <c:val>
            <c:numRef>
              <c:f>('骨骼动画时间分布-503'!$X$188:$X$190,'骨骼动画时间分布-503'!$X$193)</c:f>
              <c:numCache>
                <c:formatCode>0.0</c:formatCode>
                <c:ptCount val="4"/>
                <c:pt idx="0" formatCode="0">
                  <c:v>1</c:v>
                </c:pt>
                <c:pt idx="1">
                  <c:v>17.863636363636363</c:v>
                </c:pt>
                <c:pt idx="2" formatCode="0">
                  <c:v>50</c:v>
                </c:pt>
                <c:pt idx="3" formatCode="0">
                  <c:v>23.117647058823529</c:v>
                </c:pt>
              </c:numCache>
            </c:numRef>
          </c:val>
        </c:ser>
        <c:dLbls>
          <c:showVal val="1"/>
        </c:dLbls>
        <c:marker val="1"/>
        <c:axId val="112338432"/>
        <c:axId val="112339968"/>
      </c:lineChart>
      <c:catAx>
        <c:axId val="112338432"/>
        <c:scaling>
          <c:orientation val="minMax"/>
        </c:scaling>
        <c:axPos val="b"/>
        <c:tickLblPos val="nextTo"/>
        <c:crossAx val="112339968"/>
        <c:crosses val="autoZero"/>
        <c:auto val="1"/>
        <c:lblAlgn val="ctr"/>
        <c:lblOffset val="100"/>
      </c:catAx>
      <c:valAx>
        <c:axId val="112339968"/>
        <c:scaling>
          <c:orientation val="minMax"/>
        </c:scaling>
        <c:delete val="1"/>
        <c:axPos val="l"/>
        <c:numFmt formatCode="0" sourceLinked="1"/>
        <c:tickLblPos val="nextTo"/>
        <c:crossAx val="11233843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1077" l="0.70000000000000062" r="0.70000000000000062" t="0.7500000000000107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6.xml"/><Relationship Id="rId13" Type="http://schemas.openxmlformats.org/officeDocument/2006/relationships/chart" Target="../charts/chart81.xml"/><Relationship Id="rId18" Type="http://schemas.openxmlformats.org/officeDocument/2006/relationships/chart" Target="../charts/chart86.xml"/><Relationship Id="rId26" Type="http://schemas.openxmlformats.org/officeDocument/2006/relationships/chart" Target="../charts/chart94.xml"/><Relationship Id="rId39" Type="http://schemas.openxmlformats.org/officeDocument/2006/relationships/chart" Target="../charts/chart107.xml"/><Relationship Id="rId3" Type="http://schemas.openxmlformats.org/officeDocument/2006/relationships/chart" Target="../charts/chart71.xml"/><Relationship Id="rId21" Type="http://schemas.openxmlformats.org/officeDocument/2006/relationships/chart" Target="../charts/chart89.xml"/><Relationship Id="rId34" Type="http://schemas.openxmlformats.org/officeDocument/2006/relationships/chart" Target="../charts/chart102.xml"/><Relationship Id="rId7" Type="http://schemas.openxmlformats.org/officeDocument/2006/relationships/chart" Target="../charts/chart75.xml"/><Relationship Id="rId12" Type="http://schemas.openxmlformats.org/officeDocument/2006/relationships/chart" Target="../charts/chart80.xml"/><Relationship Id="rId17" Type="http://schemas.openxmlformats.org/officeDocument/2006/relationships/chart" Target="../charts/chart85.xml"/><Relationship Id="rId25" Type="http://schemas.openxmlformats.org/officeDocument/2006/relationships/chart" Target="../charts/chart93.xml"/><Relationship Id="rId33" Type="http://schemas.openxmlformats.org/officeDocument/2006/relationships/chart" Target="../charts/chart101.xml"/><Relationship Id="rId38" Type="http://schemas.openxmlformats.org/officeDocument/2006/relationships/chart" Target="../charts/chart106.xml"/><Relationship Id="rId2" Type="http://schemas.openxmlformats.org/officeDocument/2006/relationships/chart" Target="../charts/chart70.xml"/><Relationship Id="rId16" Type="http://schemas.openxmlformats.org/officeDocument/2006/relationships/chart" Target="../charts/chart84.xml"/><Relationship Id="rId20" Type="http://schemas.openxmlformats.org/officeDocument/2006/relationships/chart" Target="../charts/chart88.xml"/><Relationship Id="rId29" Type="http://schemas.openxmlformats.org/officeDocument/2006/relationships/chart" Target="../charts/chart97.xml"/><Relationship Id="rId1" Type="http://schemas.openxmlformats.org/officeDocument/2006/relationships/chart" Target="../charts/chart69.xml"/><Relationship Id="rId6" Type="http://schemas.openxmlformats.org/officeDocument/2006/relationships/chart" Target="../charts/chart74.xml"/><Relationship Id="rId11" Type="http://schemas.openxmlformats.org/officeDocument/2006/relationships/chart" Target="../charts/chart79.xml"/><Relationship Id="rId24" Type="http://schemas.openxmlformats.org/officeDocument/2006/relationships/chart" Target="../charts/chart92.xml"/><Relationship Id="rId32" Type="http://schemas.openxmlformats.org/officeDocument/2006/relationships/chart" Target="../charts/chart100.xml"/><Relationship Id="rId37" Type="http://schemas.openxmlformats.org/officeDocument/2006/relationships/chart" Target="../charts/chart105.xml"/><Relationship Id="rId5" Type="http://schemas.openxmlformats.org/officeDocument/2006/relationships/chart" Target="../charts/chart73.xml"/><Relationship Id="rId15" Type="http://schemas.openxmlformats.org/officeDocument/2006/relationships/chart" Target="../charts/chart83.xml"/><Relationship Id="rId23" Type="http://schemas.openxmlformats.org/officeDocument/2006/relationships/chart" Target="../charts/chart91.xml"/><Relationship Id="rId28" Type="http://schemas.openxmlformats.org/officeDocument/2006/relationships/chart" Target="../charts/chart96.xml"/><Relationship Id="rId36" Type="http://schemas.openxmlformats.org/officeDocument/2006/relationships/chart" Target="../charts/chart104.xml"/><Relationship Id="rId10" Type="http://schemas.openxmlformats.org/officeDocument/2006/relationships/chart" Target="../charts/chart78.xml"/><Relationship Id="rId19" Type="http://schemas.openxmlformats.org/officeDocument/2006/relationships/chart" Target="../charts/chart87.xml"/><Relationship Id="rId31" Type="http://schemas.openxmlformats.org/officeDocument/2006/relationships/chart" Target="../charts/chart99.xml"/><Relationship Id="rId4" Type="http://schemas.openxmlformats.org/officeDocument/2006/relationships/chart" Target="../charts/chart72.xml"/><Relationship Id="rId9" Type="http://schemas.openxmlformats.org/officeDocument/2006/relationships/chart" Target="../charts/chart77.xml"/><Relationship Id="rId14" Type="http://schemas.openxmlformats.org/officeDocument/2006/relationships/chart" Target="../charts/chart82.xml"/><Relationship Id="rId22" Type="http://schemas.openxmlformats.org/officeDocument/2006/relationships/chart" Target="../charts/chart90.xml"/><Relationship Id="rId27" Type="http://schemas.openxmlformats.org/officeDocument/2006/relationships/chart" Target="../charts/chart95.xml"/><Relationship Id="rId30" Type="http://schemas.openxmlformats.org/officeDocument/2006/relationships/chart" Target="../charts/chart98.xml"/><Relationship Id="rId35" Type="http://schemas.openxmlformats.org/officeDocument/2006/relationships/chart" Target="../charts/chart10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0.xml"/><Relationship Id="rId2" Type="http://schemas.openxmlformats.org/officeDocument/2006/relationships/chart" Target="../charts/chart109.xml"/><Relationship Id="rId1" Type="http://schemas.openxmlformats.org/officeDocument/2006/relationships/chart" Target="../charts/chart108.xml"/><Relationship Id="rId4" Type="http://schemas.openxmlformats.org/officeDocument/2006/relationships/chart" Target="../charts/chart1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28.xml"/><Relationship Id="rId18" Type="http://schemas.openxmlformats.org/officeDocument/2006/relationships/chart" Target="../charts/chart33.xml"/><Relationship Id="rId26" Type="http://schemas.openxmlformats.org/officeDocument/2006/relationships/chart" Target="../charts/chart41.xml"/><Relationship Id="rId39" Type="http://schemas.openxmlformats.org/officeDocument/2006/relationships/chart" Target="../charts/chart54.xml"/><Relationship Id="rId3" Type="http://schemas.openxmlformats.org/officeDocument/2006/relationships/chart" Target="../charts/chart18.xml"/><Relationship Id="rId21" Type="http://schemas.openxmlformats.org/officeDocument/2006/relationships/chart" Target="../charts/chart36.xml"/><Relationship Id="rId34" Type="http://schemas.openxmlformats.org/officeDocument/2006/relationships/chart" Target="../charts/chart49.xml"/><Relationship Id="rId42" Type="http://schemas.openxmlformats.org/officeDocument/2006/relationships/chart" Target="../charts/chart57.xml"/><Relationship Id="rId47" Type="http://schemas.openxmlformats.org/officeDocument/2006/relationships/chart" Target="../charts/chart62.xml"/><Relationship Id="rId50" Type="http://schemas.openxmlformats.org/officeDocument/2006/relationships/chart" Target="../charts/chart65.xml"/><Relationship Id="rId7" Type="http://schemas.openxmlformats.org/officeDocument/2006/relationships/chart" Target="../charts/chart22.xml"/><Relationship Id="rId12" Type="http://schemas.openxmlformats.org/officeDocument/2006/relationships/chart" Target="../charts/chart27.xml"/><Relationship Id="rId17" Type="http://schemas.openxmlformats.org/officeDocument/2006/relationships/chart" Target="../charts/chart32.xml"/><Relationship Id="rId25" Type="http://schemas.openxmlformats.org/officeDocument/2006/relationships/chart" Target="../charts/chart40.xml"/><Relationship Id="rId33" Type="http://schemas.openxmlformats.org/officeDocument/2006/relationships/chart" Target="../charts/chart48.xml"/><Relationship Id="rId38" Type="http://schemas.openxmlformats.org/officeDocument/2006/relationships/chart" Target="../charts/chart53.xml"/><Relationship Id="rId46" Type="http://schemas.openxmlformats.org/officeDocument/2006/relationships/chart" Target="../charts/chart61.xml"/><Relationship Id="rId2" Type="http://schemas.openxmlformats.org/officeDocument/2006/relationships/chart" Target="../charts/chart17.xml"/><Relationship Id="rId16" Type="http://schemas.openxmlformats.org/officeDocument/2006/relationships/chart" Target="../charts/chart31.xml"/><Relationship Id="rId20" Type="http://schemas.openxmlformats.org/officeDocument/2006/relationships/chart" Target="../charts/chart35.xml"/><Relationship Id="rId29" Type="http://schemas.openxmlformats.org/officeDocument/2006/relationships/chart" Target="../charts/chart44.xml"/><Relationship Id="rId41" Type="http://schemas.openxmlformats.org/officeDocument/2006/relationships/chart" Target="../charts/chart56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11" Type="http://schemas.openxmlformats.org/officeDocument/2006/relationships/chart" Target="../charts/chart26.xml"/><Relationship Id="rId24" Type="http://schemas.openxmlformats.org/officeDocument/2006/relationships/chart" Target="../charts/chart39.xml"/><Relationship Id="rId32" Type="http://schemas.openxmlformats.org/officeDocument/2006/relationships/chart" Target="../charts/chart47.xml"/><Relationship Id="rId37" Type="http://schemas.openxmlformats.org/officeDocument/2006/relationships/chart" Target="../charts/chart52.xml"/><Relationship Id="rId40" Type="http://schemas.openxmlformats.org/officeDocument/2006/relationships/chart" Target="../charts/chart55.xml"/><Relationship Id="rId45" Type="http://schemas.openxmlformats.org/officeDocument/2006/relationships/chart" Target="../charts/chart60.xml"/><Relationship Id="rId53" Type="http://schemas.openxmlformats.org/officeDocument/2006/relationships/chart" Target="../charts/chart68.xml"/><Relationship Id="rId5" Type="http://schemas.openxmlformats.org/officeDocument/2006/relationships/chart" Target="../charts/chart20.xml"/><Relationship Id="rId15" Type="http://schemas.openxmlformats.org/officeDocument/2006/relationships/chart" Target="../charts/chart30.xml"/><Relationship Id="rId23" Type="http://schemas.openxmlformats.org/officeDocument/2006/relationships/chart" Target="../charts/chart38.xml"/><Relationship Id="rId28" Type="http://schemas.openxmlformats.org/officeDocument/2006/relationships/chart" Target="../charts/chart43.xml"/><Relationship Id="rId36" Type="http://schemas.openxmlformats.org/officeDocument/2006/relationships/chart" Target="../charts/chart51.xml"/><Relationship Id="rId49" Type="http://schemas.openxmlformats.org/officeDocument/2006/relationships/chart" Target="../charts/chart64.xml"/><Relationship Id="rId10" Type="http://schemas.openxmlformats.org/officeDocument/2006/relationships/chart" Target="../charts/chart25.xml"/><Relationship Id="rId19" Type="http://schemas.openxmlformats.org/officeDocument/2006/relationships/chart" Target="../charts/chart34.xml"/><Relationship Id="rId31" Type="http://schemas.openxmlformats.org/officeDocument/2006/relationships/chart" Target="../charts/chart46.xml"/><Relationship Id="rId44" Type="http://schemas.openxmlformats.org/officeDocument/2006/relationships/chart" Target="../charts/chart59.xml"/><Relationship Id="rId52" Type="http://schemas.openxmlformats.org/officeDocument/2006/relationships/chart" Target="../charts/chart67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Relationship Id="rId14" Type="http://schemas.openxmlformats.org/officeDocument/2006/relationships/chart" Target="../charts/chart29.xml"/><Relationship Id="rId22" Type="http://schemas.openxmlformats.org/officeDocument/2006/relationships/chart" Target="../charts/chart37.xml"/><Relationship Id="rId27" Type="http://schemas.openxmlformats.org/officeDocument/2006/relationships/chart" Target="../charts/chart42.xml"/><Relationship Id="rId30" Type="http://schemas.openxmlformats.org/officeDocument/2006/relationships/chart" Target="../charts/chart45.xml"/><Relationship Id="rId35" Type="http://schemas.openxmlformats.org/officeDocument/2006/relationships/chart" Target="../charts/chart50.xml"/><Relationship Id="rId43" Type="http://schemas.openxmlformats.org/officeDocument/2006/relationships/chart" Target="../charts/chart58.xml"/><Relationship Id="rId48" Type="http://schemas.openxmlformats.org/officeDocument/2006/relationships/chart" Target="../charts/chart63.xml"/><Relationship Id="rId8" Type="http://schemas.openxmlformats.org/officeDocument/2006/relationships/chart" Target="../charts/chart23.xml"/><Relationship Id="rId51" Type="http://schemas.openxmlformats.org/officeDocument/2006/relationships/chart" Target="../charts/chart6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24</xdr:row>
      <xdr:rowOff>66675</xdr:rowOff>
    </xdr:from>
    <xdr:to>
      <xdr:col>16</xdr:col>
      <xdr:colOff>323850</xdr:colOff>
      <xdr:row>31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447676</xdr:colOff>
      <xdr:row>13</xdr:row>
      <xdr:rowOff>85725</xdr:rowOff>
    </xdr:from>
    <xdr:to>
      <xdr:col>16</xdr:col>
      <xdr:colOff>419100</xdr:colOff>
      <xdr:row>17</xdr:row>
      <xdr:rowOff>695325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628650</xdr:colOff>
      <xdr:row>4</xdr:row>
      <xdr:rowOff>323850</xdr:rowOff>
    </xdr:from>
    <xdr:to>
      <xdr:col>24</xdr:col>
      <xdr:colOff>400050</xdr:colOff>
      <xdr:row>15</xdr:row>
      <xdr:rowOff>504825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0.57771</cdr:x>
      <cdr:y>0.65697</cdr:y>
    </cdr:from>
    <cdr:to>
      <cdr:x>0.90148</cdr:x>
      <cdr:y>0.97565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48150" y="725887"/>
          <a:ext cx="755558" cy="3521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rtl="0" fontAlgn="base"/>
          <a:r>
            <a:rPr lang="zh-CN" altLang="en-US" sz="900" b="0" i="0" baseline="0">
              <a:latin typeface="Calibri"/>
              <a:ea typeface="宋体"/>
            </a:rPr>
            <a:t>↑加速比</a:t>
          </a:r>
          <a:endParaRPr lang="en-US" sz="900" b="0" i="0" baseline="0">
            <a:latin typeface="Calibri"/>
          </a:endParaRPr>
        </a:p>
        <a:p xmlns:a="http://schemas.openxmlformats.org/drawingml/2006/main">
          <a:pPr rtl="0"/>
          <a:r>
            <a:rPr lang="zh-CN" altLang="en-US" sz="900" b="0" i="0" baseline="0">
              <a:latin typeface="Calibri"/>
              <a:ea typeface="宋体"/>
            </a:rPr>
            <a:t>  →骨骼数</a:t>
          </a:r>
          <a:endParaRPr lang="zh-CN" sz="900"/>
        </a:p>
        <a:p xmlns:a="http://schemas.openxmlformats.org/drawingml/2006/main">
          <a:endParaRPr lang="zh-CN" altLang="en-US" sz="9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0.03333</cdr:x>
      <cdr:y>0.04839</cdr:y>
    </cdr:from>
    <cdr:to>
      <cdr:x>0.36364</cdr:x>
      <cdr:y>0.31183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04775" y="85724"/>
          <a:ext cx="1038226" cy="4667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rtl="0" fontAlgn="base"/>
          <a:r>
            <a:rPr lang="zh-CN" altLang="en-US" sz="900" b="0" i="0" baseline="0">
              <a:latin typeface="+mn-lt"/>
              <a:ea typeface="+mn-ea"/>
              <a:cs typeface="+mn-cs"/>
            </a:rPr>
            <a:t>↑全局耗时</a:t>
          </a:r>
          <a:r>
            <a:rPr lang="en-US" sz="900" b="0" i="0" baseline="0">
              <a:latin typeface="+mn-lt"/>
              <a:ea typeface="+mn-ea"/>
              <a:cs typeface="+mn-cs"/>
            </a:rPr>
            <a:t>ms</a:t>
          </a:r>
        </a:p>
        <a:p xmlns:a="http://schemas.openxmlformats.org/drawingml/2006/main">
          <a:pPr rtl="0"/>
          <a:r>
            <a:rPr lang="zh-CN" altLang="en-US" sz="900" b="0" i="0" baseline="0">
              <a:latin typeface="+mn-lt"/>
              <a:ea typeface="+mn-ea"/>
              <a:cs typeface="+mn-cs"/>
            </a:rPr>
            <a:t>  →骨骼数</a:t>
          </a:r>
          <a:endParaRPr lang="zh-CN" sz="900"/>
        </a:p>
        <a:p xmlns:a="http://schemas.openxmlformats.org/drawingml/2006/main">
          <a:endParaRPr lang="zh-CN" altLang="en-US" sz="9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0.03333</cdr:x>
      <cdr:y>0.04839</cdr:y>
    </cdr:from>
    <cdr:to>
      <cdr:x>0.36364</cdr:x>
      <cdr:y>0.31183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04775" y="85724"/>
          <a:ext cx="1038226" cy="4667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rtl="0" fontAlgn="base"/>
          <a:r>
            <a:rPr lang="zh-CN" altLang="en-US" sz="900" b="0" i="0" baseline="0">
              <a:latin typeface="+mn-lt"/>
              <a:ea typeface="+mn-ea"/>
              <a:cs typeface="+mn-cs"/>
            </a:rPr>
            <a:t>↑局部耗时</a:t>
          </a:r>
          <a:r>
            <a:rPr lang="en-US" sz="900" b="0" i="0" baseline="0">
              <a:latin typeface="+mn-lt"/>
              <a:ea typeface="+mn-ea"/>
              <a:cs typeface="+mn-cs"/>
            </a:rPr>
            <a:t>ms</a:t>
          </a:r>
        </a:p>
        <a:p xmlns:a="http://schemas.openxmlformats.org/drawingml/2006/main">
          <a:pPr rtl="0"/>
          <a:r>
            <a:rPr lang="zh-CN" altLang="en-US" sz="900" b="0" i="0" baseline="0">
              <a:latin typeface="+mn-lt"/>
              <a:ea typeface="+mn-ea"/>
              <a:cs typeface="+mn-cs"/>
            </a:rPr>
            <a:t>  →骨骼数</a:t>
          </a:r>
          <a:endParaRPr lang="zh-CN" sz="900"/>
        </a:p>
        <a:p xmlns:a="http://schemas.openxmlformats.org/drawingml/2006/main">
          <a:endParaRPr lang="zh-CN" altLang="en-US" sz="900"/>
        </a:p>
      </cdr:txBody>
    </cdr:sp>
  </cdr:relSizeAnchor>
  <cdr:relSizeAnchor xmlns:cdr="http://schemas.openxmlformats.org/drawingml/2006/chartDrawing">
    <cdr:from>
      <cdr:x>0.03333</cdr:x>
      <cdr:y>0.04839</cdr:y>
    </cdr:from>
    <cdr:to>
      <cdr:x>0.36364</cdr:x>
      <cdr:y>0.31183</cdr:y>
    </cdr:to>
    <cdr:sp macro="" textlink="">
      <cdr:nvSpPr>
        <cdr:cNvPr id="2" name="TextBox 2"/>
        <cdr:cNvSpPr txBox="1"/>
      </cdr:nvSpPr>
      <cdr:spPr>
        <a:xfrm xmlns:a="http://schemas.openxmlformats.org/drawingml/2006/main">
          <a:off x="104775" y="85724"/>
          <a:ext cx="1038226" cy="4667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rtl="0" fontAlgn="base"/>
          <a:r>
            <a:rPr lang="zh-CN" altLang="en-US" sz="900" b="0" i="0" baseline="0">
              <a:latin typeface="+mn-lt"/>
              <a:ea typeface="+mn-ea"/>
              <a:cs typeface="+mn-cs"/>
            </a:rPr>
            <a:t>↑局部耗时</a:t>
          </a:r>
          <a:r>
            <a:rPr lang="en-US" sz="900" b="0" i="0" baseline="0">
              <a:latin typeface="+mn-lt"/>
              <a:ea typeface="+mn-ea"/>
              <a:cs typeface="+mn-cs"/>
            </a:rPr>
            <a:t>ms</a:t>
          </a:r>
        </a:p>
        <a:p xmlns:a="http://schemas.openxmlformats.org/drawingml/2006/main">
          <a:pPr rtl="0"/>
          <a:r>
            <a:rPr lang="zh-CN" altLang="en-US" sz="900" b="0" i="0" baseline="0">
              <a:latin typeface="+mn-lt"/>
              <a:ea typeface="+mn-ea"/>
              <a:cs typeface="+mn-cs"/>
            </a:rPr>
            <a:t>  →骨骼数</a:t>
          </a:r>
          <a:endParaRPr lang="zh-CN" sz="900"/>
        </a:p>
        <a:p xmlns:a="http://schemas.openxmlformats.org/drawingml/2006/main">
          <a:endParaRPr lang="zh-CN" altLang="en-US" sz="9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0.57771</cdr:x>
      <cdr:y>0.66948</cdr:y>
    </cdr:from>
    <cdr:to>
      <cdr:x>0.90148</cdr:x>
      <cdr:y>0.98816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48150" y="905501"/>
          <a:ext cx="755558" cy="4310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rtl="0" fontAlgn="base"/>
          <a:r>
            <a:rPr lang="zh-CN" altLang="en-US" sz="900" b="0" i="0" baseline="0">
              <a:latin typeface="Calibri"/>
              <a:ea typeface="宋体"/>
            </a:rPr>
            <a:t>↑加速比</a:t>
          </a:r>
          <a:endParaRPr lang="en-US" sz="900" b="0" i="0" baseline="0">
            <a:latin typeface="Calibri"/>
          </a:endParaRPr>
        </a:p>
        <a:p xmlns:a="http://schemas.openxmlformats.org/drawingml/2006/main">
          <a:pPr rtl="0"/>
          <a:r>
            <a:rPr lang="zh-CN" altLang="en-US" sz="900" b="0" i="0" baseline="0">
              <a:latin typeface="Calibri"/>
              <a:ea typeface="宋体"/>
            </a:rPr>
            <a:t>  →骨骼数</a:t>
          </a:r>
          <a:endParaRPr lang="zh-CN" sz="900"/>
        </a:p>
        <a:p xmlns:a="http://schemas.openxmlformats.org/drawingml/2006/main">
          <a:endParaRPr lang="zh-CN" altLang="en-US" sz="9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0.03333</cdr:x>
      <cdr:y>0.04839</cdr:y>
    </cdr:from>
    <cdr:to>
      <cdr:x>0.36364</cdr:x>
      <cdr:y>0.31183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04775" y="85724"/>
          <a:ext cx="1038226" cy="4667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rtl="0" fontAlgn="base"/>
          <a:r>
            <a:rPr lang="zh-CN" altLang="en-US" sz="900" b="0" i="0" baseline="0">
              <a:latin typeface="+mn-lt"/>
              <a:ea typeface="+mn-ea"/>
              <a:cs typeface="+mn-cs"/>
            </a:rPr>
            <a:t>↑全局耗时</a:t>
          </a:r>
          <a:r>
            <a:rPr lang="en-US" sz="900" b="0" i="0" baseline="0">
              <a:latin typeface="+mn-lt"/>
              <a:ea typeface="+mn-ea"/>
              <a:cs typeface="+mn-cs"/>
            </a:rPr>
            <a:t>ms</a:t>
          </a:r>
        </a:p>
        <a:p xmlns:a="http://schemas.openxmlformats.org/drawingml/2006/main">
          <a:pPr rtl="0"/>
          <a:r>
            <a:rPr lang="zh-CN" altLang="en-US" sz="900" b="0" i="0" baseline="0">
              <a:latin typeface="+mn-lt"/>
              <a:ea typeface="+mn-ea"/>
              <a:cs typeface="+mn-cs"/>
            </a:rPr>
            <a:t>  →骨骼数</a:t>
          </a:r>
          <a:endParaRPr lang="zh-CN" sz="900"/>
        </a:p>
        <a:p xmlns:a="http://schemas.openxmlformats.org/drawingml/2006/main">
          <a:endParaRPr lang="zh-CN" altLang="en-US" sz="900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0.03333</cdr:x>
      <cdr:y>0.04839</cdr:y>
    </cdr:from>
    <cdr:to>
      <cdr:x>0.36364</cdr:x>
      <cdr:y>0.31183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04775" y="85724"/>
          <a:ext cx="1038226" cy="4667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rtl="0" fontAlgn="base"/>
          <a:r>
            <a:rPr lang="zh-CN" altLang="en-US" sz="900" b="0" i="0" baseline="0">
              <a:latin typeface="+mn-lt"/>
              <a:ea typeface="+mn-ea"/>
              <a:cs typeface="+mn-cs"/>
            </a:rPr>
            <a:t>↑局部耗时</a:t>
          </a:r>
          <a:r>
            <a:rPr lang="en-US" sz="900" b="0" i="0" baseline="0">
              <a:latin typeface="+mn-lt"/>
              <a:ea typeface="+mn-ea"/>
              <a:cs typeface="+mn-cs"/>
            </a:rPr>
            <a:t>ms</a:t>
          </a:r>
        </a:p>
        <a:p xmlns:a="http://schemas.openxmlformats.org/drawingml/2006/main">
          <a:pPr rtl="0"/>
          <a:r>
            <a:rPr lang="zh-CN" altLang="en-US" sz="900" b="0" i="0" baseline="0">
              <a:latin typeface="+mn-lt"/>
              <a:ea typeface="+mn-ea"/>
              <a:cs typeface="+mn-cs"/>
            </a:rPr>
            <a:t>  →骨骼数</a:t>
          </a:r>
          <a:endParaRPr lang="zh-CN" sz="900"/>
        </a:p>
        <a:p xmlns:a="http://schemas.openxmlformats.org/drawingml/2006/main">
          <a:endParaRPr lang="zh-CN" altLang="en-US" sz="900"/>
        </a:p>
      </cdr:txBody>
    </cdr:sp>
  </cdr:relSizeAnchor>
  <cdr:relSizeAnchor xmlns:cdr="http://schemas.openxmlformats.org/drawingml/2006/chartDrawing">
    <cdr:from>
      <cdr:x>0.03333</cdr:x>
      <cdr:y>0.04839</cdr:y>
    </cdr:from>
    <cdr:to>
      <cdr:x>0.36364</cdr:x>
      <cdr:y>0.31183</cdr:y>
    </cdr:to>
    <cdr:sp macro="" textlink="">
      <cdr:nvSpPr>
        <cdr:cNvPr id="2" name="TextBox 2"/>
        <cdr:cNvSpPr txBox="1"/>
      </cdr:nvSpPr>
      <cdr:spPr>
        <a:xfrm xmlns:a="http://schemas.openxmlformats.org/drawingml/2006/main">
          <a:off x="104775" y="85724"/>
          <a:ext cx="1038226" cy="4667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rtl="0" fontAlgn="base"/>
          <a:r>
            <a:rPr lang="zh-CN" altLang="en-US" sz="900" b="0" i="0" baseline="0">
              <a:latin typeface="+mn-lt"/>
              <a:ea typeface="+mn-ea"/>
              <a:cs typeface="+mn-cs"/>
            </a:rPr>
            <a:t>↑局部耗时</a:t>
          </a:r>
          <a:r>
            <a:rPr lang="en-US" sz="900" b="0" i="0" baseline="0">
              <a:latin typeface="+mn-lt"/>
              <a:ea typeface="+mn-ea"/>
              <a:cs typeface="+mn-cs"/>
            </a:rPr>
            <a:t>ms</a:t>
          </a:r>
        </a:p>
        <a:p xmlns:a="http://schemas.openxmlformats.org/drawingml/2006/main">
          <a:pPr rtl="0"/>
          <a:r>
            <a:rPr lang="zh-CN" altLang="en-US" sz="900" b="0" i="0" baseline="0">
              <a:latin typeface="+mn-lt"/>
              <a:ea typeface="+mn-ea"/>
              <a:cs typeface="+mn-cs"/>
            </a:rPr>
            <a:t>  →骨骼数</a:t>
          </a:r>
          <a:endParaRPr lang="zh-CN" sz="900"/>
        </a:p>
        <a:p xmlns:a="http://schemas.openxmlformats.org/drawingml/2006/main">
          <a:endParaRPr lang="zh-CN" altLang="en-US" sz="900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0.57771</cdr:x>
      <cdr:y>0.67009</cdr:y>
    </cdr:from>
    <cdr:to>
      <cdr:x>0.90148</cdr:x>
      <cdr:y>0.98877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48150" y="880799"/>
          <a:ext cx="755558" cy="418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rtl="0" fontAlgn="base"/>
          <a:r>
            <a:rPr lang="zh-CN" altLang="en-US" sz="900" b="0" i="0" baseline="0">
              <a:latin typeface="Calibri"/>
              <a:ea typeface="宋体"/>
            </a:rPr>
            <a:t>↑加速比</a:t>
          </a:r>
          <a:endParaRPr lang="en-US" sz="900" b="0" i="0" baseline="0">
            <a:latin typeface="Calibri"/>
          </a:endParaRPr>
        </a:p>
        <a:p xmlns:a="http://schemas.openxmlformats.org/drawingml/2006/main">
          <a:pPr rtl="0"/>
          <a:r>
            <a:rPr lang="zh-CN" altLang="en-US" sz="900" b="0" i="0" baseline="0">
              <a:latin typeface="Calibri"/>
              <a:ea typeface="宋体"/>
            </a:rPr>
            <a:t>  →骨骼数</a:t>
          </a:r>
          <a:endParaRPr lang="zh-CN" sz="900"/>
        </a:p>
        <a:p xmlns:a="http://schemas.openxmlformats.org/drawingml/2006/main">
          <a:endParaRPr lang="zh-CN" altLang="en-US" sz="900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0.56954</cdr:x>
      <cdr:y>0.68132</cdr:y>
    </cdr:from>
    <cdr:to>
      <cdr:x>0.89331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29100" y="924551"/>
          <a:ext cx="755558" cy="4310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rtl="0" fontAlgn="base"/>
          <a:r>
            <a:rPr lang="zh-CN" altLang="en-US" sz="900" b="0" i="0" baseline="0">
              <a:latin typeface="Calibri"/>
              <a:ea typeface="宋体"/>
            </a:rPr>
            <a:t>↑加速比</a:t>
          </a:r>
          <a:endParaRPr lang="en-US" sz="900" b="0" i="0" baseline="0">
            <a:latin typeface="Calibri"/>
          </a:endParaRPr>
        </a:p>
        <a:p xmlns:a="http://schemas.openxmlformats.org/drawingml/2006/main">
          <a:pPr rtl="0"/>
          <a:r>
            <a:rPr lang="zh-CN" altLang="en-US" sz="900" b="0" i="0" baseline="0">
              <a:latin typeface="Calibri"/>
              <a:ea typeface="宋体"/>
            </a:rPr>
            <a:t>  →骨骼数</a:t>
          </a:r>
          <a:endParaRPr lang="zh-CN" sz="900"/>
        </a:p>
        <a:p xmlns:a="http://schemas.openxmlformats.org/drawingml/2006/main">
          <a:endParaRPr lang="zh-CN" altLang="en-US" sz="900"/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0.03333</cdr:x>
      <cdr:y>0.04839</cdr:y>
    </cdr:from>
    <cdr:to>
      <cdr:x>0.36364</cdr:x>
      <cdr:y>0.31183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04775" y="85724"/>
          <a:ext cx="1038226" cy="4667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rtl="0" fontAlgn="base"/>
          <a:r>
            <a:rPr lang="zh-CN" altLang="en-US" sz="900" b="0" i="0" baseline="0">
              <a:latin typeface="+mn-lt"/>
              <a:ea typeface="+mn-ea"/>
              <a:cs typeface="+mn-cs"/>
            </a:rPr>
            <a:t>↑全局耗时</a:t>
          </a:r>
          <a:r>
            <a:rPr lang="en-US" sz="900" b="0" i="0" baseline="0">
              <a:latin typeface="+mn-lt"/>
              <a:ea typeface="+mn-ea"/>
              <a:cs typeface="+mn-cs"/>
            </a:rPr>
            <a:t>ms</a:t>
          </a:r>
        </a:p>
        <a:p xmlns:a="http://schemas.openxmlformats.org/drawingml/2006/main">
          <a:pPr rtl="0"/>
          <a:r>
            <a:rPr lang="zh-CN" altLang="en-US" sz="900" b="0" i="0" baseline="0">
              <a:latin typeface="+mn-lt"/>
              <a:ea typeface="+mn-ea"/>
              <a:cs typeface="+mn-cs"/>
            </a:rPr>
            <a:t>  →骨骼数</a:t>
          </a:r>
          <a:endParaRPr lang="zh-CN" sz="900"/>
        </a:p>
        <a:p xmlns:a="http://schemas.openxmlformats.org/drawingml/2006/main">
          <a:endParaRPr lang="zh-CN" altLang="en-US" sz="900"/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0.03333</cdr:x>
      <cdr:y>0.04839</cdr:y>
    </cdr:from>
    <cdr:to>
      <cdr:x>0.36364</cdr:x>
      <cdr:y>0.31183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04775" y="85724"/>
          <a:ext cx="1038226" cy="4667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rtl="0" fontAlgn="base"/>
          <a:r>
            <a:rPr lang="zh-CN" altLang="en-US" sz="900" b="0" i="0" baseline="0">
              <a:latin typeface="+mn-lt"/>
              <a:ea typeface="+mn-ea"/>
              <a:cs typeface="+mn-cs"/>
            </a:rPr>
            <a:t>↑局部耗时</a:t>
          </a:r>
          <a:r>
            <a:rPr lang="en-US" sz="900" b="0" i="0" baseline="0">
              <a:latin typeface="+mn-lt"/>
              <a:ea typeface="+mn-ea"/>
              <a:cs typeface="+mn-cs"/>
            </a:rPr>
            <a:t>ms</a:t>
          </a:r>
        </a:p>
        <a:p xmlns:a="http://schemas.openxmlformats.org/drawingml/2006/main">
          <a:pPr rtl="0"/>
          <a:r>
            <a:rPr lang="zh-CN" altLang="en-US" sz="900" b="0" i="0" baseline="0">
              <a:latin typeface="+mn-lt"/>
              <a:ea typeface="+mn-ea"/>
              <a:cs typeface="+mn-cs"/>
            </a:rPr>
            <a:t>  →骨骼数</a:t>
          </a:r>
          <a:endParaRPr lang="zh-CN" sz="900"/>
        </a:p>
        <a:p xmlns:a="http://schemas.openxmlformats.org/drawingml/2006/main">
          <a:endParaRPr lang="zh-CN" altLang="en-US" sz="900"/>
        </a:p>
      </cdr:txBody>
    </cdr:sp>
  </cdr:relSizeAnchor>
  <cdr:relSizeAnchor xmlns:cdr="http://schemas.openxmlformats.org/drawingml/2006/chartDrawing">
    <cdr:from>
      <cdr:x>0.03333</cdr:x>
      <cdr:y>0.04839</cdr:y>
    </cdr:from>
    <cdr:to>
      <cdr:x>0.36364</cdr:x>
      <cdr:y>0.31183</cdr:y>
    </cdr:to>
    <cdr:sp macro="" textlink="">
      <cdr:nvSpPr>
        <cdr:cNvPr id="2" name="TextBox 2"/>
        <cdr:cNvSpPr txBox="1"/>
      </cdr:nvSpPr>
      <cdr:spPr>
        <a:xfrm xmlns:a="http://schemas.openxmlformats.org/drawingml/2006/main">
          <a:off x="104775" y="85724"/>
          <a:ext cx="1038226" cy="4667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rtl="0" fontAlgn="base"/>
          <a:r>
            <a:rPr lang="zh-CN" altLang="en-US" sz="900" b="0" i="0" baseline="0">
              <a:latin typeface="+mn-lt"/>
              <a:ea typeface="+mn-ea"/>
              <a:cs typeface="+mn-cs"/>
            </a:rPr>
            <a:t>↑局部耗时</a:t>
          </a:r>
          <a:r>
            <a:rPr lang="en-US" sz="900" b="0" i="0" baseline="0">
              <a:latin typeface="+mn-lt"/>
              <a:ea typeface="+mn-ea"/>
              <a:cs typeface="+mn-cs"/>
            </a:rPr>
            <a:t>ms</a:t>
          </a:r>
        </a:p>
        <a:p xmlns:a="http://schemas.openxmlformats.org/drawingml/2006/main">
          <a:pPr rtl="0"/>
          <a:r>
            <a:rPr lang="zh-CN" altLang="en-US" sz="900" b="0" i="0" baseline="0">
              <a:latin typeface="+mn-lt"/>
              <a:ea typeface="+mn-ea"/>
              <a:cs typeface="+mn-cs"/>
            </a:rPr>
            <a:t>  →骨骼数</a:t>
          </a:r>
          <a:endParaRPr lang="zh-CN" sz="900"/>
        </a:p>
        <a:p xmlns:a="http://schemas.openxmlformats.org/drawingml/2006/main">
          <a:endParaRPr lang="zh-CN" altLang="en-US" sz="900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24</xdr:row>
      <xdr:rowOff>66675</xdr:rowOff>
    </xdr:from>
    <xdr:to>
      <xdr:col>16</xdr:col>
      <xdr:colOff>323850</xdr:colOff>
      <xdr:row>31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28577</xdr:colOff>
      <xdr:row>10</xdr:row>
      <xdr:rowOff>104775</xdr:rowOff>
    </xdr:from>
    <xdr:to>
      <xdr:col>17</xdr:col>
      <xdr:colOff>200025</xdr:colOff>
      <xdr:row>18</xdr:row>
      <xdr:rowOff>85725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428625</xdr:colOff>
      <xdr:row>5</xdr:row>
      <xdr:rowOff>161925</xdr:rowOff>
    </xdr:from>
    <xdr:to>
      <xdr:col>25</xdr:col>
      <xdr:colOff>200025</xdr:colOff>
      <xdr:row>17</xdr:row>
      <xdr:rowOff>333375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0.58179</cdr:x>
      <cdr:y>0.67734</cdr:y>
    </cdr:from>
    <cdr:to>
      <cdr:x>0.90556</cdr:x>
      <cdr:y>0.99602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57675" y="890324"/>
          <a:ext cx="755558" cy="418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rtl="0" fontAlgn="base"/>
          <a:r>
            <a:rPr lang="zh-CN" altLang="en-US" sz="900" b="0" i="0" baseline="0">
              <a:latin typeface="Calibri"/>
              <a:ea typeface="宋体"/>
            </a:rPr>
            <a:t>↑加速比</a:t>
          </a:r>
          <a:endParaRPr lang="en-US" sz="900" b="0" i="0" baseline="0">
            <a:latin typeface="Calibri"/>
          </a:endParaRPr>
        </a:p>
        <a:p xmlns:a="http://schemas.openxmlformats.org/drawingml/2006/main">
          <a:pPr rtl="0"/>
          <a:r>
            <a:rPr lang="zh-CN" altLang="en-US" sz="900" b="0" i="0" baseline="0">
              <a:latin typeface="Calibri"/>
              <a:ea typeface="宋体"/>
            </a:rPr>
            <a:t>  →骨骼数</a:t>
          </a:r>
          <a:endParaRPr lang="zh-CN" sz="900"/>
        </a:p>
        <a:p xmlns:a="http://schemas.openxmlformats.org/drawingml/2006/main">
          <a:endParaRPr lang="zh-CN" altLang="en-US" sz="900"/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0.03333</cdr:x>
      <cdr:y>0.04839</cdr:y>
    </cdr:from>
    <cdr:to>
      <cdr:x>0.36364</cdr:x>
      <cdr:y>0.31183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04775" y="85724"/>
          <a:ext cx="1038226" cy="4667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rtl="0" fontAlgn="base"/>
          <a:r>
            <a:rPr lang="zh-CN" altLang="en-US" sz="900" b="0" i="0" baseline="0">
              <a:latin typeface="+mn-lt"/>
              <a:ea typeface="+mn-ea"/>
              <a:cs typeface="+mn-cs"/>
            </a:rPr>
            <a:t>↑全局耗时</a:t>
          </a:r>
          <a:r>
            <a:rPr lang="en-US" sz="900" b="0" i="0" baseline="0">
              <a:latin typeface="+mn-lt"/>
              <a:ea typeface="+mn-ea"/>
              <a:cs typeface="+mn-cs"/>
            </a:rPr>
            <a:t>ms</a:t>
          </a:r>
        </a:p>
        <a:p xmlns:a="http://schemas.openxmlformats.org/drawingml/2006/main">
          <a:pPr rtl="0"/>
          <a:r>
            <a:rPr lang="zh-CN" altLang="en-US" sz="900" b="0" i="0" baseline="0">
              <a:latin typeface="+mn-lt"/>
              <a:ea typeface="+mn-ea"/>
              <a:cs typeface="+mn-cs"/>
            </a:rPr>
            <a:t>  →骨骼数</a:t>
          </a:r>
          <a:endParaRPr lang="zh-CN" sz="900"/>
        </a:p>
        <a:p xmlns:a="http://schemas.openxmlformats.org/drawingml/2006/main">
          <a:endParaRPr lang="zh-CN" altLang="en-US" sz="900"/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0.03333</cdr:x>
      <cdr:y>0.04839</cdr:y>
    </cdr:from>
    <cdr:to>
      <cdr:x>0.36364</cdr:x>
      <cdr:y>0.31183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04775" y="85724"/>
          <a:ext cx="1038226" cy="4667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rtl="0" fontAlgn="base"/>
          <a:r>
            <a:rPr lang="zh-CN" altLang="en-US" sz="900" b="0" i="0" baseline="0">
              <a:latin typeface="+mn-lt"/>
              <a:ea typeface="+mn-ea"/>
              <a:cs typeface="+mn-cs"/>
            </a:rPr>
            <a:t>↑局部耗时</a:t>
          </a:r>
          <a:r>
            <a:rPr lang="en-US" sz="900" b="0" i="0" baseline="0">
              <a:latin typeface="+mn-lt"/>
              <a:ea typeface="+mn-ea"/>
              <a:cs typeface="+mn-cs"/>
            </a:rPr>
            <a:t>ms</a:t>
          </a:r>
        </a:p>
        <a:p xmlns:a="http://schemas.openxmlformats.org/drawingml/2006/main">
          <a:pPr rtl="0"/>
          <a:r>
            <a:rPr lang="zh-CN" altLang="en-US" sz="900" b="0" i="0" baseline="0">
              <a:latin typeface="+mn-lt"/>
              <a:ea typeface="+mn-ea"/>
              <a:cs typeface="+mn-cs"/>
            </a:rPr>
            <a:t>  →骨骼数</a:t>
          </a:r>
          <a:endParaRPr lang="zh-CN" sz="900"/>
        </a:p>
        <a:p xmlns:a="http://schemas.openxmlformats.org/drawingml/2006/main">
          <a:endParaRPr lang="zh-CN" altLang="en-US" sz="900"/>
        </a:p>
      </cdr:txBody>
    </cdr:sp>
  </cdr:relSizeAnchor>
  <cdr:relSizeAnchor xmlns:cdr="http://schemas.openxmlformats.org/drawingml/2006/chartDrawing">
    <cdr:from>
      <cdr:x>0.03333</cdr:x>
      <cdr:y>0.04839</cdr:y>
    </cdr:from>
    <cdr:to>
      <cdr:x>0.36364</cdr:x>
      <cdr:y>0.31183</cdr:y>
    </cdr:to>
    <cdr:sp macro="" textlink="">
      <cdr:nvSpPr>
        <cdr:cNvPr id="2" name="TextBox 2"/>
        <cdr:cNvSpPr txBox="1"/>
      </cdr:nvSpPr>
      <cdr:spPr>
        <a:xfrm xmlns:a="http://schemas.openxmlformats.org/drawingml/2006/main">
          <a:off x="104775" y="85724"/>
          <a:ext cx="1038226" cy="4667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rtl="0" fontAlgn="base"/>
          <a:r>
            <a:rPr lang="zh-CN" altLang="en-US" sz="900" b="0" i="0" baseline="0">
              <a:latin typeface="+mn-lt"/>
              <a:ea typeface="+mn-ea"/>
              <a:cs typeface="+mn-cs"/>
            </a:rPr>
            <a:t>↑局部耗时</a:t>
          </a:r>
          <a:r>
            <a:rPr lang="en-US" sz="900" b="0" i="0" baseline="0">
              <a:latin typeface="+mn-lt"/>
              <a:ea typeface="+mn-ea"/>
              <a:cs typeface="+mn-cs"/>
            </a:rPr>
            <a:t>ms</a:t>
          </a:r>
        </a:p>
        <a:p xmlns:a="http://schemas.openxmlformats.org/drawingml/2006/main">
          <a:pPr rtl="0"/>
          <a:r>
            <a:rPr lang="zh-CN" altLang="en-US" sz="900" b="0" i="0" baseline="0">
              <a:latin typeface="+mn-lt"/>
              <a:ea typeface="+mn-ea"/>
              <a:cs typeface="+mn-cs"/>
            </a:rPr>
            <a:t>  →骨骼数</a:t>
          </a:r>
          <a:endParaRPr lang="zh-CN" sz="900"/>
        </a:p>
        <a:p xmlns:a="http://schemas.openxmlformats.org/drawingml/2006/main">
          <a:endParaRPr lang="zh-CN" altLang="en-US" sz="900"/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0.58179</cdr:x>
      <cdr:y>0.67734</cdr:y>
    </cdr:from>
    <cdr:to>
      <cdr:x>0.90556</cdr:x>
      <cdr:y>0.99602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57675" y="890324"/>
          <a:ext cx="755558" cy="418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rtl="0" fontAlgn="base"/>
          <a:r>
            <a:rPr lang="zh-CN" altLang="en-US" sz="900" b="0" i="0" baseline="0">
              <a:latin typeface="Calibri"/>
              <a:ea typeface="宋体"/>
            </a:rPr>
            <a:t>↑加速比</a:t>
          </a:r>
          <a:endParaRPr lang="en-US" sz="900" b="0" i="0" baseline="0">
            <a:latin typeface="Calibri"/>
          </a:endParaRPr>
        </a:p>
        <a:p xmlns:a="http://schemas.openxmlformats.org/drawingml/2006/main">
          <a:pPr rtl="0"/>
          <a:r>
            <a:rPr lang="zh-CN" altLang="en-US" sz="900" b="0" i="0" baseline="0">
              <a:latin typeface="Calibri"/>
              <a:ea typeface="宋体"/>
            </a:rPr>
            <a:t>  →骨骼数</a:t>
          </a:r>
          <a:endParaRPr lang="zh-CN" sz="900"/>
        </a:p>
        <a:p xmlns:a="http://schemas.openxmlformats.org/drawingml/2006/main">
          <a:endParaRPr lang="zh-CN" altLang="en-US" sz="900"/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0.03333</cdr:x>
      <cdr:y>0.04839</cdr:y>
    </cdr:from>
    <cdr:to>
      <cdr:x>0.36364</cdr:x>
      <cdr:y>0.31183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04775" y="85724"/>
          <a:ext cx="1038226" cy="4667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rtl="0" fontAlgn="base"/>
          <a:r>
            <a:rPr lang="zh-CN" altLang="en-US" sz="900" b="0" i="0" baseline="0">
              <a:latin typeface="+mn-lt"/>
              <a:ea typeface="+mn-ea"/>
              <a:cs typeface="+mn-cs"/>
            </a:rPr>
            <a:t>↑全局耗时</a:t>
          </a:r>
          <a:r>
            <a:rPr lang="en-US" sz="900" b="0" i="0" baseline="0">
              <a:latin typeface="+mn-lt"/>
              <a:ea typeface="+mn-ea"/>
              <a:cs typeface="+mn-cs"/>
            </a:rPr>
            <a:t>ms</a:t>
          </a:r>
        </a:p>
        <a:p xmlns:a="http://schemas.openxmlformats.org/drawingml/2006/main">
          <a:pPr rtl="0"/>
          <a:r>
            <a:rPr lang="zh-CN" altLang="en-US" sz="900" b="0" i="0" baseline="0">
              <a:latin typeface="+mn-lt"/>
              <a:ea typeface="+mn-ea"/>
              <a:cs typeface="+mn-cs"/>
            </a:rPr>
            <a:t>  →骨骼数</a:t>
          </a:r>
          <a:endParaRPr lang="zh-CN" sz="900"/>
        </a:p>
        <a:p xmlns:a="http://schemas.openxmlformats.org/drawingml/2006/main">
          <a:endParaRPr lang="zh-CN" altLang="en-US" sz="900"/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0.03333</cdr:x>
      <cdr:y>0.04839</cdr:y>
    </cdr:from>
    <cdr:to>
      <cdr:x>0.36364</cdr:x>
      <cdr:y>0.31183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04775" y="85724"/>
          <a:ext cx="1038226" cy="4667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rtl="0" fontAlgn="base"/>
          <a:r>
            <a:rPr lang="zh-CN" altLang="en-US" sz="900" b="0" i="0" baseline="0">
              <a:latin typeface="+mn-lt"/>
              <a:ea typeface="+mn-ea"/>
              <a:cs typeface="+mn-cs"/>
            </a:rPr>
            <a:t>↑局部耗时</a:t>
          </a:r>
          <a:r>
            <a:rPr lang="en-US" sz="900" b="0" i="0" baseline="0">
              <a:latin typeface="+mn-lt"/>
              <a:ea typeface="+mn-ea"/>
              <a:cs typeface="+mn-cs"/>
            </a:rPr>
            <a:t>ms</a:t>
          </a:r>
        </a:p>
        <a:p xmlns:a="http://schemas.openxmlformats.org/drawingml/2006/main">
          <a:pPr rtl="0"/>
          <a:r>
            <a:rPr lang="zh-CN" altLang="en-US" sz="900" b="0" i="0" baseline="0">
              <a:latin typeface="+mn-lt"/>
              <a:ea typeface="+mn-ea"/>
              <a:cs typeface="+mn-cs"/>
            </a:rPr>
            <a:t>  →骨骼数</a:t>
          </a:r>
          <a:endParaRPr lang="zh-CN" sz="900"/>
        </a:p>
        <a:p xmlns:a="http://schemas.openxmlformats.org/drawingml/2006/main">
          <a:endParaRPr lang="zh-CN" altLang="en-US" sz="900"/>
        </a:p>
      </cdr:txBody>
    </cdr:sp>
  </cdr:relSizeAnchor>
  <cdr:relSizeAnchor xmlns:cdr="http://schemas.openxmlformats.org/drawingml/2006/chartDrawing">
    <cdr:from>
      <cdr:x>0.03333</cdr:x>
      <cdr:y>0.04839</cdr:y>
    </cdr:from>
    <cdr:to>
      <cdr:x>0.36364</cdr:x>
      <cdr:y>0.31183</cdr:y>
    </cdr:to>
    <cdr:sp macro="" textlink="">
      <cdr:nvSpPr>
        <cdr:cNvPr id="2" name="TextBox 2"/>
        <cdr:cNvSpPr txBox="1"/>
      </cdr:nvSpPr>
      <cdr:spPr>
        <a:xfrm xmlns:a="http://schemas.openxmlformats.org/drawingml/2006/main">
          <a:off x="104775" y="85724"/>
          <a:ext cx="1038226" cy="4667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rtl="0" fontAlgn="base"/>
          <a:r>
            <a:rPr lang="zh-CN" altLang="en-US" sz="900" b="0" i="0" baseline="0">
              <a:latin typeface="+mn-lt"/>
              <a:ea typeface="+mn-ea"/>
              <a:cs typeface="+mn-cs"/>
            </a:rPr>
            <a:t>↑局部耗时</a:t>
          </a:r>
          <a:r>
            <a:rPr lang="en-US" sz="900" b="0" i="0" baseline="0">
              <a:latin typeface="+mn-lt"/>
              <a:ea typeface="+mn-ea"/>
              <a:cs typeface="+mn-cs"/>
            </a:rPr>
            <a:t>ms</a:t>
          </a:r>
        </a:p>
        <a:p xmlns:a="http://schemas.openxmlformats.org/drawingml/2006/main">
          <a:pPr rtl="0"/>
          <a:r>
            <a:rPr lang="zh-CN" altLang="en-US" sz="900" b="0" i="0" baseline="0">
              <a:latin typeface="+mn-lt"/>
              <a:ea typeface="+mn-ea"/>
              <a:cs typeface="+mn-cs"/>
            </a:rPr>
            <a:t>  →骨骼数</a:t>
          </a:r>
          <a:endParaRPr lang="zh-CN" sz="900"/>
        </a:p>
        <a:p xmlns:a="http://schemas.openxmlformats.org/drawingml/2006/main">
          <a:endParaRPr lang="zh-CN" altLang="en-US" sz="900"/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0.58179</cdr:x>
      <cdr:y>0.67734</cdr:y>
    </cdr:from>
    <cdr:to>
      <cdr:x>0.90556</cdr:x>
      <cdr:y>0.99602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57675" y="890324"/>
          <a:ext cx="755558" cy="418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rtl="0" fontAlgn="base"/>
          <a:r>
            <a:rPr lang="zh-CN" altLang="en-US" sz="900" b="0" i="0" baseline="0">
              <a:latin typeface="Calibri"/>
              <a:ea typeface="宋体"/>
            </a:rPr>
            <a:t>↑加速比</a:t>
          </a:r>
          <a:endParaRPr lang="en-US" sz="900" b="0" i="0" baseline="0">
            <a:latin typeface="Calibri"/>
          </a:endParaRPr>
        </a:p>
        <a:p xmlns:a="http://schemas.openxmlformats.org/drawingml/2006/main">
          <a:pPr rtl="0"/>
          <a:r>
            <a:rPr lang="zh-CN" altLang="en-US" sz="900" b="0" i="0" baseline="0">
              <a:latin typeface="Calibri"/>
              <a:ea typeface="宋体"/>
            </a:rPr>
            <a:t>  →骨骼数</a:t>
          </a:r>
          <a:endParaRPr lang="zh-CN" sz="900"/>
        </a:p>
        <a:p xmlns:a="http://schemas.openxmlformats.org/drawingml/2006/main">
          <a:endParaRPr lang="zh-CN" altLang="en-US" sz="900"/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0.58179</cdr:x>
      <cdr:y>0.67734</cdr:y>
    </cdr:from>
    <cdr:to>
      <cdr:x>0.90556</cdr:x>
      <cdr:y>0.99602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57675" y="890324"/>
          <a:ext cx="755558" cy="418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rtl="0" fontAlgn="base"/>
          <a:r>
            <a:rPr lang="zh-CN" altLang="en-US" sz="900" b="0" i="0" baseline="0">
              <a:latin typeface="Calibri"/>
              <a:ea typeface="宋体"/>
            </a:rPr>
            <a:t>↑加速比</a:t>
          </a:r>
          <a:endParaRPr lang="en-US" sz="900" b="0" i="0" baseline="0">
            <a:latin typeface="Calibri"/>
          </a:endParaRPr>
        </a:p>
        <a:p xmlns:a="http://schemas.openxmlformats.org/drawingml/2006/main">
          <a:pPr rtl="0"/>
          <a:r>
            <a:rPr lang="zh-CN" altLang="en-US" sz="900" b="0" i="0" baseline="0">
              <a:latin typeface="Calibri"/>
              <a:ea typeface="宋体"/>
            </a:rPr>
            <a:t>  →骨骼数</a:t>
          </a:r>
          <a:endParaRPr lang="zh-CN" sz="900"/>
        </a:p>
        <a:p xmlns:a="http://schemas.openxmlformats.org/drawingml/2006/main">
          <a:endParaRPr lang="zh-CN" altLang="en-US" sz="900"/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0.58179</cdr:x>
      <cdr:y>0.67734</cdr:y>
    </cdr:from>
    <cdr:to>
      <cdr:x>0.90556</cdr:x>
      <cdr:y>0.99602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57675" y="890324"/>
          <a:ext cx="755558" cy="418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rtl="0" fontAlgn="base"/>
          <a:r>
            <a:rPr lang="zh-CN" altLang="en-US" sz="900" b="0" i="0" baseline="0">
              <a:latin typeface="Calibri"/>
              <a:ea typeface="宋体"/>
            </a:rPr>
            <a:t>↑加速比</a:t>
          </a:r>
          <a:endParaRPr lang="en-US" sz="900" b="0" i="0" baseline="0">
            <a:latin typeface="Calibri"/>
          </a:endParaRPr>
        </a:p>
        <a:p xmlns:a="http://schemas.openxmlformats.org/drawingml/2006/main">
          <a:pPr rtl="0"/>
          <a:r>
            <a:rPr lang="zh-CN" altLang="en-US" sz="900" b="0" i="0" baseline="0">
              <a:latin typeface="Calibri"/>
              <a:ea typeface="宋体"/>
            </a:rPr>
            <a:t>  →骨骼数</a:t>
          </a:r>
          <a:endParaRPr lang="zh-CN" sz="900"/>
        </a:p>
        <a:p xmlns:a="http://schemas.openxmlformats.org/drawingml/2006/main">
          <a:endParaRPr lang="zh-CN" altLang="en-US" sz="900"/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0.58179</cdr:x>
      <cdr:y>0.67734</cdr:y>
    </cdr:from>
    <cdr:to>
      <cdr:x>0.90556</cdr:x>
      <cdr:y>0.99602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57675" y="890324"/>
          <a:ext cx="755558" cy="418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rtl="0" fontAlgn="base"/>
          <a:r>
            <a:rPr lang="zh-CN" altLang="en-US" sz="900" b="0" i="0" baseline="0">
              <a:latin typeface="Calibri"/>
              <a:ea typeface="宋体"/>
            </a:rPr>
            <a:t>↑加速比</a:t>
          </a:r>
          <a:endParaRPr lang="en-US" sz="900" b="0" i="0" baseline="0">
            <a:latin typeface="Calibri"/>
          </a:endParaRPr>
        </a:p>
        <a:p xmlns:a="http://schemas.openxmlformats.org/drawingml/2006/main">
          <a:pPr rtl="0"/>
          <a:r>
            <a:rPr lang="zh-CN" altLang="en-US" sz="900" b="0" i="0" baseline="0">
              <a:latin typeface="Calibri"/>
              <a:ea typeface="宋体"/>
            </a:rPr>
            <a:t>  →骨骼数</a:t>
          </a:r>
          <a:endParaRPr lang="zh-CN" sz="900"/>
        </a:p>
        <a:p xmlns:a="http://schemas.openxmlformats.org/drawingml/2006/main">
          <a:endParaRPr lang="zh-CN" altLang="en-US" sz="9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24</xdr:row>
      <xdr:rowOff>66675</xdr:rowOff>
    </xdr:from>
    <xdr:to>
      <xdr:col>16</xdr:col>
      <xdr:colOff>323850</xdr:colOff>
      <xdr:row>31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28577</xdr:colOff>
      <xdr:row>10</xdr:row>
      <xdr:rowOff>104775</xdr:rowOff>
    </xdr:from>
    <xdr:to>
      <xdr:col>17</xdr:col>
      <xdr:colOff>200025</xdr:colOff>
      <xdr:row>18</xdr:row>
      <xdr:rowOff>85725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0.58179</cdr:x>
      <cdr:y>0.67734</cdr:y>
    </cdr:from>
    <cdr:to>
      <cdr:x>0.90556</cdr:x>
      <cdr:y>0.99602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57675" y="890324"/>
          <a:ext cx="755558" cy="418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rtl="0" fontAlgn="base"/>
          <a:r>
            <a:rPr lang="zh-CN" altLang="en-US" sz="900" b="0" i="0" baseline="0">
              <a:latin typeface="Calibri"/>
              <a:ea typeface="宋体"/>
            </a:rPr>
            <a:t>↑加速比</a:t>
          </a:r>
          <a:endParaRPr lang="en-US" sz="900" b="0" i="0" baseline="0">
            <a:latin typeface="Calibri"/>
          </a:endParaRPr>
        </a:p>
        <a:p xmlns:a="http://schemas.openxmlformats.org/drawingml/2006/main">
          <a:pPr rtl="0"/>
          <a:r>
            <a:rPr lang="zh-CN" altLang="en-US" sz="900" b="0" i="0" baseline="0">
              <a:latin typeface="Calibri"/>
              <a:ea typeface="宋体"/>
            </a:rPr>
            <a:t>  →骨骼数</a:t>
          </a:r>
          <a:endParaRPr lang="zh-CN" sz="900"/>
        </a:p>
        <a:p xmlns:a="http://schemas.openxmlformats.org/drawingml/2006/main">
          <a:endParaRPr lang="zh-CN" altLang="en-US" sz="900"/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0.58179</cdr:x>
      <cdr:y>0.67734</cdr:y>
    </cdr:from>
    <cdr:to>
      <cdr:x>0.90556</cdr:x>
      <cdr:y>0.99602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57675" y="890324"/>
          <a:ext cx="755558" cy="418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rtl="0" fontAlgn="base"/>
          <a:r>
            <a:rPr lang="zh-CN" altLang="en-US" sz="900" b="0" i="0" baseline="0">
              <a:latin typeface="Calibri"/>
              <a:ea typeface="宋体"/>
            </a:rPr>
            <a:t>↑加速比</a:t>
          </a:r>
          <a:endParaRPr lang="en-US" sz="900" b="0" i="0" baseline="0">
            <a:latin typeface="Calibri"/>
          </a:endParaRPr>
        </a:p>
        <a:p xmlns:a="http://schemas.openxmlformats.org/drawingml/2006/main">
          <a:pPr rtl="0"/>
          <a:r>
            <a:rPr lang="zh-CN" altLang="en-US" sz="900" b="0" i="0" baseline="0">
              <a:latin typeface="Calibri"/>
              <a:ea typeface="宋体"/>
            </a:rPr>
            <a:t>  →骨骼数</a:t>
          </a:r>
          <a:endParaRPr lang="zh-CN" sz="900"/>
        </a:p>
        <a:p xmlns:a="http://schemas.openxmlformats.org/drawingml/2006/main">
          <a:endParaRPr lang="zh-CN" altLang="en-US" sz="900"/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0.63345</cdr:x>
      <cdr:y>0.67249</cdr:y>
    </cdr:from>
    <cdr:to>
      <cdr:x>0.98635</cdr:x>
      <cdr:y>0.99117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35110" y="1319519"/>
          <a:ext cx="910942" cy="6252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rtl="0" fontAlgn="base"/>
          <a:r>
            <a:rPr lang="zh-CN" altLang="en-US" sz="900" b="0" i="0" baseline="0">
              <a:latin typeface="Calibri"/>
              <a:ea typeface="宋体"/>
            </a:rPr>
            <a:t>↑加速比</a:t>
          </a:r>
          <a:endParaRPr lang="en-US" sz="900" b="0" i="0" baseline="0">
            <a:latin typeface="Calibri"/>
          </a:endParaRPr>
        </a:p>
        <a:p xmlns:a="http://schemas.openxmlformats.org/drawingml/2006/main">
          <a:pPr rtl="0"/>
          <a:r>
            <a:rPr lang="zh-CN" altLang="en-US" sz="900" b="0" i="0" baseline="0">
              <a:latin typeface="Calibri"/>
              <a:ea typeface="宋体"/>
            </a:rPr>
            <a:t>  →优化方案</a:t>
          </a:r>
          <a:endParaRPr lang="zh-CN" sz="900"/>
        </a:p>
        <a:p xmlns:a="http://schemas.openxmlformats.org/drawingml/2006/main">
          <a:endParaRPr lang="zh-CN" altLang="en-US" sz="900"/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0.58179</cdr:x>
      <cdr:y>0.67734</cdr:y>
    </cdr:from>
    <cdr:to>
      <cdr:x>0.90556</cdr:x>
      <cdr:y>0.99602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57675" y="890324"/>
          <a:ext cx="755558" cy="418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rtl="0" fontAlgn="base"/>
          <a:r>
            <a:rPr lang="zh-CN" altLang="en-US" sz="900" b="0" i="0" baseline="0">
              <a:latin typeface="Calibri"/>
              <a:ea typeface="宋体"/>
            </a:rPr>
            <a:t>↑加速比</a:t>
          </a:r>
          <a:endParaRPr lang="en-US" sz="900" b="0" i="0" baseline="0">
            <a:latin typeface="Calibri"/>
          </a:endParaRPr>
        </a:p>
        <a:p xmlns:a="http://schemas.openxmlformats.org/drawingml/2006/main">
          <a:pPr rtl="0"/>
          <a:r>
            <a:rPr lang="zh-CN" altLang="en-US" sz="900" b="0" i="0" baseline="0">
              <a:latin typeface="Calibri"/>
              <a:ea typeface="宋体"/>
            </a:rPr>
            <a:t>  →骨骼数</a:t>
          </a:r>
          <a:endParaRPr lang="zh-CN" sz="900"/>
        </a:p>
        <a:p xmlns:a="http://schemas.openxmlformats.org/drawingml/2006/main">
          <a:endParaRPr lang="zh-CN" altLang="en-US" sz="900"/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0.63345</cdr:x>
      <cdr:y>0.67249</cdr:y>
    </cdr:from>
    <cdr:to>
      <cdr:x>0.98635</cdr:x>
      <cdr:y>0.99117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35110" y="1319519"/>
          <a:ext cx="910942" cy="6252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rtl="0" fontAlgn="base"/>
          <a:r>
            <a:rPr lang="zh-CN" altLang="en-US" sz="900" b="0" i="0" baseline="0">
              <a:latin typeface="Calibri"/>
              <a:ea typeface="宋体"/>
            </a:rPr>
            <a:t>↑加速比</a:t>
          </a:r>
          <a:endParaRPr lang="en-US" sz="900" b="0" i="0" baseline="0">
            <a:latin typeface="Calibri"/>
          </a:endParaRPr>
        </a:p>
        <a:p xmlns:a="http://schemas.openxmlformats.org/drawingml/2006/main">
          <a:pPr rtl="0"/>
          <a:r>
            <a:rPr lang="zh-CN" altLang="en-US" sz="900" b="0" i="0" baseline="0">
              <a:latin typeface="Calibri"/>
              <a:ea typeface="宋体"/>
            </a:rPr>
            <a:t>  →优化方案</a:t>
          </a:r>
          <a:endParaRPr lang="zh-CN" sz="900"/>
        </a:p>
        <a:p xmlns:a="http://schemas.openxmlformats.org/drawingml/2006/main">
          <a:endParaRPr lang="zh-CN" altLang="en-US" sz="900"/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0.58179</cdr:x>
      <cdr:y>0.67734</cdr:y>
    </cdr:from>
    <cdr:to>
      <cdr:x>0.90556</cdr:x>
      <cdr:y>0.99602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57675" y="890324"/>
          <a:ext cx="755558" cy="418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rtl="0" fontAlgn="base"/>
          <a:r>
            <a:rPr lang="zh-CN" altLang="en-US" sz="900" b="0" i="0" baseline="0">
              <a:latin typeface="Calibri"/>
              <a:ea typeface="宋体"/>
            </a:rPr>
            <a:t>↑加速比</a:t>
          </a:r>
          <a:endParaRPr lang="en-US" sz="900" b="0" i="0" baseline="0">
            <a:latin typeface="Calibri"/>
          </a:endParaRPr>
        </a:p>
        <a:p xmlns:a="http://schemas.openxmlformats.org/drawingml/2006/main">
          <a:pPr rtl="0"/>
          <a:r>
            <a:rPr lang="zh-CN" altLang="en-US" sz="900" b="0" i="0" baseline="0">
              <a:latin typeface="Calibri"/>
              <a:ea typeface="宋体"/>
            </a:rPr>
            <a:t>  →骨骼数</a:t>
          </a:r>
          <a:endParaRPr lang="zh-CN" sz="900"/>
        </a:p>
        <a:p xmlns:a="http://schemas.openxmlformats.org/drawingml/2006/main">
          <a:endParaRPr lang="zh-CN" altLang="en-US" sz="900"/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0.58179</cdr:x>
      <cdr:y>0.67734</cdr:y>
    </cdr:from>
    <cdr:to>
      <cdr:x>0.90556</cdr:x>
      <cdr:y>0.99602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57675" y="890324"/>
          <a:ext cx="755558" cy="418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rtl="0" fontAlgn="base"/>
          <a:r>
            <a:rPr lang="zh-CN" altLang="en-US" sz="900" b="0" i="0" baseline="0">
              <a:latin typeface="Calibri"/>
              <a:ea typeface="宋体"/>
            </a:rPr>
            <a:t>↑加速比</a:t>
          </a:r>
          <a:endParaRPr lang="en-US" sz="900" b="0" i="0" baseline="0">
            <a:latin typeface="Calibri"/>
          </a:endParaRPr>
        </a:p>
        <a:p xmlns:a="http://schemas.openxmlformats.org/drawingml/2006/main">
          <a:pPr rtl="0"/>
          <a:r>
            <a:rPr lang="zh-CN" altLang="en-US" sz="900" b="0" i="0" baseline="0">
              <a:latin typeface="Calibri"/>
              <a:ea typeface="宋体"/>
            </a:rPr>
            <a:t>  →骨骼数</a:t>
          </a:r>
          <a:endParaRPr lang="zh-CN" sz="900"/>
        </a:p>
        <a:p xmlns:a="http://schemas.openxmlformats.org/drawingml/2006/main">
          <a:endParaRPr lang="zh-CN" altLang="en-US" sz="900"/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0.00204</cdr:x>
      <cdr:y>0.78819</cdr:y>
    </cdr:from>
    <cdr:to>
      <cdr:x>0.13329</cdr:x>
      <cdr:y>0.90625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" y="2162169"/>
          <a:ext cx="612577" cy="3238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zh-CN" altLang="en-US" sz="1100" b="0" i="0" baseline="0">
              <a:latin typeface="Calibri"/>
              <a:ea typeface="宋体"/>
            </a:rPr>
            <a:t>↑</a:t>
          </a:r>
          <a:r>
            <a:rPr lang="zh-CN" altLang="en-US" sz="900" b="0" i="0" baseline="0">
              <a:latin typeface="Calibri"/>
              <a:ea typeface="宋体"/>
            </a:rPr>
            <a:t>耗时</a:t>
          </a:r>
          <a:r>
            <a:rPr lang="en-US" altLang="zh-CN" sz="900" b="0" i="0" baseline="0">
              <a:latin typeface="Calibri"/>
              <a:ea typeface="宋体"/>
            </a:rPr>
            <a:t>ms</a:t>
          </a:r>
          <a:endParaRPr lang="zh-CN" altLang="en-US" sz="900"/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0.7882</cdr:y>
    </cdr:from>
    <cdr:to>
      <cdr:x>0.15</cdr:x>
      <cdr:y>0.96528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162181"/>
          <a:ext cx="685800" cy="4857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zh-CN" altLang="en-US" sz="1100" b="0" i="0" baseline="0">
              <a:latin typeface="Calibri"/>
              <a:ea typeface="宋体"/>
            </a:rPr>
            <a:t>↑</a:t>
          </a:r>
          <a:r>
            <a:rPr lang="zh-CN" altLang="en-US" sz="900" b="0" i="0" baseline="0">
              <a:latin typeface="Calibri"/>
              <a:ea typeface="宋体"/>
            </a:rPr>
            <a:t>加速比</a:t>
          </a:r>
          <a:r>
            <a:rPr lang="en-US" altLang="zh-CN" sz="900" b="0" i="0" baseline="0">
              <a:latin typeface="Calibri"/>
              <a:ea typeface="宋体"/>
            </a:rPr>
            <a:t>speedup</a:t>
          </a:r>
          <a:endParaRPr lang="zh-CN" altLang="en-US" sz="900"/>
        </a:p>
      </cdr:txBody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0.00204</cdr:x>
      <cdr:y>0.78819</cdr:y>
    </cdr:from>
    <cdr:to>
      <cdr:x>0.13329</cdr:x>
      <cdr:y>0.90625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" y="2162169"/>
          <a:ext cx="612577" cy="3238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zh-CN" altLang="en-US" sz="1100" b="0" i="0" baseline="0">
              <a:latin typeface="Calibri"/>
              <a:ea typeface="宋体"/>
            </a:rPr>
            <a:t>↑</a:t>
          </a:r>
          <a:r>
            <a:rPr lang="zh-CN" altLang="en-US" sz="900" b="0" i="0" baseline="0">
              <a:latin typeface="Calibri"/>
              <a:ea typeface="宋体"/>
            </a:rPr>
            <a:t>耗时</a:t>
          </a:r>
          <a:r>
            <a:rPr lang="en-US" altLang="zh-CN" sz="900" b="0" i="0" baseline="0">
              <a:latin typeface="Calibri"/>
              <a:ea typeface="宋体"/>
            </a:rPr>
            <a:t>ms</a:t>
          </a:r>
          <a:endParaRPr lang="zh-CN" altLang="en-US" sz="9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24</xdr:row>
      <xdr:rowOff>66675</xdr:rowOff>
    </xdr:from>
    <xdr:to>
      <xdr:col>16</xdr:col>
      <xdr:colOff>323850</xdr:colOff>
      <xdr:row>31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28577</xdr:colOff>
      <xdr:row>10</xdr:row>
      <xdr:rowOff>104775</xdr:rowOff>
    </xdr:from>
    <xdr:to>
      <xdr:col>17</xdr:col>
      <xdr:colOff>200025</xdr:colOff>
      <xdr:row>18</xdr:row>
      <xdr:rowOff>85725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476249</xdr:colOff>
      <xdr:row>79</xdr:row>
      <xdr:rowOff>9525</xdr:rowOff>
    </xdr:from>
    <xdr:to>
      <xdr:col>14</xdr:col>
      <xdr:colOff>133350</xdr:colOff>
      <xdr:row>85</xdr:row>
      <xdr:rowOff>19050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89</xdr:row>
      <xdr:rowOff>0</xdr:rowOff>
    </xdr:from>
    <xdr:to>
      <xdr:col>17</xdr:col>
      <xdr:colOff>0</xdr:colOff>
      <xdr:row>90</xdr:row>
      <xdr:rowOff>9525</xdr:rowOff>
    </xdr:to>
    <xdr:cxnSp macro="">
      <xdr:nvCxnSpPr>
        <xdr:cNvPr id="8" name="直接连接符 7"/>
        <xdr:cNvCxnSpPr/>
      </xdr:nvCxnSpPr>
      <xdr:spPr>
        <a:xfrm>
          <a:off x="8791575" y="20831175"/>
          <a:ext cx="685800" cy="6096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89</xdr:row>
      <xdr:rowOff>0</xdr:rowOff>
    </xdr:from>
    <xdr:to>
      <xdr:col>23</xdr:col>
      <xdr:colOff>0</xdr:colOff>
      <xdr:row>90</xdr:row>
      <xdr:rowOff>9525</xdr:rowOff>
    </xdr:to>
    <xdr:cxnSp macro="">
      <xdr:nvCxnSpPr>
        <xdr:cNvPr id="9" name="直接连接符 8"/>
        <xdr:cNvCxnSpPr/>
      </xdr:nvCxnSpPr>
      <xdr:spPr>
        <a:xfrm>
          <a:off x="8791575" y="20831175"/>
          <a:ext cx="685800" cy="6096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0.7882</cdr:y>
    </cdr:from>
    <cdr:to>
      <cdr:x>0.15</cdr:x>
      <cdr:y>0.96528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162181"/>
          <a:ext cx="685800" cy="4857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zh-CN" altLang="en-US" sz="1100" b="0" i="0" baseline="0">
              <a:latin typeface="Calibri"/>
              <a:ea typeface="宋体"/>
            </a:rPr>
            <a:t>↑</a:t>
          </a:r>
          <a:r>
            <a:rPr lang="zh-CN" altLang="en-US" sz="900" b="0" i="0" baseline="0">
              <a:latin typeface="Calibri"/>
              <a:ea typeface="宋体"/>
            </a:rPr>
            <a:t>加速比</a:t>
          </a:r>
          <a:r>
            <a:rPr lang="en-US" altLang="zh-CN" sz="900" b="0" i="0" baseline="0">
              <a:latin typeface="Calibri"/>
              <a:ea typeface="宋体"/>
            </a:rPr>
            <a:t>speedup</a:t>
          </a:r>
          <a:endParaRPr lang="zh-CN" altLang="en-US" sz="900"/>
        </a:p>
      </cdr:txBody>
    </cdr:sp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</cdr:x>
      <cdr:y>0.61087</cdr:y>
    </cdr:from>
    <cdr:to>
      <cdr:x>0.12367</cdr:x>
      <cdr:y>0.76223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826617"/>
          <a:ext cx="295504" cy="2048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rtl="0" fontAlgn="base"/>
          <a:r>
            <a:rPr lang="zh-CN" altLang="en-US" sz="750" b="0" i="0" baseline="0">
              <a:latin typeface="Calibri"/>
              <a:ea typeface="宋体"/>
            </a:rPr>
            <a:t>↑加速比</a:t>
          </a:r>
          <a:endParaRPr lang="zh-CN" altLang="en-US" sz="750"/>
        </a:p>
      </cdr:txBody>
    </cdr: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0.82446</cdr:x>
      <cdr:y>0</cdr:y>
    </cdr:from>
    <cdr:to>
      <cdr:x>1</cdr:x>
      <cdr:y>0.19854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971675" y="0"/>
          <a:ext cx="419811" cy="2686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rtl="0" fontAlgn="base"/>
          <a:r>
            <a:rPr lang="zh-CN" altLang="en-US" sz="750" b="0" i="0" baseline="0">
              <a:latin typeface="Calibri"/>
              <a:ea typeface="宋体"/>
            </a:rPr>
            <a:t>↑</a:t>
          </a:r>
          <a:endParaRPr lang="en-US" altLang="zh-CN" sz="750" b="0" i="0" baseline="0">
            <a:latin typeface="Calibri"/>
            <a:ea typeface="宋体"/>
          </a:endParaRPr>
        </a:p>
        <a:p xmlns:a="http://schemas.openxmlformats.org/drawingml/2006/main">
          <a:pPr rtl="0" fontAlgn="base"/>
          <a:r>
            <a:rPr lang="en-US" altLang="zh-CN" sz="750" b="0" i="0" baseline="0">
              <a:latin typeface="Calibri"/>
              <a:ea typeface="宋体"/>
            </a:rPr>
            <a:t>speedup</a:t>
          </a:r>
          <a:endParaRPr lang="zh-CN" altLang="en-US" sz="750"/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614156</xdr:colOff>
      <xdr:row>21</xdr:row>
      <xdr:rowOff>168140</xdr:rowOff>
    </xdr:from>
    <xdr:to>
      <xdr:col>31</xdr:col>
      <xdr:colOff>629480</xdr:colOff>
      <xdr:row>28</xdr:row>
      <xdr:rowOff>115957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323850</xdr:colOff>
      <xdr:row>350</xdr:row>
      <xdr:rowOff>1</xdr:rowOff>
    </xdr:from>
    <xdr:to>
      <xdr:col>15</xdr:col>
      <xdr:colOff>361950</xdr:colOff>
      <xdr:row>356</xdr:row>
      <xdr:rowOff>133351</xdr:rowOff>
    </xdr:to>
    <xdr:graphicFrame macro="">
      <xdr:nvGraphicFramePr>
        <xdr:cNvPr id="41" name="图表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681034</xdr:colOff>
      <xdr:row>1</xdr:row>
      <xdr:rowOff>166689</xdr:rowOff>
    </xdr:from>
    <xdr:to>
      <xdr:col>29</xdr:col>
      <xdr:colOff>85725</xdr:colOff>
      <xdr:row>10</xdr:row>
      <xdr:rowOff>180976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16565</xdr:colOff>
      <xdr:row>12</xdr:row>
      <xdr:rowOff>17807</xdr:rowOff>
    </xdr:from>
    <xdr:to>
      <xdr:col>29</xdr:col>
      <xdr:colOff>107056</xdr:colOff>
      <xdr:row>21</xdr:row>
      <xdr:rowOff>40378</xdr:rowOff>
    </xdr:to>
    <xdr:graphicFrame macro="">
      <xdr:nvGraphicFramePr>
        <xdr:cNvPr id="46" name="图表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223632</xdr:colOff>
      <xdr:row>22</xdr:row>
      <xdr:rowOff>25881</xdr:rowOff>
    </xdr:from>
    <xdr:to>
      <xdr:col>28</xdr:col>
      <xdr:colOff>372717</xdr:colOff>
      <xdr:row>28</xdr:row>
      <xdr:rowOff>124239</xdr:rowOff>
    </xdr:to>
    <xdr:graphicFrame macro="">
      <xdr:nvGraphicFramePr>
        <xdr:cNvPr id="22" name="图表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38</xdr:row>
      <xdr:rowOff>8283</xdr:rowOff>
    </xdr:from>
    <xdr:to>
      <xdr:col>26</xdr:col>
      <xdr:colOff>372717</xdr:colOff>
      <xdr:row>47</xdr:row>
      <xdr:rowOff>181185</xdr:rowOff>
    </xdr:to>
    <xdr:graphicFrame macro="">
      <xdr:nvGraphicFramePr>
        <xdr:cNvPr id="47" name="图表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16566</xdr:colOff>
      <xdr:row>37</xdr:row>
      <xdr:rowOff>173935</xdr:rowOff>
    </xdr:from>
    <xdr:to>
      <xdr:col>30</xdr:col>
      <xdr:colOff>292790</xdr:colOff>
      <xdr:row>47</xdr:row>
      <xdr:rowOff>138320</xdr:rowOff>
    </xdr:to>
    <xdr:graphicFrame macro="">
      <xdr:nvGraphicFramePr>
        <xdr:cNvPr id="48" name="图表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397566</xdr:colOff>
      <xdr:row>39</xdr:row>
      <xdr:rowOff>16565</xdr:rowOff>
    </xdr:from>
    <xdr:to>
      <xdr:col>22</xdr:col>
      <xdr:colOff>82209</xdr:colOff>
      <xdr:row>48</xdr:row>
      <xdr:rowOff>30852</xdr:rowOff>
    </xdr:to>
    <xdr:graphicFrame macro="">
      <xdr:nvGraphicFramePr>
        <xdr:cNvPr id="49" name="图表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405847</xdr:colOff>
      <xdr:row>50</xdr:row>
      <xdr:rowOff>8283</xdr:rowOff>
    </xdr:from>
    <xdr:to>
      <xdr:col>22</xdr:col>
      <xdr:colOff>90490</xdr:colOff>
      <xdr:row>59</xdr:row>
      <xdr:rowOff>55701</xdr:rowOff>
    </xdr:to>
    <xdr:graphicFrame macro="">
      <xdr:nvGraphicFramePr>
        <xdr:cNvPr id="50" name="图表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50</xdr:row>
      <xdr:rowOff>16566</xdr:rowOff>
    </xdr:from>
    <xdr:to>
      <xdr:col>26</xdr:col>
      <xdr:colOff>372717</xdr:colOff>
      <xdr:row>60</xdr:row>
      <xdr:rowOff>48663</xdr:rowOff>
    </xdr:to>
    <xdr:graphicFrame macro="">
      <xdr:nvGraphicFramePr>
        <xdr:cNvPr id="51" name="图表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16565</xdr:colOff>
      <xdr:row>50</xdr:row>
      <xdr:rowOff>16565</xdr:rowOff>
    </xdr:from>
    <xdr:to>
      <xdr:col>31</xdr:col>
      <xdr:colOff>140804</xdr:colOff>
      <xdr:row>60</xdr:row>
      <xdr:rowOff>33130</xdr:rowOff>
    </xdr:to>
    <xdr:graphicFrame macro="">
      <xdr:nvGraphicFramePr>
        <xdr:cNvPr id="52" name="图表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62</xdr:row>
      <xdr:rowOff>0</xdr:rowOff>
    </xdr:from>
    <xdr:to>
      <xdr:col>22</xdr:col>
      <xdr:colOff>90491</xdr:colOff>
      <xdr:row>71</xdr:row>
      <xdr:rowOff>14288</xdr:rowOff>
    </xdr:to>
    <xdr:graphicFrame macro="">
      <xdr:nvGraphicFramePr>
        <xdr:cNvPr id="53" name="图表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0</xdr:colOff>
      <xdr:row>62</xdr:row>
      <xdr:rowOff>0</xdr:rowOff>
    </xdr:from>
    <xdr:to>
      <xdr:col>27</xdr:col>
      <xdr:colOff>281609</xdr:colOff>
      <xdr:row>74</xdr:row>
      <xdr:rowOff>8283</xdr:rowOff>
    </xdr:to>
    <xdr:graphicFrame macro="">
      <xdr:nvGraphicFramePr>
        <xdr:cNvPr id="54" name="图表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27</xdr:col>
      <xdr:colOff>687455</xdr:colOff>
      <xdr:row>62</xdr:row>
      <xdr:rowOff>0</xdr:rowOff>
    </xdr:from>
    <xdr:to>
      <xdr:col>33</xdr:col>
      <xdr:colOff>107674</xdr:colOff>
      <xdr:row>71</xdr:row>
      <xdr:rowOff>173935</xdr:rowOff>
    </xdr:to>
    <xdr:graphicFrame macro="">
      <xdr:nvGraphicFramePr>
        <xdr:cNvPr id="55" name="图表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0</xdr:colOff>
      <xdr:row>79</xdr:row>
      <xdr:rowOff>0</xdr:rowOff>
    </xdr:from>
    <xdr:to>
      <xdr:col>22</xdr:col>
      <xdr:colOff>90491</xdr:colOff>
      <xdr:row>88</xdr:row>
      <xdr:rowOff>14288</xdr:rowOff>
    </xdr:to>
    <xdr:graphicFrame macro="">
      <xdr:nvGraphicFramePr>
        <xdr:cNvPr id="56" name="图表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0</xdr:colOff>
      <xdr:row>79</xdr:row>
      <xdr:rowOff>0</xdr:rowOff>
    </xdr:from>
    <xdr:to>
      <xdr:col>27</xdr:col>
      <xdr:colOff>488674</xdr:colOff>
      <xdr:row>91</xdr:row>
      <xdr:rowOff>8284</xdr:rowOff>
    </xdr:to>
    <xdr:graphicFrame macro="">
      <xdr:nvGraphicFramePr>
        <xdr:cNvPr id="57" name="图表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18</xdr:col>
      <xdr:colOff>0</xdr:colOff>
      <xdr:row>106</xdr:row>
      <xdr:rowOff>0</xdr:rowOff>
    </xdr:from>
    <xdr:to>
      <xdr:col>22</xdr:col>
      <xdr:colOff>90491</xdr:colOff>
      <xdr:row>115</xdr:row>
      <xdr:rowOff>6005</xdr:rowOff>
    </xdr:to>
    <xdr:graphicFrame macro="">
      <xdr:nvGraphicFramePr>
        <xdr:cNvPr id="58" name="图表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28</xdr:col>
      <xdr:colOff>1655</xdr:colOff>
      <xdr:row>80</xdr:row>
      <xdr:rowOff>0</xdr:rowOff>
    </xdr:from>
    <xdr:to>
      <xdr:col>34</xdr:col>
      <xdr:colOff>209550</xdr:colOff>
      <xdr:row>89</xdr:row>
      <xdr:rowOff>16565</xdr:rowOff>
    </xdr:to>
    <xdr:graphicFrame macro="">
      <xdr:nvGraphicFramePr>
        <xdr:cNvPr id="59" name="图表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28</xdr:col>
      <xdr:colOff>66674</xdr:colOff>
      <xdr:row>106</xdr:row>
      <xdr:rowOff>9525</xdr:rowOff>
    </xdr:from>
    <xdr:to>
      <xdr:col>35</xdr:col>
      <xdr:colOff>133350</xdr:colOff>
      <xdr:row>115</xdr:row>
      <xdr:rowOff>171450</xdr:rowOff>
    </xdr:to>
    <xdr:graphicFrame macro="">
      <xdr:nvGraphicFramePr>
        <xdr:cNvPr id="61" name="图表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173933</xdr:colOff>
      <xdr:row>360</xdr:row>
      <xdr:rowOff>24020</xdr:rowOff>
    </xdr:from>
    <xdr:to>
      <xdr:col>17</xdr:col>
      <xdr:colOff>381000</xdr:colOff>
      <xdr:row>369</xdr:row>
      <xdr:rowOff>74542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18</xdr:col>
      <xdr:colOff>0</xdr:colOff>
      <xdr:row>139</xdr:row>
      <xdr:rowOff>0</xdr:rowOff>
    </xdr:from>
    <xdr:to>
      <xdr:col>22</xdr:col>
      <xdr:colOff>90491</xdr:colOff>
      <xdr:row>148</xdr:row>
      <xdr:rowOff>6005</xdr:rowOff>
    </xdr:to>
    <xdr:graphicFrame macro="">
      <xdr:nvGraphicFramePr>
        <xdr:cNvPr id="45" name="图表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22</xdr:col>
      <xdr:colOff>685799</xdr:colOff>
      <xdr:row>139</xdr:row>
      <xdr:rowOff>0</xdr:rowOff>
    </xdr:from>
    <xdr:to>
      <xdr:col>28</xdr:col>
      <xdr:colOff>161924</xdr:colOff>
      <xdr:row>150</xdr:row>
      <xdr:rowOff>133350</xdr:rowOff>
    </xdr:to>
    <xdr:graphicFrame macro="">
      <xdr:nvGraphicFramePr>
        <xdr:cNvPr id="62" name="图表 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18</xdr:col>
      <xdr:colOff>0</xdr:colOff>
      <xdr:row>330</xdr:row>
      <xdr:rowOff>0</xdr:rowOff>
    </xdr:from>
    <xdr:to>
      <xdr:col>22</xdr:col>
      <xdr:colOff>90491</xdr:colOff>
      <xdr:row>339</xdr:row>
      <xdr:rowOff>15530</xdr:rowOff>
    </xdr:to>
    <xdr:graphicFrame macro="">
      <xdr:nvGraphicFramePr>
        <xdr:cNvPr id="63" name="图表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23</xdr:col>
      <xdr:colOff>1</xdr:colOff>
      <xdr:row>330</xdr:row>
      <xdr:rowOff>0</xdr:rowOff>
    </xdr:from>
    <xdr:to>
      <xdr:col>26</xdr:col>
      <xdr:colOff>495301</xdr:colOff>
      <xdr:row>340</xdr:row>
      <xdr:rowOff>104775</xdr:rowOff>
    </xdr:to>
    <xdr:graphicFrame macro="">
      <xdr:nvGraphicFramePr>
        <xdr:cNvPr id="64" name="图表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27</xdr:col>
      <xdr:colOff>0</xdr:colOff>
      <xdr:row>330</xdr:row>
      <xdr:rowOff>0</xdr:rowOff>
    </xdr:from>
    <xdr:to>
      <xdr:col>32</xdr:col>
      <xdr:colOff>106019</xdr:colOff>
      <xdr:row>340</xdr:row>
      <xdr:rowOff>2485</xdr:rowOff>
    </xdr:to>
    <xdr:graphicFrame macro="">
      <xdr:nvGraphicFramePr>
        <xdr:cNvPr id="65" name="图表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18</xdr:col>
      <xdr:colOff>0</xdr:colOff>
      <xdr:row>283</xdr:row>
      <xdr:rowOff>0</xdr:rowOff>
    </xdr:from>
    <xdr:to>
      <xdr:col>22</xdr:col>
      <xdr:colOff>90491</xdr:colOff>
      <xdr:row>292</xdr:row>
      <xdr:rowOff>25055</xdr:rowOff>
    </xdr:to>
    <xdr:graphicFrame macro="">
      <xdr:nvGraphicFramePr>
        <xdr:cNvPr id="66" name="图表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22</xdr:col>
      <xdr:colOff>333376</xdr:colOff>
      <xdr:row>283</xdr:row>
      <xdr:rowOff>9525</xdr:rowOff>
    </xdr:from>
    <xdr:to>
      <xdr:col>27</xdr:col>
      <xdr:colOff>628650</xdr:colOff>
      <xdr:row>293</xdr:row>
      <xdr:rowOff>114300</xdr:rowOff>
    </xdr:to>
    <xdr:graphicFrame macro="">
      <xdr:nvGraphicFramePr>
        <xdr:cNvPr id="67" name="图表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28</xdr:col>
      <xdr:colOff>485775</xdr:colOff>
      <xdr:row>283</xdr:row>
      <xdr:rowOff>19050</xdr:rowOff>
    </xdr:from>
    <xdr:to>
      <xdr:col>33</xdr:col>
      <xdr:colOff>591794</xdr:colOff>
      <xdr:row>293</xdr:row>
      <xdr:rowOff>21535</xdr:rowOff>
    </xdr:to>
    <xdr:graphicFrame macro="">
      <xdr:nvGraphicFramePr>
        <xdr:cNvPr id="68" name="图表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19</xdr:col>
      <xdr:colOff>0</xdr:colOff>
      <xdr:row>169</xdr:row>
      <xdr:rowOff>0</xdr:rowOff>
    </xdr:from>
    <xdr:to>
      <xdr:col>23</xdr:col>
      <xdr:colOff>90491</xdr:colOff>
      <xdr:row>178</xdr:row>
      <xdr:rowOff>15530</xdr:rowOff>
    </xdr:to>
    <xdr:graphicFrame macro="">
      <xdr:nvGraphicFramePr>
        <xdr:cNvPr id="69" name="图表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23</xdr:col>
      <xdr:colOff>371476</xdr:colOff>
      <xdr:row>169</xdr:row>
      <xdr:rowOff>0</xdr:rowOff>
    </xdr:from>
    <xdr:to>
      <xdr:col>28</xdr:col>
      <xdr:colOff>666750</xdr:colOff>
      <xdr:row>179</xdr:row>
      <xdr:rowOff>104775</xdr:rowOff>
    </xdr:to>
    <xdr:graphicFrame macro="">
      <xdr:nvGraphicFramePr>
        <xdr:cNvPr id="70" name="图表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29</xdr:col>
      <xdr:colOff>485775</xdr:colOff>
      <xdr:row>169</xdr:row>
      <xdr:rowOff>19050</xdr:rowOff>
    </xdr:from>
    <xdr:to>
      <xdr:col>34</xdr:col>
      <xdr:colOff>591794</xdr:colOff>
      <xdr:row>179</xdr:row>
      <xdr:rowOff>21535</xdr:rowOff>
    </xdr:to>
    <xdr:graphicFrame macro="">
      <xdr:nvGraphicFramePr>
        <xdr:cNvPr id="71" name="图表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27</xdr:col>
      <xdr:colOff>38100</xdr:colOff>
      <xdr:row>195</xdr:row>
      <xdr:rowOff>28575</xdr:rowOff>
    </xdr:from>
    <xdr:to>
      <xdr:col>31</xdr:col>
      <xdr:colOff>476250</xdr:colOff>
      <xdr:row>200</xdr:row>
      <xdr:rowOff>142876</xdr:rowOff>
    </xdr:to>
    <xdr:graphicFrame macro="">
      <xdr:nvGraphicFramePr>
        <xdr:cNvPr id="73" name="图表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27</xdr:col>
      <xdr:colOff>0</xdr:colOff>
      <xdr:row>202</xdr:row>
      <xdr:rowOff>247650</xdr:rowOff>
    </xdr:from>
    <xdr:to>
      <xdr:col>31</xdr:col>
      <xdr:colOff>438150</xdr:colOff>
      <xdr:row>210</xdr:row>
      <xdr:rowOff>47626</xdr:rowOff>
    </xdr:to>
    <xdr:graphicFrame macro="">
      <xdr:nvGraphicFramePr>
        <xdr:cNvPr id="74" name="图表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29</xdr:col>
      <xdr:colOff>0</xdr:colOff>
      <xdr:row>139</xdr:row>
      <xdr:rowOff>0</xdr:rowOff>
    </xdr:from>
    <xdr:to>
      <xdr:col>34</xdr:col>
      <xdr:colOff>106019</xdr:colOff>
      <xdr:row>148</xdr:row>
      <xdr:rowOff>164410</xdr:rowOff>
    </xdr:to>
    <xdr:graphicFrame macro="">
      <xdr:nvGraphicFramePr>
        <xdr:cNvPr id="75" name="图表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23</xdr:col>
      <xdr:colOff>9525</xdr:colOff>
      <xdr:row>106</xdr:row>
      <xdr:rowOff>9525</xdr:rowOff>
    </xdr:from>
    <xdr:to>
      <xdr:col>26</xdr:col>
      <xdr:colOff>630174</xdr:colOff>
      <xdr:row>119</xdr:row>
      <xdr:rowOff>46025</xdr:rowOff>
    </xdr:to>
    <xdr:graphicFrame macro="">
      <xdr:nvGraphicFramePr>
        <xdr:cNvPr id="42" name="图表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28</xdr:col>
      <xdr:colOff>0</xdr:colOff>
      <xdr:row>119</xdr:row>
      <xdr:rowOff>0</xdr:rowOff>
    </xdr:from>
    <xdr:to>
      <xdr:col>31</xdr:col>
      <xdr:colOff>580288</xdr:colOff>
      <xdr:row>127</xdr:row>
      <xdr:rowOff>152857</xdr:rowOff>
    </xdr:to>
    <xdr:graphicFrame macro="">
      <xdr:nvGraphicFramePr>
        <xdr:cNvPr id="43" name="图表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20</xdr:col>
      <xdr:colOff>219075</xdr:colOff>
      <xdr:row>3</xdr:row>
      <xdr:rowOff>161925</xdr:rowOff>
    </xdr:from>
    <xdr:to>
      <xdr:col>22</xdr:col>
      <xdr:colOff>94818</xdr:colOff>
      <xdr:row>9</xdr:row>
      <xdr:rowOff>76682</xdr:rowOff>
    </xdr:to>
    <xdr:graphicFrame macro="">
      <xdr:nvGraphicFramePr>
        <xdr:cNvPr id="40" name="图表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18</xdr:col>
      <xdr:colOff>152400</xdr:colOff>
      <xdr:row>3</xdr:row>
      <xdr:rowOff>152400</xdr:rowOff>
    </xdr:from>
    <xdr:to>
      <xdr:col>20</xdr:col>
      <xdr:colOff>126238</xdr:colOff>
      <xdr:row>9</xdr:row>
      <xdr:rowOff>67792</xdr:rowOff>
    </xdr:to>
    <xdr:graphicFrame macro="">
      <xdr:nvGraphicFramePr>
        <xdr:cNvPr id="44" name="图表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15</xdr:col>
      <xdr:colOff>0</xdr:colOff>
      <xdr:row>390</xdr:row>
      <xdr:rowOff>0</xdr:rowOff>
    </xdr:from>
    <xdr:to>
      <xdr:col>16</xdr:col>
      <xdr:colOff>0</xdr:colOff>
      <xdr:row>391</xdr:row>
      <xdr:rowOff>9525</xdr:rowOff>
    </xdr:to>
    <xdr:cxnSp macro="">
      <xdr:nvCxnSpPr>
        <xdr:cNvPr id="60" name="直接连接符 59"/>
        <xdr:cNvCxnSpPr/>
      </xdr:nvCxnSpPr>
      <xdr:spPr>
        <a:xfrm>
          <a:off x="8934450" y="26403300"/>
          <a:ext cx="685800" cy="1809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390</xdr:row>
      <xdr:rowOff>0</xdr:rowOff>
    </xdr:from>
    <xdr:to>
      <xdr:col>22</xdr:col>
      <xdr:colOff>0</xdr:colOff>
      <xdr:row>391</xdr:row>
      <xdr:rowOff>9525</xdr:rowOff>
    </xdr:to>
    <xdr:cxnSp macro="">
      <xdr:nvCxnSpPr>
        <xdr:cNvPr id="72" name="直接连接符 71"/>
        <xdr:cNvCxnSpPr/>
      </xdr:nvCxnSpPr>
      <xdr:spPr>
        <a:xfrm>
          <a:off x="13049250" y="26403300"/>
          <a:ext cx="685800" cy="1809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421</xdr:row>
      <xdr:rowOff>0</xdr:rowOff>
    </xdr:from>
    <xdr:to>
      <xdr:col>16</xdr:col>
      <xdr:colOff>0</xdr:colOff>
      <xdr:row>422</xdr:row>
      <xdr:rowOff>9525</xdr:rowOff>
    </xdr:to>
    <xdr:cxnSp macro="">
      <xdr:nvCxnSpPr>
        <xdr:cNvPr id="77" name="直接连接符 76"/>
        <xdr:cNvCxnSpPr/>
      </xdr:nvCxnSpPr>
      <xdr:spPr>
        <a:xfrm>
          <a:off x="8496300" y="76533375"/>
          <a:ext cx="466725" cy="8667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421</xdr:row>
      <xdr:rowOff>0</xdr:rowOff>
    </xdr:from>
    <xdr:to>
      <xdr:col>22</xdr:col>
      <xdr:colOff>0</xdr:colOff>
      <xdr:row>422</xdr:row>
      <xdr:rowOff>9525</xdr:rowOff>
    </xdr:to>
    <xdr:cxnSp macro="">
      <xdr:nvCxnSpPr>
        <xdr:cNvPr id="78" name="直接连接符 77"/>
        <xdr:cNvCxnSpPr/>
      </xdr:nvCxnSpPr>
      <xdr:spPr>
        <a:xfrm>
          <a:off x="12277725" y="76533375"/>
          <a:ext cx="971550" cy="8667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421</xdr:row>
      <xdr:rowOff>0</xdr:rowOff>
    </xdr:from>
    <xdr:to>
      <xdr:col>9</xdr:col>
      <xdr:colOff>0</xdr:colOff>
      <xdr:row>422</xdr:row>
      <xdr:rowOff>9525</xdr:rowOff>
    </xdr:to>
    <xdr:cxnSp macro="">
      <xdr:nvCxnSpPr>
        <xdr:cNvPr id="79" name="直接连接符 78"/>
        <xdr:cNvCxnSpPr/>
      </xdr:nvCxnSpPr>
      <xdr:spPr>
        <a:xfrm>
          <a:off x="8562975" y="84696300"/>
          <a:ext cx="466725" cy="8667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247650</xdr:colOff>
      <xdr:row>425</xdr:row>
      <xdr:rowOff>28574</xdr:rowOff>
    </xdr:from>
    <xdr:to>
      <xdr:col>3</xdr:col>
      <xdr:colOff>361950</xdr:colOff>
      <xdr:row>432</xdr:row>
      <xdr:rowOff>57149</xdr:rowOff>
    </xdr:to>
    <xdr:graphicFrame macro="">
      <xdr:nvGraphicFramePr>
        <xdr:cNvPr id="82" name="图表 8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0.86434</cdr:y>
    </cdr:from>
    <cdr:to>
      <cdr:x>0.21266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1904999"/>
          <a:ext cx="754927" cy="2990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rtl="0" fontAlgn="base"/>
          <a:r>
            <a:rPr lang="zh-CN" altLang="en-US" sz="800" b="0" i="0" baseline="0">
              <a:latin typeface="Calibri"/>
              <a:ea typeface="宋体"/>
            </a:rPr>
            <a:t>↑加速比</a:t>
          </a:r>
          <a:endParaRPr lang="en-US" sz="800" b="0" i="0" baseline="0">
            <a:latin typeface="Calibri"/>
          </a:endParaRPr>
        </a:p>
        <a:p xmlns:a="http://schemas.openxmlformats.org/drawingml/2006/main">
          <a:pPr rtl="0"/>
          <a:r>
            <a:rPr lang="zh-CN" altLang="en-US" sz="800" b="0" i="0" baseline="0">
              <a:latin typeface="Calibri"/>
              <a:ea typeface="宋体"/>
            </a:rPr>
            <a:t>  →顶点数</a:t>
          </a:r>
          <a:endParaRPr lang="zh-CN" sz="800"/>
        </a:p>
        <a:p xmlns:a="http://schemas.openxmlformats.org/drawingml/2006/main">
          <a:endParaRPr lang="zh-CN" altLang="en-US" sz="900"/>
        </a:p>
      </cdr:txBody>
    </cdr:sp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0.72754</cdr:x>
      <cdr:y>0.74747</cdr:y>
    </cdr:from>
    <cdr:to>
      <cdr:x>1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314575" y="1409701"/>
          <a:ext cx="866775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rtl="0" fontAlgn="base"/>
          <a:r>
            <a:rPr lang="zh-CN" altLang="en-US" sz="900" b="0" i="0" baseline="0">
              <a:latin typeface="Calibri"/>
              <a:ea typeface="宋体"/>
            </a:rPr>
            <a:t>↑加速比</a:t>
          </a:r>
          <a:endParaRPr lang="en-US" sz="900" b="0" i="0" baseline="0">
            <a:latin typeface="Calibri"/>
          </a:endParaRPr>
        </a:p>
        <a:p xmlns:a="http://schemas.openxmlformats.org/drawingml/2006/main">
          <a:pPr rtl="0"/>
          <a:r>
            <a:rPr lang="zh-CN" altLang="en-US" sz="900" b="0" i="0" baseline="0">
              <a:latin typeface="Calibri"/>
              <a:ea typeface="宋体"/>
            </a:rPr>
            <a:t>  →优化方案</a:t>
          </a:r>
          <a:endParaRPr lang="zh-CN" sz="900"/>
        </a:p>
        <a:p xmlns:a="http://schemas.openxmlformats.org/drawingml/2006/main">
          <a:endParaRPr lang="zh-CN" altLang="en-US" sz="900"/>
        </a:p>
      </cdr:txBody>
    </cdr:sp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0.72754</cdr:x>
      <cdr:y>0.74747</cdr:y>
    </cdr:from>
    <cdr:to>
      <cdr:x>1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314575" y="1409701"/>
          <a:ext cx="866775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rtl="0" fontAlgn="base"/>
          <a:r>
            <a:rPr lang="zh-CN" altLang="en-US" sz="900" b="0" i="0" baseline="0">
              <a:latin typeface="Calibri"/>
              <a:ea typeface="宋体"/>
            </a:rPr>
            <a:t>↑加速比</a:t>
          </a:r>
          <a:endParaRPr lang="en-US" sz="900" b="0" i="0" baseline="0">
            <a:latin typeface="Calibri"/>
          </a:endParaRPr>
        </a:p>
        <a:p xmlns:a="http://schemas.openxmlformats.org/drawingml/2006/main">
          <a:pPr rtl="0"/>
          <a:r>
            <a:rPr lang="zh-CN" altLang="en-US" sz="900" b="0" i="0" baseline="0">
              <a:latin typeface="Calibri"/>
              <a:ea typeface="宋体"/>
            </a:rPr>
            <a:t>  →优化方案</a:t>
          </a:r>
          <a:endParaRPr lang="zh-CN" sz="900"/>
        </a:p>
        <a:p xmlns:a="http://schemas.openxmlformats.org/drawingml/2006/main">
          <a:endParaRPr lang="zh-CN" altLang="en-US" sz="900"/>
        </a:p>
      </cdr:txBody>
    </cdr:sp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</cdr:x>
      <cdr:y>4.21973E-7</cdr:y>
    </cdr:from>
    <cdr:to>
      <cdr:x>0.28229</cdr:x>
      <cdr:y>0.06791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1"/>
          <a:ext cx="755557" cy="1609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rtl="0" fontAlgn="base"/>
          <a:r>
            <a:rPr lang="zh-CN" altLang="en-US" sz="750" b="0" i="0" baseline="0">
              <a:latin typeface="Calibri"/>
              <a:ea typeface="宋体"/>
            </a:rPr>
            <a:t>↑时间</a:t>
          </a:r>
          <a:r>
            <a:rPr lang="en-US" altLang="zh-CN" sz="750" b="0" i="0" baseline="0">
              <a:latin typeface="Calibri"/>
              <a:ea typeface="宋体"/>
            </a:rPr>
            <a:t>ms</a:t>
          </a:r>
          <a:endParaRPr lang="zh-CN" altLang="en-US" sz="750"/>
        </a:p>
      </cdr:txBody>
    </cdr:sp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0.21671</cdr:x>
      <cdr:y>0.09481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-189891" y="0"/>
          <a:ext cx="571906" cy="1463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rtl="0" fontAlgn="base"/>
          <a:r>
            <a:rPr lang="zh-CN" altLang="en-US" sz="750" b="0" i="0" baseline="0">
              <a:latin typeface="Calibri"/>
              <a:ea typeface="宋体"/>
            </a:rPr>
            <a:t>↑加速比</a:t>
          </a:r>
          <a:endParaRPr lang="zh-CN" altLang="en-US" sz="750"/>
        </a:p>
      </cdr:txBody>
    </cdr:sp>
  </cdr:relSizeAnchor>
</c:userShapes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0.7911</cdr:x>
      <cdr:y>0</cdr:y>
    </cdr:from>
    <cdr:to>
      <cdr:x>1</cdr:x>
      <cdr:y>0.2288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200286" y="0"/>
          <a:ext cx="581014" cy="324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rtl="0" fontAlgn="base"/>
          <a:r>
            <a:rPr lang="zh-CN" altLang="en-US" sz="750" b="0" i="0" baseline="0">
              <a:latin typeface="Calibri"/>
              <a:ea typeface="宋体"/>
            </a:rPr>
            <a:t>↑</a:t>
          </a:r>
          <a:endParaRPr lang="en-US" altLang="zh-CN" sz="750" b="0" i="0" baseline="0">
            <a:latin typeface="Calibri"/>
            <a:ea typeface="宋体"/>
          </a:endParaRPr>
        </a:p>
        <a:p xmlns:a="http://schemas.openxmlformats.org/drawingml/2006/main">
          <a:pPr rtl="0" fontAlgn="base"/>
          <a:r>
            <a:rPr lang="en-US" altLang="zh-CN" sz="750" b="0" i="0" baseline="0">
              <a:latin typeface="Calibri"/>
              <a:ea typeface="宋体"/>
            </a:rPr>
            <a:t>speedup</a:t>
          </a:r>
          <a:endParaRPr lang="zh-CN" altLang="en-US" sz="75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24</xdr:row>
      <xdr:rowOff>66675</xdr:rowOff>
    </xdr:from>
    <xdr:to>
      <xdr:col>16</xdr:col>
      <xdr:colOff>323850</xdr:colOff>
      <xdr:row>31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28577</xdr:colOff>
      <xdr:row>10</xdr:row>
      <xdr:rowOff>104775</xdr:rowOff>
    </xdr:from>
    <xdr:to>
      <xdr:col>17</xdr:col>
      <xdr:colOff>200025</xdr:colOff>
      <xdr:row>18</xdr:row>
      <xdr:rowOff>85725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95</xdr:row>
      <xdr:rowOff>9525</xdr:rowOff>
    </xdr:from>
    <xdr:to>
      <xdr:col>20</xdr:col>
      <xdr:colOff>647700</xdr:colOff>
      <xdr:row>99</xdr:row>
      <xdr:rowOff>9525</xdr:rowOff>
    </xdr:to>
    <xdr:graphicFrame macro="">
      <xdr:nvGraphicFramePr>
        <xdr:cNvPr id="23" name="图表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104</xdr:row>
      <xdr:rowOff>0</xdr:rowOff>
    </xdr:from>
    <xdr:to>
      <xdr:col>20</xdr:col>
      <xdr:colOff>647700</xdr:colOff>
      <xdr:row>108</xdr:row>
      <xdr:rowOff>0</xdr:rowOff>
    </xdr:to>
    <xdr:graphicFrame macro="">
      <xdr:nvGraphicFramePr>
        <xdr:cNvPr id="24" name="图表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142875</xdr:colOff>
      <xdr:row>129</xdr:row>
      <xdr:rowOff>152399</xdr:rowOff>
    </xdr:from>
    <xdr:to>
      <xdr:col>24</xdr:col>
      <xdr:colOff>295275</xdr:colOff>
      <xdr:row>136</xdr:row>
      <xdr:rowOff>123824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142875</xdr:colOff>
      <xdr:row>123</xdr:row>
      <xdr:rowOff>152400</xdr:rowOff>
    </xdr:from>
    <xdr:to>
      <xdr:col>24</xdr:col>
      <xdr:colOff>57150</xdr:colOff>
      <xdr:row>127</xdr:row>
      <xdr:rowOff>57150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24</xdr:row>
      <xdr:rowOff>66675</xdr:rowOff>
    </xdr:from>
    <xdr:to>
      <xdr:col>16</xdr:col>
      <xdr:colOff>323850</xdr:colOff>
      <xdr:row>31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28577</xdr:colOff>
      <xdr:row>10</xdr:row>
      <xdr:rowOff>104775</xdr:rowOff>
    </xdr:from>
    <xdr:to>
      <xdr:col>17</xdr:col>
      <xdr:colOff>200025</xdr:colOff>
      <xdr:row>18</xdr:row>
      <xdr:rowOff>85725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13</xdr:row>
      <xdr:rowOff>133349</xdr:rowOff>
    </xdr:from>
    <xdr:to>
      <xdr:col>17</xdr:col>
      <xdr:colOff>247650</xdr:colOff>
      <xdr:row>21</xdr:row>
      <xdr:rowOff>180974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</xdr:row>
      <xdr:rowOff>0</xdr:rowOff>
    </xdr:from>
    <xdr:to>
      <xdr:col>17</xdr:col>
      <xdr:colOff>104775</xdr:colOff>
      <xdr:row>10</xdr:row>
      <xdr:rowOff>95250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152399</xdr:colOff>
      <xdr:row>24</xdr:row>
      <xdr:rowOff>161925</xdr:rowOff>
    </xdr:from>
    <xdr:to>
      <xdr:col>30</xdr:col>
      <xdr:colOff>552450</xdr:colOff>
      <xdr:row>33</xdr:row>
      <xdr:rowOff>114300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619125</xdr:colOff>
      <xdr:row>25</xdr:row>
      <xdr:rowOff>19049</xdr:rowOff>
    </xdr:from>
    <xdr:to>
      <xdr:col>35</xdr:col>
      <xdr:colOff>352425</xdr:colOff>
      <xdr:row>33</xdr:row>
      <xdr:rowOff>114300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514349</xdr:colOff>
      <xdr:row>27</xdr:row>
      <xdr:rowOff>142876</xdr:rowOff>
    </xdr:from>
    <xdr:to>
      <xdr:col>39</xdr:col>
      <xdr:colOff>104774</xdr:colOff>
      <xdr:row>33</xdr:row>
      <xdr:rowOff>114301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123825</xdr:colOff>
      <xdr:row>37</xdr:row>
      <xdr:rowOff>0</xdr:rowOff>
    </xdr:from>
    <xdr:to>
      <xdr:col>30</xdr:col>
      <xdr:colOff>523876</xdr:colOff>
      <xdr:row>45</xdr:row>
      <xdr:rowOff>171450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38101</xdr:colOff>
      <xdr:row>36</xdr:row>
      <xdr:rowOff>161925</xdr:rowOff>
    </xdr:from>
    <xdr:to>
      <xdr:col>35</xdr:col>
      <xdr:colOff>381000</xdr:colOff>
      <xdr:row>45</xdr:row>
      <xdr:rowOff>180974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9525</xdr:colOff>
      <xdr:row>38</xdr:row>
      <xdr:rowOff>85725</xdr:rowOff>
    </xdr:from>
    <xdr:to>
      <xdr:col>39</xdr:col>
      <xdr:colOff>285750</xdr:colOff>
      <xdr:row>45</xdr:row>
      <xdr:rowOff>171450</xdr:rowOff>
    </xdr:to>
    <xdr:graphicFrame macro="">
      <xdr:nvGraphicFramePr>
        <xdr:cNvPr id="17" name="图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219075</xdr:colOff>
      <xdr:row>69</xdr:row>
      <xdr:rowOff>28575</xdr:rowOff>
    </xdr:from>
    <xdr:to>
      <xdr:col>30</xdr:col>
      <xdr:colOff>619126</xdr:colOff>
      <xdr:row>77</xdr:row>
      <xdr:rowOff>171450</xdr:rowOff>
    </xdr:to>
    <xdr:graphicFrame macro="">
      <xdr:nvGraphicFramePr>
        <xdr:cNvPr id="18" name="图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114300</xdr:colOff>
      <xdr:row>68</xdr:row>
      <xdr:rowOff>142875</xdr:rowOff>
    </xdr:from>
    <xdr:to>
      <xdr:col>35</xdr:col>
      <xdr:colOff>457199</xdr:colOff>
      <xdr:row>77</xdr:row>
      <xdr:rowOff>152399</xdr:rowOff>
    </xdr:to>
    <xdr:graphicFrame macro="">
      <xdr:nvGraphicFramePr>
        <xdr:cNvPr id="19" name="图表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36</xdr:col>
      <xdr:colOff>57150</xdr:colOff>
      <xdr:row>70</xdr:row>
      <xdr:rowOff>142875</xdr:rowOff>
    </xdr:from>
    <xdr:to>
      <xdr:col>39</xdr:col>
      <xdr:colOff>333375</xdr:colOff>
      <xdr:row>78</xdr:row>
      <xdr:rowOff>9525</xdr:rowOff>
    </xdr:to>
    <xdr:graphicFrame macro="">
      <xdr:nvGraphicFramePr>
        <xdr:cNvPr id="20" name="图表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504825</xdr:colOff>
      <xdr:row>13</xdr:row>
      <xdr:rowOff>142875</xdr:rowOff>
    </xdr:from>
    <xdr:to>
      <xdr:col>27</xdr:col>
      <xdr:colOff>447675</xdr:colOff>
      <xdr:row>22</xdr:row>
      <xdr:rowOff>114300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26</xdr:col>
      <xdr:colOff>581025</xdr:colOff>
      <xdr:row>56</xdr:row>
      <xdr:rowOff>57150</xdr:rowOff>
    </xdr:from>
    <xdr:to>
      <xdr:col>30</xdr:col>
      <xdr:colOff>171450</xdr:colOff>
      <xdr:row>63</xdr:row>
      <xdr:rowOff>152400</xdr:rowOff>
    </xdr:to>
    <xdr:graphicFrame macro="">
      <xdr:nvGraphicFramePr>
        <xdr:cNvPr id="21" name="图表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26</xdr:col>
      <xdr:colOff>219075</xdr:colOff>
      <xdr:row>79</xdr:row>
      <xdr:rowOff>133350</xdr:rowOff>
    </xdr:from>
    <xdr:to>
      <xdr:col>30</xdr:col>
      <xdr:colOff>619126</xdr:colOff>
      <xdr:row>88</xdr:row>
      <xdr:rowOff>104775</xdr:rowOff>
    </xdr:to>
    <xdr:graphicFrame macro="">
      <xdr:nvGraphicFramePr>
        <xdr:cNvPr id="22" name="图表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31</xdr:col>
      <xdr:colOff>123825</xdr:colOff>
      <xdr:row>79</xdr:row>
      <xdr:rowOff>85725</xdr:rowOff>
    </xdr:from>
    <xdr:to>
      <xdr:col>35</xdr:col>
      <xdr:colOff>466724</xdr:colOff>
      <xdr:row>88</xdr:row>
      <xdr:rowOff>95249</xdr:rowOff>
    </xdr:to>
    <xdr:graphicFrame macro="">
      <xdr:nvGraphicFramePr>
        <xdr:cNvPr id="23" name="图表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47625</xdr:colOff>
      <xdr:row>80</xdr:row>
      <xdr:rowOff>104775</xdr:rowOff>
    </xdr:from>
    <xdr:to>
      <xdr:col>39</xdr:col>
      <xdr:colOff>323850</xdr:colOff>
      <xdr:row>87</xdr:row>
      <xdr:rowOff>161925</xdr:rowOff>
    </xdr:to>
    <xdr:graphicFrame macro="">
      <xdr:nvGraphicFramePr>
        <xdr:cNvPr id="24" name="图表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361950</xdr:colOff>
      <xdr:row>89</xdr:row>
      <xdr:rowOff>171450</xdr:rowOff>
    </xdr:from>
    <xdr:to>
      <xdr:col>22</xdr:col>
      <xdr:colOff>581025</xdr:colOff>
      <xdr:row>98</xdr:row>
      <xdr:rowOff>152400</xdr:rowOff>
    </xdr:to>
    <xdr:graphicFrame macro="">
      <xdr:nvGraphicFramePr>
        <xdr:cNvPr id="25" name="图表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247650</xdr:colOff>
      <xdr:row>105</xdr:row>
      <xdr:rowOff>123825</xdr:rowOff>
    </xdr:from>
    <xdr:to>
      <xdr:col>30</xdr:col>
      <xdr:colOff>647701</xdr:colOff>
      <xdr:row>114</xdr:row>
      <xdr:rowOff>95250</xdr:rowOff>
    </xdr:to>
    <xdr:graphicFrame macro="">
      <xdr:nvGraphicFramePr>
        <xdr:cNvPr id="26" name="图表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31</xdr:col>
      <xdr:colOff>285750</xdr:colOff>
      <xdr:row>105</xdr:row>
      <xdr:rowOff>104775</xdr:rowOff>
    </xdr:from>
    <xdr:to>
      <xdr:col>35</xdr:col>
      <xdr:colOff>628649</xdr:colOff>
      <xdr:row>114</xdr:row>
      <xdr:rowOff>114299</xdr:rowOff>
    </xdr:to>
    <xdr:graphicFrame macro="">
      <xdr:nvGraphicFramePr>
        <xdr:cNvPr id="27" name="图表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36</xdr:col>
      <xdr:colOff>609600</xdr:colOff>
      <xdr:row>107</xdr:row>
      <xdr:rowOff>38100</xdr:rowOff>
    </xdr:from>
    <xdr:to>
      <xdr:col>40</xdr:col>
      <xdr:colOff>200025</xdr:colOff>
      <xdr:row>114</xdr:row>
      <xdr:rowOff>85725</xdr:rowOff>
    </xdr:to>
    <xdr:graphicFrame macro="">
      <xdr:nvGraphicFramePr>
        <xdr:cNvPr id="28" name="图表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18</xdr:col>
      <xdr:colOff>0</xdr:colOff>
      <xdr:row>116</xdr:row>
      <xdr:rowOff>0</xdr:rowOff>
    </xdr:from>
    <xdr:to>
      <xdr:col>22</xdr:col>
      <xdr:colOff>628650</xdr:colOff>
      <xdr:row>124</xdr:row>
      <xdr:rowOff>161925</xdr:rowOff>
    </xdr:to>
    <xdr:graphicFrame macro="">
      <xdr:nvGraphicFramePr>
        <xdr:cNvPr id="29" name="图表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18</xdr:col>
      <xdr:colOff>0</xdr:colOff>
      <xdr:row>149</xdr:row>
      <xdr:rowOff>0</xdr:rowOff>
    </xdr:from>
    <xdr:to>
      <xdr:col>22</xdr:col>
      <xdr:colOff>628650</xdr:colOff>
      <xdr:row>157</xdr:row>
      <xdr:rowOff>161925</xdr:rowOff>
    </xdr:to>
    <xdr:graphicFrame macro="">
      <xdr:nvGraphicFramePr>
        <xdr:cNvPr id="30" name="图表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26</xdr:col>
      <xdr:colOff>266700</xdr:colOff>
      <xdr:row>138</xdr:row>
      <xdr:rowOff>76200</xdr:rowOff>
    </xdr:from>
    <xdr:to>
      <xdr:col>30</xdr:col>
      <xdr:colOff>666751</xdr:colOff>
      <xdr:row>147</xdr:row>
      <xdr:rowOff>47625</xdr:rowOff>
    </xdr:to>
    <xdr:graphicFrame macro="">
      <xdr:nvGraphicFramePr>
        <xdr:cNvPr id="31" name="图表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31</xdr:col>
      <xdr:colOff>438150</xdr:colOff>
      <xdr:row>138</xdr:row>
      <xdr:rowOff>57150</xdr:rowOff>
    </xdr:from>
    <xdr:to>
      <xdr:col>36</xdr:col>
      <xdr:colOff>95249</xdr:colOff>
      <xdr:row>147</xdr:row>
      <xdr:rowOff>66674</xdr:rowOff>
    </xdr:to>
    <xdr:graphicFrame macro="">
      <xdr:nvGraphicFramePr>
        <xdr:cNvPr id="32" name="图表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37</xdr:col>
      <xdr:colOff>0</xdr:colOff>
      <xdr:row>139</xdr:row>
      <xdr:rowOff>142875</xdr:rowOff>
    </xdr:from>
    <xdr:to>
      <xdr:col>40</xdr:col>
      <xdr:colOff>276225</xdr:colOff>
      <xdr:row>147</xdr:row>
      <xdr:rowOff>19050</xdr:rowOff>
    </xdr:to>
    <xdr:graphicFrame macro="">
      <xdr:nvGraphicFramePr>
        <xdr:cNvPr id="33" name="图表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18</xdr:col>
      <xdr:colOff>0</xdr:colOff>
      <xdr:row>179</xdr:row>
      <xdr:rowOff>0</xdr:rowOff>
    </xdr:from>
    <xdr:to>
      <xdr:col>22</xdr:col>
      <xdr:colOff>628650</xdr:colOff>
      <xdr:row>187</xdr:row>
      <xdr:rowOff>161925</xdr:rowOff>
    </xdr:to>
    <xdr:graphicFrame macro="">
      <xdr:nvGraphicFramePr>
        <xdr:cNvPr id="34" name="图表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18</xdr:col>
      <xdr:colOff>0</xdr:colOff>
      <xdr:row>206</xdr:row>
      <xdr:rowOff>0</xdr:rowOff>
    </xdr:from>
    <xdr:to>
      <xdr:col>22</xdr:col>
      <xdr:colOff>628650</xdr:colOff>
      <xdr:row>214</xdr:row>
      <xdr:rowOff>161925</xdr:rowOff>
    </xdr:to>
    <xdr:graphicFrame macro="">
      <xdr:nvGraphicFramePr>
        <xdr:cNvPr id="35" name="图表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27</xdr:col>
      <xdr:colOff>0</xdr:colOff>
      <xdr:row>171</xdr:row>
      <xdr:rowOff>0</xdr:rowOff>
    </xdr:from>
    <xdr:to>
      <xdr:col>30</xdr:col>
      <xdr:colOff>276225</xdr:colOff>
      <xdr:row>178</xdr:row>
      <xdr:rowOff>57150</xdr:rowOff>
    </xdr:to>
    <xdr:graphicFrame macro="">
      <xdr:nvGraphicFramePr>
        <xdr:cNvPr id="36" name="图表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27</xdr:col>
      <xdr:colOff>57150</xdr:colOff>
      <xdr:row>196</xdr:row>
      <xdr:rowOff>142875</xdr:rowOff>
    </xdr:from>
    <xdr:to>
      <xdr:col>30</xdr:col>
      <xdr:colOff>333375</xdr:colOff>
      <xdr:row>204</xdr:row>
      <xdr:rowOff>19050</xdr:rowOff>
    </xdr:to>
    <xdr:graphicFrame macro="">
      <xdr:nvGraphicFramePr>
        <xdr:cNvPr id="37" name="图表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18</xdr:col>
      <xdr:colOff>0</xdr:colOff>
      <xdr:row>229</xdr:row>
      <xdr:rowOff>0</xdr:rowOff>
    </xdr:from>
    <xdr:to>
      <xdr:col>22</xdr:col>
      <xdr:colOff>628650</xdr:colOff>
      <xdr:row>237</xdr:row>
      <xdr:rowOff>161925</xdr:rowOff>
    </xdr:to>
    <xdr:graphicFrame macro="">
      <xdr:nvGraphicFramePr>
        <xdr:cNvPr id="38" name="图表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27</xdr:col>
      <xdr:colOff>0</xdr:colOff>
      <xdr:row>220</xdr:row>
      <xdr:rowOff>0</xdr:rowOff>
    </xdr:from>
    <xdr:to>
      <xdr:col>30</xdr:col>
      <xdr:colOff>276225</xdr:colOff>
      <xdr:row>227</xdr:row>
      <xdr:rowOff>47625</xdr:rowOff>
    </xdr:to>
    <xdr:graphicFrame macro="">
      <xdr:nvGraphicFramePr>
        <xdr:cNvPr id="39" name="图表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18</xdr:col>
      <xdr:colOff>0</xdr:colOff>
      <xdr:row>250</xdr:row>
      <xdr:rowOff>0</xdr:rowOff>
    </xdr:from>
    <xdr:to>
      <xdr:col>22</xdr:col>
      <xdr:colOff>628650</xdr:colOff>
      <xdr:row>258</xdr:row>
      <xdr:rowOff>161925</xdr:rowOff>
    </xdr:to>
    <xdr:graphicFrame macro="">
      <xdr:nvGraphicFramePr>
        <xdr:cNvPr id="40" name="图表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27</xdr:col>
      <xdr:colOff>28575</xdr:colOff>
      <xdr:row>240</xdr:row>
      <xdr:rowOff>114300</xdr:rowOff>
    </xdr:from>
    <xdr:to>
      <xdr:col>30</xdr:col>
      <xdr:colOff>304800</xdr:colOff>
      <xdr:row>247</xdr:row>
      <xdr:rowOff>171450</xdr:rowOff>
    </xdr:to>
    <xdr:graphicFrame macro="">
      <xdr:nvGraphicFramePr>
        <xdr:cNvPr id="41" name="图表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18</xdr:col>
      <xdr:colOff>0</xdr:colOff>
      <xdr:row>273</xdr:row>
      <xdr:rowOff>0</xdr:rowOff>
    </xdr:from>
    <xdr:to>
      <xdr:col>22</xdr:col>
      <xdr:colOff>628650</xdr:colOff>
      <xdr:row>281</xdr:row>
      <xdr:rowOff>161925</xdr:rowOff>
    </xdr:to>
    <xdr:graphicFrame macro="">
      <xdr:nvGraphicFramePr>
        <xdr:cNvPr id="42" name="图表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27</xdr:col>
      <xdr:colOff>0</xdr:colOff>
      <xdr:row>264</xdr:row>
      <xdr:rowOff>0</xdr:rowOff>
    </xdr:from>
    <xdr:to>
      <xdr:col>30</xdr:col>
      <xdr:colOff>276225</xdr:colOff>
      <xdr:row>271</xdr:row>
      <xdr:rowOff>47625</xdr:rowOff>
    </xdr:to>
    <xdr:graphicFrame macro="">
      <xdr:nvGraphicFramePr>
        <xdr:cNvPr id="43" name="图表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27</xdr:col>
      <xdr:colOff>0</xdr:colOff>
      <xdr:row>272</xdr:row>
      <xdr:rowOff>19049</xdr:rowOff>
    </xdr:from>
    <xdr:to>
      <xdr:col>30</xdr:col>
      <xdr:colOff>523875</xdr:colOff>
      <xdr:row>283</xdr:row>
      <xdr:rowOff>19050</xdr:rowOff>
    </xdr:to>
    <xdr:graphicFrame macro="">
      <xdr:nvGraphicFramePr>
        <xdr:cNvPr id="44" name="图表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18</xdr:col>
      <xdr:colOff>0</xdr:colOff>
      <xdr:row>296</xdr:row>
      <xdr:rowOff>0</xdr:rowOff>
    </xdr:from>
    <xdr:to>
      <xdr:col>22</xdr:col>
      <xdr:colOff>628650</xdr:colOff>
      <xdr:row>304</xdr:row>
      <xdr:rowOff>161925</xdr:rowOff>
    </xdr:to>
    <xdr:graphicFrame macro="">
      <xdr:nvGraphicFramePr>
        <xdr:cNvPr id="45" name="图表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27</xdr:col>
      <xdr:colOff>0</xdr:colOff>
      <xdr:row>287</xdr:row>
      <xdr:rowOff>0</xdr:rowOff>
    </xdr:from>
    <xdr:to>
      <xdr:col>30</xdr:col>
      <xdr:colOff>276225</xdr:colOff>
      <xdr:row>294</xdr:row>
      <xdr:rowOff>47625</xdr:rowOff>
    </xdr:to>
    <xdr:graphicFrame macro="">
      <xdr:nvGraphicFramePr>
        <xdr:cNvPr id="46" name="图表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27</xdr:col>
      <xdr:colOff>0</xdr:colOff>
      <xdr:row>295</xdr:row>
      <xdr:rowOff>19049</xdr:rowOff>
    </xdr:from>
    <xdr:to>
      <xdr:col>30</xdr:col>
      <xdr:colOff>523875</xdr:colOff>
      <xdr:row>306</xdr:row>
      <xdr:rowOff>19050</xdr:rowOff>
    </xdr:to>
    <xdr:graphicFrame macro="">
      <xdr:nvGraphicFramePr>
        <xdr:cNvPr id="47" name="图表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27</xdr:col>
      <xdr:colOff>0</xdr:colOff>
      <xdr:row>308</xdr:row>
      <xdr:rowOff>0</xdr:rowOff>
    </xdr:from>
    <xdr:to>
      <xdr:col>30</xdr:col>
      <xdr:colOff>276225</xdr:colOff>
      <xdr:row>315</xdr:row>
      <xdr:rowOff>47625</xdr:rowOff>
    </xdr:to>
    <xdr:graphicFrame macro="">
      <xdr:nvGraphicFramePr>
        <xdr:cNvPr id="48" name="图表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18</xdr:col>
      <xdr:colOff>0</xdr:colOff>
      <xdr:row>318</xdr:row>
      <xdr:rowOff>0</xdr:rowOff>
    </xdr:from>
    <xdr:to>
      <xdr:col>22</xdr:col>
      <xdr:colOff>628650</xdr:colOff>
      <xdr:row>327</xdr:row>
      <xdr:rowOff>66675</xdr:rowOff>
    </xdr:to>
    <xdr:graphicFrame macro="">
      <xdr:nvGraphicFramePr>
        <xdr:cNvPr id="49" name="图表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27</xdr:col>
      <xdr:colOff>0</xdr:colOff>
      <xdr:row>331</xdr:row>
      <xdr:rowOff>0</xdr:rowOff>
    </xdr:from>
    <xdr:to>
      <xdr:col>30</xdr:col>
      <xdr:colOff>276225</xdr:colOff>
      <xdr:row>338</xdr:row>
      <xdr:rowOff>47625</xdr:rowOff>
    </xdr:to>
    <xdr:graphicFrame macro="">
      <xdr:nvGraphicFramePr>
        <xdr:cNvPr id="50" name="图表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419100</xdr:colOff>
      <xdr:row>346</xdr:row>
      <xdr:rowOff>161925</xdr:rowOff>
    </xdr:from>
    <xdr:to>
      <xdr:col>11</xdr:col>
      <xdr:colOff>219075</xdr:colOff>
      <xdr:row>362</xdr:row>
      <xdr:rowOff>161925</xdr:rowOff>
    </xdr:to>
    <xdr:graphicFrame macro="">
      <xdr:nvGraphicFramePr>
        <xdr:cNvPr id="55" name="图表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11</xdr:col>
      <xdr:colOff>485775</xdr:colOff>
      <xdr:row>347</xdr:row>
      <xdr:rowOff>38100</xdr:rowOff>
    </xdr:from>
    <xdr:to>
      <xdr:col>20</xdr:col>
      <xdr:colOff>342900</xdr:colOff>
      <xdr:row>363</xdr:row>
      <xdr:rowOff>38100</xdr:rowOff>
    </xdr:to>
    <xdr:graphicFrame macro="">
      <xdr:nvGraphicFramePr>
        <xdr:cNvPr id="56" name="图表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11</xdr:col>
      <xdr:colOff>485774</xdr:colOff>
      <xdr:row>185</xdr:row>
      <xdr:rowOff>66675</xdr:rowOff>
    </xdr:from>
    <xdr:to>
      <xdr:col>17</xdr:col>
      <xdr:colOff>228599</xdr:colOff>
      <xdr:row>196</xdr:row>
      <xdr:rowOff>38100</xdr:rowOff>
    </xdr:to>
    <xdr:graphicFrame macro="">
      <xdr:nvGraphicFramePr>
        <xdr:cNvPr id="53" name="图表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12</xdr:col>
      <xdr:colOff>200025</xdr:colOff>
      <xdr:row>209</xdr:row>
      <xdr:rowOff>19050</xdr:rowOff>
    </xdr:from>
    <xdr:to>
      <xdr:col>18</xdr:col>
      <xdr:colOff>38100</xdr:colOff>
      <xdr:row>219</xdr:row>
      <xdr:rowOff>161925</xdr:rowOff>
    </xdr:to>
    <xdr:graphicFrame macro="">
      <xdr:nvGraphicFramePr>
        <xdr:cNvPr id="54" name="图表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12</xdr:col>
      <xdr:colOff>66674</xdr:colOff>
      <xdr:row>122</xdr:row>
      <xdr:rowOff>66675</xdr:rowOff>
    </xdr:from>
    <xdr:to>
      <xdr:col>17</xdr:col>
      <xdr:colOff>314324</xdr:colOff>
      <xdr:row>133</xdr:row>
      <xdr:rowOff>47625</xdr:rowOff>
    </xdr:to>
    <xdr:graphicFrame macro="">
      <xdr:nvGraphicFramePr>
        <xdr:cNvPr id="57" name="图表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12</xdr:col>
      <xdr:colOff>19049</xdr:colOff>
      <xdr:row>152</xdr:row>
      <xdr:rowOff>123825</xdr:rowOff>
    </xdr:from>
    <xdr:to>
      <xdr:col>17</xdr:col>
      <xdr:colOff>266699</xdr:colOff>
      <xdr:row>163</xdr:row>
      <xdr:rowOff>85725</xdr:rowOff>
    </xdr:to>
    <xdr:graphicFrame macro="">
      <xdr:nvGraphicFramePr>
        <xdr:cNvPr id="58" name="图表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12</xdr:col>
      <xdr:colOff>19049</xdr:colOff>
      <xdr:row>93</xdr:row>
      <xdr:rowOff>123825</xdr:rowOff>
    </xdr:from>
    <xdr:to>
      <xdr:col>17</xdr:col>
      <xdr:colOff>266699</xdr:colOff>
      <xdr:row>104</xdr:row>
      <xdr:rowOff>85725</xdr:rowOff>
    </xdr:to>
    <xdr:graphicFrame macro="">
      <xdr:nvGraphicFramePr>
        <xdr:cNvPr id="59" name="图表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447675</xdr:colOff>
      <xdr:row>367</xdr:row>
      <xdr:rowOff>0</xdr:rowOff>
    </xdr:from>
    <xdr:to>
      <xdr:col>11</xdr:col>
      <xdr:colOff>247650</xdr:colOff>
      <xdr:row>383</xdr:row>
      <xdr:rowOff>0</xdr:rowOff>
    </xdr:to>
    <xdr:graphicFrame macro="">
      <xdr:nvGraphicFramePr>
        <xdr:cNvPr id="51" name="图表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12</xdr:col>
      <xdr:colOff>0</xdr:colOff>
      <xdr:row>367</xdr:row>
      <xdr:rowOff>0</xdr:rowOff>
    </xdr:from>
    <xdr:to>
      <xdr:col>20</xdr:col>
      <xdr:colOff>361950</xdr:colOff>
      <xdr:row>383</xdr:row>
      <xdr:rowOff>0</xdr:rowOff>
    </xdr:to>
    <xdr:graphicFrame macro="">
      <xdr:nvGraphicFramePr>
        <xdr:cNvPr id="52" name="图表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12</xdr:col>
      <xdr:colOff>76200</xdr:colOff>
      <xdr:row>386</xdr:row>
      <xdr:rowOff>66675</xdr:rowOff>
    </xdr:from>
    <xdr:to>
      <xdr:col>17</xdr:col>
      <xdr:colOff>38811</xdr:colOff>
      <xdr:row>389</xdr:row>
      <xdr:rowOff>219837</xdr:rowOff>
    </xdr:to>
    <xdr:graphicFrame macro="">
      <xdr:nvGraphicFramePr>
        <xdr:cNvPr id="61" name="图表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28</xdr:col>
      <xdr:colOff>0</xdr:colOff>
      <xdr:row>386</xdr:row>
      <xdr:rowOff>0</xdr:rowOff>
    </xdr:from>
    <xdr:to>
      <xdr:col>31</xdr:col>
      <xdr:colOff>334086</xdr:colOff>
      <xdr:row>389</xdr:row>
      <xdr:rowOff>153162</xdr:rowOff>
    </xdr:to>
    <xdr:graphicFrame macro="">
      <xdr:nvGraphicFramePr>
        <xdr:cNvPr id="62" name="图表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0.03333</cdr:x>
      <cdr:y>0.04839</cdr:y>
    </cdr:from>
    <cdr:to>
      <cdr:x>0.36364</cdr:x>
      <cdr:y>0.31183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04775" y="85724"/>
          <a:ext cx="1038226" cy="4667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rtl="0" fontAlgn="base"/>
          <a:r>
            <a:rPr lang="zh-CN" altLang="en-US" sz="900" b="0" i="0" baseline="0">
              <a:latin typeface="+mn-lt"/>
              <a:ea typeface="+mn-ea"/>
              <a:cs typeface="+mn-cs"/>
            </a:rPr>
            <a:t>↑全局耗时</a:t>
          </a:r>
          <a:r>
            <a:rPr lang="en-US" sz="900" b="0" i="0" baseline="0">
              <a:latin typeface="+mn-lt"/>
              <a:ea typeface="+mn-ea"/>
              <a:cs typeface="+mn-cs"/>
            </a:rPr>
            <a:t>ms</a:t>
          </a:r>
        </a:p>
        <a:p xmlns:a="http://schemas.openxmlformats.org/drawingml/2006/main">
          <a:pPr rtl="0"/>
          <a:r>
            <a:rPr lang="zh-CN" altLang="en-US" sz="900" b="0" i="0" baseline="0">
              <a:latin typeface="+mn-lt"/>
              <a:ea typeface="+mn-ea"/>
              <a:cs typeface="+mn-cs"/>
            </a:rPr>
            <a:t>  →骨骼数</a:t>
          </a:r>
          <a:endParaRPr lang="zh-CN" sz="900"/>
        </a:p>
        <a:p xmlns:a="http://schemas.openxmlformats.org/drawingml/2006/main">
          <a:endParaRPr lang="zh-CN" altLang="en-US" sz="9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0.03333</cdr:x>
      <cdr:y>0.04839</cdr:y>
    </cdr:from>
    <cdr:to>
      <cdr:x>0.36364</cdr:x>
      <cdr:y>0.31183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04775" y="85724"/>
          <a:ext cx="1038226" cy="4667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rtl="0" fontAlgn="base"/>
          <a:r>
            <a:rPr lang="zh-CN" altLang="en-US" sz="900" b="0" i="0" baseline="0">
              <a:latin typeface="+mn-lt"/>
              <a:ea typeface="+mn-ea"/>
              <a:cs typeface="+mn-cs"/>
            </a:rPr>
            <a:t>↑局部耗时</a:t>
          </a:r>
          <a:r>
            <a:rPr lang="en-US" sz="900" b="0" i="0" baseline="0">
              <a:latin typeface="+mn-lt"/>
              <a:ea typeface="+mn-ea"/>
              <a:cs typeface="+mn-cs"/>
            </a:rPr>
            <a:t>ms</a:t>
          </a:r>
        </a:p>
        <a:p xmlns:a="http://schemas.openxmlformats.org/drawingml/2006/main">
          <a:pPr rtl="0"/>
          <a:r>
            <a:rPr lang="zh-CN" altLang="en-US" sz="900" b="0" i="0" baseline="0">
              <a:latin typeface="+mn-lt"/>
              <a:ea typeface="+mn-ea"/>
              <a:cs typeface="+mn-cs"/>
            </a:rPr>
            <a:t>  →骨骼数</a:t>
          </a:r>
          <a:endParaRPr lang="zh-CN" sz="900"/>
        </a:p>
        <a:p xmlns:a="http://schemas.openxmlformats.org/drawingml/2006/main">
          <a:endParaRPr lang="zh-CN" altLang="en-US" sz="900"/>
        </a:p>
      </cdr:txBody>
    </cdr:sp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O47"/>
  <sheetViews>
    <sheetView topLeftCell="A19" workbookViewId="0">
      <selection activeCell="B14" sqref="B14:J14"/>
    </sheetView>
  </sheetViews>
  <sheetFormatPr defaultRowHeight="13.5"/>
  <cols>
    <col min="2" max="2" width="5.875" customWidth="1"/>
    <col min="3" max="3" width="5.75" customWidth="1"/>
    <col min="4" max="4" width="5.875" bestFit="1" customWidth="1"/>
    <col min="5" max="5" width="5.75" customWidth="1"/>
    <col min="6" max="6" width="5.875" bestFit="1" customWidth="1"/>
    <col min="7" max="7" width="5.75" customWidth="1"/>
    <col min="8" max="8" width="5.5" bestFit="1" customWidth="1"/>
    <col min="9" max="9" width="4.875" customWidth="1"/>
    <col min="10" max="10" width="5.375" customWidth="1"/>
    <col min="11" max="11" width="5.75" customWidth="1"/>
    <col min="12" max="12" width="4.625" customWidth="1"/>
    <col min="13" max="14" width="6" customWidth="1"/>
    <col min="15" max="15" width="4.625" customWidth="1"/>
  </cols>
  <sheetData>
    <row r="2" spans="2:15">
      <c r="M2" s="158" t="s">
        <v>35</v>
      </c>
      <c r="N2" s="159"/>
      <c r="O2" s="159"/>
    </row>
    <row r="3" spans="2:15" ht="14.25" thickBot="1">
      <c r="M3" s="159"/>
      <c r="N3" s="159"/>
      <c r="O3" s="159"/>
    </row>
    <row r="4" spans="2:15" ht="15" thickBot="1">
      <c r="B4" s="160" t="s">
        <v>10</v>
      </c>
      <c r="C4" s="162" t="s">
        <v>3</v>
      </c>
      <c r="D4" s="162"/>
      <c r="E4" s="157"/>
      <c r="F4" s="156" t="s">
        <v>8</v>
      </c>
      <c r="G4" s="163"/>
      <c r="H4" s="156" t="s">
        <v>5</v>
      </c>
      <c r="I4" s="163"/>
      <c r="J4" s="156" t="s">
        <v>9</v>
      </c>
      <c r="K4" s="162"/>
      <c r="L4" s="157"/>
      <c r="M4" s="164" t="s">
        <v>7</v>
      </c>
      <c r="N4" s="165"/>
      <c r="O4" s="166"/>
    </row>
    <row r="5" spans="2:15" ht="29.25" thickBot="1">
      <c r="B5" s="161"/>
      <c r="C5" s="6" t="s">
        <v>1</v>
      </c>
      <c r="D5" s="7" t="s">
        <v>2</v>
      </c>
      <c r="E5" s="6" t="s">
        <v>0</v>
      </c>
      <c r="F5" s="6" t="s">
        <v>1</v>
      </c>
      <c r="G5" s="7" t="s">
        <v>2</v>
      </c>
      <c r="H5" s="6" t="s">
        <v>1</v>
      </c>
      <c r="I5" s="7" t="s">
        <v>2</v>
      </c>
      <c r="J5" s="6" t="s">
        <v>1</v>
      </c>
      <c r="K5" s="7" t="s">
        <v>2</v>
      </c>
      <c r="L5" s="6" t="s">
        <v>0</v>
      </c>
      <c r="M5" s="6" t="s">
        <v>1</v>
      </c>
      <c r="N5" s="7" t="s">
        <v>2</v>
      </c>
      <c r="O5" s="6" t="s">
        <v>0</v>
      </c>
    </row>
    <row r="6" spans="2:15" ht="15" thickBot="1">
      <c r="B6" s="1">
        <v>1</v>
      </c>
      <c r="C6" s="2">
        <f>D6-I16</f>
        <v>11.61</v>
      </c>
      <c r="D6" s="2">
        <v>15.4</v>
      </c>
      <c r="E6" s="2">
        <v>0.32</v>
      </c>
      <c r="F6" s="2">
        <f>G6-I16</f>
        <v>3.6500000000000004</v>
      </c>
      <c r="G6" s="2">
        <v>7.44</v>
      </c>
      <c r="H6" s="2">
        <f>I6-I16</f>
        <v>8.91</v>
      </c>
      <c r="I6" s="2">
        <v>12.7</v>
      </c>
      <c r="J6" s="2">
        <f>K6-I16</f>
        <v>3.58</v>
      </c>
      <c r="K6" s="2">
        <v>7.37</v>
      </c>
      <c r="L6" s="2">
        <v>0.3</v>
      </c>
      <c r="M6" s="2">
        <f>N6-I18</f>
        <v>3.12</v>
      </c>
      <c r="N6" s="2">
        <v>7.83</v>
      </c>
      <c r="O6" s="2">
        <v>0.32</v>
      </c>
    </row>
    <row r="7" spans="2:15" ht="15" thickBot="1">
      <c r="B7" s="3">
        <v>2</v>
      </c>
      <c r="C7" s="8">
        <f>D7-I16</f>
        <v>23.810000000000002</v>
      </c>
      <c r="D7" s="4">
        <v>27.6</v>
      </c>
      <c r="E7" s="4">
        <v>0.22</v>
      </c>
      <c r="F7" s="8">
        <f>G7-I16</f>
        <v>5.1100000000000003</v>
      </c>
      <c r="G7" s="4">
        <v>8.9</v>
      </c>
      <c r="H7" s="8">
        <f>I7-I16</f>
        <v>10.91</v>
      </c>
      <c r="I7" s="4">
        <v>14.7</v>
      </c>
      <c r="J7" s="8">
        <f>K7-I16</f>
        <v>4.1399999999999997</v>
      </c>
      <c r="K7" s="4">
        <v>7.93</v>
      </c>
      <c r="L7" s="4">
        <v>0.32</v>
      </c>
      <c r="M7" s="8">
        <f>N7-I18</f>
        <v>3.5200000000000005</v>
      </c>
      <c r="N7" s="4">
        <v>8.23</v>
      </c>
      <c r="O7" s="4">
        <v>0.36</v>
      </c>
    </row>
    <row r="8" spans="2:15" ht="15" thickBot="1">
      <c r="B8" s="3">
        <v>3</v>
      </c>
      <c r="C8" s="8">
        <f>D8-I16</f>
        <v>33.81</v>
      </c>
      <c r="D8" s="4">
        <v>37.6</v>
      </c>
      <c r="E8" s="4">
        <v>0.28000000000000003</v>
      </c>
      <c r="F8" s="8">
        <f>G8-I16</f>
        <v>7.11</v>
      </c>
      <c r="G8" s="4">
        <v>10.9</v>
      </c>
      <c r="H8" s="8">
        <f>I8-I16</f>
        <v>15.810000000000002</v>
      </c>
      <c r="I8" s="4">
        <v>19.600000000000001</v>
      </c>
      <c r="J8" s="8">
        <f>K8-I16</f>
        <v>4.54</v>
      </c>
      <c r="K8" s="4">
        <v>8.33</v>
      </c>
      <c r="L8" s="4">
        <v>0.25</v>
      </c>
      <c r="M8" s="8">
        <f>N8-I18</f>
        <v>4.0100000000000007</v>
      </c>
      <c r="N8" s="4">
        <v>8.7200000000000006</v>
      </c>
      <c r="O8" s="4">
        <v>0.37</v>
      </c>
    </row>
    <row r="9" spans="2:15" ht="15" thickBot="1">
      <c r="B9" s="3">
        <v>4</v>
      </c>
      <c r="C9" s="8">
        <f>D9-I16</f>
        <v>45.81</v>
      </c>
      <c r="D9" s="4">
        <v>49.6</v>
      </c>
      <c r="E9" s="4">
        <v>0.48</v>
      </c>
      <c r="F9" s="8">
        <f>G9-I16</f>
        <v>9.2100000000000009</v>
      </c>
      <c r="G9" s="4">
        <v>13</v>
      </c>
      <c r="H9" s="8">
        <f>I9-I16</f>
        <v>18.810000000000002</v>
      </c>
      <c r="I9" s="4">
        <v>22.6</v>
      </c>
      <c r="J9" s="8">
        <f>K9-I16</f>
        <v>5.28</v>
      </c>
      <c r="K9" s="4">
        <v>9.07</v>
      </c>
      <c r="L9" s="4">
        <v>0.37</v>
      </c>
      <c r="M9" s="8">
        <f>N9-I18</f>
        <v>4.4400000000000004</v>
      </c>
      <c r="N9" s="4">
        <v>9.15</v>
      </c>
      <c r="O9" s="4">
        <v>0.25</v>
      </c>
    </row>
    <row r="10" spans="2:15" ht="14.25"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2:15" ht="14.25">
      <c r="B11" s="10"/>
      <c r="C11" s="10"/>
      <c r="D11" s="10"/>
      <c r="E11" s="10"/>
      <c r="F11" s="10"/>
      <c r="G11" s="10"/>
      <c r="H11" s="158" t="s">
        <v>34</v>
      </c>
      <c r="I11" s="159"/>
      <c r="J11" s="159"/>
      <c r="K11" s="10"/>
      <c r="L11" s="10"/>
      <c r="M11" s="10"/>
      <c r="N11" s="10"/>
      <c r="O11" s="10"/>
    </row>
    <row r="12" spans="2:15" ht="15" thickBot="1">
      <c r="B12" s="10"/>
      <c r="C12" s="10"/>
      <c r="D12" s="10"/>
      <c r="E12" s="10"/>
      <c r="F12" s="10"/>
      <c r="G12" s="10"/>
      <c r="H12" s="159"/>
      <c r="I12" s="159"/>
      <c r="J12" s="159"/>
      <c r="K12" s="10"/>
      <c r="L12" s="10"/>
      <c r="M12" s="10"/>
      <c r="N12" s="10"/>
      <c r="O12" s="10"/>
    </row>
    <row r="13" spans="2:15" ht="26.25" thickBot="1">
      <c r="B13" s="11" t="s">
        <v>19</v>
      </c>
      <c r="C13" s="2" t="s">
        <v>11</v>
      </c>
      <c r="D13" s="2" t="s">
        <v>12</v>
      </c>
      <c r="E13" s="2" t="s">
        <v>13</v>
      </c>
      <c r="F13" s="2" t="s">
        <v>14</v>
      </c>
      <c r="G13" s="2" t="s">
        <v>15</v>
      </c>
      <c r="H13" s="2" t="s">
        <v>16</v>
      </c>
      <c r="I13" s="2" t="s">
        <v>17</v>
      </c>
      <c r="J13" s="2" t="s">
        <v>18</v>
      </c>
      <c r="K13" s="10"/>
      <c r="L13" s="10"/>
      <c r="M13" s="10"/>
      <c r="N13" s="10"/>
      <c r="O13" s="10"/>
    </row>
    <row r="14" spans="2:15" ht="15" thickBot="1">
      <c r="B14" s="12" t="s">
        <v>198</v>
      </c>
      <c r="C14" s="1">
        <v>0.15</v>
      </c>
      <c r="D14" s="19">
        <v>0.22700000000000001</v>
      </c>
      <c r="E14" s="19">
        <v>0.23300000000000001</v>
      </c>
      <c r="F14" s="19">
        <v>0.39100000000000001</v>
      </c>
      <c r="G14" s="19">
        <v>0.72899999999999998</v>
      </c>
      <c r="H14" s="19">
        <v>1.1000000000000001</v>
      </c>
      <c r="I14" s="8">
        <v>2.09</v>
      </c>
      <c r="J14" s="8">
        <v>3.89</v>
      </c>
    </row>
    <row r="15" spans="2:15" ht="15" thickBot="1">
      <c r="B15" s="5" t="s">
        <v>48</v>
      </c>
      <c r="C15" s="20">
        <f t="shared" ref="C15:J15" si="0">C16-C14</f>
        <v>0.10500000000000001</v>
      </c>
      <c r="D15" s="20">
        <f t="shared" si="0"/>
        <v>0.19199999999999998</v>
      </c>
      <c r="E15" s="9">
        <f t="shared" si="0"/>
        <v>0.21</v>
      </c>
      <c r="F15" s="20">
        <f t="shared" si="0"/>
        <v>0.34799999999999998</v>
      </c>
      <c r="G15" s="20">
        <f t="shared" si="0"/>
        <v>0.42099999999999993</v>
      </c>
      <c r="H15" s="9">
        <f t="shared" si="0"/>
        <v>0.98999999999999977</v>
      </c>
      <c r="I15" s="20">
        <f t="shared" si="0"/>
        <v>1.7000000000000002</v>
      </c>
      <c r="J15" s="9">
        <f t="shared" si="0"/>
        <v>3.4199999999999995</v>
      </c>
    </row>
    <row r="16" spans="2:15" ht="56.25" thickBot="1">
      <c r="B16" s="12" t="s">
        <v>32</v>
      </c>
      <c r="C16" s="1">
        <v>0.255</v>
      </c>
      <c r="D16" s="19">
        <v>0.41899999999999998</v>
      </c>
      <c r="E16" s="19">
        <v>0.443</v>
      </c>
      <c r="F16" s="19">
        <v>0.73899999999999999</v>
      </c>
      <c r="G16" s="8">
        <v>1.1499999999999999</v>
      </c>
      <c r="H16" s="8">
        <v>2.09</v>
      </c>
      <c r="I16" s="8">
        <v>3.79</v>
      </c>
      <c r="J16" s="8">
        <v>7.31</v>
      </c>
    </row>
    <row r="17" spans="2:10" ht="29.25" thickBot="1">
      <c r="B17" s="5" t="s">
        <v>46</v>
      </c>
      <c r="C17" s="9">
        <f>C18-C14</f>
        <v>0.96000000000000008</v>
      </c>
      <c r="D17" s="20">
        <f t="shared" ref="D17:J17" si="1">D18-D14</f>
        <v>1.0329999999999999</v>
      </c>
      <c r="E17" s="20">
        <f t="shared" si="1"/>
        <v>1.097</v>
      </c>
      <c r="F17" s="20">
        <f t="shared" si="1"/>
        <v>1.2689999999999999</v>
      </c>
      <c r="G17" s="20">
        <f t="shared" si="1"/>
        <v>1.4409999999999998</v>
      </c>
      <c r="H17" s="9">
        <f t="shared" si="1"/>
        <v>1.8199999999999998</v>
      </c>
      <c r="I17" s="9">
        <f t="shared" si="1"/>
        <v>2.62</v>
      </c>
      <c r="J17" s="9">
        <f t="shared" si="1"/>
        <v>4.42</v>
      </c>
    </row>
    <row r="18" spans="2:10" ht="56.25" thickBot="1">
      <c r="B18" s="12" t="s">
        <v>33</v>
      </c>
      <c r="C18" s="1">
        <v>1.1100000000000001</v>
      </c>
      <c r="D18" s="8">
        <v>1.26</v>
      </c>
      <c r="E18" s="8">
        <v>1.33</v>
      </c>
      <c r="F18" s="8">
        <v>1.66</v>
      </c>
      <c r="G18" s="8">
        <v>2.17</v>
      </c>
      <c r="H18" s="8">
        <v>2.92</v>
      </c>
      <c r="I18" s="8">
        <v>4.71</v>
      </c>
      <c r="J18" s="8">
        <v>8.31</v>
      </c>
    </row>
    <row r="19" spans="2:10" ht="14.25">
      <c r="B19" s="16"/>
      <c r="C19" s="10"/>
      <c r="D19" s="10"/>
      <c r="E19" s="10"/>
      <c r="F19" s="10"/>
      <c r="G19" s="10"/>
      <c r="H19" s="10"/>
      <c r="I19" s="10"/>
      <c r="J19" s="10"/>
    </row>
    <row r="20" spans="2:10" ht="14.25">
      <c r="B20" s="16"/>
      <c r="C20" s="10"/>
      <c r="D20" s="10"/>
      <c r="E20" s="10"/>
      <c r="F20" s="10"/>
      <c r="G20" s="10"/>
      <c r="H20" s="10"/>
      <c r="I20" s="10"/>
      <c r="J20" s="10"/>
    </row>
    <row r="21" spans="2:10" ht="14.25">
      <c r="B21" s="16"/>
      <c r="C21" s="10"/>
      <c r="D21" s="10"/>
      <c r="E21" s="10"/>
      <c r="F21" s="10"/>
      <c r="G21" s="10"/>
      <c r="H21" s="10"/>
      <c r="I21" s="10"/>
      <c r="J21" s="10"/>
    </row>
    <row r="22" spans="2:10" ht="14.25">
      <c r="B22" s="16"/>
      <c r="C22" s="10"/>
      <c r="D22" s="10"/>
      <c r="E22" s="10"/>
      <c r="F22" s="10"/>
      <c r="G22" s="10"/>
      <c r="H22" s="10"/>
      <c r="I22" s="10"/>
      <c r="J22" s="10"/>
    </row>
    <row r="23" spans="2:10" ht="14.25">
      <c r="B23" s="16"/>
      <c r="C23" s="10"/>
      <c r="D23" s="10"/>
      <c r="E23" s="10"/>
      <c r="F23" s="10"/>
      <c r="G23" s="10"/>
      <c r="H23" s="10"/>
      <c r="I23" s="10"/>
      <c r="J23" s="10"/>
    </row>
    <row r="24" spans="2:10" ht="14.25">
      <c r="B24" s="16"/>
      <c r="C24" s="10"/>
      <c r="D24" s="10"/>
      <c r="E24" s="10"/>
      <c r="F24" s="10"/>
      <c r="G24" s="10"/>
      <c r="H24" s="10"/>
      <c r="I24" s="10"/>
      <c r="J24" s="10"/>
    </row>
    <row r="25" spans="2:10" ht="14.25">
      <c r="B25" s="16"/>
      <c r="C25" s="10"/>
      <c r="D25" s="10"/>
      <c r="E25" s="10"/>
      <c r="F25" s="10"/>
      <c r="G25" s="10"/>
      <c r="H25" s="10"/>
      <c r="I25" s="10"/>
      <c r="J25" s="10"/>
    </row>
    <row r="26" spans="2:10" ht="14.25">
      <c r="B26" s="16"/>
      <c r="C26" s="10"/>
      <c r="D26" s="10"/>
      <c r="E26" s="150" t="s">
        <v>26</v>
      </c>
      <c r="F26" s="151"/>
      <c r="G26" s="152"/>
      <c r="H26" s="10"/>
      <c r="I26" s="10"/>
      <c r="J26" s="10"/>
    </row>
    <row r="27" spans="2:10" ht="15" thickBot="1">
      <c r="B27" s="16"/>
      <c r="C27" s="10"/>
      <c r="D27" s="10"/>
      <c r="E27" s="153"/>
      <c r="F27" s="154"/>
      <c r="G27" s="155"/>
      <c r="H27" s="10"/>
      <c r="I27" s="10"/>
      <c r="J27" s="10"/>
    </row>
    <row r="28" spans="2:10" ht="26.25" thickBot="1">
      <c r="B28" s="11"/>
      <c r="C28" s="11" t="s">
        <v>3</v>
      </c>
      <c r="D28" s="11" t="s">
        <v>28</v>
      </c>
      <c r="E28" s="11" t="s">
        <v>5</v>
      </c>
      <c r="F28" s="11" t="s">
        <v>22</v>
      </c>
      <c r="G28" s="11" t="s">
        <v>31</v>
      </c>
    </row>
    <row r="29" spans="2:10" ht="26.25" thickBot="1">
      <c r="B29" s="12" t="s">
        <v>24</v>
      </c>
      <c r="C29" s="12">
        <f>C7</f>
        <v>23.810000000000002</v>
      </c>
      <c r="D29" s="12">
        <f>F7</f>
        <v>5.1100000000000003</v>
      </c>
      <c r="E29" s="18">
        <f>H7</f>
        <v>10.91</v>
      </c>
      <c r="F29" s="12">
        <f>J7</f>
        <v>4.1399999999999997</v>
      </c>
      <c r="G29" s="12">
        <f>M7</f>
        <v>3.5200000000000005</v>
      </c>
    </row>
    <row r="30" spans="2:10" ht="26.25" thickBot="1">
      <c r="B30" s="12" t="s">
        <v>25</v>
      </c>
      <c r="C30" s="12">
        <f>D7</f>
        <v>27.6</v>
      </c>
      <c r="D30" s="17">
        <f>G7</f>
        <v>8.9</v>
      </c>
      <c r="E30" s="12">
        <f>I7</f>
        <v>14.7</v>
      </c>
      <c r="F30" s="12">
        <f>K7</f>
        <v>7.93</v>
      </c>
      <c r="G30" s="12">
        <f>N7</f>
        <v>8.23</v>
      </c>
    </row>
    <row r="31" spans="2:10" ht="39" thickBot="1">
      <c r="B31" s="12" t="s">
        <v>29</v>
      </c>
      <c r="C31" s="12">
        <f>C29/C29</f>
        <v>1</v>
      </c>
      <c r="D31" s="17">
        <f>C29/D29</f>
        <v>4.659491193737769</v>
      </c>
      <c r="E31" s="17">
        <f>C29/E29</f>
        <v>2.1824014665444547</v>
      </c>
      <c r="F31" s="17">
        <f>C29/F29</f>
        <v>5.7512077294686001</v>
      </c>
      <c r="G31" s="17">
        <f>C29/G29</f>
        <v>6.764204545454545</v>
      </c>
    </row>
    <row r="32" spans="2:10" ht="39" thickBot="1">
      <c r="B32" s="12" t="s">
        <v>30</v>
      </c>
      <c r="C32" s="12">
        <f>C30/C30</f>
        <v>1</v>
      </c>
      <c r="D32" s="17">
        <f>C30/D30</f>
        <v>3.101123595505618</v>
      </c>
      <c r="E32" s="17">
        <f>C30/E30</f>
        <v>1.8775510204081634</v>
      </c>
      <c r="F32" s="17">
        <f>C30/F30</f>
        <v>3.4804539722572514</v>
      </c>
      <c r="G32" s="17">
        <f>C30/G30</f>
        <v>3.353584447144593</v>
      </c>
    </row>
    <row r="37" spans="2:11">
      <c r="I37" s="150" t="s">
        <v>43</v>
      </c>
      <c r="J37" s="151"/>
      <c r="K37" s="152"/>
    </row>
    <row r="38" spans="2:11" ht="14.25" thickBot="1">
      <c r="I38" s="153"/>
      <c r="J38" s="154"/>
      <c r="K38" s="155"/>
    </row>
    <row r="39" spans="2:11" ht="15" thickBot="1">
      <c r="B39" s="156" t="s">
        <v>39</v>
      </c>
      <c r="C39" s="157"/>
      <c r="D39" s="156" t="s">
        <v>27</v>
      </c>
      <c r="E39" s="157"/>
      <c r="F39" s="156" t="s">
        <v>40</v>
      </c>
      <c r="G39" s="157"/>
      <c r="H39" s="156" t="s">
        <v>23</v>
      </c>
      <c r="I39" s="157"/>
      <c r="J39" s="156" t="s">
        <v>41</v>
      </c>
      <c r="K39" s="157"/>
    </row>
    <row r="40" spans="2:11" ht="15" thickBot="1">
      <c r="B40" s="5" t="s">
        <v>42</v>
      </c>
      <c r="C40" s="9" t="s">
        <v>21</v>
      </c>
      <c r="D40" s="9" t="s">
        <v>42</v>
      </c>
      <c r="E40" s="9" t="s">
        <v>21</v>
      </c>
      <c r="F40" s="9" t="s">
        <v>42</v>
      </c>
      <c r="G40" s="9" t="s">
        <v>21</v>
      </c>
      <c r="H40" s="9" t="s">
        <v>42</v>
      </c>
      <c r="I40" s="9" t="s">
        <v>21</v>
      </c>
      <c r="J40" s="9" t="s">
        <v>45</v>
      </c>
      <c r="K40" s="9" t="s">
        <v>21</v>
      </c>
    </row>
    <row r="41" spans="2:11" ht="15" thickBot="1">
      <c r="B41" s="5">
        <v>5.5</v>
      </c>
      <c r="C41" s="9">
        <v>9.5</v>
      </c>
      <c r="D41" s="9">
        <v>3.1</v>
      </c>
      <c r="E41" s="9">
        <v>6.9</v>
      </c>
      <c r="F41" s="9">
        <v>3.8</v>
      </c>
      <c r="G41" s="9">
        <v>7.7</v>
      </c>
      <c r="H41" s="9">
        <v>3.1</v>
      </c>
      <c r="I41" s="9">
        <v>6.7</v>
      </c>
      <c r="J41" s="9">
        <v>2.6</v>
      </c>
      <c r="K41" s="9">
        <v>6.5</v>
      </c>
    </row>
    <row r="43" spans="2:11">
      <c r="I43" s="150" t="s">
        <v>44</v>
      </c>
      <c r="J43" s="151"/>
      <c r="K43" s="152"/>
    </row>
    <row r="44" spans="2:11" ht="14.25" thickBot="1">
      <c r="I44" s="153"/>
      <c r="J44" s="154"/>
      <c r="K44" s="155"/>
    </row>
    <row r="45" spans="2:11" ht="15" thickBot="1">
      <c r="B45" s="156" t="s">
        <v>39</v>
      </c>
      <c r="C45" s="157"/>
      <c r="D45" s="156" t="s">
        <v>27</v>
      </c>
      <c r="E45" s="157"/>
      <c r="F45" s="156" t="s">
        <v>40</v>
      </c>
      <c r="G45" s="157"/>
      <c r="H45" s="156" t="s">
        <v>23</v>
      </c>
      <c r="I45" s="157"/>
      <c r="J45" s="156" t="s">
        <v>41</v>
      </c>
      <c r="K45" s="157"/>
    </row>
    <row r="46" spans="2:11" ht="15" thickBot="1">
      <c r="B46" s="5" t="s">
        <v>42</v>
      </c>
      <c r="C46" s="9" t="s">
        <v>21</v>
      </c>
      <c r="D46" s="9" t="s">
        <v>42</v>
      </c>
      <c r="E46" s="9" t="s">
        <v>21</v>
      </c>
      <c r="F46" s="9" t="s">
        <v>42</v>
      </c>
      <c r="G46" s="9" t="s">
        <v>21</v>
      </c>
      <c r="H46" s="9" t="s">
        <v>42</v>
      </c>
      <c r="I46" s="9" t="s">
        <v>21</v>
      </c>
      <c r="J46" s="9" t="s">
        <v>42</v>
      </c>
      <c r="K46" s="9" t="s">
        <v>21</v>
      </c>
    </row>
    <row r="47" spans="2:11" ht="15" thickBot="1">
      <c r="B47" s="5">
        <v>11</v>
      </c>
      <c r="C47" s="9">
        <v>15</v>
      </c>
      <c r="D47" s="9">
        <v>3.8</v>
      </c>
      <c r="E47" s="9">
        <v>7.5</v>
      </c>
      <c r="F47" s="9">
        <v>6.1</v>
      </c>
      <c r="G47" s="9">
        <v>10</v>
      </c>
      <c r="H47" s="9">
        <v>3.4</v>
      </c>
      <c r="I47" s="9">
        <v>7.1</v>
      </c>
      <c r="J47" s="9">
        <v>2.6</v>
      </c>
      <c r="K47" s="9">
        <v>6.7</v>
      </c>
    </row>
  </sheetData>
  <mergeCells count="21">
    <mergeCell ref="B4:B5"/>
    <mergeCell ref="M2:O3"/>
    <mergeCell ref="C4:E4"/>
    <mergeCell ref="F4:G4"/>
    <mergeCell ref="H4:I4"/>
    <mergeCell ref="J4:L4"/>
    <mergeCell ref="M4:O4"/>
    <mergeCell ref="H11:J12"/>
    <mergeCell ref="E26:G27"/>
    <mergeCell ref="B39:C39"/>
    <mergeCell ref="D39:E39"/>
    <mergeCell ref="F39:G39"/>
    <mergeCell ref="H39:I39"/>
    <mergeCell ref="J39:K39"/>
    <mergeCell ref="I37:K38"/>
    <mergeCell ref="I43:K44"/>
    <mergeCell ref="B45:C45"/>
    <mergeCell ref="D45:E45"/>
    <mergeCell ref="F45:G45"/>
    <mergeCell ref="H45:I45"/>
    <mergeCell ref="J45:K45"/>
  </mergeCells>
  <phoneticPr fontId="3" type="noConversion"/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2:W146"/>
  <sheetViews>
    <sheetView topLeftCell="A139" workbookViewId="0">
      <selection activeCell="I143" sqref="I143"/>
    </sheetView>
  </sheetViews>
  <sheetFormatPr defaultRowHeight="13.5"/>
  <cols>
    <col min="2" max="2" width="11" customWidth="1"/>
    <col min="4" max="4" width="5.375" customWidth="1"/>
    <col min="5" max="5" width="8.875" customWidth="1"/>
    <col min="6" max="7" width="7.25" customWidth="1"/>
    <col min="8" max="8" width="7.5" customWidth="1"/>
    <col min="9" max="9" width="7.125" customWidth="1"/>
    <col min="10" max="10" width="8" customWidth="1"/>
    <col min="11" max="12" width="6.625" customWidth="1"/>
    <col min="13" max="13" width="7.375" customWidth="1"/>
    <col min="14" max="17" width="6.125" customWidth="1"/>
    <col min="18" max="18" width="5.375" customWidth="1"/>
    <col min="19" max="19" width="7.75" customWidth="1"/>
  </cols>
  <sheetData>
    <row r="2" spans="1:22">
      <c r="C2" s="181" t="s">
        <v>264</v>
      </c>
      <c r="D2" s="181"/>
      <c r="E2" s="181"/>
      <c r="F2" s="181"/>
      <c r="G2" s="181"/>
      <c r="H2" s="181"/>
      <c r="I2" t="s">
        <v>266</v>
      </c>
    </row>
    <row r="3" spans="1:22">
      <c r="C3" s="181"/>
      <c r="D3" s="181"/>
      <c r="E3" s="181"/>
      <c r="F3" s="181"/>
      <c r="G3" s="181"/>
      <c r="H3" s="181"/>
      <c r="I3" t="s">
        <v>267</v>
      </c>
    </row>
    <row r="5" spans="1:22" ht="14.25" thickBot="1">
      <c r="J5" t="s">
        <v>161</v>
      </c>
      <c r="K5" t="s">
        <v>269</v>
      </c>
    </row>
    <row r="6" spans="1:22" ht="39" thickBot="1">
      <c r="B6" s="171" t="s">
        <v>162</v>
      </c>
      <c r="C6" s="171" t="s">
        <v>163</v>
      </c>
      <c r="D6" s="83" t="s">
        <v>276</v>
      </c>
      <c r="E6" s="83" t="s">
        <v>275</v>
      </c>
      <c r="F6" s="83" t="s">
        <v>277</v>
      </c>
      <c r="G6" s="83" t="s">
        <v>279</v>
      </c>
      <c r="L6" s="85"/>
      <c r="M6" s="85"/>
      <c r="N6" s="84"/>
      <c r="O6" s="84"/>
      <c r="P6" s="84"/>
      <c r="Q6" s="84"/>
      <c r="R6" s="84"/>
      <c r="S6" s="84"/>
      <c r="T6" s="84"/>
      <c r="U6" s="84"/>
      <c r="V6" s="84"/>
    </row>
    <row r="7" spans="1:22" ht="20.25" customHeight="1" thickBot="1">
      <c r="B7" s="172"/>
      <c r="C7" s="172"/>
      <c r="D7" s="83" t="s">
        <v>167</v>
      </c>
      <c r="E7" s="83" t="s">
        <v>167</v>
      </c>
      <c r="F7" s="83" t="s">
        <v>167</v>
      </c>
      <c r="G7" s="83" t="s">
        <v>167</v>
      </c>
      <c r="H7" s="84" t="s">
        <v>203</v>
      </c>
      <c r="J7" s="115" t="s">
        <v>283</v>
      </c>
      <c r="M7" s="84"/>
    </row>
    <row r="8" spans="1:22" ht="14.25" thickBot="1">
      <c r="B8" s="82" t="s">
        <v>172</v>
      </c>
      <c r="C8" s="17" t="s">
        <v>298</v>
      </c>
      <c r="D8" s="17">
        <v>0.26</v>
      </c>
      <c r="E8" s="17">
        <v>2</v>
      </c>
      <c r="F8" s="17">
        <v>1.74</v>
      </c>
      <c r="G8" s="18" t="e">
        <f>C8-D8-E8-F8</f>
        <v>#VALUE!</v>
      </c>
      <c r="H8" s="17">
        <v>0.39</v>
      </c>
      <c r="M8" s="63"/>
    </row>
    <row r="9" spans="1:22" ht="27.75" thickBot="1">
      <c r="A9" s="38" t="s">
        <v>300</v>
      </c>
      <c r="B9" s="82" t="s">
        <v>299</v>
      </c>
      <c r="C9" s="18">
        <v>56.8</v>
      </c>
      <c r="D9" s="17">
        <v>0.87</v>
      </c>
      <c r="E9" s="17">
        <v>1.51</v>
      </c>
      <c r="F9" s="17">
        <v>1.44</v>
      </c>
      <c r="G9" s="18">
        <f t="shared" ref="G9:G11" si="0">C9-D9-E9-F9</f>
        <v>52.980000000000004</v>
      </c>
      <c r="H9" s="17">
        <v>0.31</v>
      </c>
      <c r="I9" s="91"/>
      <c r="J9" t="s">
        <v>281</v>
      </c>
      <c r="K9" s="110" t="s">
        <v>282</v>
      </c>
    </row>
    <row r="10" spans="1:22" ht="14.25" thickBot="1">
      <c r="B10" s="82" t="s">
        <v>46</v>
      </c>
      <c r="C10" s="17">
        <v>17.8</v>
      </c>
      <c r="D10" s="17">
        <v>0.62</v>
      </c>
      <c r="E10" s="17">
        <v>1</v>
      </c>
      <c r="F10" s="17">
        <v>1.66</v>
      </c>
      <c r="G10" s="18">
        <f t="shared" si="0"/>
        <v>14.52</v>
      </c>
      <c r="H10" s="17">
        <v>0.85</v>
      </c>
      <c r="I10" s="91"/>
      <c r="J10" s="91">
        <v>0.27</v>
      </c>
    </row>
    <row r="11" spans="1:22" ht="27.75" thickBot="1">
      <c r="A11" s="38" t="s">
        <v>301</v>
      </c>
      <c r="B11" s="82" t="s">
        <v>299</v>
      </c>
      <c r="C11" s="91">
        <v>6.07</v>
      </c>
      <c r="D11" s="17">
        <v>0.75</v>
      </c>
      <c r="E11" s="17">
        <v>2</v>
      </c>
      <c r="F11" s="17">
        <v>1.42</v>
      </c>
      <c r="G11" s="18">
        <f t="shared" si="0"/>
        <v>1.9000000000000004</v>
      </c>
      <c r="H11" s="17">
        <v>0.49</v>
      </c>
    </row>
    <row r="12" spans="1:22" ht="14.25" thickBot="1">
      <c r="B12" s="82" t="s">
        <v>46</v>
      </c>
      <c r="C12" s="91">
        <v>3.19</v>
      </c>
      <c r="F12" s="91"/>
    </row>
    <row r="13" spans="1:22" ht="27.75" thickBot="1">
      <c r="A13" s="38" t="s">
        <v>303</v>
      </c>
      <c r="B13" s="82" t="s">
        <v>299</v>
      </c>
      <c r="C13" s="17">
        <v>0.86</v>
      </c>
      <c r="D13" s="17">
        <v>0.87</v>
      </c>
      <c r="E13" s="17">
        <v>1.51</v>
      </c>
      <c r="F13" s="17">
        <v>1.44</v>
      </c>
      <c r="G13" s="18">
        <f t="shared" ref="G13:G15" si="1">C13-D13-E13-F13</f>
        <v>-2.96</v>
      </c>
      <c r="H13" s="17">
        <v>0.31</v>
      </c>
      <c r="I13" s="91"/>
      <c r="J13" t="s">
        <v>281</v>
      </c>
      <c r="K13" s="110" t="s">
        <v>260</v>
      </c>
    </row>
    <row r="14" spans="1:22" ht="14.25" thickBot="1">
      <c r="B14" s="82" t="s">
        <v>46</v>
      </c>
      <c r="C14" s="17">
        <v>1.95</v>
      </c>
      <c r="D14" s="17">
        <v>0.62</v>
      </c>
      <c r="E14" s="17">
        <v>1</v>
      </c>
      <c r="F14" s="17">
        <v>1.66</v>
      </c>
      <c r="G14" s="18">
        <f t="shared" si="1"/>
        <v>-1.3299999999999998</v>
      </c>
      <c r="H14" s="17">
        <v>0.85</v>
      </c>
      <c r="I14" s="91"/>
      <c r="J14" s="91">
        <v>0.27</v>
      </c>
    </row>
    <row r="15" spans="1:22" ht="27.75" thickBot="1">
      <c r="A15" s="38" t="s">
        <v>304</v>
      </c>
      <c r="B15" s="82" t="s">
        <v>299</v>
      </c>
      <c r="C15" s="118">
        <v>394</v>
      </c>
      <c r="D15" s="17">
        <v>0.75</v>
      </c>
      <c r="E15" s="17">
        <v>2</v>
      </c>
      <c r="F15" s="17">
        <v>1.42</v>
      </c>
      <c r="G15" s="18">
        <f t="shared" si="1"/>
        <v>389.83</v>
      </c>
      <c r="H15" s="17">
        <v>9.3000000000000007</v>
      </c>
    </row>
    <row r="16" spans="1:22" ht="14.25" thickBot="1">
      <c r="B16" s="82" t="s">
        <v>46</v>
      </c>
      <c r="C16" s="118">
        <v>163</v>
      </c>
      <c r="F16" s="91"/>
      <c r="H16" s="105">
        <v>2.6</v>
      </c>
    </row>
    <row r="17" spans="1:9">
      <c r="C17" s="105"/>
      <c r="F17" s="105"/>
    </row>
    <row r="18" spans="1:9">
      <c r="C18" s="105"/>
      <c r="F18" s="105"/>
    </row>
    <row r="19" spans="1:9" ht="14.25" thickBot="1"/>
    <row r="20" spans="1:9" ht="39" thickBot="1">
      <c r="B20" s="171" t="s">
        <v>162</v>
      </c>
      <c r="C20" s="171" t="s">
        <v>163</v>
      </c>
      <c r="D20" s="83" t="s">
        <v>273</v>
      </c>
      <c r="E20" s="83" t="s">
        <v>274</v>
      </c>
      <c r="F20" s="83" t="s">
        <v>278</v>
      </c>
      <c r="G20" s="83" t="s">
        <v>279</v>
      </c>
    </row>
    <row r="21" spans="1:9" ht="14.25" thickBot="1">
      <c r="B21" s="172"/>
      <c r="C21" s="172"/>
      <c r="D21" s="83" t="s">
        <v>168</v>
      </c>
      <c r="E21" s="83" t="s">
        <v>168</v>
      </c>
      <c r="F21" s="83" t="s">
        <v>168</v>
      </c>
      <c r="G21" s="83" t="s">
        <v>168</v>
      </c>
      <c r="H21" s="84" t="s">
        <v>203</v>
      </c>
      <c r="I21" s="115" t="s">
        <v>280</v>
      </c>
    </row>
    <row r="22" spans="1:9" ht="14.25" thickBot="1">
      <c r="B22" s="82" t="s">
        <v>172</v>
      </c>
      <c r="C22" s="31" t="e">
        <f>C8/C8</f>
        <v>#VALUE!</v>
      </c>
      <c r="D22" s="31" t="e">
        <f>D8/C8</f>
        <v>#VALUE!</v>
      </c>
      <c r="E22" s="31" t="e">
        <f>E8/C8</f>
        <v>#VALUE!</v>
      </c>
      <c r="F22" s="31" t="e">
        <f>F8/C8</f>
        <v>#VALUE!</v>
      </c>
      <c r="G22" s="31" t="e">
        <f>-G8/C8</f>
        <v>#VALUE!</v>
      </c>
      <c r="H22" s="63" t="e">
        <f>H8/C8</f>
        <v>#VALUE!</v>
      </c>
      <c r="I22" s="61" t="e">
        <f>C8/C8</f>
        <v>#VALUE!</v>
      </c>
    </row>
    <row r="23" spans="1:9" ht="27.75" thickBot="1">
      <c r="A23" s="38" t="s">
        <v>300</v>
      </c>
      <c r="B23" s="82" t="s">
        <v>268</v>
      </c>
      <c r="C23" s="31">
        <f>C9/C9</f>
        <v>1</v>
      </c>
      <c r="D23" s="31">
        <f>D9/C9</f>
        <v>1.5316901408450705E-2</v>
      </c>
      <c r="E23" s="31">
        <f>E9/C9</f>
        <v>2.6584507042253524E-2</v>
      </c>
      <c r="F23" s="31">
        <f>F9/C9</f>
        <v>2.5352112676056339E-2</v>
      </c>
      <c r="G23" s="31">
        <f>-G9/C9</f>
        <v>-0.93274647887323958</v>
      </c>
      <c r="H23" s="63">
        <f>H9/C9</f>
        <v>5.45774647887324E-3</v>
      </c>
      <c r="I23" s="61" t="e">
        <f>C8/C9</f>
        <v>#VALUE!</v>
      </c>
    </row>
    <row r="24" spans="1:9" ht="14.25" thickBot="1">
      <c r="B24" s="82" t="s">
        <v>46</v>
      </c>
      <c r="C24" s="31">
        <f t="shared" ref="C24:C25" si="2">C10/C10</f>
        <v>1</v>
      </c>
      <c r="D24" s="31">
        <f t="shared" ref="D24:D25" si="3">D10/C10</f>
        <v>3.4831460674157301E-2</v>
      </c>
      <c r="E24" s="31">
        <f t="shared" ref="E24:E25" si="4">E10/C10</f>
        <v>5.6179775280898875E-2</v>
      </c>
      <c r="F24" s="31">
        <f t="shared" ref="F24:F25" si="5">F10/C10</f>
        <v>9.3258426966292121E-2</v>
      </c>
      <c r="G24" s="31">
        <f>-G10/C10</f>
        <v>-0.81573033707865161</v>
      </c>
      <c r="H24" s="63">
        <f t="shared" ref="H24:H25" si="6">H10/C10</f>
        <v>4.7752808988764044E-2</v>
      </c>
      <c r="I24" s="61">
        <f>C9/C10</f>
        <v>3.191011235955056</v>
      </c>
    </row>
    <row r="25" spans="1:9" ht="27.75" thickBot="1">
      <c r="A25" s="38" t="s">
        <v>301</v>
      </c>
      <c r="B25" s="82" t="s">
        <v>268</v>
      </c>
      <c r="C25" s="31">
        <f t="shared" si="2"/>
        <v>1</v>
      </c>
      <c r="D25" s="31">
        <f t="shared" si="3"/>
        <v>0.12355848434925865</v>
      </c>
      <c r="E25" s="31">
        <f t="shared" si="4"/>
        <v>0.32948929159802304</v>
      </c>
      <c r="F25" s="31">
        <f t="shared" si="5"/>
        <v>0.23393739703459634</v>
      </c>
      <c r="G25" s="31">
        <f>G11/C11</f>
        <v>0.31301482701812194</v>
      </c>
      <c r="H25" s="63">
        <f t="shared" si="6"/>
        <v>8.0724876441515644E-2</v>
      </c>
      <c r="I25" s="61"/>
    </row>
    <row r="26" spans="1:9" ht="14.25" thickBot="1">
      <c r="B26" s="82" t="s">
        <v>46</v>
      </c>
      <c r="I26" s="61">
        <f>C11/C12</f>
        <v>1.9028213166144201</v>
      </c>
    </row>
    <row r="27" spans="1:9" ht="27.75" thickBot="1">
      <c r="A27" s="38" t="s">
        <v>303</v>
      </c>
      <c r="B27" s="82" t="s">
        <v>268</v>
      </c>
      <c r="C27" s="31">
        <f>C13/C13</f>
        <v>1</v>
      </c>
      <c r="D27" s="31">
        <f>D13/C13</f>
        <v>1.0116279069767442</v>
      </c>
      <c r="E27" s="31">
        <f>E13/C13</f>
        <v>1.7558139534883721</v>
      </c>
      <c r="F27" s="31">
        <f>F13/C13</f>
        <v>1.6744186046511627</v>
      </c>
      <c r="G27" s="31">
        <f>-G13/C13</f>
        <v>3.441860465116279</v>
      </c>
      <c r="H27" s="63">
        <f>H13/C13</f>
        <v>0.3604651162790698</v>
      </c>
      <c r="I27" s="61"/>
    </row>
    <row r="28" spans="1:9" ht="14.25" thickBot="1">
      <c r="B28" s="82" t="s">
        <v>46</v>
      </c>
      <c r="C28" s="31">
        <f t="shared" ref="C28:C29" si="7">C14/C14</f>
        <v>1</v>
      </c>
      <c r="D28" s="31">
        <f t="shared" ref="D28:D29" si="8">D14/C14</f>
        <v>0.31794871794871793</v>
      </c>
      <c r="E28" s="31">
        <f t="shared" ref="E28:E29" si="9">E14/C14</f>
        <v>0.51282051282051289</v>
      </c>
      <c r="F28" s="31">
        <f t="shared" ref="F28:F29" si="10">F14/C14</f>
        <v>0.85128205128205126</v>
      </c>
      <c r="G28" s="31">
        <f>-G14/C14</f>
        <v>0.68205128205128196</v>
      </c>
      <c r="H28" s="63">
        <f t="shared" ref="H28:H29" si="11">H14/C14</f>
        <v>0.4358974358974359</v>
      </c>
      <c r="I28" s="61">
        <f>C13/C14</f>
        <v>0.44102564102564101</v>
      </c>
    </row>
    <row r="29" spans="1:9" ht="27.75" thickBot="1">
      <c r="A29" s="38" t="s">
        <v>304</v>
      </c>
      <c r="B29" s="82" t="s">
        <v>268</v>
      </c>
      <c r="C29" s="31">
        <f t="shared" si="7"/>
        <v>1</v>
      </c>
      <c r="D29" s="31">
        <f t="shared" si="8"/>
        <v>1.9035532994923859E-3</v>
      </c>
      <c r="E29" s="31">
        <f t="shared" si="9"/>
        <v>5.076142131979695E-3</v>
      </c>
      <c r="F29" s="31">
        <f t="shared" si="10"/>
        <v>3.6040609137055835E-3</v>
      </c>
      <c r="G29" s="31">
        <f>G15/C15</f>
        <v>0.98941624365482228</v>
      </c>
      <c r="H29" s="63">
        <f t="shared" si="11"/>
        <v>2.3604060913705587E-2</v>
      </c>
      <c r="I29" s="61"/>
    </row>
    <row r="30" spans="1:9" ht="14.25" thickBot="1">
      <c r="B30" s="82" t="s">
        <v>46</v>
      </c>
      <c r="I30" s="61">
        <f>C15/C16</f>
        <v>2.4171779141104293</v>
      </c>
    </row>
    <row r="31" spans="1:9">
      <c r="B31" s="84"/>
      <c r="I31" s="61"/>
    </row>
    <row r="32" spans="1:9" ht="18" customHeight="1"/>
    <row r="33" spans="1:18">
      <c r="R33" s="84"/>
    </row>
    <row r="34" spans="1:18">
      <c r="O34" s="85"/>
      <c r="P34" s="85"/>
      <c r="Q34" s="85"/>
      <c r="R34" s="85"/>
    </row>
    <row r="35" spans="1:18" ht="14.25" thickBot="1">
      <c r="J35" t="s">
        <v>271</v>
      </c>
      <c r="K35" t="s">
        <v>272</v>
      </c>
      <c r="O35" s="106"/>
      <c r="P35" s="106"/>
      <c r="Q35" s="106"/>
      <c r="R35" s="85"/>
    </row>
    <row r="36" spans="1:18" ht="14.25" thickBot="1">
      <c r="B36" s="171" t="s">
        <v>162</v>
      </c>
      <c r="C36" s="171" t="s">
        <v>163</v>
      </c>
      <c r="D36" s="169" t="s">
        <v>265</v>
      </c>
      <c r="E36" s="170"/>
      <c r="F36" s="169" t="s">
        <v>185</v>
      </c>
      <c r="G36" s="170"/>
      <c r="H36" s="169" t="s">
        <v>186</v>
      </c>
      <c r="I36" s="170"/>
      <c r="J36" s="169" t="s">
        <v>204</v>
      </c>
      <c r="K36" s="170"/>
      <c r="L36" s="169" t="s">
        <v>219</v>
      </c>
      <c r="M36" s="170"/>
    </row>
    <row r="37" spans="1:18" ht="14.25" thickBot="1">
      <c r="B37" s="172"/>
      <c r="C37" s="172"/>
      <c r="D37" s="83" t="s">
        <v>167</v>
      </c>
      <c r="E37" s="83" t="s">
        <v>168</v>
      </c>
      <c r="F37" s="83" t="s">
        <v>167</v>
      </c>
      <c r="G37" s="83" t="s">
        <v>168</v>
      </c>
      <c r="H37" s="83" t="s">
        <v>167</v>
      </c>
      <c r="I37" s="83" t="s">
        <v>168</v>
      </c>
      <c r="J37" s="83" t="s">
        <v>167</v>
      </c>
      <c r="K37" s="31" t="s">
        <v>168</v>
      </c>
      <c r="L37" s="83" t="s">
        <v>167</v>
      </c>
      <c r="M37" s="31" t="s">
        <v>168</v>
      </c>
      <c r="N37" s="84" t="s">
        <v>203</v>
      </c>
      <c r="O37" s="116" t="s">
        <v>286</v>
      </c>
    </row>
    <row r="38" spans="1:18" ht="27.75" thickBot="1">
      <c r="A38" s="38" t="s">
        <v>300</v>
      </c>
      <c r="B38" s="82" t="s">
        <v>46</v>
      </c>
      <c r="C38" s="17" t="s">
        <v>298</v>
      </c>
      <c r="D38" s="17">
        <v>0.32</v>
      </c>
      <c r="E38" s="31" t="e">
        <f t="shared" ref="E38:E39" si="12">D38/C38</f>
        <v>#VALUE!</v>
      </c>
      <c r="F38" s="17">
        <f t="shared" ref="F38:F39" si="13">6.01-D38</f>
        <v>5.6899999999999995</v>
      </c>
      <c r="G38" s="31" t="e">
        <f t="shared" ref="G38:G39" si="14">F38/C38</f>
        <v>#VALUE!</v>
      </c>
      <c r="H38" s="17">
        <v>1.74</v>
      </c>
      <c r="I38" s="31" t="e">
        <f t="shared" ref="I38:I39" si="15">H38/C38</f>
        <v>#VALUE!</v>
      </c>
      <c r="J38" s="18" t="e">
        <f>C38-D38-F38-H38</f>
        <v>#VALUE!</v>
      </c>
      <c r="K38" s="31" t="e">
        <f>-J38/C38</f>
        <v>#VALUE!</v>
      </c>
      <c r="L38" s="17">
        <v>0.17</v>
      </c>
      <c r="M38" s="31" t="e">
        <f>L38/C38</f>
        <v>#VALUE!</v>
      </c>
      <c r="N38" s="63" t="e">
        <f>0.22/C38</f>
        <v>#VALUE!</v>
      </c>
    </row>
    <row r="39" spans="1:18" ht="14.25" thickBot="1">
      <c r="B39" s="82" t="s">
        <v>270</v>
      </c>
      <c r="C39" s="17">
        <v>2.12</v>
      </c>
      <c r="D39" s="17">
        <v>0.32</v>
      </c>
      <c r="E39" s="31">
        <f t="shared" si="12"/>
        <v>0.15094339622641509</v>
      </c>
      <c r="F39" s="17">
        <f t="shared" si="13"/>
        <v>5.6899999999999995</v>
      </c>
      <c r="G39" s="31">
        <f t="shared" si="14"/>
        <v>2.6839622641509431</v>
      </c>
      <c r="H39" s="17">
        <v>1.74</v>
      </c>
      <c r="I39" s="31">
        <f t="shared" si="15"/>
        <v>0.820754716981132</v>
      </c>
      <c r="J39" s="18">
        <f>C39-D39-F39-H39</f>
        <v>-5.63</v>
      </c>
      <c r="K39" s="31">
        <f>-J39/C39</f>
        <v>2.6556603773584904</v>
      </c>
      <c r="L39" s="17">
        <v>0.17</v>
      </c>
      <c r="M39" s="31">
        <f>L39/C39</f>
        <v>8.0188679245283015E-2</v>
      </c>
      <c r="N39" s="63">
        <f>0.17/C39</f>
        <v>8.0188679245283015E-2</v>
      </c>
      <c r="O39" s="117">
        <f>C9/C39</f>
        <v>26.792452830188676</v>
      </c>
    </row>
    <row r="40" spans="1:18" ht="27.75" thickBot="1">
      <c r="A40" s="38" t="s">
        <v>301</v>
      </c>
      <c r="B40" s="82" t="s">
        <v>46</v>
      </c>
      <c r="C40" s="17" t="s">
        <v>302</v>
      </c>
      <c r="D40" s="17"/>
      <c r="E40" s="31"/>
      <c r="F40" s="17"/>
      <c r="G40" s="31"/>
      <c r="H40" s="17"/>
      <c r="I40" s="31"/>
      <c r="J40" s="18"/>
      <c r="K40" s="31"/>
      <c r="L40" s="17"/>
      <c r="M40" s="31"/>
      <c r="N40" s="63"/>
    </row>
    <row r="41" spans="1:18" ht="14.25" thickBot="1">
      <c r="B41" s="82" t="s">
        <v>270</v>
      </c>
      <c r="C41" s="17">
        <v>0.96</v>
      </c>
      <c r="D41" s="17"/>
      <c r="E41" s="31"/>
      <c r="F41" s="17"/>
      <c r="G41" s="31"/>
      <c r="H41" s="17"/>
      <c r="I41" s="31"/>
      <c r="J41" s="18"/>
      <c r="K41" s="31"/>
      <c r="L41" s="17"/>
      <c r="M41" s="31"/>
      <c r="N41" s="63"/>
      <c r="O41" s="61">
        <f>C11/C41</f>
        <v>6.322916666666667</v>
      </c>
    </row>
    <row r="42" spans="1:18" ht="27.75" thickBot="1">
      <c r="A42" s="38" t="s">
        <v>303</v>
      </c>
      <c r="B42" s="82" t="s">
        <v>46</v>
      </c>
      <c r="C42" s="17" t="s">
        <v>298</v>
      </c>
      <c r="D42" s="17">
        <v>0.32</v>
      </c>
      <c r="E42" s="31" t="e">
        <f t="shared" ref="E42:E43" si="16">D42/C42</f>
        <v>#VALUE!</v>
      </c>
      <c r="F42" s="17">
        <f t="shared" ref="F42:F43" si="17">6.01-D42</f>
        <v>5.6899999999999995</v>
      </c>
      <c r="G42" s="31" t="e">
        <f t="shared" ref="G42:G43" si="18">F42/C42</f>
        <v>#VALUE!</v>
      </c>
      <c r="H42" s="17">
        <v>1.74</v>
      </c>
      <c r="I42" s="31" t="e">
        <f t="shared" ref="I42:I43" si="19">H42/C42</f>
        <v>#VALUE!</v>
      </c>
      <c r="J42" s="18" t="e">
        <f>C42-D42-F42-H42</f>
        <v>#VALUE!</v>
      </c>
      <c r="K42" s="31" t="e">
        <f>-J42/C42</f>
        <v>#VALUE!</v>
      </c>
      <c r="L42" s="17">
        <v>0.17</v>
      </c>
      <c r="M42" s="31" t="e">
        <f>L42/C42</f>
        <v>#VALUE!</v>
      </c>
      <c r="N42" s="63" t="e">
        <f>0.22/C42</f>
        <v>#VALUE!</v>
      </c>
    </row>
    <row r="43" spans="1:18" ht="14.25" thickBot="1">
      <c r="B43" s="82" t="s">
        <v>270</v>
      </c>
      <c r="C43" s="17">
        <v>0.83</v>
      </c>
      <c r="D43" s="17">
        <v>0.32</v>
      </c>
      <c r="E43" s="31">
        <f t="shared" si="16"/>
        <v>0.38554216867469882</v>
      </c>
      <c r="F43" s="17">
        <f t="shared" si="17"/>
        <v>5.6899999999999995</v>
      </c>
      <c r="G43" s="31">
        <f t="shared" si="18"/>
        <v>6.8554216867469879</v>
      </c>
      <c r="H43" s="17">
        <v>1.74</v>
      </c>
      <c r="I43" s="31">
        <f t="shared" si="19"/>
        <v>2.096385542168675</v>
      </c>
      <c r="J43" s="18">
        <f>C43-D43-F43-H43</f>
        <v>-6.92</v>
      </c>
      <c r="K43" s="31">
        <f>-J43/C43</f>
        <v>8.3373493975903621</v>
      </c>
      <c r="L43" s="17">
        <v>0.17</v>
      </c>
      <c r="M43" s="31">
        <f>L43/C43</f>
        <v>0.20481927710843376</v>
      </c>
      <c r="N43" s="63">
        <f>0.17/C43</f>
        <v>0.20481927710843376</v>
      </c>
      <c r="O43" s="117">
        <f>C13/C43</f>
        <v>1.036144578313253</v>
      </c>
    </row>
    <row r="44" spans="1:18" ht="27.75" thickBot="1">
      <c r="A44" s="38" t="s">
        <v>304</v>
      </c>
      <c r="B44" s="82" t="s">
        <v>46</v>
      </c>
      <c r="C44" s="17" t="s">
        <v>302</v>
      </c>
      <c r="D44" s="17"/>
      <c r="E44" s="31"/>
      <c r="F44" s="17"/>
      <c r="G44" s="31"/>
      <c r="H44" s="17"/>
      <c r="I44" s="31"/>
      <c r="J44" s="18"/>
      <c r="K44" s="31"/>
      <c r="L44" s="17"/>
      <c r="M44" s="31"/>
      <c r="N44" s="63"/>
    </row>
    <row r="45" spans="1:18" ht="14.25" thickBot="1">
      <c r="B45" s="82" t="s">
        <v>270</v>
      </c>
      <c r="C45" s="18">
        <v>13.9</v>
      </c>
      <c r="D45" s="17"/>
      <c r="E45" s="31"/>
      <c r="F45" s="17"/>
      <c r="G45" s="31"/>
      <c r="H45" s="17"/>
      <c r="I45" s="31"/>
      <c r="J45" s="18"/>
      <c r="K45" s="31"/>
      <c r="L45" s="17"/>
      <c r="M45" s="31"/>
      <c r="N45" s="63"/>
      <c r="O45" s="117">
        <f>C15/C45</f>
        <v>28.345323741007192</v>
      </c>
      <c r="Q45" s="43"/>
    </row>
    <row r="46" spans="1:18">
      <c r="Q46" s="43"/>
    </row>
    <row r="47" spans="1:18">
      <c r="Q47" s="43"/>
    </row>
    <row r="52" spans="1:22">
      <c r="C52" s="181" t="s">
        <v>284</v>
      </c>
      <c r="D52" s="181"/>
      <c r="E52" s="181"/>
      <c r="F52" s="181"/>
      <c r="G52" s="181"/>
      <c r="H52" s="181"/>
      <c r="I52" t="s">
        <v>266</v>
      </c>
    </row>
    <row r="53" spans="1:22">
      <c r="C53" s="181"/>
      <c r="D53" s="181"/>
      <c r="E53" s="181"/>
      <c r="F53" s="181"/>
      <c r="G53" s="181"/>
      <c r="H53" s="181"/>
      <c r="I53" t="s">
        <v>169</v>
      </c>
    </row>
    <row r="55" spans="1:22" ht="14.25" thickBot="1">
      <c r="J55" t="s">
        <v>261</v>
      </c>
      <c r="K55" t="s">
        <v>3</v>
      </c>
    </row>
    <row r="56" spans="1:22" ht="39" thickBot="1">
      <c r="B56" s="171" t="s">
        <v>162</v>
      </c>
      <c r="C56" s="171" t="s">
        <v>163</v>
      </c>
      <c r="D56" s="83" t="s">
        <v>276</v>
      </c>
      <c r="E56" s="83" t="s">
        <v>275</v>
      </c>
      <c r="F56" s="83" t="s">
        <v>277</v>
      </c>
      <c r="G56" s="83" t="s">
        <v>279</v>
      </c>
      <c r="L56" s="85"/>
      <c r="M56" s="85"/>
      <c r="N56" s="84"/>
      <c r="O56" s="84"/>
      <c r="P56" s="84"/>
      <c r="Q56" s="84"/>
      <c r="R56" s="84"/>
      <c r="S56" s="84"/>
      <c r="T56" s="84"/>
      <c r="U56" s="84"/>
      <c r="V56" s="84"/>
    </row>
    <row r="57" spans="1:22" ht="14.25" thickBot="1">
      <c r="B57" s="172"/>
      <c r="C57" s="172"/>
      <c r="D57" s="83" t="s">
        <v>167</v>
      </c>
      <c r="E57" s="83" t="s">
        <v>167</v>
      </c>
      <c r="F57" s="83" t="s">
        <v>167</v>
      </c>
      <c r="G57" s="83" t="s">
        <v>167</v>
      </c>
      <c r="H57" s="84" t="s">
        <v>203</v>
      </c>
      <c r="J57" s="115" t="s">
        <v>283</v>
      </c>
      <c r="M57" s="84"/>
    </row>
    <row r="58" spans="1:22" ht="14.25" thickBot="1">
      <c r="B58" s="82" t="s">
        <v>172</v>
      </c>
      <c r="C58" s="17" t="s">
        <v>298</v>
      </c>
      <c r="D58" s="17">
        <v>0.92</v>
      </c>
      <c r="E58" s="17">
        <v>2.15</v>
      </c>
      <c r="F58" s="17">
        <v>1.66</v>
      </c>
      <c r="G58" s="18" t="e">
        <f>C58-D58-E58-F58</f>
        <v>#VALUE!</v>
      </c>
      <c r="H58" s="17">
        <v>0.28000000000000003</v>
      </c>
      <c r="M58" s="63"/>
    </row>
    <row r="59" spans="1:22" ht="27.75" thickBot="1">
      <c r="A59" s="38" t="s">
        <v>300</v>
      </c>
      <c r="B59" s="82" t="s">
        <v>268</v>
      </c>
      <c r="C59" s="18">
        <v>45.2</v>
      </c>
      <c r="D59" s="17">
        <v>0.87</v>
      </c>
      <c r="E59" s="17">
        <v>1.51</v>
      </c>
      <c r="F59" s="17">
        <v>1.44</v>
      </c>
      <c r="G59" s="18">
        <f t="shared" ref="G59" si="20">C59-D59-E59-F59</f>
        <v>41.38000000000001</v>
      </c>
      <c r="H59" s="17">
        <v>0.85</v>
      </c>
      <c r="J59" t="s">
        <v>281</v>
      </c>
      <c r="K59" s="110" t="s">
        <v>260</v>
      </c>
    </row>
    <row r="60" spans="1:22" ht="14.25" thickBot="1">
      <c r="B60" s="82" t="s">
        <v>46</v>
      </c>
      <c r="C60" s="18">
        <v>13.2</v>
      </c>
      <c r="D60" s="17">
        <v>0.62</v>
      </c>
      <c r="E60" s="17">
        <v>1</v>
      </c>
      <c r="F60" s="17">
        <v>1.52</v>
      </c>
      <c r="G60" s="18" t="e">
        <f>#REF!-D60-E60-F60</f>
        <v>#REF!</v>
      </c>
      <c r="H60" s="17">
        <v>0.17</v>
      </c>
    </row>
    <row r="61" spans="1:22" ht="27.75" thickBot="1">
      <c r="A61" s="38" t="s">
        <v>301</v>
      </c>
      <c r="B61" s="82" t="s">
        <v>268</v>
      </c>
      <c r="C61" s="18">
        <v>5.1100000000000003</v>
      </c>
      <c r="D61" s="17">
        <v>0.62</v>
      </c>
      <c r="E61" s="17">
        <v>1</v>
      </c>
      <c r="F61" s="17">
        <v>1.52</v>
      </c>
      <c r="G61" s="18">
        <f>C60-D61-E61-F61</f>
        <v>10.06</v>
      </c>
      <c r="H61" s="17">
        <v>0.17</v>
      </c>
    </row>
    <row r="62" spans="1:22" ht="14.25" thickBot="1">
      <c r="B62" s="82" t="s">
        <v>46</v>
      </c>
      <c r="C62" s="18">
        <v>2.71</v>
      </c>
    </row>
    <row r="63" spans="1:22" ht="27.75" thickBot="1">
      <c r="A63" s="38" t="s">
        <v>304</v>
      </c>
      <c r="B63" s="82" t="s">
        <v>268</v>
      </c>
      <c r="C63" s="82">
        <v>320</v>
      </c>
      <c r="H63" s="105">
        <v>6.8</v>
      </c>
    </row>
    <row r="64" spans="1:22" ht="14.25" thickBot="1">
      <c r="B64" s="82" t="s">
        <v>46</v>
      </c>
      <c r="C64" s="82">
        <v>116</v>
      </c>
      <c r="H64" s="105">
        <v>2.9</v>
      </c>
    </row>
    <row r="65" spans="1:18">
      <c r="B65" s="84"/>
    </row>
    <row r="66" spans="1:18">
      <c r="B66" s="84"/>
    </row>
    <row r="67" spans="1:18">
      <c r="B67" s="84"/>
    </row>
    <row r="68" spans="1:18" ht="14.25" thickBot="1"/>
    <row r="69" spans="1:18" ht="39" thickBot="1">
      <c r="B69" s="171" t="s">
        <v>162</v>
      </c>
      <c r="C69" s="171" t="s">
        <v>163</v>
      </c>
      <c r="D69" s="83" t="s">
        <v>265</v>
      </c>
      <c r="E69" s="83" t="s">
        <v>185</v>
      </c>
      <c r="F69" s="83" t="s">
        <v>186</v>
      </c>
      <c r="G69" s="83" t="s">
        <v>279</v>
      </c>
    </row>
    <row r="70" spans="1:18" ht="14.25" thickBot="1">
      <c r="B70" s="172"/>
      <c r="C70" s="172"/>
      <c r="D70" s="83" t="s">
        <v>168</v>
      </c>
      <c r="E70" s="83" t="s">
        <v>168</v>
      </c>
      <c r="F70" s="83" t="s">
        <v>168</v>
      </c>
      <c r="G70" s="83" t="s">
        <v>168</v>
      </c>
      <c r="H70" s="84" t="s">
        <v>203</v>
      </c>
      <c r="I70" s="115" t="s">
        <v>184</v>
      </c>
    </row>
    <row r="71" spans="1:18" ht="14.25" thickBot="1">
      <c r="B71" s="82" t="s">
        <v>172</v>
      </c>
      <c r="C71" s="31" t="e">
        <f>C58/C58</f>
        <v>#VALUE!</v>
      </c>
      <c r="D71" s="31" t="e">
        <f>D58/C58</f>
        <v>#VALUE!</v>
      </c>
      <c r="E71" s="31" t="e">
        <f>E58/C58</f>
        <v>#VALUE!</v>
      </c>
      <c r="F71" s="31" t="e">
        <f>F58/C58</f>
        <v>#VALUE!</v>
      </c>
      <c r="G71" s="31" t="e">
        <f>-G58/C58</f>
        <v>#VALUE!</v>
      </c>
      <c r="H71" s="63" t="e">
        <f>H58/C58</f>
        <v>#VALUE!</v>
      </c>
      <c r="I71" s="61" t="e">
        <f>C58/C58</f>
        <v>#VALUE!</v>
      </c>
    </row>
    <row r="72" spans="1:18" ht="27.75" thickBot="1">
      <c r="A72" s="38" t="s">
        <v>300</v>
      </c>
      <c r="B72" s="82" t="s">
        <v>268</v>
      </c>
      <c r="C72" s="31">
        <f>C59/C59</f>
        <v>1</v>
      </c>
      <c r="D72" s="31">
        <f>D59/C59</f>
        <v>1.9247787610619467E-2</v>
      </c>
      <c r="E72" s="31">
        <f>E59/C59</f>
        <v>3.3407079646017697E-2</v>
      </c>
      <c r="F72" s="31">
        <f>F59/C59</f>
        <v>3.1858407079646017E-2</v>
      </c>
      <c r="G72" s="31">
        <f>-G59/C59</f>
        <v>-0.91548672566371692</v>
      </c>
      <c r="H72" s="63">
        <f>H59/C59</f>
        <v>1.8805309734513272E-2</v>
      </c>
      <c r="I72" s="61" t="e">
        <f>C58/C59</f>
        <v>#VALUE!</v>
      </c>
    </row>
    <row r="73" spans="1:18" ht="14.25" thickBot="1">
      <c r="B73" s="82" t="s">
        <v>46</v>
      </c>
      <c r="C73" s="31" t="e">
        <f>#REF!/#REF!</f>
        <v>#REF!</v>
      </c>
      <c r="D73" s="31" t="e">
        <f>D60/#REF!</f>
        <v>#REF!</v>
      </c>
      <c r="E73" s="31" t="e">
        <f>E60/#REF!</f>
        <v>#REF!</v>
      </c>
      <c r="F73" s="31" t="e">
        <f>F60/#REF!</f>
        <v>#REF!</v>
      </c>
      <c r="G73" s="31" t="e">
        <f>-G60/#REF!</f>
        <v>#REF!</v>
      </c>
      <c r="H73" s="63" t="e">
        <f>H60/#REF!</f>
        <v>#REF!</v>
      </c>
      <c r="I73" s="61">
        <f>C59/C60</f>
        <v>3.4242424242424248</v>
      </c>
    </row>
    <row r="74" spans="1:18" ht="27.75" thickBot="1">
      <c r="A74" s="38" t="s">
        <v>301</v>
      </c>
      <c r="B74" s="82" t="s">
        <v>268</v>
      </c>
      <c r="C74" s="31">
        <f>C60/C60</f>
        <v>1</v>
      </c>
      <c r="D74" s="31">
        <f>D61/C60</f>
        <v>4.6969696969696974E-2</v>
      </c>
      <c r="E74" s="31">
        <f>E61/C60</f>
        <v>7.575757575757576E-2</v>
      </c>
      <c r="F74" s="31">
        <f>F61/C60</f>
        <v>0.11515151515151516</v>
      </c>
      <c r="G74" s="31">
        <f>-G61/C60</f>
        <v>-0.7621212121212122</v>
      </c>
      <c r="H74" s="63">
        <f>H61/C60</f>
        <v>1.287878787878788E-2</v>
      </c>
      <c r="I74" s="61"/>
    </row>
    <row r="75" spans="1:18" ht="14.25" thickBot="1">
      <c r="B75" s="82" t="s">
        <v>46</v>
      </c>
      <c r="I75" s="61">
        <f>C61/C62</f>
        <v>1.8856088560885611</v>
      </c>
    </row>
    <row r="76" spans="1:18" ht="27.75" thickBot="1">
      <c r="A76" s="38" t="s">
        <v>304</v>
      </c>
      <c r="B76" s="82" t="s">
        <v>268</v>
      </c>
    </row>
    <row r="77" spans="1:18" ht="14.25" thickBot="1">
      <c r="B77" s="82" t="s">
        <v>46</v>
      </c>
      <c r="I77" s="61">
        <f>C63/C64</f>
        <v>2.7586206896551726</v>
      </c>
      <c r="R77" s="84"/>
    </row>
    <row r="78" spans="1:18">
      <c r="R78" s="85"/>
    </row>
    <row r="80" spans="1:18">
      <c r="O80" s="85"/>
      <c r="P80" s="85"/>
      <c r="Q80" s="85"/>
      <c r="R80" s="85"/>
    </row>
    <row r="81" spans="1:18" ht="14.25" thickBot="1">
      <c r="J81" t="s">
        <v>262</v>
      </c>
      <c r="K81" t="s">
        <v>272</v>
      </c>
      <c r="O81" s="106"/>
      <c r="P81" s="106"/>
      <c r="Q81" s="106"/>
      <c r="R81" s="85"/>
    </row>
    <row r="82" spans="1:18" ht="14.25" thickBot="1">
      <c r="B82" s="171" t="s">
        <v>162</v>
      </c>
      <c r="C82" s="171" t="s">
        <v>163</v>
      </c>
      <c r="D82" s="169" t="s">
        <v>265</v>
      </c>
      <c r="E82" s="170"/>
      <c r="F82" s="169" t="s">
        <v>185</v>
      </c>
      <c r="G82" s="170"/>
      <c r="H82" s="169" t="s">
        <v>186</v>
      </c>
      <c r="I82" s="170"/>
      <c r="J82" s="169" t="s">
        <v>204</v>
      </c>
      <c r="K82" s="170"/>
      <c r="L82" s="169" t="s">
        <v>219</v>
      </c>
      <c r="M82" s="170"/>
    </row>
    <row r="83" spans="1:18" ht="14.25" thickBot="1">
      <c r="B83" s="172"/>
      <c r="C83" s="172"/>
      <c r="D83" s="83" t="s">
        <v>167</v>
      </c>
      <c r="E83" s="83" t="s">
        <v>168</v>
      </c>
      <c r="F83" s="83" t="s">
        <v>167</v>
      </c>
      <c r="G83" s="83" t="s">
        <v>168</v>
      </c>
      <c r="H83" s="83" t="s">
        <v>167</v>
      </c>
      <c r="I83" s="83" t="s">
        <v>168</v>
      </c>
      <c r="J83" s="83" t="s">
        <v>167</v>
      </c>
      <c r="K83" s="31" t="s">
        <v>168</v>
      </c>
      <c r="L83" s="83" t="s">
        <v>167</v>
      </c>
      <c r="M83" s="31" t="s">
        <v>168</v>
      </c>
      <c r="N83" s="84" t="s">
        <v>203</v>
      </c>
      <c r="O83" s="116" t="s">
        <v>287</v>
      </c>
    </row>
    <row r="84" spans="1:18" ht="27.75" thickBot="1">
      <c r="A84" s="38" t="s">
        <v>300</v>
      </c>
      <c r="B84" s="82" t="s">
        <v>46</v>
      </c>
      <c r="C84" s="17" t="s">
        <v>298</v>
      </c>
      <c r="D84" s="17">
        <v>0.32</v>
      </c>
      <c r="E84" s="31" t="e">
        <f t="shared" ref="E84:E85" si="21">D84/C84</f>
        <v>#VALUE!</v>
      </c>
      <c r="F84" s="17">
        <f t="shared" ref="F84:F85" si="22">6.01-D84</f>
        <v>5.6899999999999995</v>
      </c>
      <c r="G84" s="31" t="e">
        <f t="shared" ref="G84:G85" si="23">F84/C84</f>
        <v>#VALUE!</v>
      </c>
      <c r="H84" s="17">
        <v>1.74</v>
      </c>
      <c r="I84" s="31" t="e">
        <f t="shared" ref="I84:I85" si="24">H84/C84</f>
        <v>#VALUE!</v>
      </c>
      <c r="J84" s="18" t="e">
        <f t="shared" ref="J84:J85" si="25">C84-D84-F84-H84</f>
        <v>#VALUE!</v>
      </c>
      <c r="K84" s="31" t="e">
        <f>-J84/C84</f>
        <v>#VALUE!</v>
      </c>
      <c r="L84" s="17">
        <v>0.17</v>
      </c>
      <c r="M84" s="31" t="e">
        <f>L84/C84</f>
        <v>#VALUE!</v>
      </c>
      <c r="N84" s="63" t="e">
        <f>0.22/C84</f>
        <v>#VALUE!</v>
      </c>
      <c r="O84" s="61" t="e">
        <f>C59/C84</f>
        <v>#VALUE!</v>
      </c>
    </row>
    <row r="85" spans="1:18" ht="14.25" thickBot="1">
      <c r="B85" s="82" t="s">
        <v>270</v>
      </c>
      <c r="C85" s="17">
        <v>0.7</v>
      </c>
      <c r="D85" s="17">
        <v>0.32</v>
      </c>
      <c r="E85" s="31">
        <f t="shared" si="21"/>
        <v>0.45714285714285718</v>
      </c>
      <c r="F85" s="17">
        <f t="shared" si="22"/>
        <v>5.6899999999999995</v>
      </c>
      <c r="G85" s="31">
        <f t="shared" si="23"/>
        <v>8.1285714285714281</v>
      </c>
      <c r="H85" s="17">
        <v>1.74</v>
      </c>
      <c r="I85" s="31">
        <f t="shared" si="24"/>
        <v>2.4857142857142858</v>
      </c>
      <c r="J85" s="18">
        <f t="shared" si="25"/>
        <v>-7.05</v>
      </c>
      <c r="K85" s="31">
        <f>-J85/C85</f>
        <v>10.071428571428571</v>
      </c>
      <c r="L85" s="17">
        <v>0.17</v>
      </c>
      <c r="M85" s="31">
        <f>L85/C85</f>
        <v>0.24285714285714288</v>
      </c>
      <c r="N85" s="63">
        <f>0.09/C85</f>
        <v>0.12857142857142859</v>
      </c>
      <c r="O85" s="117">
        <f>C59/C85</f>
        <v>64.571428571428584</v>
      </c>
    </row>
    <row r="86" spans="1:18" ht="27.75" thickBot="1">
      <c r="A86" s="38" t="s">
        <v>301</v>
      </c>
      <c r="B86" s="82" t="s">
        <v>46</v>
      </c>
      <c r="C86" s="17"/>
      <c r="D86" s="17"/>
      <c r="E86" s="31"/>
      <c r="F86" s="17"/>
      <c r="G86" s="31"/>
      <c r="H86" s="17"/>
      <c r="I86" s="31"/>
      <c r="J86" s="18"/>
      <c r="K86" s="31"/>
      <c r="L86" s="17"/>
      <c r="M86" s="31"/>
      <c r="N86" s="63"/>
    </row>
    <row r="87" spans="1:18" ht="14.25" thickBot="1">
      <c r="B87" s="82" t="s">
        <v>270</v>
      </c>
      <c r="C87" s="17">
        <v>0.4</v>
      </c>
      <c r="D87" s="17"/>
      <c r="E87" s="31"/>
      <c r="F87" s="17"/>
      <c r="G87" s="31"/>
      <c r="H87" s="17"/>
      <c r="I87" s="31"/>
      <c r="J87" s="18"/>
      <c r="K87" s="31"/>
      <c r="L87" s="17"/>
      <c r="M87" s="31"/>
      <c r="N87" s="63"/>
      <c r="O87" s="117">
        <f>C61/C87</f>
        <v>12.775</v>
      </c>
    </row>
    <row r="88" spans="1:18" ht="27.75" thickBot="1">
      <c r="A88" s="38" t="s">
        <v>304</v>
      </c>
      <c r="B88" s="82" t="s">
        <v>46</v>
      </c>
      <c r="C88" s="17"/>
    </row>
    <row r="89" spans="1:18" ht="14.25" thickBot="1">
      <c r="B89" s="82" t="s">
        <v>270</v>
      </c>
      <c r="C89" s="17">
        <v>3.51</v>
      </c>
      <c r="N89" s="63">
        <f>0.24/C89</f>
        <v>6.8376068376068383E-2</v>
      </c>
      <c r="O89" s="117">
        <f>C63/C89</f>
        <v>91.168091168091181</v>
      </c>
    </row>
    <row r="90" spans="1:18">
      <c r="B90" s="84"/>
      <c r="C90" s="62"/>
      <c r="N90" s="63"/>
      <c r="O90" s="117"/>
    </row>
    <row r="91" spans="1:18">
      <c r="B91" s="84"/>
      <c r="C91" s="62"/>
      <c r="N91" s="63"/>
      <c r="O91" s="117"/>
    </row>
    <row r="92" spans="1:18">
      <c r="B92" s="84"/>
      <c r="C92" s="181" t="s">
        <v>318</v>
      </c>
      <c r="D92" s="181"/>
      <c r="E92" s="181"/>
      <c r="F92" s="181"/>
      <c r="G92" s="181"/>
      <c r="H92" s="181"/>
      <c r="N92" s="63"/>
      <c r="O92" s="117"/>
    </row>
    <row r="93" spans="1:18">
      <c r="C93" s="181"/>
      <c r="D93" s="181"/>
      <c r="E93" s="181"/>
      <c r="F93" s="181"/>
      <c r="G93" s="181"/>
      <c r="H93" s="181"/>
    </row>
    <row r="94" spans="1:18">
      <c r="Q94" s="43"/>
    </row>
    <row r="95" spans="1:18">
      <c r="L95" s="180" t="s">
        <v>316</v>
      </c>
      <c r="M95" s="180"/>
      <c r="Q95" s="43"/>
    </row>
    <row r="96" spans="1:18">
      <c r="Q96" s="43"/>
    </row>
    <row r="97" spans="2:17" ht="81">
      <c r="C97" s="44" t="s">
        <v>306</v>
      </c>
      <c r="F97" s="38" t="s">
        <v>295</v>
      </c>
      <c r="G97" s="38" t="s">
        <v>289</v>
      </c>
      <c r="H97" s="38" t="s">
        <v>290</v>
      </c>
      <c r="I97" s="38"/>
      <c r="K97" s="46" t="s">
        <v>296</v>
      </c>
      <c r="L97" s="44" t="s">
        <v>306</v>
      </c>
      <c r="M97" s="44" t="s">
        <v>305</v>
      </c>
      <c r="N97" s="44" t="s">
        <v>307</v>
      </c>
      <c r="Q97" s="43"/>
    </row>
    <row r="98" spans="2:17" ht="67.5">
      <c r="B98">
        <v>1</v>
      </c>
      <c r="C98" s="38" t="s">
        <v>296</v>
      </c>
      <c r="E98" t="s">
        <v>293</v>
      </c>
      <c r="F98" s="57">
        <f>C61</f>
        <v>5.1100000000000003</v>
      </c>
      <c r="G98" s="57">
        <f>C62</f>
        <v>2.71</v>
      </c>
      <c r="H98" s="59">
        <f>C87</f>
        <v>0.4</v>
      </c>
      <c r="I98" s="61"/>
      <c r="J98" s="92"/>
      <c r="K98" s="46" t="s">
        <v>289</v>
      </c>
      <c r="L98" s="57">
        <f>G99</f>
        <v>1.8856088560885611</v>
      </c>
      <c r="M98" s="57">
        <f>G108</f>
        <v>3.4242424242424248</v>
      </c>
      <c r="N98" s="57">
        <f>G115</f>
        <v>2.7586206896551726</v>
      </c>
    </row>
    <row r="99" spans="2:17" ht="27">
      <c r="E99" t="s">
        <v>294</v>
      </c>
      <c r="F99" s="44">
        <v>1</v>
      </c>
      <c r="G99" s="57">
        <f>F98/G98</f>
        <v>1.8856088560885611</v>
      </c>
      <c r="H99" s="121">
        <f>F98/H98</f>
        <v>12.775</v>
      </c>
      <c r="I99" s="61"/>
      <c r="J99" s="61"/>
      <c r="K99" s="46" t="s">
        <v>290</v>
      </c>
      <c r="L99" s="121">
        <f>H99</f>
        <v>12.775</v>
      </c>
      <c r="M99" s="121">
        <f>H108</f>
        <v>64.571428571428584</v>
      </c>
      <c r="N99" s="121">
        <f>H115</f>
        <v>91.168091168091181</v>
      </c>
    </row>
    <row r="100" spans="2:17" ht="67.5">
      <c r="B100">
        <v>2</v>
      </c>
      <c r="C100" s="38" t="s">
        <v>297</v>
      </c>
      <c r="E100" t="s">
        <v>293</v>
      </c>
      <c r="F100" s="57">
        <f>C11</f>
        <v>6.07</v>
      </c>
      <c r="G100" s="57">
        <f>C12</f>
        <v>3.19</v>
      </c>
      <c r="H100" s="59">
        <f>C41</f>
        <v>0.96</v>
      </c>
      <c r="I100" s="61"/>
      <c r="J100" s="92"/>
      <c r="K100" s="61"/>
    </row>
    <row r="101" spans="2:17">
      <c r="E101" t="s">
        <v>294</v>
      </c>
      <c r="F101" s="44">
        <v>1</v>
      </c>
      <c r="G101" s="57">
        <f>F100/G100</f>
        <v>1.9028213166144201</v>
      </c>
      <c r="H101" s="57">
        <f>F100/H100</f>
        <v>6.322916666666667</v>
      </c>
      <c r="I101" s="61"/>
      <c r="J101" s="117"/>
      <c r="K101" s="61"/>
    </row>
    <row r="102" spans="2:17">
      <c r="F102" s="73"/>
      <c r="G102" s="122"/>
      <c r="H102" s="122"/>
      <c r="I102" s="61"/>
      <c r="J102" s="117"/>
      <c r="K102" s="61"/>
    </row>
    <row r="103" spans="2:17">
      <c r="F103" s="73"/>
      <c r="G103" s="122"/>
      <c r="H103" s="122"/>
      <c r="I103" s="61"/>
      <c r="J103" s="117"/>
      <c r="K103" s="61"/>
    </row>
    <row r="104" spans="2:17">
      <c r="L104" s="180" t="s">
        <v>317</v>
      </c>
      <c r="M104" s="180"/>
    </row>
    <row r="106" spans="2:17" ht="81">
      <c r="C106" s="44" t="s">
        <v>305</v>
      </c>
      <c r="F106" s="38" t="s">
        <v>295</v>
      </c>
      <c r="G106" s="38" t="s">
        <v>289</v>
      </c>
      <c r="H106" s="38" t="s">
        <v>290</v>
      </c>
      <c r="K106" s="46" t="s">
        <v>297</v>
      </c>
      <c r="L106" s="44" t="s">
        <v>306</v>
      </c>
      <c r="M106" s="44" t="s">
        <v>305</v>
      </c>
      <c r="N106" s="44" t="s">
        <v>307</v>
      </c>
    </row>
    <row r="107" spans="2:17" ht="67.5">
      <c r="C107" s="38" t="s">
        <v>296</v>
      </c>
      <c r="E107" t="s">
        <v>293</v>
      </c>
      <c r="F107" s="57">
        <f>C59</f>
        <v>45.2</v>
      </c>
      <c r="G107" s="57">
        <f>C60</f>
        <v>13.2</v>
      </c>
      <c r="H107" s="59">
        <f>C85</f>
        <v>0.7</v>
      </c>
      <c r="K107" s="46" t="s">
        <v>289</v>
      </c>
      <c r="L107" s="57">
        <f>G101</f>
        <v>1.9028213166144201</v>
      </c>
      <c r="M107" s="57">
        <f>G110</f>
        <v>3.191011235955056</v>
      </c>
      <c r="N107" s="57">
        <f>G117</f>
        <v>2.4171779141104293</v>
      </c>
    </row>
    <row r="108" spans="2:17" ht="27">
      <c r="E108" t="s">
        <v>294</v>
      </c>
      <c r="F108" s="44">
        <v>1</v>
      </c>
      <c r="G108" s="57">
        <f>F107/G107</f>
        <v>3.4242424242424248</v>
      </c>
      <c r="H108" s="121">
        <f>F107/H107</f>
        <v>64.571428571428584</v>
      </c>
      <c r="K108" s="46" t="s">
        <v>290</v>
      </c>
      <c r="L108" s="57">
        <f>H101</f>
        <v>6.322916666666667</v>
      </c>
      <c r="M108" s="121">
        <f>H110</f>
        <v>26.792452830188676</v>
      </c>
      <c r="N108" s="121">
        <f>H117</f>
        <v>28.345323741007192</v>
      </c>
    </row>
    <row r="109" spans="2:17" ht="67.5">
      <c r="C109" s="38" t="s">
        <v>297</v>
      </c>
      <c r="E109" t="s">
        <v>293</v>
      </c>
      <c r="F109" s="57">
        <f>C9</f>
        <v>56.8</v>
      </c>
      <c r="G109" s="57">
        <f>C10</f>
        <v>17.8</v>
      </c>
      <c r="H109" s="59">
        <f>C39</f>
        <v>2.12</v>
      </c>
    </row>
    <row r="110" spans="2:17">
      <c r="E110" t="s">
        <v>294</v>
      </c>
      <c r="F110" s="44">
        <v>1</v>
      </c>
      <c r="G110" s="57">
        <f>F109/G109</f>
        <v>3.191011235955056</v>
      </c>
      <c r="H110" s="121">
        <f>F109/H109</f>
        <v>26.792452830188676</v>
      </c>
    </row>
    <row r="113" spans="3:23" ht="27">
      <c r="C113" s="44" t="s">
        <v>307</v>
      </c>
      <c r="F113" s="38" t="s">
        <v>295</v>
      </c>
      <c r="G113" s="38" t="s">
        <v>289</v>
      </c>
      <c r="H113" s="38" t="s">
        <v>290</v>
      </c>
    </row>
    <row r="114" spans="3:23" ht="67.5">
      <c r="C114" s="38" t="s">
        <v>296</v>
      </c>
      <c r="E114" t="s">
        <v>293</v>
      </c>
      <c r="F114" s="121">
        <f>C63</f>
        <v>320</v>
      </c>
      <c r="G114" s="121">
        <f>C64</f>
        <v>116</v>
      </c>
      <c r="H114" s="59">
        <f>C89</f>
        <v>3.51</v>
      </c>
    </row>
    <row r="115" spans="3:23">
      <c r="E115" t="s">
        <v>294</v>
      </c>
      <c r="F115" s="44">
        <v>1</v>
      </c>
      <c r="G115" s="57">
        <f>F114/G114</f>
        <v>2.7586206896551726</v>
      </c>
      <c r="H115" s="121">
        <f>F114/H114</f>
        <v>91.168091168091181</v>
      </c>
    </row>
    <row r="116" spans="3:23" ht="67.5">
      <c r="C116" s="38" t="s">
        <v>297</v>
      </c>
      <c r="E116" t="s">
        <v>293</v>
      </c>
      <c r="F116" s="121">
        <f>C15</f>
        <v>394</v>
      </c>
      <c r="G116" s="121">
        <f>C16</f>
        <v>163</v>
      </c>
      <c r="H116" s="57">
        <f>C45</f>
        <v>13.9</v>
      </c>
    </row>
    <row r="117" spans="3:23">
      <c r="E117" t="s">
        <v>294</v>
      </c>
      <c r="F117" s="44">
        <v>1</v>
      </c>
      <c r="G117" s="57">
        <f>F116/G116</f>
        <v>2.4171779141104293</v>
      </c>
      <c r="H117" s="121">
        <f>F116/H116</f>
        <v>28.345323741007192</v>
      </c>
    </row>
    <row r="121" spans="3:23">
      <c r="C121" s="181" t="s">
        <v>326</v>
      </c>
      <c r="D121" s="181"/>
      <c r="E121" s="181"/>
      <c r="F121" s="181"/>
      <c r="G121" s="181"/>
      <c r="H121" s="181"/>
    </row>
    <row r="122" spans="3:23">
      <c r="C122" s="181"/>
      <c r="D122" s="181"/>
      <c r="E122" s="181"/>
      <c r="F122" s="181"/>
      <c r="G122" s="181"/>
      <c r="H122" s="181"/>
    </row>
    <row r="123" spans="3:23">
      <c r="V123" s="180" t="s">
        <v>316</v>
      </c>
      <c r="W123" s="180"/>
    </row>
    <row r="124" spans="3:23">
      <c r="P124" s="180" t="s">
        <v>316</v>
      </c>
      <c r="Q124" s="180"/>
    </row>
    <row r="126" spans="3:23" ht="54">
      <c r="C126" s="44" t="s">
        <v>306</v>
      </c>
      <c r="F126" s="46" t="s">
        <v>295</v>
      </c>
      <c r="G126" s="46" t="s">
        <v>319</v>
      </c>
      <c r="H126" s="46" t="s">
        <v>320</v>
      </c>
      <c r="I126" s="46" t="s">
        <v>321</v>
      </c>
      <c r="J126" s="46" t="s">
        <v>323</v>
      </c>
      <c r="O126" s="46"/>
      <c r="P126" s="44" t="s">
        <v>319</v>
      </c>
      <c r="Q126" s="44" t="s">
        <v>320</v>
      </c>
      <c r="R126" s="46" t="s">
        <v>321</v>
      </c>
      <c r="S126" s="123" t="s">
        <v>323</v>
      </c>
    </row>
    <row r="127" spans="3:23" ht="67.5">
      <c r="C127" s="38" t="s">
        <v>296</v>
      </c>
      <c r="E127" t="s">
        <v>293</v>
      </c>
      <c r="F127" s="57">
        <v>45.3</v>
      </c>
      <c r="G127" s="57">
        <v>19</v>
      </c>
      <c r="H127" s="57">
        <v>4.2</v>
      </c>
      <c r="I127" s="57">
        <v>4.3499999999999996</v>
      </c>
      <c r="J127" s="46">
        <v>9.3000000000000007</v>
      </c>
      <c r="K127" t="s">
        <v>325</v>
      </c>
      <c r="O127" s="46" t="s">
        <v>184</v>
      </c>
      <c r="P127" s="57">
        <f>G128</f>
        <v>2.3842105263157891</v>
      </c>
      <c r="Q127" s="57">
        <f t="shared" ref="Q127:S127" si="26">H128</f>
        <v>10.785714285714285</v>
      </c>
      <c r="R127" s="57">
        <f t="shared" si="26"/>
        <v>10.413793103448276</v>
      </c>
      <c r="S127" s="57">
        <f t="shared" si="26"/>
        <v>4.8709677419354831</v>
      </c>
    </row>
    <row r="128" spans="3:23">
      <c r="E128" t="s">
        <v>294</v>
      </c>
      <c r="F128" s="44">
        <v>1</v>
      </c>
      <c r="G128" s="57">
        <f>F127/G127</f>
        <v>2.3842105263157891</v>
      </c>
      <c r="H128" s="57">
        <f>F127/H127</f>
        <v>10.785714285714285</v>
      </c>
      <c r="I128" s="57">
        <f>F127/I127</f>
        <v>10.413793103448276</v>
      </c>
      <c r="J128" s="57">
        <f>F127/J127</f>
        <v>4.8709677419354831</v>
      </c>
    </row>
    <row r="129" spans="3:23" ht="67.5">
      <c r="C129" s="38" t="s">
        <v>297</v>
      </c>
      <c r="E129" t="s">
        <v>293</v>
      </c>
      <c r="F129" s="121">
        <v>57</v>
      </c>
      <c r="G129" s="121">
        <v>28</v>
      </c>
      <c r="H129" s="121">
        <v>12</v>
      </c>
      <c r="I129" s="121">
        <v>13</v>
      </c>
      <c r="J129" s="46">
        <v>18</v>
      </c>
      <c r="K129" s="124" t="s">
        <v>324</v>
      </c>
    </row>
    <row r="130" spans="3:23">
      <c r="E130" t="s">
        <v>294</v>
      </c>
      <c r="F130" s="44">
        <v>1</v>
      </c>
      <c r="G130" s="57">
        <f>F129/G129</f>
        <v>2.0357142857142856</v>
      </c>
      <c r="H130" s="57">
        <f>F129/H129</f>
        <v>4.75</v>
      </c>
      <c r="I130" s="57">
        <f>F129/I129</f>
        <v>4.384615384615385</v>
      </c>
      <c r="J130" s="57">
        <f>F129/J129</f>
        <v>3.1666666666666665</v>
      </c>
      <c r="P130" s="180" t="s">
        <v>317</v>
      </c>
      <c r="Q130" s="180"/>
      <c r="V130" s="180" t="s">
        <v>317</v>
      </c>
      <c r="W130" s="180"/>
    </row>
    <row r="131" spans="3:23">
      <c r="E131" t="s">
        <v>322</v>
      </c>
      <c r="G131" s="61">
        <f>G129/I129</f>
        <v>2.1538461538461537</v>
      </c>
      <c r="H131" s="61">
        <f>H129/I129</f>
        <v>0.92307692307692313</v>
      </c>
      <c r="J131" s="61">
        <f>J129/I129</f>
        <v>1.3846153846153846</v>
      </c>
    </row>
    <row r="132" spans="3:23" ht="54">
      <c r="G132" s="125" t="s">
        <v>327</v>
      </c>
      <c r="O132" s="46"/>
      <c r="P132" s="44" t="s">
        <v>319</v>
      </c>
      <c r="Q132" s="44" t="s">
        <v>320</v>
      </c>
      <c r="R132" s="46" t="s">
        <v>321</v>
      </c>
      <c r="S132" s="123" t="s">
        <v>323</v>
      </c>
    </row>
    <row r="133" spans="3:23" ht="40.5">
      <c r="C133" s="44" t="s">
        <v>306</v>
      </c>
      <c r="F133" s="46" t="s">
        <v>382</v>
      </c>
      <c r="G133" s="46" t="s">
        <v>319</v>
      </c>
      <c r="H133" s="46" t="s">
        <v>320</v>
      </c>
      <c r="I133" s="46" t="s">
        <v>321</v>
      </c>
      <c r="J133" s="46" t="s">
        <v>323</v>
      </c>
      <c r="O133" s="46" t="s">
        <v>184</v>
      </c>
      <c r="P133" s="57">
        <f>G130</f>
        <v>2.0357142857142856</v>
      </c>
      <c r="Q133" s="57">
        <f>H130</f>
        <v>4.75</v>
      </c>
      <c r="R133" s="57">
        <f>I130</f>
        <v>4.384615384615385</v>
      </c>
      <c r="S133" s="57">
        <f>J130</f>
        <v>3.1666666666666665</v>
      </c>
    </row>
    <row r="134" spans="3:23" ht="67.5">
      <c r="C134" s="38" t="s">
        <v>296</v>
      </c>
      <c r="E134" t="s">
        <v>293</v>
      </c>
      <c r="F134" s="57">
        <v>45.3</v>
      </c>
      <c r="G134" s="57">
        <v>33</v>
      </c>
      <c r="H134" s="57">
        <v>7</v>
      </c>
      <c r="I134" s="57">
        <v>7.7</v>
      </c>
      <c r="J134" s="46">
        <v>19</v>
      </c>
      <c r="K134" t="s">
        <v>325</v>
      </c>
    </row>
    <row r="135" spans="3:23">
      <c r="E135" t="s">
        <v>294</v>
      </c>
      <c r="F135" s="44">
        <v>1</v>
      </c>
      <c r="G135" s="57">
        <f>F134/G134</f>
        <v>1.3727272727272726</v>
      </c>
      <c r="H135" s="57">
        <f>F134/H134</f>
        <v>6.4714285714285706</v>
      </c>
      <c r="I135" s="57">
        <f>F134/I134</f>
        <v>5.883116883116883</v>
      </c>
      <c r="J135" s="57">
        <f>F134/J134</f>
        <v>2.3842105263157891</v>
      </c>
    </row>
    <row r="136" spans="3:23" ht="67.5">
      <c r="C136" s="38" t="s">
        <v>297</v>
      </c>
      <c r="E136" t="s">
        <v>293</v>
      </c>
      <c r="F136" s="121">
        <v>57</v>
      </c>
      <c r="G136" s="121">
        <v>28</v>
      </c>
      <c r="H136" s="121">
        <v>12</v>
      </c>
      <c r="I136" s="121">
        <v>13</v>
      </c>
      <c r="J136" s="46">
        <v>18</v>
      </c>
      <c r="K136" s="124" t="s">
        <v>324</v>
      </c>
    </row>
    <row r="137" spans="3:23">
      <c r="E137" t="s">
        <v>294</v>
      </c>
      <c r="F137" s="44">
        <v>1</v>
      </c>
      <c r="G137" s="57">
        <f>F136/G136</f>
        <v>2.0357142857142856</v>
      </c>
      <c r="H137" s="57">
        <f>F136/H136</f>
        <v>4.75</v>
      </c>
      <c r="I137" s="57">
        <f>F136/I136</f>
        <v>4.384615384615385</v>
      </c>
      <c r="J137" s="57">
        <f>F136/J136</f>
        <v>3.1666666666666665</v>
      </c>
    </row>
    <row r="138" spans="3:23">
      <c r="E138" t="s">
        <v>322</v>
      </c>
      <c r="G138" s="61">
        <f>G136/I136</f>
        <v>2.1538461538461537</v>
      </c>
      <c r="H138" s="61">
        <f>H136/I136</f>
        <v>0.92307692307692313</v>
      </c>
      <c r="J138" s="61">
        <f>J136/I136</f>
        <v>1.3846153846153846</v>
      </c>
    </row>
    <row r="142" spans="3:23" ht="40.5">
      <c r="C142" s="44" t="s">
        <v>388</v>
      </c>
      <c r="F142" s="136" t="s">
        <v>387</v>
      </c>
      <c r="G142" s="136" t="s">
        <v>385</v>
      </c>
      <c r="H142" s="136" t="s">
        <v>386</v>
      </c>
      <c r="I142" s="136" t="s">
        <v>389</v>
      </c>
      <c r="J142" s="136" t="s">
        <v>390</v>
      </c>
      <c r="K142" s="136" t="s">
        <v>320</v>
      </c>
      <c r="L142" s="56"/>
    </row>
    <row r="143" spans="3:23" ht="67.5">
      <c r="C143" s="38" t="s">
        <v>296</v>
      </c>
      <c r="E143" s="57" t="s">
        <v>381</v>
      </c>
      <c r="F143" s="57">
        <v>45.3</v>
      </c>
      <c r="G143" s="57">
        <v>33</v>
      </c>
      <c r="H143" s="136">
        <v>19</v>
      </c>
      <c r="I143" s="57">
        <v>7.9</v>
      </c>
      <c r="J143" s="57">
        <v>7.2</v>
      </c>
      <c r="K143" s="57">
        <v>7.13</v>
      </c>
      <c r="L143" s="138"/>
    </row>
    <row r="144" spans="3:23">
      <c r="E144" s="57" t="s">
        <v>380</v>
      </c>
      <c r="F144" s="44">
        <v>1</v>
      </c>
      <c r="G144" s="57">
        <f>F143/G143</f>
        <v>1.3727272727272726</v>
      </c>
      <c r="H144" s="57">
        <f>F143/H143</f>
        <v>2.3842105263157891</v>
      </c>
      <c r="I144" s="57">
        <f>F143/I143</f>
        <v>5.7341772151898729</v>
      </c>
      <c r="J144" s="57">
        <f>F143/J143</f>
        <v>6.2916666666666661</v>
      </c>
      <c r="K144" s="57">
        <f>F143/K143</f>
        <v>6.3534361851332397</v>
      </c>
    </row>
    <row r="145" spans="5:11">
      <c r="E145" s="57" t="s">
        <v>383</v>
      </c>
      <c r="F145" s="48">
        <v>0.14000000000000001</v>
      </c>
      <c r="G145" s="48">
        <v>0.65</v>
      </c>
      <c r="H145" s="48">
        <v>0.6</v>
      </c>
      <c r="I145" s="48">
        <v>0.21</v>
      </c>
      <c r="J145" s="48">
        <v>0.16</v>
      </c>
      <c r="K145" s="48">
        <v>0.06</v>
      </c>
    </row>
    <row r="146" spans="5:11">
      <c r="E146" s="57" t="s">
        <v>384</v>
      </c>
      <c r="F146" s="48">
        <v>0.08</v>
      </c>
      <c r="G146" s="48">
        <v>0.25</v>
      </c>
      <c r="H146" s="48">
        <v>0.18</v>
      </c>
      <c r="I146" s="48">
        <v>0.21</v>
      </c>
      <c r="J146" s="48">
        <v>0.22</v>
      </c>
      <c r="K146" s="48">
        <v>0.22</v>
      </c>
    </row>
  </sheetData>
  <mergeCells count="32">
    <mergeCell ref="B20:B21"/>
    <mergeCell ref="C20:C21"/>
    <mergeCell ref="B6:B7"/>
    <mergeCell ref="C6:C7"/>
    <mergeCell ref="B36:B37"/>
    <mergeCell ref="C36:C37"/>
    <mergeCell ref="L36:M36"/>
    <mergeCell ref="C2:H3"/>
    <mergeCell ref="F36:G36"/>
    <mergeCell ref="H36:I36"/>
    <mergeCell ref="J36:K36"/>
    <mergeCell ref="D36:E36"/>
    <mergeCell ref="C52:H53"/>
    <mergeCell ref="B56:B57"/>
    <mergeCell ref="C56:C57"/>
    <mergeCell ref="B69:B70"/>
    <mergeCell ref="C69:C70"/>
    <mergeCell ref="V123:W123"/>
    <mergeCell ref="V130:W130"/>
    <mergeCell ref="J82:K82"/>
    <mergeCell ref="L82:M82"/>
    <mergeCell ref="B82:B83"/>
    <mergeCell ref="C82:C83"/>
    <mergeCell ref="D82:E82"/>
    <mergeCell ref="F82:G82"/>
    <mergeCell ref="H82:I82"/>
    <mergeCell ref="P130:Q130"/>
    <mergeCell ref="L95:M95"/>
    <mergeCell ref="L104:M104"/>
    <mergeCell ref="C92:H93"/>
    <mergeCell ref="C121:H122"/>
    <mergeCell ref="P124:Q124"/>
  </mergeCells>
  <phoneticPr fontId="3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O47"/>
  <sheetViews>
    <sheetView topLeftCell="A37" workbookViewId="0">
      <selection activeCell="AA16" sqref="AA16"/>
    </sheetView>
  </sheetViews>
  <sheetFormatPr defaultRowHeight="13.5"/>
  <cols>
    <col min="2" max="2" width="7.625" bestFit="1" customWidth="1"/>
    <col min="3" max="7" width="5.875" bestFit="1" customWidth="1"/>
    <col min="8" max="8" width="5.5" bestFit="1" customWidth="1"/>
    <col min="9" max="9" width="5" bestFit="1" customWidth="1"/>
    <col min="10" max="10" width="5.5" bestFit="1" customWidth="1"/>
    <col min="11" max="11" width="6" customWidth="1"/>
    <col min="12" max="12" width="4.625" customWidth="1"/>
    <col min="13" max="14" width="6" customWidth="1"/>
    <col min="15" max="15" width="4.625" customWidth="1"/>
  </cols>
  <sheetData>
    <row r="2" spans="2:15">
      <c r="M2" s="158" t="s">
        <v>36</v>
      </c>
      <c r="N2" s="159"/>
      <c r="O2" s="159"/>
    </row>
    <row r="3" spans="2:15" ht="14.25" thickBot="1">
      <c r="M3" s="159"/>
      <c r="N3" s="159"/>
      <c r="O3" s="159"/>
    </row>
    <row r="4" spans="2:15" ht="15" thickBot="1">
      <c r="B4" s="160" t="s">
        <v>10</v>
      </c>
      <c r="C4" s="162" t="s">
        <v>3</v>
      </c>
      <c r="D4" s="162"/>
      <c r="E4" s="157"/>
      <c r="F4" s="156" t="s">
        <v>4</v>
      </c>
      <c r="G4" s="163"/>
      <c r="H4" s="156" t="s">
        <v>5</v>
      </c>
      <c r="I4" s="163"/>
      <c r="J4" s="156" t="s">
        <v>6</v>
      </c>
      <c r="K4" s="162"/>
      <c r="L4" s="157"/>
      <c r="M4" s="164" t="s">
        <v>7</v>
      </c>
      <c r="N4" s="165"/>
      <c r="O4" s="166"/>
    </row>
    <row r="5" spans="2:15" ht="29.25" thickBot="1">
      <c r="B5" s="161"/>
      <c r="C5" s="6" t="s">
        <v>1</v>
      </c>
      <c r="D5" s="7" t="s">
        <v>2</v>
      </c>
      <c r="E5" s="6" t="s">
        <v>0</v>
      </c>
      <c r="F5" s="6" t="s">
        <v>1</v>
      </c>
      <c r="G5" s="7" t="s">
        <v>2</v>
      </c>
      <c r="H5" s="6" t="s">
        <v>1</v>
      </c>
      <c r="I5" s="7" t="s">
        <v>2</v>
      </c>
      <c r="J5" s="6" t="s">
        <v>1</v>
      </c>
      <c r="K5" s="7" t="s">
        <v>2</v>
      </c>
      <c r="L5" s="6" t="s">
        <v>0</v>
      </c>
      <c r="M5" s="6" t="s">
        <v>1</v>
      </c>
      <c r="N5" s="7" t="s">
        <v>2</v>
      </c>
      <c r="O5" s="6" t="s">
        <v>0</v>
      </c>
    </row>
    <row r="6" spans="2:15" ht="15" thickBot="1">
      <c r="B6" s="1">
        <v>1</v>
      </c>
      <c r="C6" s="8">
        <f>D6-I16</f>
        <v>6.19</v>
      </c>
      <c r="D6" s="1">
        <v>9.98</v>
      </c>
      <c r="E6" s="1">
        <v>0.14000000000000001</v>
      </c>
      <c r="F6" s="8">
        <f>G6-I16</f>
        <v>3.12</v>
      </c>
      <c r="G6" s="1">
        <v>6.91</v>
      </c>
      <c r="H6" s="8">
        <f>I6-I16</f>
        <v>5.0100000000000007</v>
      </c>
      <c r="I6" s="21">
        <v>8.8000000000000007</v>
      </c>
      <c r="J6" s="8">
        <f>K6-I16</f>
        <v>3.12</v>
      </c>
      <c r="K6" s="1">
        <v>6.91</v>
      </c>
      <c r="L6" s="8">
        <v>0.26</v>
      </c>
      <c r="M6" s="8">
        <f>N6-I18</f>
        <v>3.71</v>
      </c>
      <c r="N6" s="1">
        <v>5.55</v>
      </c>
      <c r="O6" s="8">
        <v>0.11</v>
      </c>
    </row>
    <row r="7" spans="2:15" ht="15" thickBot="1">
      <c r="B7" s="5">
        <v>2</v>
      </c>
      <c r="C7" s="23">
        <f>D7-I16</f>
        <v>12.91</v>
      </c>
      <c r="D7" s="5">
        <v>16.7</v>
      </c>
      <c r="E7" s="5">
        <v>0.19</v>
      </c>
      <c r="F7" s="8">
        <f>G7-I16</f>
        <v>3.6900000000000004</v>
      </c>
      <c r="G7" s="5">
        <v>7.48</v>
      </c>
      <c r="H7" s="8">
        <f>I7-I16</f>
        <v>7.5100000000000007</v>
      </c>
      <c r="I7" s="5">
        <v>11.3</v>
      </c>
      <c r="J7" s="8">
        <f>K7-I16</f>
        <v>3.6500000000000004</v>
      </c>
      <c r="K7" s="5">
        <v>7.44</v>
      </c>
      <c r="L7" s="9">
        <v>0.25</v>
      </c>
      <c r="M7" s="8">
        <f>N7-I18</f>
        <v>4.3100000000000005</v>
      </c>
      <c r="N7" s="5">
        <v>6.15</v>
      </c>
      <c r="O7" s="9">
        <v>0.11</v>
      </c>
    </row>
    <row r="8" spans="2:15" ht="15" thickBot="1">
      <c r="B8" s="5">
        <v>3</v>
      </c>
      <c r="C8" s="23">
        <f>D8-I16</f>
        <v>18.41</v>
      </c>
      <c r="D8" s="5">
        <v>22.2</v>
      </c>
      <c r="E8" s="5">
        <v>0.19</v>
      </c>
      <c r="F8" s="8">
        <f>G8-I16</f>
        <v>4.4400000000000004</v>
      </c>
      <c r="G8" s="5">
        <v>8.23</v>
      </c>
      <c r="H8" s="8">
        <f>I8-I16</f>
        <v>9.8099999999999987</v>
      </c>
      <c r="I8" s="5">
        <v>13.6</v>
      </c>
      <c r="J8" s="19">
        <f>K8-I16</f>
        <v>4.3</v>
      </c>
      <c r="K8" s="5">
        <v>8.09</v>
      </c>
      <c r="L8" s="9">
        <v>0.39</v>
      </c>
      <c r="M8" s="19">
        <f>N8-I18</f>
        <v>4.9000000000000004</v>
      </c>
      <c r="N8" s="5">
        <v>6.74</v>
      </c>
      <c r="O8" s="9">
        <v>0.11</v>
      </c>
    </row>
    <row r="9" spans="2:15" ht="15" thickBot="1">
      <c r="B9" s="5">
        <v>4</v>
      </c>
      <c r="C9" s="23">
        <f>D9-I16</f>
        <v>25.71</v>
      </c>
      <c r="D9" s="5">
        <v>29.5</v>
      </c>
      <c r="E9" s="22">
        <v>1.7</v>
      </c>
      <c r="F9" s="8">
        <f>G9-I16</f>
        <v>5.1499999999999995</v>
      </c>
      <c r="G9" s="5">
        <v>8.94</v>
      </c>
      <c r="H9" s="23">
        <f>I9-I16</f>
        <v>12.21</v>
      </c>
      <c r="I9" s="5">
        <v>16</v>
      </c>
      <c r="J9" s="8">
        <f>K9-I16</f>
        <v>4.7700000000000005</v>
      </c>
      <c r="K9" s="5">
        <v>8.56</v>
      </c>
      <c r="L9" s="9">
        <v>0.39</v>
      </c>
      <c r="M9" s="8">
        <f>N9-I18</f>
        <v>5.42</v>
      </c>
      <c r="N9" s="5">
        <v>7.26</v>
      </c>
      <c r="O9" s="9">
        <v>0.24</v>
      </c>
    </row>
    <row r="10" spans="2:15" ht="14.25"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2:15" ht="14.25">
      <c r="B11" s="10"/>
      <c r="C11" s="10"/>
      <c r="D11" s="10"/>
      <c r="E11" s="10"/>
      <c r="F11" s="10"/>
      <c r="G11" s="10"/>
      <c r="H11" s="158" t="s">
        <v>34</v>
      </c>
      <c r="I11" s="159"/>
      <c r="J11" s="159"/>
      <c r="K11" s="10"/>
      <c r="L11" s="10"/>
      <c r="M11" s="10"/>
      <c r="N11" s="10"/>
      <c r="O11" s="10"/>
    </row>
    <row r="12" spans="2:15" ht="15" thickBot="1">
      <c r="B12" s="10"/>
      <c r="C12" s="10"/>
      <c r="D12" s="10"/>
      <c r="E12" s="10"/>
      <c r="F12" s="10"/>
      <c r="G12" s="10"/>
      <c r="H12" s="159"/>
      <c r="I12" s="159"/>
      <c r="J12" s="159"/>
      <c r="K12" s="10"/>
      <c r="L12" s="10"/>
      <c r="M12" s="10"/>
      <c r="N12" s="10"/>
      <c r="O12" s="10"/>
    </row>
    <row r="13" spans="2:15" ht="26.25" thickBot="1">
      <c r="B13" s="11" t="s">
        <v>19</v>
      </c>
      <c r="C13" s="8" t="s">
        <v>11</v>
      </c>
      <c r="D13" s="8" t="s">
        <v>12</v>
      </c>
      <c r="E13" s="8" t="s">
        <v>13</v>
      </c>
      <c r="F13" s="8" t="s">
        <v>14</v>
      </c>
      <c r="G13" s="8" t="s">
        <v>15</v>
      </c>
      <c r="H13" s="8" t="s">
        <v>16</v>
      </c>
      <c r="I13" s="8" t="s">
        <v>17</v>
      </c>
      <c r="J13" s="8" t="s">
        <v>18</v>
      </c>
      <c r="K13" s="10"/>
      <c r="L13" s="10"/>
      <c r="M13" s="10"/>
      <c r="N13" s="10"/>
      <c r="O13" s="10"/>
    </row>
    <row r="14" spans="2:15" ht="15" thickBot="1">
      <c r="B14" s="12" t="s">
        <v>197</v>
      </c>
      <c r="C14" s="21">
        <v>8.3000000000000004E-2</v>
      </c>
      <c r="D14" s="19">
        <v>8.8999999999999996E-2</v>
      </c>
      <c r="E14" s="19">
        <v>0.10199999999999999</v>
      </c>
      <c r="F14" s="19">
        <v>0.13500000000000001</v>
      </c>
      <c r="G14" s="19">
        <v>0.16300000000000001</v>
      </c>
      <c r="H14" s="19">
        <v>0.246</v>
      </c>
      <c r="I14" s="8">
        <v>0.37</v>
      </c>
      <c r="J14" s="19">
        <v>0.747</v>
      </c>
    </row>
    <row r="15" spans="2:15" ht="15" thickBot="1">
      <c r="B15" s="5" t="s">
        <v>47</v>
      </c>
      <c r="C15" s="20">
        <f t="shared" ref="C15:J15" si="0">C16-C14</f>
        <v>0.17199999999999999</v>
      </c>
      <c r="D15" s="20">
        <f t="shared" si="0"/>
        <v>0.32999999999999996</v>
      </c>
      <c r="E15" s="20">
        <f t="shared" si="0"/>
        <v>0.34100000000000003</v>
      </c>
      <c r="F15" s="20">
        <f t="shared" si="0"/>
        <v>0.60399999999999998</v>
      </c>
      <c r="G15" s="20">
        <f t="shared" si="0"/>
        <v>0.98699999999999988</v>
      </c>
      <c r="H15" s="20">
        <f t="shared" si="0"/>
        <v>1.8439999999999999</v>
      </c>
      <c r="I15" s="20">
        <f t="shared" si="0"/>
        <v>3.42</v>
      </c>
      <c r="J15" s="20">
        <f t="shared" si="0"/>
        <v>6.5629999999999997</v>
      </c>
    </row>
    <row r="16" spans="2:15" ht="15" thickBot="1">
      <c r="B16" s="12" t="s">
        <v>38</v>
      </c>
      <c r="C16" s="21">
        <v>0.255</v>
      </c>
      <c r="D16" s="19">
        <v>0.41899999999999998</v>
      </c>
      <c r="E16" s="19">
        <v>0.443</v>
      </c>
      <c r="F16" s="19">
        <v>0.73899999999999999</v>
      </c>
      <c r="G16" s="8">
        <v>1.1499999999999999</v>
      </c>
      <c r="H16" s="8">
        <v>2.09</v>
      </c>
      <c r="I16" s="8">
        <v>3.79</v>
      </c>
      <c r="J16" s="8">
        <v>7.31</v>
      </c>
    </row>
    <row r="17" spans="2:10" ht="15" thickBot="1">
      <c r="B17" s="5" t="s">
        <v>46</v>
      </c>
      <c r="C17" s="20">
        <f>C18-C14</f>
        <v>0.21299999999999997</v>
      </c>
      <c r="D17" s="20">
        <f t="shared" ref="D17:J17" si="1">D18-D14</f>
        <v>0.223</v>
      </c>
      <c r="E17" s="20">
        <f t="shared" si="1"/>
        <v>0.28100000000000003</v>
      </c>
      <c r="F17" s="20">
        <f t="shared" si="1"/>
        <v>0.36899999999999999</v>
      </c>
      <c r="G17" s="20">
        <f t="shared" si="1"/>
        <v>0.51800000000000002</v>
      </c>
      <c r="H17" s="20">
        <f t="shared" si="1"/>
        <v>0.79400000000000004</v>
      </c>
      <c r="I17" s="9">
        <f t="shared" si="1"/>
        <v>1.4700000000000002</v>
      </c>
      <c r="J17" s="20">
        <f t="shared" si="1"/>
        <v>2.4830000000000001</v>
      </c>
    </row>
    <row r="18" spans="2:10" ht="27.75" thickBot="1">
      <c r="B18" s="12" t="s">
        <v>37</v>
      </c>
      <c r="C18" s="21">
        <v>0.29599999999999999</v>
      </c>
      <c r="D18" s="19">
        <v>0.312</v>
      </c>
      <c r="E18" s="19">
        <v>0.38300000000000001</v>
      </c>
      <c r="F18" s="19">
        <v>0.504</v>
      </c>
      <c r="G18" s="19">
        <v>0.68100000000000005</v>
      </c>
      <c r="H18" s="8">
        <v>1.04</v>
      </c>
      <c r="I18" s="8">
        <v>1.84</v>
      </c>
      <c r="J18" s="8">
        <v>3.23</v>
      </c>
    </row>
    <row r="19" spans="2:10" ht="15" thickBot="1">
      <c r="B19" s="12" t="s">
        <v>198</v>
      </c>
      <c r="C19" s="1">
        <v>0.15</v>
      </c>
      <c r="D19" s="19">
        <v>0.22700000000000001</v>
      </c>
      <c r="E19" s="19">
        <v>0.23300000000000001</v>
      </c>
      <c r="F19" s="19">
        <v>0.39100000000000001</v>
      </c>
      <c r="G19" s="19">
        <v>0.72899999999999998</v>
      </c>
      <c r="H19" s="19">
        <v>1.1000000000000001</v>
      </c>
      <c r="I19" s="87">
        <v>2.09</v>
      </c>
      <c r="J19" s="87">
        <v>3.89</v>
      </c>
    </row>
    <row r="20" spans="2:10" ht="14.25">
      <c r="B20" s="16"/>
      <c r="C20" s="10"/>
      <c r="D20" s="10"/>
      <c r="E20" s="10"/>
      <c r="F20" s="10"/>
      <c r="G20" s="10"/>
      <c r="H20" s="10"/>
      <c r="I20" s="10"/>
      <c r="J20" s="10"/>
    </row>
    <row r="21" spans="2:10" ht="14.25">
      <c r="B21" s="16"/>
      <c r="C21" s="10"/>
      <c r="D21" s="10"/>
      <c r="E21" s="10"/>
      <c r="F21" s="10"/>
      <c r="G21" s="10"/>
      <c r="H21" s="10"/>
      <c r="I21" s="10"/>
      <c r="J21" s="10"/>
    </row>
    <row r="22" spans="2:10" ht="14.25">
      <c r="B22" s="16"/>
      <c r="C22" s="10"/>
      <c r="D22" s="10"/>
      <c r="E22" s="10"/>
      <c r="F22" s="10"/>
      <c r="G22" s="10"/>
      <c r="H22" s="10"/>
      <c r="I22" s="10"/>
      <c r="J22" s="10"/>
    </row>
    <row r="23" spans="2:10" ht="14.25">
      <c r="B23" s="16"/>
      <c r="C23" s="10"/>
      <c r="D23" s="10"/>
      <c r="E23" s="10"/>
      <c r="F23" s="10"/>
      <c r="G23" s="10"/>
      <c r="H23" s="10"/>
      <c r="I23" s="10"/>
      <c r="J23" s="10"/>
    </row>
    <row r="24" spans="2:10" ht="14.25">
      <c r="B24" s="16"/>
      <c r="C24" s="10"/>
      <c r="D24" s="10"/>
      <c r="E24" s="10"/>
      <c r="F24" s="10"/>
      <c r="G24" s="10"/>
      <c r="H24" s="10"/>
      <c r="I24" s="10"/>
      <c r="J24" s="10"/>
    </row>
    <row r="25" spans="2:10" ht="14.25">
      <c r="B25" s="16"/>
      <c r="C25" s="10"/>
      <c r="D25" s="10"/>
      <c r="E25" s="10"/>
      <c r="F25" s="10"/>
      <c r="G25" s="10"/>
      <c r="H25" s="10"/>
      <c r="I25" s="10"/>
      <c r="J25" s="10"/>
    </row>
    <row r="26" spans="2:10" ht="14.25">
      <c r="B26" s="16"/>
      <c r="C26" s="10"/>
      <c r="D26" s="10"/>
      <c r="E26" s="150" t="s">
        <v>26</v>
      </c>
      <c r="F26" s="151"/>
      <c r="G26" s="152"/>
      <c r="H26" s="10"/>
      <c r="I26" s="10"/>
      <c r="J26" s="10"/>
    </row>
    <row r="27" spans="2:10" ht="15" thickBot="1">
      <c r="B27" s="16"/>
      <c r="C27" s="10"/>
      <c r="D27" s="10"/>
      <c r="E27" s="153"/>
      <c r="F27" s="154"/>
      <c r="G27" s="155"/>
      <c r="H27" s="10"/>
      <c r="I27" s="10"/>
      <c r="J27" s="10"/>
    </row>
    <row r="28" spans="2:10" ht="26.25" thickBot="1">
      <c r="B28" s="11"/>
      <c r="C28" s="11" t="s">
        <v>3</v>
      </c>
      <c r="D28" s="11" t="s">
        <v>28</v>
      </c>
      <c r="E28" s="11" t="s">
        <v>5</v>
      </c>
      <c r="F28" s="11" t="s">
        <v>22</v>
      </c>
      <c r="G28" s="11" t="s">
        <v>31</v>
      </c>
    </row>
    <row r="29" spans="2:10" ht="26.25" thickBot="1">
      <c r="B29" s="12" t="s">
        <v>24</v>
      </c>
      <c r="C29" s="12">
        <f>C7</f>
        <v>12.91</v>
      </c>
      <c r="D29" s="12">
        <f>F7</f>
        <v>3.6900000000000004</v>
      </c>
      <c r="E29" s="18">
        <f>H7</f>
        <v>7.5100000000000007</v>
      </c>
      <c r="F29" s="12">
        <f>J7</f>
        <v>3.6500000000000004</v>
      </c>
      <c r="G29" s="12">
        <f>M7</f>
        <v>4.3100000000000005</v>
      </c>
    </row>
    <row r="30" spans="2:10" ht="26.25" thickBot="1">
      <c r="B30" s="12" t="s">
        <v>25</v>
      </c>
      <c r="C30" s="12">
        <f>D7</f>
        <v>16.7</v>
      </c>
      <c r="D30" s="17">
        <f>G7</f>
        <v>7.48</v>
      </c>
      <c r="E30" s="12">
        <f>I7</f>
        <v>11.3</v>
      </c>
      <c r="F30" s="12">
        <f>K7</f>
        <v>7.44</v>
      </c>
      <c r="G30" s="12">
        <f>N7</f>
        <v>6.15</v>
      </c>
    </row>
    <row r="31" spans="2:10" ht="26.25" thickBot="1">
      <c r="B31" s="12" t="s">
        <v>29</v>
      </c>
      <c r="C31" s="12">
        <f>C29/C29</f>
        <v>1</v>
      </c>
      <c r="D31" s="17">
        <f>C29/D29</f>
        <v>3.4986449864498641</v>
      </c>
      <c r="E31" s="17">
        <f>C29/E29</f>
        <v>1.7190412782956057</v>
      </c>
      <c r="F31" s="17">
        <f>C29/F29</f>
        <v>3.5369863013698626</v>
      </c>
      <c r="G31" s="17">
        <f>C29/G29</f>
        <v>2.9953596287703013</v>
      </c>
    </row>
    <row r="32" spans="2:10" ht="26.25" thickBot="1">
      <c r="B32" s="12" t="s">
        <v>30</v>
      </c>
      <c r="C32" s="12">
        <f>C30/C30</f>
        <v>1</v>
      </c>
      <c r="D32" s="17">
        <f>C30/D30</f>
        <v>2.2326203208556148</v>
      </c>
      <c r="E32" s="17">
        <f>C30/E30</f>
        <v>1.4778761061946901</v>
      </c>
      <c r="F32" s="17">
        <f>C30/F30</f>
        <v>2.2446236559139785</v>
      </c>
      <c r="G32" s="17">
        <f>C30/G30</f>
        <v>2.7154471544715446</v>
      </c>
    </row>
    <row r="37" spans="2:11">
      <c r="I37" s="150" t="s">
        <v>43</v>
      </c>
      <c r="J37" s="151"/>
      <c r="K37" s="152"/>
    </row>
    <row r="38" spans="2:11" ht="14.25" thickBot="1">
      <c r="I38" s="153"/>
      <c r="J38" s="154"/>
      <c r="K38" s="155"/>
    </row>
    <row r="39" spans="2:11" ht="15" thickBot="1">
      <c r="B39" s="156" t="s">
        <v>39</v>
      </c>
      <c r="C39" s="157"/>
      <c r="D39" s="156" t="s">
        <v>27</v>
      </c>
      <c r="E39" s="157"/>
      <c r="F39" s="156" t="s">
        <v>40</v>
      </c>
      <c r="G39" s="157"/>
      <c r="H39" s="156" t="s">
        <v>23</v>
      </c>
      <c r="I39" s="157"/>
      <c r="J39" s="156" t="s">
        <v>41</v>
      </c>
      <c r="K39" s="157"/>
    </row>
    <row r="40" spans="2:11" ht="15" thickBot="1">
      <c r="B40" s="5" t="s">
        <v>42</v>
      </c>
      <c r="C40" s="9" t="s">
        <v>21</v>
      </c>
      <c r="D40" s="9" t="s">
        <v>42</v>
      </c>
      <c r="E40" s="9" t="s">
        <v>21</v>
      </c>
      <c r="F40" s="9" t="s">
        <v>42</v>
      </c>
      <c r="G40" s="9" t="s">
        <v>21</v>
      </c>
      <c r="H40" s="9" t="s">
        <v>42</v>
      </c>
      <c r="I40" s="9" t="s">
        <v>21</v>
      </c>
      <c r="J40" s="9" t="s">
        <v>45</v>
      </c>
      <c r="K40" s="9" t="s">
        <v>21</v>
      </c>
    </row>
    <row r="41" spans="2:11" ht="15" thickBot="1">
      <c r="B41" s="8">
        <f>C41-I16</f>
        <v>2.5099999999999998</v>
      </c>
      <c r="C41" s="20">
        <v>6.3</v>
      </c>
      <c r="D41" s="8">
        <f>E41-I16</f>
        <v>2.46</v>
      </c>
      <c r="E41" s="9">
        <v>6.25</v>
      </c>
      <c r="F41" s="8">
        <f>G41-I16</f>
        <v>2.3499999999999996</v>
      </c>
      <c r="G41" s="9">
        <v>6.14</v>
      </c>
      <c r="H41" s="19">
        <f>I41-I16</f>
        <v>2.5999999999999996</v>
      </c>
      <c r="I41" s="9">
        <v>6.39</v>
      </c>
      <c r="J41" s="8">
        <f>K41-I18</f>
        <v>3.2700000000000005</v>
      </c>
      <c r="K41" s="9">
        <v>5.1100000000000003</v>
      </c>
    </row>
    <row r="43" spans="2:11">
      <c r="I43" s="150" t="s">
        <v>44</v>
      </c>
      <c r="J43" s="151"/>
      <c r="K43" s="152"/>
    </row>
    <row r="44" spans="2:11" ht="14.25" thickBot="1">
      <c r="I44" s="153"/>
      <c r="J44" s="154"/>
      <c r="K44" s="155"/>
    </row>
    <row r="45" spans="2:11" ht="15" thickBot="1">
      <c r="B45" s="156" t="s">
        <v>39</v>
      </c>
      <c r="C45" s="157"/>
      <c r="D45" s="156" t="s">
        <v>27</v>
      </c>
      <c r="E45" s="157"/>
      <c r="F45" s="156" t="s">
        <v>40</v>
      </c>
      <c r="G45" s="157"/>
      <c r="H45" s="156" t="s">
        <v>23</v>
      </c>
      <c r="I45" s="157"/>
      <c r="J45" s="156" t="s">
        <v>41</v>
      </c>
      <c r="K45" s="157"/>
    </row>
    <row r="46" spans="2:11" ht="15" thickBot="1">
      <c r="B46" s="5" t="s">
        <v>42</v>
      </c>
      <c r="C46" s="9" t="s">
        <v>21</v>
      </c>
      <c r="D46" s="9" t="s">
        <v>42</v>
      </c>
      <c r="E46" s="9" t="s">
        <v>21</v>
      </c>
      <c r="F46" s="9" t="s">
        <v>42</v>
      </c>
      <c r="G46" s="9" t="s">
        <v>21</v>
      </c>
      <c r="H46" s="9" t="s">
        <v>42</v>
      </c>
      <c r="I46" s="9" t="s">
        <v>21</v>
      </c>
      <c r="J46" s="9" t="s">
        <v>42</v>
      </c>
      <c r="K46" s="9" t="s">
        <v>21</v>
      </c>
    </row>
    <row r="47" spans="2:11" ht="15" thickBot="1">
      <c r="B47" s="8">
        <f>C47-I16</f>
        <v>4.6900000000000004</v>
      </c>
      <c r="C47" s="1">
        <v>8.48</v>
      </c>
      <c r="D47" s="8">
        <f>E47-I16</f>
        <v>3.13</v>
      </c>
      <c r="E47" s="8">
        <v>6.92</v>
      </c>
      <c r="F47" s="8">
        <f>G47-I16</f>
        <v>2.99</v>
      </c>
      <c r="G47" s="8">
        <v>6.78</v>
      </c>
      <c r="H47" s="19">
        <f>I47-I16</f>
        <v>2.75</v>
      </c>
      <c r="I47" s="8">
        <v>6.54</v>
      </c>
      <c r="J47" s="8">
        <f>K47-I18</f>
        <v>3.5200000000000005</v>
      </c>
      <c r="K47" s="8">
        <v>5.36</v>
      </c>
    </row>
  </sheetData>
  <mergeCells count="21">
    <mergeCell ref="M2:O3"/>
    <mergeCell ref="B4:B5"/>
    <mergeCell ref="C4:E4"/>
    <mergeCell ref="F4:G4"/>
    <mergeCell ref="H4:I4"/>
    <mergeCell ref="J4:L4"/>
    <mergeCell ref="M4:O4"/>
    <mergeCell ref="H11:J12"/>
    <mergeCell ref="E26:G27"/>
    <mergeCell ref="I37:K38"/>
    <mergeCell ref="B39:C39"/>
    <mergeCell ref="D39:E39"/>
    <mergeCell ref="F39:G39"/>
    <mergeCell ref="H39:I39"/>
    <mergeCell ref="J39:K39"/>
    <mergeCell ref="I43:K44"/>
    <mergeCell ref="B45:C45"/>
    <mergeCell ref="D45:E45"/>
    <mergeCell ref="F45:G45"/>
    <mergeCell ref="H45:I45"/>
    <mergeCell ref="J45:K45"/>
  </mergeCells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O57"/>
  <sheetViews>
    <sheetView topLeftCell="A55" workbookViewId="0">
      <selection activeCell="I55" sqref="I55"/>
    </sheetView>
  </sheetViews>
  <sheetFormatPr defaultRowHeight="13.5"/>
  <cols>
    <col min="2" max="3" width="7.625" bestFit="1" customWidth="1"/>
    <col min="4" max="4" width="6.75" bestFit="1" customWidth="1"/>
    <col min="5" max="5" width="5.875" bestFit="1" customWidth="1"/>
    <col min="6" max="6" width="7.625" bestFit="1" customWidth="1"/>
    <col min="7" max="7" width="5.875" bestFit="1" customWidth="1"/>
    <col min="8" max="8" width="5.5" bestFit="1" customWidth="1"/>
    <col min="9" max="9" width="6.75" bestFit="1" customWidth="1"/>
    <col min="10" max="10" width="5.5" bestFit="1" customWidth="1"/>
    <col min="11" max="11" width="6" customWidth="1"/>
    <col min="12" max="12" width="4.625" customWidth="1"/>
    <col min="13" max="14" width="6" customWidth="1"/>
    <col min="15" max="15" width="4.625" customWidth="1"/>
  </cols>
  <sheetData>
    <row r="2" spans="2:15">
      <c r="M2" s="158" t="s">
        <v>49</v>
      </c>
      <c r="N2" s="159"/>
      <c r="O2" s="159"/>
    </row>
    <row r="3" spans="2:15" ht="14.25" thickBot="1">
      <c r="M3" s="159"/>
      <c r="N3" s="159"/>
      <c r="O3" s="159"/>
    </row>
    <row r="4" spans="2:15" ht="15" thickBot="1">
      <c r="B4" s="160" t="s">
        <v>10</v>
      </c>
      <c r="C4" s="162" t="s">
        <v>3</v>
      </c>
      <c r="D4" s="162"/>
      <c r="E4" s="157"/>
      <c r="F4" s="156" t="s">
        <v>4</v>
      </c>
      <c r="G4" s="163"/>
      <c r="H4" s="156" t="s">
        <v>5</v>
      </c>
      <c r="I4" s="163"/>
      <c r="J4" s="156" t="s">
        <v>6</v>
      </c>
      <c r="K4" s="162"/>
      <c r="L4" s="157"/>
      <c r="M4" s="164" t="s">
        <v>7</v>
      </c>
      <c r="N4" s="165"/>
      <c r="O4" s="166"/>
    </row>
    <row r="5" spans="2:15" ht="15" thickBot="1">
      <c r="B5" s="161"/>
      <c r="C5" s="6" t="s">
        <v>1</v>
      </c>
      <c r="D5" s="7" t="s">
        <v>2</v>
      </c>
      <c r="E5" s="6" t="s">
        <v>0</v>
      </c>
      <c r="F5" s="6" t="s">
        <v>1</v>
      </c>
      <c r="G5" s="7" t="s">
        <v>2</v>
      </c>
      <c r="H5" s="6" t="s">
        <v>1</v>
      </c>
      <c r="I5" s="7" t="s">
        <v>2</v>
      </c>
      <c r="J5" s="6" t="s">
        <v>1</v>
      </c>
      <c r="K5" s="7" t="s">
        <v>2</v>
      </c>
      <c r="L5" s="6" t="s">
        <v>0</v>
      </c>
      <c r="M5" s="6" t="s">
        <v>1</v>
      </c>
      <c r="N5" s="7" t="s">
        <v>2</v>
      </c>
      <c r="O5" s="6" t="s">
        <v>0</v>
      </c>
    </row>
    <row r="6" spans="2:15" ht="15" thickBot="1">
      <c r="B6" s="1">
        <v>1</v>
      </c>
      <c r="C6" s="14">
        <f>D6-I16</f>
        <v>24.4</v>
      </c>
      <c r="D6" s="1">
        <v>36.9</v>
      </c>
      <c r="E6" s="1">
        <v>0.26</v>
      </c>
      <c r="F6" s="23">
        <f>G6-I16</f>
        <v>17</v>
      </c>
      <c r="G6" s="1">
        <v>29.5</v>
      </c>
      <c r="H6" s="14">
        <f>I6-I16</f>
        <v>19.700000000000003</v>
      </c>
      <c r="I6" s="25">
        <v>32.200000000000003</v>
      </c>
      <c r="J6" s="14">
        <f>K6-I16</f>
        <v>17.2</v>
      </c>
      <c r="K6" s="1">
        <v>29.7</v>
      </c>
      <c r="L6" s="14">
        <v>0.85</v>
      </c>
      <c r="M6" s="14">
        <f>N6-I18</f>
        <v>0.99</v>
      </c>
      <c r="N6" s="21">
        <v>2.6</v>
      </c>
      <c r="O6" s="14">
        <v>0.13</v>
      </c>
    </row>
    <row r="7" spans="2:15" ht="15" thickBot="1">
      <c r="B7" s="13">
        <v>2</v>
      </c>
      <c r="C7" s="23">
        <f>D7-I16</f>
        <v>31.9</v>
      </c>
      <c r="D7" s="13">
        <v>44.4</v>
      </c>
      <c r="E7" s="13">
        <v>0.28000000000000003</v>
      </c>
      <c r="F7" s="23">
        <f>G7-I16</f>
        <v>18</v>
      </c>
      <c r="G7" s="13">
        <v>30.5</v>
      </c>
      <c r="H7" s="14">
        <f>I7-I16</f>
        <v>21.700000000000003</v>
      </c>
      <c r="I7" s="13">
        <v>34.200000000000003</v>
      </c>
      <c r="J7" s="14">
        <f>K7-I16</f>
        <v>18.100000000000001</v>
      </c>
      <c r="K7" s="13">
        <v>30.6</v>
      </c>
      <c r="L7" s="15">
        <v>0.97</v>
      </c>
      <c r="M7" s="14">
        <f>N7-I18</f>
        <v>1.1599999999999999</v>
      </c>
      <c r="N7" s="13">
        <v>2.77</v>
      </c>
      <c r="O7" s="20">
        <v>0.1</v>
      </c>
    </row>
    <row r="8" spans="2:15" ht="15" thickBot="1">
      <c r="B8" s="13">
        <v>3</v>
      </c>
      <c r="C8" s="23">
        <f>D8-I16</f>
        <v>39.299999999999997</v>
      </c>
      <c r="D8" s="13">
        <v>51.8</v>
      </c>
      <c r="E8" s="22">
        <v>0.3</v>
      </c>
      <c r="F8" s="14">
        <f>G8-I16</f>
        <v>18.8</v>
      </c>
      <c r="G8" s="13">
        <v>31.3</v>
      </c>
      <c r="H8" s="14">
        <f>I8-I16</f>
        <v>25.5</v>
      </c>
      <c r="I8" s="26">
        <v>38</v>
      </c>
      <c r="J8" s="23">
        <f>K8-I16</f>
        <v>18.600000000000001</v>
      </c>
      <c r="K8" s="13">
        <v>31.1</v>
      </c>
      <c r="L8" s="15">
        <v>0.76</v>
      </c>
      <c r="M8" s="19">
        <f>N8-I18</f>
        <v>1.4199999999999997</v>
      </c>
      <c r="N8" s="13">
        <v>3.03</v>
      </c>
      <c r="O8" s="15">
        <v>0.16</v>
      </c>
    </row>
    <row r="9" spans="2:15" ht="15" thickBot="1">
      <c r="B9" s="13">
        <v>4</v>
      </c>
      <c r="C9" s="23">
        <f>D9-I16</f>
        <v>47.6</v>
      </c>
      <c r="D9" s="13">
        <v>60.1</v>
      </c>
      <c r="E9" s="22">
        <v>0.42</v>
      </c>
      <c r="F9" s="14">
        <f>G9-I16</f>
        <v>19.600000000000001</v>
      </c>
      <c r="G9" s="13">
        <v>32.1</v>
      </c>
      <c r="H9" s="23">
        <f>I9-I16</f>
        <v>28.200000000000003</v>
      </c>
      <c r="I9" s="13">
        <v>40.700000000000003</v>
      </c>
      <c r="J9" s="14">
        <f>K9-I16</f>
        <v>19.399999999999999</v>
      </c>
      <c r="K9" s="13">
        <v>31.9</v>
      </c>
      <c r="L9" s="15">
        <v>0.95</v>
      </c>
      <c r="M9" s="14">
        <f>N9-I18</f>
        <v>2.09</v>
      </c>
      <c r="N9" s="24">
        <v>3.7</v>
      </c>
      <c r="O9" s="15">
        <v>0.15</v>
      </c>
    </row>
    <row r="10" spans="2:15" ht="14.25"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2:15" ht="14.25">
      <c r="B11" s="10"/>
      <c r="C11" s="10"/>
      <c r="D11" s="10"/>
      <c r="E11" s="10"/>
      <c r="F11" s="10"/>
      <c r="G11" s="10"/>
      <c r="H11" s="158" t="s">
        <v>34</v>
      </c>
      <c r="I11" s="159"/>
      <c r="J11" s="159"/>
      <c r="K11" s="10"/>
      <c r="L11" s="10"/>
      <c r="M11" s="10"/>
      <c r="N11" s="10"/>
      <c r="O11" s="10"/>
    </row>
    <row r="12" spans="2:15" ht="15" thickBot="1">
      <c r="B12" s="10"/>
      <c r="C12" s="10"/>
      <c r="D12" s="10"/>
      <c r="E12" s="10"/>
      <c r="F12" s="10"/>
      <c r="G12" s="10"/>
      <c r="H12" s="159"/>
      <c r="I12" s="159"/>
      <c r="J12" s="159"/>
      <c r="K12" s="10"/>
      <c r="L12" s="10"/>
      <c r="M12" s="10"/>
      <c r="N12" s="10"/>
      <c r="O12" s="10"/>
    </row>
    <row r="13" spans="2:15" ht="26.25" thickBot="1">
      <c r="B13" s="11" t="s">
        <v>19</v>
      </c>
      <c r="C13" s="14" t="s">
        <v>11</v>
      </c>
      <c r="D13" s="14" t="s">
        <v>12</v>
      </c>
      <c r="E13" s="14" t="s">
        <v>13</v>
      </c>
      <c r="F13" s="14" t="s">
        <v>14</v>
      </c>
      <c r="G13" s="14" t="s">
        <v>15</v>
      </c>
      <c r="H13" s="14" t="s">
        <v>16</v>
      </c>
      <c r="I13" s="14" t="s">
        <v>17</v>
      </c>
      <c r="J13" s="14" t="s">
        <v>18</v>
      </c>
      <c r="K13" s="10"/>
      <c r="L13" s="10"/>
      <c r="M13" s="10"/>
      <c r="N13" s="10"/>
      <c r="O13" s="10"/>
    </row>
    <row r="14" spans="2:15" ht="27.75" thickBot="1">
      <c r="B14" s="12" t="s">
        <v>20</v>
      </c>
      <c r="C14" s="1">
        <v>0.22</v>
      </c>
      <c r="D14" s="19">
        <v>0.23</v>
      </c>
      <c r="E14" s="19">
        <v>0.27</v>
      </c>
      <c r="F14" s="19">
        <v>0.36</v>
      </c>
      <c r="G14" s="19">
        <v>0.57999999999999996</v>
      </c>
      <c r="H14" s="19">
        <v>0.92</v>
      </c>
      <c r="I14" s="14">
        <v>1.51</v>
      </c>
      <c r="J14" s="14">
        <v>2.69</v>
      </c>
    </row>
    <row r="15" spans="2:15" ht="15" thickBot="1">
      <c r="B15" s="13" t="s">
        <v>47</v>
      </c>
      <c r="C15" s="20">
        <f t="shared" ref="C15:J15" si="0">C16-C14</f>
        <v>0.31000000000000005</v>
      </c>
      <c r="D15" s="20">
        <f t="shared" si="0"/>
        <v>0.37</v>
      </c>
      <c r="E15" s="20">
        <f t="shared" si="0"/>
        <v>0.56999999999999995</v>
      </c>
      <c r="F15" s="20">
        <f t="shared" si="0"/>
        <v>1.6</v>
      </c>
      <c r="G15" s="20">
        <f t="shared" si="0"/>
        <v>5.53</v>
      </c>
      <c r="H15" s="20">
        <f t="shared" si="0"/>
        <v>9.98</v>
      </c>
      <c r="I15" s="27">
        <f t="shared" si="0"/>
        <v>10.99</v>
      </c>
      <c r="J15" s="27">
        <f t="shared" si="0"/>
        <v>21.91</v>
      </c>
    </row>
    <row r="16" spans="2:15" ht="15" thickBot="1">
      <c r="B16" s="12" t="s">
        <v>38</v>
      </c>
      <c r="C16" s="21">
        <v>0.53</v>
      </c>
      <c r="D16" s="19">
        <v>0.6</v>
      </c>
      <c r="E16" s="19">
        <v>0.84</v>
      </c>
      <c r="F16" s="19">
        <v>1.96</v>
      </c>
      <c r="G16" s="14">
        <v>6.11</v>
      </c>
      <c r="H16" s="14">
        <v>10.9</v>
      </c>
      <c r="I16" s="14">
        <v>12.5</v>
      </c>
      <c r="J16" s="14">
        <v>24.6</v>
      </c>
    </row>
    <row r="17" spans="2:10" ht="15" thickBot="1">
      <c r="B17" s="13" t="s">
        <v>46</v>
      </c>
      <c r="C17" s="20">
        <f>C18-C14</f>
        <v>6.0000000000000026E-2</v>
      </c>
      <c r="D17" s="20">
        <f t="shared" ref="D17:J17" si="1">D18-D14</f>
        <v>5.999999999999997E-2</v>
      </c>
      <c r="E17" s="20">
        <f t="shared" si="1"/>
        <v>3.999999999999998E-2</v>
      </c>
      <c r="F17" s="20">
        <f t="shared" si="1"/>
        <v>0.06</v>
      </c>
      <c r="G17" s="20">
        <f t="shared" si="1"/>
        <v>6.0000000000000053E-2</v>
      </c>
      <c r="H17" s="20">
        <f t="shared" si="1"/>
        <v>7.999999999999996E-2</v>
      </c>
      <c r="I17" s="20">
        <f t="shared" si="1"/>
        <v>0.10000000000000009</v>
      </c>
      <c r="J17" s="20">
        <f t="shared" si="1"/>
        <v>0.10999999999999988</v>
      </c>
    </row>
    <row r="18" spans="2:10" ht="27.75" thickBot="1">
      <c r="B18" s="12" t="s">
        <v>37</v>
      </c>
      <c r="C18" s="21">
        <v>0.28000000000000003</v>
      </c>
      <c r="D18" s="19">
        <v>0.28999999999999998</v>
      </c>
      <c r="E18" s="19">
        <v>0.31</v>
      </c>
      <c r="F18" s="19">
        <v>0.42</v>
      </c>
      <c r="G18" s="19">
        <v>0.64</v>
      </c>
      <c r="H18" s="19">
        <v>1</v>
      </c>
      <c r="I18" s="14">
        <v>1.61</v>
      </c>
      <c r="J18" s="19">
        <v>2.8</v>
      </c>
    </row>
    <row r="19" spans="2:10" ht="14.25">
      <c r="B19" s="16"/>
      <c r="C19" s="10"/>
      <c r="D19" s="10"/>
      <c r="E19" s="10"/>
      <c r="F19" s="10"/>
      <c r="G19" s="10"/>
      <c r="H19" s="10"/>
      <c r="I19" s="10"/>
      <c r="J19" s="10"/>
    </row>
    <row r="20" spans="2:10" ht="14.25">
      <c r="B20" s="16"/>
      <c r="C20" s="10"/>
      <c r="D20" s="10"/>
      <c r="E20" s="10"/>
      <c r="F20" s="10"/>
      <c r="G20" s="10"/>
      <c r="H20" s="10"/>
      <c r="I20" s="10"/>
      <c r="J20" s="10"/>
    </row>
    <row r="21" spans="2:10" ht="14.25">
      <c r="B21" s="16"/>
      <c r="C21" s="10"/>
      <c r="D21" s="10"/>
      <c r="E21" s="10"/>
      <c r="F21" s="10"/>
      <c r="G21" s="10"/>
      <c r="H21" s="10"/>
      <c r="I21" s="10"/>
      <c r="J21" s="10"/>
    </row>
    <row r="22" spans="2:10" ht="14.25">
      <c r="B22" s="16"/>
      <c r="C22" s="10"/>
      <c r="D22" s="10"/>
      <c r="E22" s="10"/>
      <c r="F22" s="10"/>
      <c r="G22" s="10"/>
      <c r="H22" s="10"/>
      <c r="I22" s="10"/>
      <c r="J22" s="10"/>
    </row>
    <row r="23" spans="2:10" ht="14.25">
      <c r="B23" s="16"/>
      <c r="C23" s="10"/>
      <c r="D23" s="10"/>
      <c r="E23" s="10"/>
      <c r="F23" s="10"/>
      <c r="G23" s="10"/>
      <c r="H23" s="10"/>
      <c r="I23" s="10"/>
      <c r="J23" s="10"/>
    </row>
    <row r="24" spans="2:10" ht="14.25">
      <c r="B24" s="16"/>
      <c r="C24" s="10"/>
      <c r="D24" s="10"/>
      <c r="E24" s="10"/>
      <c r="F24" s="10"/>
      <c r="G24" s="10"/>
      <c r="H24" s="10"/>
      <c r="I24" s="10"/>
      <c r="J24" s="10"/>
    </row>
    <row r="25" spans="2:10" ht="14.25">
      <c r="B25" s="16"/>
      <c r="C25" s="10"/>
      <c r="D25" s="10"/>
      <c r="E25" s="10"/>
      <c r="F25" s="10"/>
      <c r="G25" s="10"/>
      <c r="H25" s="10"/>
      <c r="I25" s="10"/>
      <c r="J25" s="10"/>
    </row>
    <row r="26" spans="2:10" ht="14.25">
      <c r="B26" s="16"/>
      <c r="C26" s="10"/>
      <c r="D26" s="10"/>
      <c r="E26" s="150" t="s">
        <v>26</v>
      </c>
      <c r="F26" s="151"/>
      <c r="G26" s="152"/>
      <c r="H26" s="10"/>
      <c r="I26" s="10"/>
      <c r="J26" s="10"/>
    </row>
    <row r="27" spans="2:10" ht="15" thickBot="1">
      <c r="B27" s="16"/>
      <c r="C27" s="10"/>
      <c r="D27" s="10"/>
      <c r="E27" s="153"/>
      <c r="F27" s="154"/>
      <c r="G27" s="155"/>
      <c r="H27" s="10"/>
      <c r="I27" s="10"/>
      <c r="J27" s="10"/>
    </row>
    <row r="28" spans="2:10" ht="26.25" thickBot="1">
      <c r="B28" s="11"/>
      <c r="C28" s="11" t="s">
        <v>3</v>
      </c>
      <c r="D28" s="11" t="s">
        <v>28</v>
      </c>
      <c r="E28" s="11" t="s">
        <v>5</v>
      </c>
      <c r="F28" s="11" t="s">
        <v>22</v>
      </c>
      <c r="G28" s="11" t="s">
        <v>31</v>
      </c>
    </row>
    <row r="29" spans="2:10" ht="26.25" thickBot="1">
      <c r="B29" s="12" t="s">
        <v>24</v>
      </c>
      <c r="C29" s="12">
        <f>C7</f>
        <v>31.9</v>
      </c>
      <c r="D29" s="18">
        <f>F7</f>
        <v>18</v>
      </c>
      <c r="E29" s="18">
        <f>H7</f>
        <v>21.700000000000003</v>
      </c>
      <c r="F29" s="12">
        <f>J7</f>
        <v>18.100000000000001</v>
      </c>
      <c r="G29" s="12">
        <f>M7</f>
        <v>1.1599999999999999</v>
      </c>
    </row>
    <row r="30" spans="2:10" ht="26.25" thickBot="1">
      <c r="B30" s="12" t="s">
        <v>25</v>
      </c>
      <c r="C30" s="12">
        <f>D7</f>
        <v>44.4</v>
      </c>
      <c r="D30" s="18">
        <f>G7</f>
        <v>30.5</v>
      </c>
      <c r="E30" s="12">
        <f>I7</f>
        <v>34.200000000000003</v>
      </c>
      <c r="F30" s="12">
        <f>K7</f>
        <v>30.6</v>
      </c>
      <c r="G30" s="12">
        <f>N7</f>
        <v>2.77</v>
      </c>
    </row>
    <row r="31" spans="2:10" ht="26.25" thickBot="1">
      <c r="B31" s="12" t="s">
        <v>29</v>
      </c>
      <c r="C31" s="12">
        <f>C29/C29</f>
        <v>1</v>
      </c>
      <c r="D31" s="17">
        <f>C29/D29</f>
        <v>1.7722222222222221</v>
      </c>
      <c r="E31" s="17">
        <f>C29/E29</f>
        <v>1.4700460829493085</v>
      </c>
      <c r="F31" s="17">
        <f>C29/F29</f>
        <v>1.7624309392265192</v>
      </c>
      <c r="G31" s="17">
        <f>C29/G29</f>
        <v>27.5</v>
      </c>
    </row>
    <row r="32" spans="2:10" ht="26.25" thickBot="1">
      <c r="B32" s="12" t="s">
        <v>30</v>
      </c>
      <c r="C32" s="12">
        <f>C30/C30</f>
        <v>1</v>
      </c>
      <c r="D32" s="17">
        <f>C30/D30</f>
        <v>1.4557377049180327</v>
      </c>
      <c r="E32" s="17">
        <f>C30/E30</f>
        <v>1.2982456140350875</v>
      </c>
      <c r="F32" s="17">
        <f>C30/F30</f>
        <v>1.4509803921568627</v>
      </c>
      <c r="G32" s="17">
        <f>C30/G30</f>
        <v>16.028880866425993</v>
      </c>
    </row>
    <row r="37" spans="2:11">
      <c r="I37" s="150" t="s">
        <v>43</v>
      </c>
      <c r="J37" s="151"/>
      <c r="K37" s="152"/>
    </row>
    <row r="38" spans="2:11" ht="14.25" thickBot="1">
      <c r="I38" s="153"/>
      <c r="J38" s="154"/>
      <c r="K38" s="155"/>
    </row>
    <row r="39" spans="2:11" ht="15" thickBot="1">
      <c r="B39" s="156" t="s">
        <v>39</v>
      </c>
      <c r="C39" s="157"/>
      <c r="D39" s="156" t="s">
        <v>27</v>
      </c>
      <c r="E39" s="157"/>
      <c r="F39" s="156" t="s">
        <v>40</v>
      </c>
      <c r="G39" s="157"/>
      <c r="H39" s="156" t="s">
        <v>23</v>
      </c>
      <c r="I39" s="157"/>
      <c r="J39" s="156" t="s">
        <v>41</v>
      </c>
      <c r="K39" s="157"/>
    </row>
    <row r="40" spans="2:11" ht="15" thickBot="1">
      <c r="B40" s="13" t="s">
        <v>42</v>
      </c>
      <c r="C40" s="15" t="s">
        <v>21</v>
      </c>
      <c r="D40" s="15" t="s">
        <v>42</v>
      </c>
      <c r="E40" s="15" t="s">
        <v>21</v>
      </c>
      <c r="F40" s="15" t="s">
        <v>42</v>
      </c>
      <c r="G40" s="15" t="s">
        <v>21</v>
      </c>
      <c r="H40" s="15" t="s">
        <v>42</v>
      </c>
      <c r="I40" s="15" t="s">
        <v>21</v>
      </c>
      <c r="J40" s="15" t="s">
        <v>45</v>
      </c>
      <c r="K40" s="15" t="s">
        <v>21</v>
      </c>
    </row>
    <row r="41" spans="2:11" ht="15" thickBot="1">
      <c r="B41" s="13">
        <f>C41-I16</f>
        <v>18.5</v>
      </c>
      <c r="C41" s="27">
        <v>31</v>
      </c>
      <c r="D41" s="14">
        <f>E41-I16</f>
        <v>16.899999999999999</v>
      </c>
      <c r="E41" s="15">
        <v>29.4</v>
      </c>
      <c r="F41" s="14">
        <f>G41-I16</f>
        <v>17.600000000000001</v>
      </c>
      <c r="G41" s="15">
        <v>30.1</v>
      </c>
      <c r="H41" s="23">
        <f>I41-I16</f>
        <v>17.2</v>
      </c>
      <c r="I41" s="15">
        <v>29.7</v>
      </c>
      <c r="J41" s="14">
        <f>K41-I18</f>
        <v>0.8600000000000001</v>
      </c>
      <c r="K41" s="15">
        <v>2.4700000000000002</v>
      </c>
    </row>
    <row r="43" spans="2:11">
      <c r="I43" s="150" t="s">
        <v>44</v>
      </c>
      <c r="J43" s="151"/>
      <c r="K43" s="152"/>
    </row>
    <row r="44" spans="2:11" ht="14.25" thickBot="1">
      <c r="I44" s="153"/>
      <c r="J44" s="154"/>
      <c r="K44" s="155"/>
    </row>
    <row r="45" spans="2:11" ht="15" thickBot="1">
      <c r="B45" s="156" t="s">
        <v>39</v>
      </c>
      <c r="C45" s="157"/>
      <c r="D45" s="156" t="s">
        <v>27</v>
      </c>
      <c r="E45" s="157"/>
      <c r="F45" s="156" t="s">
        <v>40</v>
      </c>
      <c r="G45" s="157"/>
      <c r="H45" s="156" t="s">
        <v>23</v>
      </c>
      <c r="I45" s="157"/>
      <c r="J45" s="156" t="s">
        <v>41</v>
      </c>
      <c r="K45" s="157"/>
    </row>
    <row r="46" spans="2:11" ht="15" thickBot="1">
      <c r="B46" s="13" t="s">
        <v>42</v>
      </c>
      <c r="C46" s="15" t="s">
        <v>21</v>
      </c>
      <c r="D46" s="15" t="s">
        <v>42</v>
      </c>
      <c r="E46" s="15" t="s">
        <v>21</v>
      </c>
      <c r="F46" s="15" t="s">
        <v>42</v>
      </c>
      <c r="G46" s="15" t="s">
        <v>21</v>
      </c>
      <c r="H46" s="15" t="s">
        <v>42</v>
      </c>
      <c r="I46" s="15" t="s">
        <v>21</v>
      </c>
      <c r="J46" s="15" t="s">
        <v>42</v>
      </c>
      <c r="K46" s="15" t="s">
        <v>21</v>
      </c>
    </row>
    <row r="47" spans="2:11" ht="15" thickBot="1">
      <c r="B47" s="13">
        <f>C47-I16</f>
        <v>21.700000000000003</v>
      </c>
      <c r="C47" s="1">
        <v>34.200000000000003</v>
      </c>
      <c r="D47" s="14">
        <f>E47-I16</f>
        <v>17.899999999999999</v>
      </c>
      <c r="E47" s="14">
        <v>30.4</v>
      </c>
      <c r="F47" s="14">
        <f>G47-I16</f>
        <v>18.600000000000001</v>
      </c>
      <c r="G47" s="14">
        <v>31.1</v>
      </c>
      <c r="H47" s="23">
        <f>I47-I16</f>
        <v>17.2</v>
      </c>
      <c r="I47" s="14">
        <v>29.7</v>
      </c>
      <c r="J47" s="14">
        <f>K47-I18</f>
        <v>0.95</v>
      </c>
      <c r="K47" s="14">
        <v>2.56</v>
      </c>
    </row>
    <row r="51" spans="2:11">
      <c r="I51" s="150" t="s">
        <v>61</v>
      </c>
      <c r="J51" s="151"/>
      <c r="K51" s="152"/>
    </row>
    <row r="52" spans="2:11" ht="14.25" thickBot="1">
      <c r="I52" s="153"/>
      <c r="J52" s="154"/>
      <c r="K52" s="155"/>
    </row>
    <row r="53" spans="2:11" ht="26.25" thickBot="1">
      <c r="B53" s="17"/>
      <c r="C53" s="17" t="s">
        <v>50</v>
      </c>
      <c r="D53" s="17" t="s">
        <v>52</v>
      </c>
      <c r="E53" s="17" t="s">
        <v>53</v>
      </c>
      <c r="F53" s="17" t="s">
        <v>54</v>
      </c>
      <c r="G53" s="17" t="s">
        <v>51</v>
      </c>
    </row>
    <row r="54" spans="2:11" ht="39" thickBot="1">
      <c r="B54" s="17" t="s">
        <v>55</v>
      </c>
      <c r="C54" s="33">
        <v>27</v>
      </c>
      <c r="D54" s="17">
        <v>1.85</v>
      </c>
      <c r="E54" s="18">
        <v>19.2</v>
      </c>
      <c r="F54" s="17">
        <v>4.45</v>
      </c>
      <c r="G54" s="17">
        <v>1.53</v>
      </c>
    </row>
    <row r="55" spans="2:11" ht="39" thickBot="1">
      <c r="B55" s="17" t="s">
        <v>56</v>
      </c>
      <c r="C55" s="18">
        <v>38.6</v>
      </c>
      <c r="D55" s="17">
        <v>1.85</v>
      </c>
      <c r="E55" s="18">
        <v>21.8</v>
      </c>
      <c r="F55" s="18">
        <v>13.4</v>
      </c>
      <c r="G55" s="17">
        <v>1.53</v>
      </c>
    </row>
    <row r="56" spans="2:11" ht="39" thickBot="1">
      <c r="B56" s="17" t="s">
        <v>57</v>
      </c>
      <c r="C56" s="17"/>
      <c r="D56" s="31">
        <f>D54/C54</f>
        <v>6.851851851851852E-2</v>
      </c>
      <c r="E56" s="32">
        <f>E54/C54</f>
        <v>0.71111111111111114</v>
      </c>
      <c r="F56" s="31">
        <f>F54/C54</f>
        <v>0.16481481481481483</v>
      </c>
      <c r="G56" s="31">
        <f>G54/C54</f>
        <v>5.6666666666666671E-2</v>
      </c>
    </row>
    <row r="57" spans="2:11" ht="39" thickBot="1">
      <c r="B57" s="17" t="s">
        <v>58</v>
      </c>
      <c r="C57" s="17"/>
      <c r="D57" s="31">
        <f>D55/C55</f>
        <v>4.7927461139896377E-2</v>
      </c>
      <c r="E57" s="31">
        <f>E55/C55</f>
        <v>0.56476683937823835</v>
      </c>
      <c r="F57" s="31">
        <f>F55/C55</f>
        <v>0.34715025906735753</v>
      </c>
      <c r="G57" s="31">
        <f>G55/C55</f>
        <v>3.9637305699481866E-2</v>
      </c>
    </row>
  </sheetData>
  <mergeCells count="22">
    <mergeCell ref="I43:K44"/>
    <mergeCell ref="B45:C45"/>
    <mergeCell ref="D45:E45"/>
    <mergeCell ref="F45:G45"/>
    <mergeCell ref="H45:I45"/>
    <mergeCell ref="J45:K45"/>
    <mergeCell ref="I51:K52"/>
    <mergeCell ref="M2:O3"/>
    <mergeCell ref="B4:B5"/>
    <mergeCell ref="C4:E4"/>
    <mergeCell ref="F4:G4"/>
    <mergeCell ref="H4:I4"/>
    <mergeCell ref="J4:L4"/>
    <mergeCell ref="M4:O4"/>
    <mergeCell ref="H11:J12"/>
    <mergeCell ref="E26:G27"/>
    <mergeCell ref="I37:K38"/>
    <mergeCell ref="B39:C39"/>
    <mergeCell ref="D39:E39"/>
    <mergeCell ref="F39:G39"/>
    <mergeCell ref="H39:I39"/>
    <mergeCell ref="J39:K39"/>
  </mergeCells>
  <phoneticPr fontId="3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2:AI129"/>
  <sheetViews>
    <sheetView topLeftCell="A58" workbookViewId="0">
      <selection activeCell="H78" sqref="H78"/>
    </sheetView>
  </sheetViews>
  <sheetFormatPr defaultRowHeight="13.5"/>
  <cols>
    <col min="2" max="3" width="7.625" bestFit="1" customWidth="1"/>
    <col min="4" max="4" width="6.75" bestFit="1" customWidth="1"/>
    <col min="5" max="5" width="7.75" customWidth="1"/>
    <col min="6" max="6" width="8.5" bestFit="1" customWidth="1"/>
    <col min="7" max="7" width="7.5" bestFit="1" customWidth="1"/>
    <col min="8" max="8" width="7.75" customWidth="1"/>
    <col min="9" max="9" width="6.75" bestFit="1" customWidth="1"/>
    <col min="10" max="10" width="7.375" customWidth="1"/>
    <col min="11" max="11" width="6" customWidth="1"/>
    <col min="12" max="12" width="9" customWidth="1"/>
    <col min="13" max="14" width="6" customWidth="1"/>
    <col min="15" max="15" width="4.625" customWidth="1"/>
  </cols>
  <sheetData>
    <row r="2" spans="2:15">
      <c r="M2" s="158" t="s">
        <v>49</v>
      </c>
      <c r="N2" s="159"/>
      <c r="O2" s="159"/>
    </row>
    <row r="3" spans="2:15" ht="14.25" thickBot="1">
      <c r="M3" s="159"/>
      <c r="N3" s="159"/>
      <c r="O3" s="159"/>
    </row>
    <row r="4" spans="2:15" ht="15" thickBot="1">
      <c r="B4" s="160" t="s">
        <v>10</v>
      </c>
      <c r="C4" s="162" t="s">
        <v>3</v>
      </c>
      <c r="D4" s="162"/>
      <c r="E4" s="157"/>
      <c r="F4" s="156" t="s">
        <v>4</v>
      </c>
      <c r="G4" s="163"/>
      <c r="H4" s="156" t="s">
        <v>5</v>
      </c>
      <c r="I4" s="163"/>
      <c r="J4" s="156" t="s">
        <v>6</v>
      </c>
      <c r="K4" s="162"/>
      <c r="L4" s="157"/>
      <c r="M4" s="164" t="s">
        <v>7</v>
      </c>
      <c r="N4" s="165"/>
      <c r="O4" s="166"/>
    </row>
    <row r="5" spans="2:15" ht="15" thickBot="1">
      <c r="B5" s="161"/>
      <c r="C5" s="6" t="s">
        <v>1</v>
      </c>
      <c r="D5" s="7" t="s">
        <v>2</v>
      </c>
      <c r="E5" s="6" t="s">
        <v>0</v>
      </c>
      <c r="F5" s="6" t="s">
        <v>1</v>
      </c>
      <c r="G5" s="7" t="s">
        <v>2</v>
      </c>
      <c r="H5" s="6" t="s">
        <v>1</v>
      </c>
      <c r="I5" s="7" t="s">
        <v>2</v>
      </c>
      <c r="J5" s="6" t="s">
        <v>1</v>
      </c>
      <c r="K5" s="7" t="s">
        <v>2</v>
      </c>
      <c r="L5" s="6" t="s">
        <v>0</v>
      </c>
      <c r="M5" s="6" t="s">
        <v>1</v>
      </c>
      <c r="N5" s="7" t="s">
        <v>2</v>
      </c>
      <c r="O5" s="6" t="s">
        <v>0</v>
      </c>
    </row>
    <row r="6" spans="2:15" ht="15" thickBot="1">
      <c r="B6" s="1">
        <v>1</v>
      </c>
      <c r="C6" s="29">
        <f>D6-I16</f>
        <v>24.4</v>
      </c>
      <c r="D6" s="1">
        <v>36.9</v>
      </c>
      <c r="E6" s="1">
        <v>0.26</v>
      </c>
      <c r="F6" s="23">
        <f>G6-I16</f>
        <v>17</v>
      </c>
      <c r="G6" s="1">
        <v>29.5</v>
      </c>
      <c r="H6" s="29">
        <f>I6-I16</f>
        <v>19.700000000000003</v>
      </c>
      <c r="I6" s="25">
        <v>32.200000000000003</v>
      </c>
      <c r="J6" s="29">
        <f>K6-I16</f>
        <v>17.2</v>
      </c>
      <c r="K6" s="1">
        <v>29.7</v>
      </c>
      <c r="L6" s="29">
        <v>0.85</v>
      </c>
      <c r="M6" s="29">
        <f>N6-I18</f>
        <v>0.99</v>
      </c>
      <c r="N6" s="21">
        <v>2.6</v>
      </c>
      <c r="O6" s="29">
        <v>0.13</v>
      </c>
    </row>
    <row r="7" spans="2:15" ht="15" thickBot="1">
      <c r="B7" s="28">
        <v>2</v>
      </c>
      <c r="C7" s="23">
        <f>D7-I16</f>
        <v>31.9</v>
      </c>
      <c r="D7" s="28">
        <v>44.4</v>
      </c>
      <c r="E7" s="28">
        <v>0.28000000000000003</v>
      </c>
      <c r="F7" s="23">
        <f>G7-I16</f>
        <v>18</v>
      </c>
      <c r="G7" s="28">
        <v>30.5</v>
      </c>
      <c r="H7" s="29">
        <f>I7-I16</f>
        <v>21.700000000000003</v>
      </c>
      <c r="I7" s="28">
        <v>34.200000000000003</v>
      </c>
      <c r="J7" s="29">
        <f>K7-I16</f>
        <v>18.100000000000001</v>
      </c>
      <c r="K7" s="28">
        <v>30.6</v>
      </c>
      <c r="L7" s="30">
        <v>0.97</v>
      </c>
      <c r="M7" s="29">
        <f>N7-I18</f>
        <v>1.1599999999999999</v>
      </c>
      <c r="N7" s="28">
        <v>2.77</v>
      </c>
      <c r="O7" s="20">
        <v>0.1</v>
      </c>
    </row>
    <row r="8" spans="2:15" ht="15" thickBot="1">
      <c r="B8" s="28">
        <v>3</v>
      </c>
      <c r="C8" s="23">
        <f>D8-I16</f>
        <v>39.299999999999997</v>
      </c>
      <c r="D8" s="28">
        <v>51.8</v>
      </c>
      <c r="E8" s="22">
        <v>0.3</v>
      </c>
      <c r="F8" s="29">
        <f>G8-I16</f>
        <v>18.8</v>
      </c>
      <c r="G8" s="28">
        <v>31.3</v>
      </c>
      <c r="H8" s="29">
        <f>I8-I16</f>
        <v>25.5</v>
      </c>
      <c r="I8" s="26">
        <v>38</v>
      </c>
      <c r="J8" s="23">
        <f>K8-I16</f>
        <v>18.600000000000001</v>
      </c>
      <c r="K8" s="28">
        <v>31.1</v>
      </c>
      <c r="L8" s="30">
        <v>0.76</v>
      </c>
      <c r="M8" s="19">
        <f>N8-I18</f>
        <v>1.4199999999999997</v>
      </c>
      <c r="N8" s="28">
        <v>3.03</v>
      </c>
      <c r="O8" s="30">
        <v>0.16</v>
      </c>
    </row>
    <row r="9" spans="2:15" ht="15" thickBot="1">
      <c r="B9" s="28">
        <v>4</v>
      </c>
      <c r="C9" s="23">
        <f>D9-I16</f>
        <v>47.6</v>
      </c>
      <c r="D9" s="28">
        <v>60.1</v>
      </c>
      <c r="E9" s="22">
        <v>0.42</v>
      </c>
      <c r="F9" s="29">
        <f>G9-I16</f>
        <v>19.600000000000001</v>
      </c>
      <c r="G9" s="28">
        <v>32.1</v>
      </c>
      <c r="H9" s="23">
        <f>I9-I16</f>
        <v>28.200000000000003</v>
      </c>
      <c r="I9" s="28">
        <v>40.700000000000003</v>
      </c>
      <c r="J9" s="29">
        <f>K9-I16</f>
        <v>19.399999999999999</v>
      </c>
      <c r="K9" s="28">
        <v>31.9</v>
      </c>
      <c r="L9" s="30">
        <v>0.95</v>
      </c>
      <c r="M9" s="29">
        <f>N9-I18</f>
        <v>2.09</v>
      </c>
      <c r="N9" s="24">
        <v>3.7</v>
      </c>
      <c r="O9" s="30">
        <v>0.15</v>
      </c>
    </row>
    <row r="10" spans="2:15" ht="14.25"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2:15" ht="14.25">
      <c r="B11" s="10"/>
      <c r="C11" s="10"/>
      <c r="D11" s="10"/>
      <c r="E11" s="10"/>
      <c r="F11" s="10"/>
      <c r="G11" s="10"/>
      <c r="H11" s="158" t="s">
        <v>34</v>
      </c>
      <c r="I11" s="159"/>
      <c r="J11" s="159"/>
      <c r="K11" s="10"/>
      <c r="L11" s="10"/>
      <c r="M11" s="10"/>
      <c r="N11" s="10"/>
      <c r="O11" s="10"/>
    </row>
    <row r="12" spans="2:15" ht="15" thickBot="1">
      <c r="B12" s="10"/>
      <c r="C12" s="10"/>
      <c r="D12" s="10"/>
      <c r="E12" s="10"/>
      <c r="F12" s="10"/>
      <c r="G12" s="10"/>
      <c r="H12" s="159"/>
      <c r="I12" s="159"/>
      <c r="J12" s="159"/>
      <c r="K12" s="10"/>
      <c r="L12" s="10"/>
      <c r="M12" s="10"/>
      <c r="N12" s="10"/>
      <c r="O12" s="10"/>
    </row>
    <row r="13" spans="2:15" ht="26.25" thickBot="1">
      <c r="B13" s="11" t="s">
        <v>19</v>
      </c>
      <c r="C13" s="29" t="s">
        <v>11</v>
      </c>
      <c r="D13" s="29" t="s">
        <v>12</v>
      </c>
      <c r="E13" s="29" t="s">
        <v>13</v>
      </c>
      <c r="F13" s="29" t="s">
        <v>14</v>
      </c>
      <c r="G13" s="29" t="s">
        <v>15</v>
      </c>
      <c r="H13" s="29" t="s">
        <v>16</v>
      </c>
      <c r="I13" s="29" t="s">
        <v>17</v>
      </c>
      <c r="J13" s="29" t="s">
        <v>18</v>
      </c>
      <c r="K13" s="10"/>
      <c r="L13" s="10"/>
      <c r="M13" s="10"/>
      <c r="N13" s="10"/>
      <c r="O13" s="10"/>
    </row>
    <row r="14" spans="2:15" ht="27.75" thickBot="1">
      <c r="B14" s="12" t="s">
        <v>20</v>
      </c>
      <c r="C14" s="1">
        <v>0.22</v>
      </c>
      <c r="D14" s="19">
        <v>0.23</v>
      </c>
      <c r="E14" s="19">
        <v>0.27</v>
      </c>
      <c r="F14" s="19">
        <v>0.36</v>
      </c>
      <c r="G14" s="19">
        <v>0.57999999999999996</v>
      </c>
      <c r="H14" s="19">
        <v>0.92</v>
      </c>
      <c r="I14" s="29">
        <v>1.51</v>
      </c>
      <c r="J14" s="29">
        <v>2.69</v>
      </c>
    </row>
    <row r="15" spans="2:15" ht="15" thickBot="1">
      <c r="B15" s="28" t="s">
        <v>47</v>
      </c>
      <c r="C15" s="20">
        <f t="shared" ref="C15:J15" si="0">C16-C14</f>
        <v>0.31000000000000005</v>
      </c>
      <c r="D15" s="20">
        <f t="shared" si="0"/>
        <v>0.37</v>
      </c>
      <c r="E15" s="20">
        <f t="shared" si="0"/>
        <v>0.56999999999999995</v>
      </c>
      <c r="F15" s="20">
        <f t="shared" si="0"/>
        <v>1.6</v>
      </c>
      <c r="G15" s="20">
        <f t="shared" si="0"/>
        <v>5.53</v>
      </c>
      <c r="H15" s="20">
        <f t="shared" si="0"/>
        <v>9.98</v>
      </c>
      <c r="I15" s="27">
        <f t="shared" si="0"/>
        <v>10.99</v>
      </c>
      <c r="J15" s="27">
        <f t="shared" si="0"/>
        <v>21.91</v>
      </c>
    </row>
    <row r="16" spans="2:15" ht="15" thickBot="1">
      <c r="B16" s="12" t="s">
        <v>38</v>
      </c>
      <c r="C16" s="21">
        <v>0.53</v>
      </c>
      <c r="D16" s="19">
        <v>0.6</v>
      </c>
      <c r="E16" s="19">
        <v>0.84</v>
      </c>
      <c r="F16" s="19">
        <v>1.96</v>
      </c>
      <c r="G16" s="29">
        <v>6.11</v>
      </c>
      <c r="H16" s="29">
        <v>10.9</v>
      </c>
      <c r="I16" s="29">
        <v>12.5</v>
      </c>
      <c r="J16" s="29">
        <v>24.6</v>
      </c>
    </row>
    <row r="17" spans="2:10" ht="15" thickBot="1">
      <c r="B17" s="28" t="s">
        <v>46</v>
      </c>
      <c r="C17" s="20">
        <f>C18-C14</f>
        <v>6.0000000000000026E-2</v>
      </c>
      <c r="D17" s="20">
        <f t="shared" ref="D17:J17" si="1">D18-D14</f>
        <v>5.999999999999997E-2</v>
      </c>
      <c r="E17" s="20">
        <f t="shared" si="1"/>
        <v>3.999999999999998E-2</v>
      </c>
      <c r="F17" s="20">
        <f t="shared" si="1"/>
        <v>0.06</v>
      </c>
      <c r="G17" s="20">
        <f t="shared" si="1"/>
        <v>6.0000000000000053E-2</v>
      </c>
      <c r="H17" s="20">
        <f t="shared" si="1"/>
        <v>7.999999999999996E-2</v>
      </c>
      <c r="I17" s="20">
        <f t="shared" si="1"/>
        <v>0.10000000000000009</v>
      </c>
      <c r="J17" s="20">
        <f t="shared" si="1"/>
        <v>0.10999999999999988</v>
      </c>
    </row>
    <row r="18" spans="2:10" ht="27.75" thickBot="1">
      <c r="B18" s="12" t="s">
        <v>37</v>
      </c>
      <c r="C18" s="21">
        <v>0.28000000000000003</v>
      </c>
      <c r="D18" s="19">
        <v>0.28999999999999998</v>
      </c>
      <c r="E18" s="19">
        <v>0.31</v>
      </c>
      <c r="F18" s="19">
        <v>0.42</v>
      </c>
      <c r="G18" s="19">
        <v>0.64</v>
      </c>
      <c r="H18" s="19">
        <v>1</v>
      </c>
      <c r="I18" s="29">
        <v>1.61</v>
      </c>
      <c r="J18" s="19">
        <v>2.8</v>
      </c>
    </row>
    <row r="19" spans="2:10" ht="14.25">
      <c r="B19" s="16"/>
      <c r="C19" s="10"/>
      <c r="D19" s="10"/>
      <c r="E19" s="10"/>
      <c r="F19" s="10"/>
      <c r="G19" s="10"/>
      <c r="H19" s="10"/>
      <c r="I19" s="10"/>
      <c r="J19" s="10"/>
    </row>
    <row r="20" spans="2:10" ht="14.25">
      <c r="B20" s="16"/>
      <c r="C20" s="10"/>
      <c r="D20" s="10"/>
      <c r="E20" s="10"/>
      <c r="F20" s="10"/>
      <c r="G20" s="10"/>
      <c r="H20" s="10"/>
      <c r="I20" s="10"/>
      <c r="J20" s="10"/>
    </row>
    <row r="21" spans="2:10" ht="14.25">
      <c r="B21" s="16"/>
      <c r="C21" s="10"/>
      <c r="D21" s="10"/>
      <c r="E21" s="10"/>
      <c r="F21" s="10"/>
      <c r="G21" s="10"/>
      <c r="H21" s="10"/>
      <c r="I21" s="10"/>
      <c r="J21" s="10"/>
    </row>
    <row r="22" spans="2:10" ht="14.25">
      <c r="B22" s="16"/>
      <c r="C22" s="10"/>
      <c r="D22" s="10"/>
      <c r="E22" s="10"/>
      <c r="F22" s="10"/>
      <c r="G22" s="10"/>
      <c r="H22" s="10"/>
      <c r="I22" s="10"/>
      <c r="J22" s="10"/>
    </row>
    <row r="23" spans="2:10" ht="14.25">
      <c r="B23" s="16"/>
      <c r="C23" s="10"/>
      <c r="D23" s="10"/>
      <c r="E23" s="10"/>
      <c r="F23" s="10"/>
      <c r="G23" s="10"/>
      <c r="H23" s="10"/>
      <c r="I23" s="10"/>
      <c r="J23" s="10"/>
    </row>
    <row r="24" spans="2:10" ht="14.25">
      <c r="B24" s="16"/>
      <c r="C24" s="10"/>
      <c r="D24" s="10"/>
      <c r="E24" s="10"/>
      <c r="F24" s="10"/>
      <c r="G24" s="10"/>
      <c r="H24" s="10"/>
      <c r="I24" s="10"/>
      <c r="J24" s="10"/>
    </row>
    <row r="25" spans="2:10" ht="14.25">
      <c r="B25" s="16"/>
      <c r="C25" s="10"/>
      <c r="D25" s="10"/>
      <c r="E25" s="10"/>
      <c r="F25" s="10"/>
      <c r="G25" s="10"/>
      <c r="H25" s="10"/>
      <c r="I25" s="10"/>
      <c r="J25" s="10"/>
    </row>
    <row r="26" spans="2:10" ht="14.25">
      <c r="B26" s="16"/>
      <c r="C26" s="10"/>
      <c r="D26" s="10"/>
      <c r="E26" s="150" t="s">
        <v>26</v>
      </c>
      <c r="F26" s="151"/>
      <c r="G26" s="152"/>
      <c r="H26" s="10"/>
      <c r="I26" s="10"/>
      <c r="J26" s="10"/>
    </row>
    <row r="27" spans="2:10" ht="15" thickBot="1">
      <c r="B27" s="16"/>
      <c r="C27" s="10"/>
      <c r="D27" s="10"/>
      <c r="E27" s="153"/>
      <c r="F27" s="154"/>
      <c r="G27" s="155"/>
      <c r="H27" s="10"/>
      <c r="I27" s="10"/>
      <c r="J27" s="10"/>
    </row>
    <row r="28" spans="2:10" ht="26.25" thickBot="1">
      <c r="B28" s="11"/>
      <c r="C28" s="11" t="s">
        <v>3</v>
      </c>
      <c r="D28" s="11" t="s">
        <v>28</v>
      </c>
      <c r="E28" s="11" t="s">
        <v>5</v>
      </c>
      <c r="F28" s="11" t="s">
        <v>22</v>
      </c>
      <c r="G28" s="11" t="s">
        <v>31</v>
      </c>
    </row>
    <row r="29" spans="2:10" ht="26.25" thickBot="1">
      <c r="B29" s="12" t="s">
        <v>24</v>
      </c>
      <c r="C29" s="12">
        <f>C7</f>
        <v>31.9</v>
      </c>
      <c r="D29" s="18">
        <f>F7</f>
        <v>18</v>
      </c>
      <c r="E29" s="18">
        <f>H7</f>
        <v>21.700000000000003</v>
      </c>
      <c r="F29" s="12">
        <f>J7</f>
        <v>18.100000000000001</v>
      </c>
      <c r="G29" s="12">
        <f>M7</f>
        <v>1.1599999999999999</v>
      </c>
    </row>
    <row r="30" spans="2:10" ht="26.25" thickBot="1">
      <c r="B30" s="12" t="s">
        <v>25</v>
      </c>
      <c r="C30" s="12">
        <f>D7</f>
        <v>44.4</v>
      </c>
      <c r="D30" s="18">
        <f>G7</f>
        <v>30.5</v>
      </c>
      <c r="E30" s="12">
        <f>I7</f>
        <v>34.200000000000003</v>
      </c>
      <c r="F30" s="12">
        <f>K7</f>
        <v>30.6</v>
      </c>
      <c r="G30" s="12">
        <f>N7</f>
        <v>2.77</v>
      </c>
    </row>
    <row r="31" spans="2:10" ht="26.25" thickBot="1">
      <c r="B31" s="12" t="s">
        <v>29</v>
      </c>
      <c r="C31" s="12">
        <f>C29/C29</f>
        <v>1</v>
      </c>
      <c r="D31" s="17">
        <f>C29/D29</f>
        <v>1.7722222222222221</v>
      </c>
      <c r="E31" s="17">
        <f>C29/E29</f>
        <v>1.4700460829493085</v>
      </c>
      <c r="F31" s="17">
        <f>C29/F29</f>
        <v>1.7624309392265192</v>
      </c>
      <c r="G31" s="17">
        <f>C29/G29</f>
        <v>27.5</v>
      </c>
    </row>
    <row r="32" spans="2:10" ht="26.25" thickBot="1">
      <c r="B32" s="12" t="s">
        <v>30</v>
      </c>
      <c r="C32" s="12">
        <f>C30/C30</f>
        <v>1</v>
      </c>
      <c r="D32" s="17">
        <f>C30/D30</f>
        <v>1.4557377049180327</v>
      </c>
      <c r="E32" s="17">
        <f>C30/E30</f>
        <v>1.2982456140350875</v>
      </c>
      <c r="F32" s="17">
        <f>C30/F30</f>
        <v>1.4509803921568627</v>
      </c>
      <c r="G32" s="17">
        <f>C30/G30</f>
        <v>16.028880866425993</v>
      </c>
    </row>
    <row r="37" spans="2:11">
      <c r="I37" s="150" t="s">
        <v>43</v>
      </c>
      <c r="J37" s="151"/>
      <c r="K37" s="152"/>
    </row>
    <row r="38" spans="2:11" ht="14.25" thickBot="1">
      <c r="I38" s="153"/>
      <c r="J38" s="154"/>
      <c r="K38" s="155"/>
    </row>
    <row r="39" spans="2:11" ht="15" thickBot="1">
      <c r="B39" s="156" t="s">
        <v>39</v>
      </c>
      <c r="C39" s="157"/>
      <c r="D39" s="156" t="s">
        <v>27</v>
      </c>
      <c r="E39" s="157"/>
      <c r="F39" s="156" t="s">
        <v>40</v>
      </c>
      <c r="G39" s="157"/>
      <c r="H39" s="156" t="s">
        <v>23</v>
      </c>
      <c r="I39" s="157"/>
      <c r="J39" s="156" t="s">
        <v>41</v>
      </c>
      <c r="K39" s="157"/>
    </row>
    <row r="40" spans="2:11" ht="15" thickBot="1">
      <c r="B40" s="28" t="s">
        <v>42</v>
      </c>
      <c r="C40" s="30" t="s">
        <v>21</v>
      </c>
      <c r="D40" s="30" t="s">
        <v>42</v>
      </c>
      <c r="E40" s="30" t="s">
        <v>21</v>
      </c>
      <c r="F40" s="30" t="s">
        <v>42</v>
      </c>
      <c r="G40" s="30" t="s">
        <v>21</v>
      </c>
      <c r="H40" s="30" t="s">
        <v>42</v>
      </c>
      <c r="I40" s="30" t="s">
        <v>21</v>
      </c>
      <c r="J40" s="30" t="s">
        <v>45</v>
      </c>
      <c r="K40" s="30" t="s">
        <v>21</v>
      </c>
    </row>
    <row r="41" spans="2:11" ht="15" thickBot="1">
      <c r="B41" s="28">
        <f>C41-I16</f>
        <v>18.5</v>
      </c>
      <c r="C41" s="27">
        <v>31</v>
      </c>
      <c r="D41" s="29">
        <f>E41-I16</f>
        <v>16.899999999999999</v>
      </c>
      <c r="E41" s="30">
        <v>29.4</v>
      </c>
      <c r="F41" s="29">
        <f>G41-I16</f>
        <v>17.600000000000001</v>
      </c>
      <c r="G41" s="30">
        <v>30.1</v>
      </c>
      <c r="H41" s="23">
        <f>I41-I16</f>
        <v>17.2</v>
      </c>
      <c r="I41" s="30">
        <v>29.7</v>
      </c>
      <c r="J41" s="29">
        <f>K41-I18</f>
        <v>0.8600000000000001</v>
      </c>
      <c r="K41" s="30">
        <v>2.4700000000000002</v>
      </c>
    </row>
    <row r="43" spans="2:11">
      <c r="I43" s="150" t="s">
        <v>44</v>
      </c>
      <c r="J43" s="151"/>
      <c r="K43" s="152"/>
    </row>
    <row r="44" spans="2:11" ht="14.25" thickBot="1">
      <c r="I44" s="153"/>
      <c r="J44" s="154"/>
      <c r="K44" s="155"/>
    </row>
    <row r="45" spans="2:11" ht="15" thickBot="1">
      <c r="B45" s="156" t="s">
        <v>39</v>
      </c>
      <c r="C45" s="157"/>
      <c r="D45" s="156" t="s">
        <v>27</v>
      </c>
      <c r="E45" s="157"/>
      <c r="F45" s="156" t="s">
        <v>40</v>
      </c>
      <c r="G45" s="157"/>
      <c r="H45" s="156" t="s">
        <v>23</v>
      </c>
      <c r="I45" s="157"/>
      <c r="J45" s="156" t="s">
        <v>41</v>
      </c>
      <c r="K45" s="157"/>
    </row>
    <row r="46" spans="2:11" ht="15" thickBot="1">
      <c r="B46" s="28" t="s">
        <v>42</v>
      </c>
      <c r="C46" s="30" t="s">
        <v>21</v>
      </c>
      <c r="D46" s="30" t="s">
        <v>42</v>
      </c>
      <c r="E46" s="30" t="s">
        <v>21</v>
      </c>
      <c r="F46" s="30" t="s">
        <v>42</v>
      </c>
      <c r="G46" s="30" t="s">
        <v>21</v>
      </c>
      <c r="H46" s="30" t="s">
        <v>42</v>
      </c>
      <c r="I46" s="30" t="s">
        <v>21</v>
      </c>
      <c r="J46" s="30" t="s">
        <v>42</v>
      </c>
      <c r="K46" s="30" t="s">
        <v>21</v>
      </c>
    </row>
    <row r="47" spans="2:11" ht="15" thickBot="1">
      <c r="B47" s="28">
        <f>C47-I16</f>
        <v>21.700000000000003</v>
      </c>
      <c r="C47" s="1">
        <v>34.200000000000003</v>
      </c>
      <c r="D47" s="29">
        <f>E47-I16</f>
        <v>17.899999999999999</v>
      </c>
      <c r="E47" s="29">
        <v>30.4</v>
      </c>
      <c r="F47" s="29">
        <f>G47-I16</f>
        <v>18.600000000000001</v>
      </c>
      <c r="G47" s="29">
        <v>31.1</v>
      </c>
      <c r="H47" s="23">
        <f>I47-I16</f>
        <v>17.2</v>
      </c>
      <c r="I47" s="29">
        <v>29.7</v>
      </c>
      <c r="J47" s="29">
        <f>K47-I18</f>
        <v>0.95</v>
      </c>
      <c r="K47" s="29">
        <v>2.56</v>
      </c>
    </row>
    <row r="51" spans="2:11">
      <c r="I51" s="150" t="s">
        <v>59</v>
      </c>
      <c r="J51" s="151"/>
      <c r="K51" s="152"/>
    </row>
    <row r="52" spans="2:11" ht="14.25" thickBot="1">
      <c r="I52" s="153"/>
      <c r="J52" s="154"/>
      <c r="K52" s="155"/>
    </row>
    <row r="53" spans="2:11" ht="26.25" thickBot="1">
      <c r="B53" s="17"/>
      <c r="C53" s="17" t="s">
        <v>50</v>
      </c>
      <c r="D53" s="17" t="s">
        <v>52</v>
      </c>
      <c r="E53" s="17" t="s">
        <v>53</v>
      </c>
      <c r="F53" s="17" t="s">
        <v>54</v>
      </c>
      <c r="G53" s="17" t="s">
        <v>51</v>
      </c>
    </row>
    <row r="54" spans="2:11" ht="39" thickBot="1">
      <c r="B54" s="17" t="s">
        <v>55</v>
      </c>
      <c r="C54" s="33">
        <v>39.6</v>
      </c>
      <c r="D54" s="17">
        <v>2.91</v>
      </c>
      <c r="E54" s="18">
        <v>29.2</v>
      </c>
      <c r="F54" s="17">
        <v>5.77</v>
      </c>
      <c r="G54" s="17">
        <v>1.53</v>
      </c>
    </row>
    <row r="55" spans="2:11" ht="39" thickBot="1">
      <c r="B55" s="17" t="s">
        <v>56</v>
      </c>
      <c r="C55" s="18">
        <v>54.4</v>
      </c>
      <c r="D55" s="17">
        <v>2.65</v>
      </c>
      <c r="E55" s="18">
        <v>36</v>
      </c>
      <c r="F55" s="18">
        <v>14.3</v>
      </c>
      <c r="G55" s="17">
        <v>1.53</v>
      </c>
    </row>
    <row r="56" spans="2:11" ht="39" thickBot="1">
      <c r="B56" s="17" t="s">
        <v>57</v>
      </c>
      <c r="C56" s="17"/>
      <c r="D56" s="31">
        <f>D54/C54</f>
        <v>7.3484848484848486E-2</v>
      </c>
      <c r="E56" s="32">
        <f>E54/C54</f>
        <v>0.73737373737373735</v>
      </c>
      <c r="F56" s="31">
        <f>F54/C54</f>
        <v>0.1457070707070707</v>
      </c>
      <c r="G56" s="31">
        <f>G54/C54</f>
        <v>3.8636363636363635E-2</v>
      </c>
    </row>
    <row r="57" spans="2:11" ht="39" thickBot="1">
      <c r="B57" s="17" t="s">
        <v>58</v>
      </c>
      <c r="C57" s="17"/>
      <c r="D57" s="31">
        <f>D55/C55</f>
        <v>4.8713235294117647E-2</v>
      </c>
      <c r="E57" s="31">
        <f>E55/C55</f>
        <v>0.66176470588235292</v>
      </c>
      <c r="F57" s="31">
        <f>F55/C55</f>
        <v>0.26286764705882354</v>
      </c>
      <c r="G57" s="31">
        <f>G55/C55</f>
        <v>2.8125000000000001E-2</v>
      </c>
    </row>
    <row r="60" spans="2:11">
      <c r="I60" s="150" t="s">
        <v>60</v>
      </c>
      <c r="J60" s="151"/>
      <c r="K60" s="152"/>
    </row>
    <row r="61" spans="2:11" ht="14.25" thickBot="1">
      <c r="I61" s="153"/>
      <c r="J61" s="154"/>
      <c r="K61" s="155"/>
    </row>
    <row r="62" spans="2:11" ht="26.25" thickBot="1">
      <c r="B62" s="17"/>
      <c r="C62" s="17" t="s">
        <v>50</v>
      </c>
      <c r="D62" s="17" t="s">
        <v>52</v>
      </c>
      <c r="E62" s="17" t="s">
        <v>53</v>
      </c>
      <c r="F62" s="17" t="s">
        <v>54</v>
      </c>
      <c r="G62" s="17" t="s">
        <v>51</v>
      </c>
    </row>
    <row r="63" spans="2:11" ht="39" thickBot="1">
      <c r="B63" s="17" t="s">
        <v>55</v>
      </c>
      <c r="C63" s="37">
        <v>1.04</v>
      </c>
      <c r="D63" s="17">
        <v>7.0000000000000007E-2</v>
      </c>
      <c r="E63" s="18">
        <v>0.67</v>
      </c>
      <c r="F63" s="17">
        <v>0.1</v>
      </c>
      <c r="G63" s="17">
        <v>0.2</v>
      </c>
    </row>
    <row r="64" spans="2:11" ht="39" thickBot="1">
      <c r="B64" s="17" t="s">
        <v>56</v>
      </c>
      <c r="C64" s="17">
        <v>1.1000000000000001</v>
      </c>
      <c r="D64" s="17">
        <v>0.04</v>
      </c>
      <c r="E64" s="17">
        <v>0.56999999999999995</v>
      </c>
      <c r="F64" s="17">
        <v>0.27</v>
      </c>
      <c r="G64" s="17">
        <v>0.2</v>
      </c>
    </row>
    <row r="65" spans="2:35" ht="39" thickBot="1">
      <c r="B65" s="17" t="s">
        <v>57</v>
      </c>
      <c r="C65" s="17"/>
      <c r="D65" s="31">
        <f>D63/C63</f>
        <v>6.7307692307692318E-2</v>
      </c>
      <c r="E65" s="32">
        <f>E63/C63</f>
        <v>0.64423076923076927</v>
      </c>
      <c r="F65" s="31">
        <f>F63/C63</f>
        <v>9.6153846153846159E-2</v>
      </c>
      <c r="G65" s="31">
        <f>G63/C63</f>
        <v>0.19230769230769232</v>
      </c>
    </row>
    <row r="66" spans="2:35" ht="39" thickBot="1">
      <c r="B66" s="17" t="s">
        <v>58</v>
      </c>
      <c r="C66" s="17"/>
      <c r="D66" s="31">
        <f>D64/C64</f>
        <v>3.6363636363636362E-2</v>
      </c>
      <c r="E66" s="31">
        <f>E64/C64</f>
        <v>0.51818181818181808</v>
      </c>
      <c r="F66" s="31">
        <f>F64/C64</f>
        <v>0.24545454545454545</v>
      </c>
      <c r="G66" s="31">
        <f>G64/C64</f>
        <v>0.18181818181818182</v>
      </c>
    </row>
    <row r="74" spans="2:35" ht="27">
      <c r="D74" t="s">
        <v>405</v>
      </c>
      <c r="F74" s="38" t="s">
        <v>295</v>
      </c>
      <c r="G74" t="s">
        <v>288</v>
      </c>
      <c r="H74" s="38" t="s">
        <v>46</v>
      </c>
      <c r="Q74" t="s">
        <v>405</v>
      </c>
      <c r="S74" s="38" t="s">
        <v>295</v>
      </c>
      <c r="T74" t="s">
        <v>288</v>
      </c>
      <c r="U74" s="38" t="s">
        <v>46</v>
      </c>
      <c r="V74" t="s">
        <v>440</v>
      </c>
      <c r="X74" t="s">
        <v>405</v>
      </c>
      <c r="Z74" s="38" t="s">
        <v>295</v>
      </c>
      <c r="AA74" t="s">
        <v>288</v>
      </c>
      <c r="AB74" s="38" t="s">
        <v>46</v>
      </c>
      <c r="AE74" t="s">
        <v>405</v>
      </c>
      <c r="AG74" s="38" t="s">
        <v>295</v>
      </c>
      <c r="AH74" t="s">
        <v>288</v>
      </c>
      <c r="AI74" s="38" t="s">
        <v>46</v>
      </c>
    </row>
    <row r="75" spans="2:35" ht="40.5">
      <c r="C75" s="38" t="s">
        <v>399</v>
      </c>
      <c r="D75">
        <v>1</v>
      </c>
      <c r="E75" t="s">
        <v>293</v>
      </c>
      <c r="F75" s="92">
        <v>2.29</v>
      </c>
      <c r="G75" s="92">
        <v>1.22</v>
      </c>
      <c r="H75" s="92">
        <v>2.21</v>
      </c>
      <c r="P75" s="38" t="s">
        <v>399</v>
      </c>
      <c r="Q75">
        <v>1</v>
      </c>
      <c r="R75" t="s">
        <v>293</v>
      </c>
      <c r="S75" s="92">
        <v>0.5</v>
      </c>
      <c r="T75" s="92">
        <v>0.36</v>
      </c>
      <c r="U75" s="92">
        <v>1.05</v>
      </c>
      <c r="W75" s="38" t="s">
        <v>399</v>
      </c>
      <c r="X75">
        <v>1</v>
      </c>
      <c r="Y75" t="s">
        <v>293</v>
      </c>
      <c r="Z75" s="92">
        <v>9.65</v>
      </c>
      <c r="AA75" s="92">
        <v>6.21</v>
      </c>
      <c r="AB75" s="61">
        <v>10.6</v>
      </c>
      <c r="AD75" s="38" t="s">
        <v>399</v>
      </c>
      <c r="AE75">
        <v>1</v>
      </c>
      <c r="AF75" t="s">
        <v>293</v>
      </c>
      <c r="AG75" s="61">
        <v>44.2</v>
      </c>
      <c r="AH75" s="61">
        <v>41</v>
      </c>
      <c r="AI75" s="61">
        <v>32.799999999999997</v>
      </c>
    </row>
    <row r="76" spans="2:35">
      <c r="C76" t="s">
        <v>419</v>
      </c>
      <c r="E76" t="s">
        <v>294</v>
      </c>
      <c r="F76">
        <v>1</v>
      </c>
      <c r="G76" s="92">
        <f>F75/G75</f>
        <v>1.8770491803278688</v>
      </c>
      <c r="H76" s="92">
        <f>F75/H75</f>
        <v>1.0361990950226245</v>
      </c>
      <c r="P76" t="s">
        <v>419</v>
      </c>
      <c r="R76" t="s">
        <v>294</v>
      </c>
      <c r="S76">
        <v>1</v>
      </c>
      <c r="T76" s="92">
        <f>S75/T75</f>
        <v>1.3888888888888888</v>
      </c>
      <c r="U76" s="92">
        <f>S75/U75</f>
        <v>0.47619047619047616</v>
      </c>
      <c r="W76" t="s">
        <v>419</v>
      </c>
      <c r="Y76" t="s">
        <v>294</v>
      </c>
      <c r="Z76">
        <v>1</v>
      </c>
      <c r="AA76" s="92">
        <f>Z75/AA75</f>
        <v>1.5539452495974235</v>
      </c>
      <c r="AB76" s="92">
        <f>Z75/AB75</f>
        <v>0.91037735849056611</v>
      </c>
      <c r="AD76" t="s">
        <v>419</v>
      </c>
      <c r="AF76" t="s">
        <v>294</v>
      </c>
      <c r="AG76">
        <v>1</v>
      </c>
      <c r="AH76" s="92">
        <f>AG75/AH75</f>
        <v>1.0780487804878049</v>
      </c>
      <c r="AI76" s="92">
        <f>AG75/AI75</f>
        <v>1.3475609756097564</v>
      </c>
    </row>
    <row r="77" spans="2:35">
      <c r="C77" t="s">
        <v>413</v>
      </c>
      <c r="P77" t="s">
        <v>412</v>
      </c>
      <c r="W77" t="s">
        <v>416</v>
      </c>
      <c r="AD77" t="s">
        <v>417</v>
      </c>
    </row>
    <row r="78" spans="2:35">
      <c r="D78">
        <v>2</v>
      </c>
      <c r="E78" t="s">
        <v>293</v>
      </c>
      <c r="F78" s="92">
        <v>6.13</v>
      </c>
      <c r="G78" s="92">
        <v>1.66</v>
      </c>
      <c r="H78" s="92">
        <v>2.2799999999999998</v>
      </c>
      <c r="Q78">
        <v>2</v>
      </c>
      <c r="R78" t="s">
        <v>293</v>
      </c>
      <c r="S78" s="92">
        <v>1.91</v>
      </c>
      <c r="T78" s="92">
        <v>0.52</v>
      </c>
      <c r="U78" s="92">
        <v>1.06</v>
      </c>
      <c r="X78">
        <v>2</v>
      </c>
      <c r="Y78" t="s">
        <v>293</v>
      </c>
      <c r="Z78" s="61">
        <v>24.7</v>
      </c>
      <c r="AA78" s="61">
        <v>8</v>
      </c>
      <c r="AB78" s="61">
        <v>11</v>
      </c>
      <c r="AE78">
        <v>2</v>
      </c>
      <c r="AF78" t="s">
        <v>293</v>
      </c>
      <c r="AG78" s="117">
        <v>104</v>
      </c>
      <c r="AH78" s="61">
        <v>43</v>
      </c>
      <c r="AI78" s="61">
        <v>35.200000000000003</v>
      </c>
    </row>
    <row r="79" spans="2:35">
      <c r="E79" t="s">
        <v>294</v>
      </c>
      <c r="F79">
        <v>1</v>
      </c>
      <c r="G79" s="92">
        <f>F78/G78</f>
        <v>3.6927710843373496</v>
      </c>
      <c r="H79" s="92">
        <f>F78/H78</f>
        <v>2.6885964912280702</v>
      </c>
      <c r="R79" t="s">
        <v>294</v>
      </c>
      <c r="S79">
        <v>1</v>
      </c>
      <c r="T79" s="92">
        <f>S78/T78</f>
        <v>3.6730769230769229</v>
      </c>
      <c r="U79" s="92">
        <f>S78/U78</f>
        <v>1.8018867924528301</v>
      </c>
      <c r="Y79" t="s">
        <v>294</v>
      </c>
      <c r="Z79">
        <v>1</v>
      </c>
      <c r="AA79" s="92">
        <f>Z78/AA78</f>
        <v>3.0874999999999999</v>
      </c>
      <c r="AB79" s="92">
        <f>Z78/AB78</f>
        <v>2.2454545454545456</v>
      </c>
      <c r="AF79" t="s">
        <v>294</v>
      </c>
      <c r="AG79">
        <v>1</v>
      </c>
      <c r="AH79" s="92">
        <f>AG78/AH78</f>
        <v>2.4186046511627906</v>
      </c>
      <c r="AI79" s="92">
        <f>AG78/AI78</f>
        <v>2.9545454545454541</v>
      </c>
    </row>
    <row r="81" spans="3:35">
      <c r="D81">
        <v>3</v>
      </c>
      <c r="E81" t="s">
        <v>293</v>
      </c>
      <c r="F81" s="92">
        <v>7.59</v>
      </c>
      <c r="G81" s="92">
        <v>1.8</v>
      </c>
      <c r="H81" s="92">
        <v>2.36</v>
      </c>
      <c r="Q81">
        <v>3</v>
      </c>
      <c r="R81" t="s">
        <v>293</v>
      </c>
      <c r="S81" s="92">
        <v>2.23</v>
      </c>
      <c r="T81" s="92">
        <v>0.54</v>
      </c>
      <c r="U81" s="92">
        <v>1.08</v>
      </c>
      <c r="X81">
        <v>3</v>
      </c>
      <c r="Y81" t="s">
        <v>293</v>
      </c>
      <c r="Z81" s="61">
        <v>30.2</v>
      </c>
      <c r="AA81" s="61">
        <v>9</v>
      </c>
      <c r="AB81" s="61">
        <v>11.3</v>
      </c>
      <c r="AE81">
        <v>3</v>
      </c>
      <c r="AF81" t="s">
        <v>293</v>
      </c>
      <c r="AG81" s="117">
        <v>125</v>
      </c>
      <c r="AH81" s="61">
        <v>45</v>
      </c>
      <c r="AI81" s="61">
        <v>35</v>
      </c>
    </row>
    <row r="82" spans="3:35">
      <c r="E82" t="s">
        <v>294</v>
      </c>
      <c r="F82">
        <v>1</v>
      </c>
      <c r="G82" s="92">
        <f>F81/G81</f>
        <v>4.2166666666666668</v>
      </c>
      <c r="H82" s="92">
        <f>F81/H81</f>
        <v>3.2161016949152543</v>
      </c>
      <c r="R82" t="s">
        <v>294</v>
      </c>
      <c r="S82">
        <v>1</v>
      </c>
      <c r="T82" s="92">
        <f>S81/T81</f>
        <v>4.1296296296296298</v>
      </c>
      <c r="U82" s="92">
        <f>S81/U81</f>
        <v>2.0648148148148149</v>
      </c>
      <c r="Y82" t="s">
        <v>294</v>
      </c>
      <c r="Z82">
        <v>1</v>
      </c>
      <c r="AA82" s="92">
        <f>Z81/AA81</f>
        <v>3.3555555555555556</v>
      </c>
      <c r="AB82" s="92">
        <f>Z81/AB81</f>
        <v>2.6725663716814156</v>
      </c>
      <c r="AF82" t="s">
        <v>294</v>
      </c>
      <c r="AG82">
        <v>1</v>
      </c>
      <c r="AH82" s="92">
        <f>AG81/AH81</f>
        <v>2.7777777777777777</v>
      </c>
      <c r="AI82" s="92">
        <f>AG81/AI81</f>
        <v>3.5714285714285716</v>
      </c>
    </row>
    <row r="84" spans="3:35">
      <c r="D84">
        <v>4</v>
      </c>
      <c r="E84" t="s">
        <v>293</v>
      </c>
      <c r="F84" s="92">
        <v>9.14</v>
      </c>
      <c r="G84" s="92">
        <v>2.1</v>
      </c>
      <c r="H84" s="92">
        <v>2.4500000000000002</v>
      </c>
      <c r="Q84">
        <v>4</v>
      </c>
      <c r="R84" t="s">
        <v>293</v>
      </c>
      <c r="S84" s="92">
        <v>2.56</v>
      </c>
      <c r="T84" s="92">
        <v>0.61</v>
      </c>
      <c r="U84" s="92">
        <v>1.0900000000000001</v>
      </c>
      <c r="V84" s="48">
        <v>0.18</v>
      </c>
      <c r="X84">
        <v>4</v>
      </c>
      <c r="Y84" t="s">
        <v>293</v>
      </c>
      <c r="Z84" s="61">
        <v>36.4</v>
      </c>
      <c r="AA84" s="61">
        <v>9.8000000000000007</v>
      </c>
      <c r="AB84" s="61">
        <v>10.9</v>
      </c>
      <c r="AE84">
        <v>4</v>
      </c>
      <c r="AF84" t="s">
        <v>293</v>
      </c>
      <c r="AG84" s="117">
        <v>151</v>
      </c>
      <c r="AH84" s="61">
        <v>47</v>
      </c>
      <c r="AI84" s="61">
        <v>35.1</v>
      </c>
    </row>
    <row r="85" spans="3:35">
      <c r="E85" t="s">
        <v>294</v>
      </c>
      <c r="F85">
        <v>1</v>
      </c>
      <c r="G85" s="92">
        <f>F84/G84</f>
        <v>4.3523809523809529</v>
      </c>
      <c r="H85" s="92">
        <f>F84/H84</f>
        <v>3.7306122448979591</v>
      </c>
      <c r="R85" t="s">
        <v>294</v>
      </c>
      <c r="S85">
        <v>1</v>
      </c>
      <c r="T85" s="92">
        <f>S84/T84</f>
        <v>4.1967213114754101</v>
      </c>
      <c r="U85" s="92">
        <f>S84/U84</f>
        <v>2.3486238532110089</v>
      </c>
      <c r="Y85" t="s">
        <v>294</v>
      </c>
      <c r="Z85">
        <v>1</v>
      </c>
      <c r="AA85" s="92">
        <f>Z84/AA84</f>
        <v>3.714285714285714</v>
      </c>
      <c r="AB85" s="92">
        <f>Z84/AB84</f>
        <v>3.3394495412844036</v>
      </c>
      <c r="AF85" t="s">
        <v>294</v>
      </c>
      <c r="AG85">
        <v>1</v>
      </c>
      <c r="AH85" s="92">
        <f>AG84/AH84</f>
        <v>3.2127659574468086</v>
      </c>
      <c r="AI85" s="92">
        <f>AG84/AI84</f>
        <v>4.3019943019943021</v>
      </c>
    </row>
    <row r="89" spans="3:35" ht="40.5">
      <c r="D89" t="s">
        <v>407</v>
      </c>
      <c r="F89" s="38" t="s">
        <v>295</v>
      </c>
      <c r="G89" t="s">
        <v>288</v>
      </c>
      <c r="H89" s="38" t="s">
        <v>46</v>
      </c>
      <c r="J89" s="143" t="s">
        <v>435</v>
      </c>
      <c r="K89" t="s">
        <v>436</v>
      </c>
      <c r="S89" s="38" t="s">
        <v>406</v>
      </c>
      <c r="U89" s="38"/>
      <c r="Y89" s="143" t="s">
        <v>425</v>
      </c>
      <c r="AA89" s="38"/>
      <c r="AB89" s="38"/>
      <c r="AG89" s="38"/>
      <c r="AI89" s="38"/>
    </row>
    <row r="90" spans="3:35" ht="47.25" customHeight="1">
      <c r="C90" s="38" t="s">
        <v>399</v>
      </c>
      <c r="D90" t="s">
        <v>409</v>
      </c>
      <c r="E90" t="s">
        <v>293</v>
      </c>
      <c r="F90" s="92">
        <v>1.91</v>
      </c>
      <c r="G90" s="92">
        <v>0.76</v>
      </c>
      <c r="H90" s="92">
        <v>1.06</v>
      </c>
      <c r="K90" s="38"/>
      <c r="L90" s="38"/>
      <c r="P90" s="38"/>
      <c r="Q90" s="139" t="s">
        <v>421</v>
      </c>
      <c r="R90" s="139" t="s">
        <v>420</v>
      </c>
      <c r="S90" s="139" t="s">
        <v>408</v>
      </c>
      <c r="T90" s="139" t="s">
        <v>414</v>
      </c>
      <c r="U90" s="139" t="s">
        <v>415</v>
      </c>
      <c r="W90" s="139" t="s">
        <v>421</v>
      </c>
      <c r="X90" s="139" t="s">
        <v>420</v>
      </c>
      <c r="Y90" s="139" t="s">
        <v>408</v>
      </c>
      <c r="Z90" s="139" t="s">
        <v>414</v>
      </c>
      <c r="AA90" s="139" t="s">
        <v>415</v>
      </c>
      <c r="AB90" s="92"/>
      <c r="AD90" s="38"/>
      <c r="AG90" s="92"/>
      <c r="AH90" s="92"/>
      <c r="AI90" s="92"/>
    </row>
    <row r="91" spans="3:35">
      <c r="C91" t="s">
        <v>418</v>
      </c>
      <c r="E91" t="s">
        <v>294</v>
      </c>
      <c r="F91">
        <v>1</v>
      </c>
      <c r="G91" s="92">
        <f>F90/G90</f>
        <v>2.513157894736842</v>
      </c>
      <c r="H91" s="92">
        <f>F90/H90</f>
        <v>1.8018867924528301</v>
      </c>
      <c r="L91" s="43"/>
      <c r="Q91" s="44">
        <v>1</v>
      </c>
      <c r="R91" s="141">
        <f>U76/T76-1</f>
        <v>-0.65714285714285714</v>
      </c>
      <c r="S91" s="141">
        <f>H76/G76-1</f>
        <v>-0.44796380090497734</v>
      </c>
      <c r="T91" s="141">
        <f>AB76/AA76-1</f>
        <v>-0.41415094339622638</v>
      </c>
      <c r="U91" s="141">
        <f>AI76/AH76-1</f>
        <v>0.25000000000000022</v>
      </c>
      <c r="W91" s="44">
        <v>1</v>
      </c>
      <c r="X91" s="59">
        <f>U76</f>
        <v>0.47619047619047616</v>
      </c>
      <c r="Y91" s="59">
        <f>H76</f>
        <v>1.0361990950226245</v>
      </c>
      <c r="Z91" s="59">
        <f>AB76</f>
        <v>0.91037735849056611</v>
      </c>
      <c r="AA91" s="59">
        <f>AI76</f>
        <v>1.3475609756097564</v>
      </c>
      <c r="AB91" s="92"/>
      <c r="AH91" s="92"/>
      <c r="AI91" s="92"/>
    </row>
    <row r="92" spans="3:35">
      <c r="C92">
        <v>2</v>
      </c>
      <c r="L92" s="43"/>
      <c r="Q92" s="44">
        <v>2</v>
      </c>
      <c r="R92" s="141">
        <f>U79/T79-1</f>
        <v>-0.50943396226415094</v>
      </c>
      <c r="S92" s="141">
        <f>H79/G79-1</f>
        <v>-0.27192982456140358</v>
      </c>
      <c r="T92" s="141">
        <f>AB79/AA79-1</f>
        <v>-0.27272727272727271</v>
      </c>
      <c r="U92" s="141">
        <f>AI79/AH79-1</f>
        <v>0.22159090909090895</v>
      </c>
      <c r="W92" s="44">
        <v>2</v>
      </c>
      <c r="X92" s="59">
        <f>U79</f>
        <v>1.8018867924528301</v>
      </c>
      <c r="Y92" s="59">
        <f>H79</f>
        <v>2.6885964912280702</v>
      </c>
      <c r="Z92" s="59">
        <f>AB79</f>
        <v>2.2454545454545456</v>
      </c>
      <c r="AA92" s="59">
        <f>AI79</f>
        <v>2.9545454545454541</v>
      </c>
    </row>
    <row r="93" spans="3:35">
      <c r="D93" t="s">
        <v>408</v>
      </c>
      <c r="E93" t="s">
        <v>293</v>
      </c>
      <c r="F93" s="92">
        <v>6.12</v>
      </c>
      <c r="G93" s="92">
        <v>2.74</v>
      </c>
      <c r="H93" s="92">
        <v>2.27</v>
      </c>
      <c r="J93" s="92">
        <v>2.33</v>
      </c>
      <c r="K93" s="92">
        <v>1.23</v>
      </c>
      <c r="L93" s="43"/>
      <c r="Q93" s="44">
        <v>3</v>
      </c>
      <c r="R93" s="141">
        <f>U82/T82-1</f>
        <v>-0.5</v>
      </c>
      <c r="S93" s="141">
        <f>H82/G82-1</f>
        <v>-0.23728813559322037</v>
      </c>
      <c r="T93" s="141">
        <f>AB82/AA82-1</f>
        <v>-0.20353982300884965</v>
      </c>
      <c r="U93" s="141">
        <f>AI82/AH82-1</f>
        <v>0.28571428571428581</v>
      </c>
      <c r="W93" s="44">
        <v>3</v>
      </c>
      <c r="X93" s="59">
        <f>U82</f>
        <v>2.0648148148148149</v>
      </c>
      <c r="Y93" s="59">
        <f>H82</f>
        <v>3.2161016949152543</v>
      </c>
      <c r="Z93" s="59">
        <f>AB82</f>
        <v>2.6725663716814156</v>
      </c>
      <c r="AA93" s="59">
        <f>AI82</f>
        <v>3.5714285714285716</v>
      </c>
      <c r="AB93" s="92"/>
      <c r="AG93" s="92"/>
      <c r="AH93" s="92"/>
      <c r="AI93" s="92"/>
    </row>
    <row r="94" spans="3:35">
      <c r="E94" t="s">
        <v>294</v>
      </c>
      <c r="F94">
        <v>1</v>
      </c>
      <c r="G94" s="92">
        <f>F93/G93</f>
        <v>2.2335766423357661</v>
      </c>
      <c r="H94" s="92">
        <f>F93/H93</f>
        <v>2.696035242290749</v>
      </c>
      <c r="J94" s="92">
        <f>F93/J93</f>
        <v>2.6266094420600856</v>
      </c>
      <c r="K94" s="92">
        <f>F93/K93</f>
        <v>4.975609756097561</v>
      </c>
      <c r="L94" s="43"/>
      <c r="Q94" s="44">
        <v>4</v>
      </c>
      <c r="R94" s="141">
        <f>U85/T85-1</f>
        <v>-0.44036697247706436</v>
      </c>
      <c r="S94" s="141">
        <f>H85/G85-1</f>
        <v>-0.14285714285714302</v>
      </c>
      <c r="T94" s="141">
        <f>AB85/AA85-1</f>
        <v>-0.1009174311926605</v>
      </c>
      <c r="U94" s="141">
        <f>AI85/AH85-1</f>
        <v>0.33903133903133909</v>
      </c>
      <c r="W94" s="44">
        <v>4</v>
      </c>
      <c r="X94" s="59">
        <f>U85</f>
        <v>2.3486238532110089</v>
      </c>
      <c r="Y94" s="59">
        <f>H85</f>
        <v>3.7306122448979591</v>
      </c>
      <c r="Z94" s="59">
        <f>AB85</f>
        <v>3.3394495412844036</v>
      </c>
      <c r="AA94" s="59">
        <f>AI85</f>
        <v>4.3019943019943021</v>
      </c>
      <c r="AB94" s="92"/>
      <c r="AH94" s="92"/>
      <c r="AI94" s="92"/>
    </row>
    <row r="96" spans="3:35">
      <c r="D96" t="s">
        <v>410</v>
      </c>
      <c r="E96" t="s">
        <v>293</v>
      </c>
      <c r="F96" s="61">
        <v>24.7</v>
      </c>
      <c r="G96" s="61">
        <v>11</v>
      </c>
      <c r="H96" s="61">
        <v>11</v>
      </c>
      <c r="S96" s="61"/>
      <c r="T96" s="61"/>
      <c r="U96" s="61"/>
      <c r="Z96" s="61"/>
      <c r="AA96" s="61"/>
      <c r="AB96" s="61"/>
      <c r="AG96" s="61"/>
      <c r="AH96" s="61"/>
      <c r="AI96" s="61"/>
    </row>
    <row r="97" spans="3:35">
      <c r="E97" t="s">
        <v>294</v>
      </c>
      <c r="F97">
        <v>1</v>
      </c>
      <c r="G97" s="92">
        <f>F96/G96</f>
        <v>2.2454545454545456</v>
      </c>
      <c r="H97" s="92">
        <f>F96/H96</f>
        <v>2.2454545454545456</v>
      </c>
      <c r="T97" s="92"/>
      <c r="U97" s="92"/>
      <c r="AA97" s="92"/>
      <c r="AB97" s="92"/>
      <c r="AH97" s="92"/>
      <c r="AI97" s="92"/>
    </row>
    <row r="99" spans="3:35">
      <c r="D99" t="s">
        <v>411</v>
      </c>
      <c r="E99" t="s">
        <v>293</v>
      </c>
      <c r="F99" s="61">
        <v>104</v>
      </c>
      <c r="G99" s="61">
        <v>48.9</v>
      </c>
      <c r="H99" s="61">
        <v>40</v>
      </c>
      <c r="S99" s="61"/>
      <c r="T99" s="61"/>
      <c r="U99" s="61"/>
      <c r="Z99" s="61"/>
      <c r="AA99" s="61"/>
      <c r="AB99" s="61"/>
      <c r="AG99" s="61"/>
      <c r="AH99" s="61"/>
      <c r="AI99" s="61"/>
    </row>
    <row r="100" spans="3:35">
      <c r="E100" t="s">
        <v>294</v>
      </c>
      <c r="F100">
        <v>1</v>
      </c>
      <c r="G100" s="92">
        <f>F99/G99</f>
        <v>2.1267893660531696</v>
      </c>
      <c r="H100" s="92">
        <f>F99/H99</f>
        <v>2.6</v>
      </c>
      <c r="T100" s="92"/>
      <c r="U100" s="92"/>
      <c r="AA100" s="92"/>
      <c r="AB100" s="92"/>
      <c r="AH100" s="92"/>
      <c r="AI100" s="92"/>
    </row>
    <row r="104" spans="3:35">
      <c r="F104" s="143"/>
      <c r="H104" s="143"/>
      <c r="I104" s="143"/>
      <c r="J104" s="143"/>
      <c r="S104" s="143"/>
      <c r="U104" s="143"/>
      <c r="Z104" s="143"/>
      <c r="AB104" s="143"/>
      <c r="AG104" s="143"/>
      <c r="AI104" s="143"/>
    </row>
    <row r="105" spans="3:35">
      <c r="C105" s="143"/>
      <c r="F105" s="92"/>
      <c r="G105" s="92"/>
      <c r="H105" s="92"/>
      <c r="I105" s="92"/>
      <c r="L105" s="92"/>
      <c r="P105" s="143"/>
      <c r="S105" s="92"/>
      <c r="T105" s="92"/>
      <c r="U105" s="92"/>
      <c r="V105" s="92"/>
      <c r="W105" s="143"/>
      <c r="Z105" s="92"/>
      <c r="AA105" s="92"/>
      <c r="AB105" s="61"/>
      <c r="AD105" s="143"/>
      <c r="AG105" s="61"/>
      <c r="AH105" s="61"/>
      <c r="AI105" s="61"/>
    </row>
    <row r="106" spans="3:35">
      <c r="G106" s="92"/>
      <c r="H106" s="92"/>
      <c r="T106" s="92"/>
      <c r="U106" s="92"/>
      <c r="AA106" s="92"/>
      <c r="AB106" s="92"/>
      <c r="AH106" s="92"/>
      <c r="AI106" s="92"/>
    </row>
    <row r="108" spans="3:35">
      <c r="F108" s="92"/>
      <c r="G108" s="92"/>
      <c r="H108" s="92"/>
      <c r="I108" s="92"/>
      <c r="S108" s="92"/>
      <c r="T108" s="92"/>
      <c r="U108" s="92"/>
      <c r="V108" s="92"/>
      <c r="Z108" s="61"/>
      <c r="AA108" s="92"/>
      <c r="AB108" s="61"/>
      <c r="AG108" s="117"/>
      <c r="AH108" s="61"/>
      <c r="AI108" s="61"/>
    </row>
    <row r="109" spans="3:35">
      <c r="G109" s="61"/>
      <c r="H109" s="61"/>
      <c r="T109" s="92"/>
      <c r="U109" s="92"/>
      <c r="AA109" s="92"/>
      <c r="AB109" s="92"/>
      <c r="AH109" s="92"/>
      <c r="AI109" s="92"/>
    </row>
    <row r="111" spans="3:35">
      <c r="F111" s="61"/>
      <c r="G111" s="61"/>
      <c r="H111" s="61"/>
      <c r="I111" s="92"/>
      <c r="J111" s="92"/>
      <c r="Z111" s="61"/>
      <c r="AA111" s="61"/>
      <c r="AB111" s="61"/>
      <c r="AG111" s="117"/>
      <c r="AH111" s="61"/>
      <c r="AI111" s="61"/>
    </row>
    <row r="112" spans="3:35">
      <c r="G112" s="92"/>
      <c r="H112" s="92"/>
      <c r="AA112" s="92"/>
      <c r="AB112" s="92"/>
      <c r="AH112" s="92"/>
      <c r="AI112" s="92"/>
    </row>
    <row r="114" spans="6:35">
      <c r="F114" s="61"/>
      <c r="G114" s="61"/>
      <c r="H114" s="61"/>
      <c r="I114" s="92"/>
      <c r="J114" s="92"/>
      <c r="Z114" s="61"/>
      <c r="AA114" s="61"/>
      <c r="AB114" s="61"/>
      <c r="AG114" s="117"/>
      <c r="AH114" s="61"/>
      <c r="AI114" s="61"/>
    </row>
    <row r="115" spans="6:35">
      <c r="G115" s="92"/>
      <c r="H115" s="92"/>
      <c r="AA115" s="92"/>
      <c r="AB115" s="92"/>
      <c r="AH115" s="92"/>
      <c r="AI115" s="92"/>
    </row>
    <row r="118" spans="6:35">
      <c r="Y118" s="73"/>
      <c r="Z118" s="73"/>
      <c r="AA118" s="73"/>
    </row>
    <row r="119" spans="6:35">
      <c r="Y119" s="74"/>
      <c r="Z119" s="73"/>
      <c r="AA119" s="74"/>
    </row>
    <row r="120" spans="6:35">
      <c r="Y120" s="74"/>
      <c r="Z120" s="74"/>
      <c r="AA120" s="74"/>
    </row>
    <row r="121" spans="6:35">
      <c r="Y121" s="122"/>
      <c r="Z121" s="122"/>
      <c r="AA121" s="122"/>
    </row>
    <row r="122" spans="6:35">
      <c r="Y122" s="122"/>
      <c r="Z122" s="122"/>
      <c r="AA122" s="122"/>
    </row>
    <row r="123" spans="6:35">
      <c r="Y123" s="122"/>
      <c r="Z123" s="122"/>
      <c r="AA123" s="122"/>
    </row>
    <row r="124" spans="6:35">
      <c r="Y124" s="122"/>
      <c r="Z124" s="122"/>
      <c r="AA124" s="122"/>
    </row>
    <row r="125" spans="6:35">
      <c r="Y125" s="73"/>
      <c r="Z125" s="73"/>
      <c r="AA125" s="73"/>
    </row>
    <row r="126" spans="6:35" ht="27.75" customHeight="1">
      <c r="P126" s="73"/>
      <c r="Q126" s="167"/>
      <c r="R126" s="167"/>
      <c r="S126" s="167"/>
      <c r="T126" s="167"/>
      <c r="U126" s="167"/>
      <c r="V126" s="73"/>
      <c r="W126" s="167"/>
      <c r="X126" s="167"/>
      <c r="Y126" s="167"/>
      <c r="Z126" s="167"/>
      <c r="AA126" s="167"/>
    </row>
    <row r="127" spans="6:35"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  <c r="AA127" s="73"/>
    </row>
    <row r="128" spans="6:35"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  <c r="AA128" s="73"/>
    </row>
    <row r="129" spans="16:27"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  <c r="AA129" s="73"/>
    </row>
  </sheetData>
  <mergeCells count="25">
    <mergeCell ref="Q126:U126"/>
    <mergeCell ref="W126:AA126"/>
    <mergeCell ref="I51:K52"/>
    <mergeCell ref="I60:K61"/>
    <mergeCell ref="I43:K44"/>
    <mergeCell ref="B45:C45"/>
    <mergeCell ref="D45:E45"/>
    <mergeCell ref="F45:G45"/>
    <mergeCell ref="H45:I45"/>
    <mergeCell ref="J45:K45"/>
    <mergeCell ref="H11:J12"/>
    <mergeCell ref="E26:G27"/>
    <mergeCell ref="I37:K38"/>
    <mergeCell ref="B39:C39"/>
    <mergeCell ref="D39:E39"/>
    <mergeCell ref="F39:G39"/>
    <mergeCell ref="H39:I39"/>
    <mergeCell ref="J39:K39"/>
    <mergeCell ref="M2:O3"/>
    <mergeCell ref="B4:B5"/>
    <mergeCell ref="C4:E4"/>
    <mergeCell ref="F4:G4"/>
    <mergeCell ref="H4:I4"/>
    <mergeCell ref="J4:L4"/>
    <mergeCell ref="M4:O4"/>
  </mergeCells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AA136"/>
  <sheetViews>
    <sheetView topLeftCell="N109" workbookViewId="0">
      <selection activeCell="Z143" sqref="Z143"/>
    </sheetView>
  </sheetViews>
  <sheetFormatPr defaultRowHeight="13.5"/>
  <cols>
    <col min="2" max="2" width="7.625" bestFit="1" customWidth="1"/>
    <col min="3" max="3" width="8.5" bestFit="1" customWidth="1"/>
    <col min="4" max="4" width="6.75" bestFit="1" customWidth="1"/>
    <col min="5" max="5" width="5.875" bestFit="1" customWidth="1"/>
    <col min="6" max="7" width="7.625" bestFit="1" customWidth="1"/>
    <col min="8" max="8" width="5.5" bestFit="1" customWidth="1"/>
    <col min="9" max="9" width="7.125" bestFit="1" customWidth="1"/>
    <col min="10" max="10" width="7.5" bestFit="1" customWidth="1"/>
    <col min="11" max="11" width="6" customWidth="1"/>
    <col min="12" max="12" width="6.5" bestFit="1" customWidth="1"/>
    <col min="13" max="14" width="6" customWidth="1"/>
    <col min="15" max="15" width="4.625" customWidth="1"/>
    <col min="16" max="17" width="11" bestFit="1" customWidth="1"/>
    <col min="25" max="25" width="9.875" customWidth="1"/>
    <col min="26" max="27" width="9.5" bestFit="1" customWidth="1"/>
  </cols>
  <sheetData>
    <row r="2" spans="2:16">
      <c r="M2" s="158" t="s">
        <v>62</v>
      </c>
      <c r="N2" s="159"/>
      <c r="O2" s="159"/>
      <c r="P2" t="s">
        <v>63</v>
      </c>
    </row>
    <row r="3" spans="2:16" ht="14.25" thickBot="1">
      <c r="M3" s="159"/>
      <c r="N3" s="159"/>
      <c r="O3" s="159"/>
    </row>
    <row r="4" spans="2:16" ht="15" thickBot="1">
      <c r="B4" s="160" t="s">
        <v>10</v>
      </c>
      <c r="C4" s="162" t="s">
        <v>3</v>
      </c>
      <c r="D4" s="162"/>
      <c r="E4" s="157"/>
      <c r="F4" s="156" t="s">
        <v>4</v>
      </c>
      <c r="G4" s="163"/>
      <c r="H4" s="156" t="s">
        <v>5</v>
      </c>
      <c r="I4" s="163"/>
      <c r="J4" s="156" t="s">
        <v>6</v>
      </c>
      <c r="K4" s="162"/>
      <c r="L4" s="157"/>
      <c r="M4" s="164" t="s">
        <v>7</v>
      </c>
      <c r="N4" s="165"/>
      <c r="O4" s="166"/>
    </row>
    <row r="5" spans="2:16" ht="15" thickBot="1">
      <c r="B5" s="161"/>
      <c r="C5" s="6" t="s">
        <v>1</v>
      </c>
      <c r="D5" s="7" t="s">
        <v>2</v>
      </c>
      <c r="E5" s="6" t="s">
        <v>0</v>
      </c>
      <c r="F5" s="6" t="s">
        <v>1</v>
      </c>
      <c r="G5" s="7" t="s">
        <v>2</v>
      </c>
      <c r="H5" s="6" t="s">
        <v>1</v>
      </c>
      <c r="I5" s="7" t="s">
        <v>2</v>
      </c>
      <c r="J5" s="6" t="s">
        <v>1</v>
      </c>
      <c r="K5" s="7" t="s">
        <v>2</v>
      </c>
      <c r="L5" s="6" t="s">
        <v>0</v>
      </c>
      <c r="M5" s="6" t="s">
        <v>1</v>
      </c>
      <c r="N5" s="7" t="s">
        <v>2</v>
      </c>
      <c r="O5" s="6" t="s">
        <v>0</v>
      </c>
    </row>
    <row r="6" spans="2:16" ht="15" thickBot="1">
      <c r="B6" s="1">
        <v>1</v>
      </c>
      <c r="C6" s="34">
        <f>D6-I16</f>
        <v>24.4</v>
      </c>
      <c r="D6" s="1">
        <v>36.9</v>
      </c>
      <c r="E6" s="1">
        <v>0.26</v>
      </c>
      <c r="F6" s="23">
        <f>G6-I16</f>
        <v>17</v>
      </c>
      <c r="G6" s="1">
        <v>29.5</v>
      </c>
      <c r="H6" s="34">
        <f>I6-I16</f>
        <v>19.700000000000003</v>
      </c>
      <c r="I6" s="25">
        <v>32.200000000000003</v>
      </c>
      <c r="J6" s="34">
        <f>K6-I16</f>
        <v>17.2</v>
      </c>
      <c r="K6" s="1">
        <v>29.7</v>
      </c>
      <c r="L6" s="34">
        <v>0.85</v>
      </c>
      <c r="M6" s="34">
        <f>N6-I18</f>
        <v>0.99</v>
      </c>
      <c r="N6" s="21">
        <v>2.6</v>
      </c>
      <c r="O6" s="34">
        <v>0.13</v>
      </c>
    </row>
    <row r="7" spans="2:16" ht="15" thickBot="1">
      <c r="B7" s="35">
        <v>2</v>
      </c>
      <c r="C7" s="23">
        <f>D7-I16</f>
        <v>31.9</v>
      </c>
      <c r="D7" s="35">
        <v>44.4</v>
      </c>
      <c r="E7" s="35">
        <v>0.28000000000000003</v>
      </c>
      <c r="F7" s="23">
        <f>G7-I16</f>
        <v>18</v>
      </c>
      <c r="G7" s="35">
        <v>30.5</v>
      </c>
      <c r="H7" s="34">
        <f>I7-I16</f>
        <v>21.700000000000003</v>
      </c>
      <c r="I7" s="35">
        <v>34.200000000000003</v>
      </c>
      <c r="J7" s="34">
        <f>K7-I16</f>
        <v>18.100000000000001</v>
      </c>
      <c r="K7" s="35">
        <v>30.6</v>
      </c>
      <c r="L7" s="36">
        <v>0.97</v>
      </c>
      <c r="M7" s="34">
        <f>N7-I18</f>
        <v>1.1599999999999999</v>
      </c>
      <c r="N7" s="35">
        <v>2.77</v>
      </c>
      <c r="O7" s="20">
        <v>0.1</v>
      </c>
    </row>
    <row r="8" spans="2:16" ht="15" thickBot="1">
      <c r="B8" s="35">
        <v>3</v>
      </c>
      <c r="C8" s="23">
        <f>D8-I16</f>
        <v>39.299999999999997</v>
      </c>
      <c r="D8" s="35">
        <v>51.8</v>
      </c>
      <c r="E8" s="22">
        <v>0.3</v>
      </c>
      <c r="F8" s="34">
        <f>G8-I16</f>
        <v>18.8</v>
      </c>
      <c r="G8" s="35">
        <v>31.3</v>
      </c>
      <c r="H8" s="34">
        <f>I8-I16</f>
        <v>25.5</v>
      </c>
      <c r="I8" s="26">
        <v>38</v>
      </c>
      <c r="J8" s="23">
        <f>K8-I16</f>
        <v>18.600000000000001</v>
      </c>
      <c r="K8" s="35">
        <v>31.1</v>
      </c>
      <c r="L8" s="36">
        <v>0.76</v>
      </c>
      <c r="M8" s="19">
        <f>N8-I18</f>
        <v>1.4199999999999997</v>
      </c>
      <c r="N8" s="35">
        <v>3.03</v>
      </c>
      <c r="O8" s="36">
        <v>0.16</v>
      </c>
    </row>
    <row r="9" spans="2:16" ht="15" thickBot="1">
      <c r="B9" s="35">
        <v>4</v>
      </c>
      <c r="C9" s="23">
        <f>D9-I16</f>
        <v>47.6</v>
      </c>
      <c r="D9" s="35">
        <v>60.1</v>
      </c>
      <c r="E9" s="22">
        <v>0.42</v>
      </c>
      <c r="F9" s="34">
        <f>G9-I16</f>
        <v>19.600000000000001</v>
      </c>
      <c r="G9" s="35">
        <v>32.1</v>
      </c>
      <c r="H9" s="23">
        <f>I9-I16</f>
        <v>28.200000000000003</v>
      </c>
      <c r="I9" s="35">
        <v>40.700000000000003</v>
      </c>
      <c r="J9" s="34">
        <f>K9-I16</f>
        <v>19.399999999999999</v>
      </c>
      <c r="K9" s="35">
        <v>31.9</v>
      </c>
      <c r="L9" s="36">
        <v>0.95</v>
      </c>
      <c r="M9" s="34">
        <f>N9-I18</f>
        <v>2.09</v>
      </c>
      <c r="N9" s="24">
        <v>3.7</v>
      </c>
      <c r="O9" s="36">
        <v>0.15</v>
      </c>
    </row>
    <row r="10" spans="2:16" ht="14.25"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2:16" ht="14.25">
      <c r="B11" s="10"/>
      <c r="C11" s="10"/>
      <c r="D11" s="10"/>
      <c r="E11" s="10"/>
      <c r="F11" s="10"/>
      <c r="G11" s="10"/>
      <c r="H11" s="158" t="s">
        <v>34</v>
      </c>
      <c r="I11" s="159"/>
      <c r="J11" s="159"/>
      <c r="K11" s="10"/>
      <c r="L11" s="10"/>
      <c r="M11" s="10"/>
      <c r="N11" s="10"/>
      <c r="O11" s="10"/>
    </row>
    <row r="12" spans="2:16" ht="15" thickBot="1">
      <c r="B12" s="10"/>
      <c r="C12" s="10"/>
      <c r="D12" s="10"/>
      <c r="E12" s="10"/>
      <c r="F12" s="10"/>
      <c r="G12" s="10"/>
      <c r="H12" s="159"/>
      <c r="I12" s="159"/>
      <c r="J12" s="159"/>
      <c r="K12" s="10"/>
      <c r="L12" s="10"/>
      <c r="M12" s="10"/>
      <c r="N12" s="10"/>
      <c r="O12" s="10"/>
    </row>
    <row r="13" spans="2:16" ht="26.25" thickBot="1">
      <c r="B13" s="11" t="s">
        <v>19</v>
      </c>
      <c r="C13" s="34" t="s">
        <v>11</v>
      </c>
      <c r="D13" s="34" t="s">
        <v>12</v>
      </c>
      <c r="E13" s="34" t="s">
        <v>13</v>
      </c>
      <c r="F13" s="34" t="s">
        <v>14</v>
      </c>
      <c r="G13" s="34" t="s">
        <v>15</v>
      </c>
      <c r="H13" s="34" t="s">
        <v>16</v>
      </c>
      <c r="I13" s="34" t="s">
        <v>17</v>
      </c>
      <c r="J13" s="34" t="s">
        <v>18</v>
      </c>
      <c r="K13" s="10"/>
      <c r="L13" s="10"/>
      <c r="M13" s="10"/>
      <c r="N13" s="10"/>
      <c r="O13" s="10"/>
    </row>
    <row r="14" spans="2:16" ht="27.75" thickBot="1">
      <c r="B14" s="12" t="s">
        <v>20</v>
      </c>
      <c r="C14" s="1">
        <v>0.22</v>
      </c>
      <c r="D14" s="19">
        <v>0.23</v>
      </c>
      <c r="E14" s="19">
        <v>0.27</v>
      </c>
      <c r="F14" s="19">
        <v>0.36</v>
      </c>
      <c r="G14" s="19">
        <v>0.57999999999999996</v>
      </c>
      <c r="H14" s="19">
        <v>0.92</v>
      </c>
      <c r="I14" s="34">
        <v>1.51</v>
      </c>
      <c r="J14" s="34">
        <v>2.69</v>
      </c>
    </row>
    <row r="15" spans="2:16" ht="15" thickBot="1">
      <c r="B15" s="35" t="s">
        <v>47</v>
      </c>
      <c r="C15" s="20">
        <f t="shared" ref="C15:J15" si="0">C16-C14</f>
        <v>0.31000000000000005</v>
      </c>
      <c r="D15" s="20">
        <f t="shared" si="0"/>
        <v>0.37</v>
      </c>
      <c r="E15" s="20">
        <f t="shared" si="0"/>
        <v>0.56999999999999995</v>
      </c>
      <c r="F15" s="20">
        <f t="shared" si="0"/>
        <v>1.6</v>
      </c>
      <c r="G15" s="20">
        <f t="shared" si="0"/>
        <v>5.53</v>
      </c>
      <c r="H15" s="20">
        <f t="shared" si="0"/>
        <v>9.98</v>
      </c>
      <c r="I15" s="27">
        <f t="shared" si="0"/>
        <v>10.99</v>
      </c>
      <c r="J15" s="27">
        <f t="shared" si="0"/>
        <v>21.91</v>
      </c>
    </row>
    <row r="16" spans="2:16" ht="15" thickBot="1">
      <c r="B16" s="12" t="s">
        <v>38</v>
      </c>
      <c r="C16" s="21">
        <v>0.53</v>
      </c>
      <c r="D16" s="19">
        <v>0.6</v>
      </c>
      <c r="E16" s="19">
        <v>0.84</v>
      </c>
      <c r="F16" s="19">
        <v>1.96</v>
      </c>
      <c r="G16" s="34">
        <v>6.11</v>
      </c>
      <c r="H16" s="34">
        <v>10.9</v>
      </c>
      <c r="I16" s="34">
        <v>12.5</v>
      </c>
      <c r="J16" s="34">
        <v>24.6</v>
      </c>
    </row>
    <row r="17" spans="2:10" ht="15" thickBot="1">
      <c r="B17" s="35" t="s">
        <v>46</v>
      </c>
      <c r="C17" s="20">
        <f>C18-C14</f>
        <v>6.0000000000000026E-2</v>
      </c>
      <c r="D17" s="20">
        <f t="shared" ref="D17:J17" si="1">D18-D14</f>
        <v>5.999999999999997E-2</v>
      </c>
      <c r="E17" s="20">
        <f t="shared" si="1"/>
        <v>3.999999999999998E-2</v>
      </c>
      <c r="F17" s="20">
        <f t="shared" si="1"/>
        <v>0.06</v>
      </c>
      <c r="G17" s="20">
        <f t="shared" si="1"/>
        <v>6.0000000000000053E-2</v>
      </c>
      <c r="H17" s="20">
        <f t="shared" si="1"/>
        <v>7.999999999999996E-2</v>
      </c>
      <c r="I17" s="20">
        <f t="shared" si="1"/>
        <v>0.10000000000000009</v>
      </c>
      <c r="J17" s="20">
        <f t="shared" si="1"/>
        <v>0.10999999999999988</v>
      </c>
    </row>
    <row r="18" spans="2:10" ht="27.75" thickBot="1">
      <c r="B18" s="12" t="s">
        <v>37</v>
      </c>
      <c r="C18" s="21">
        <v>0.28000000000000003</v>
      </c>
      <c r="D18" s="19">
        <v>0.28999999999999998</v>
      </c>
      <c r="E18" s="19">
        <v>0.31</v>
      </c>
      <c r="F18" s="19">
        <v>0.42</v>
      </c>
      <c r="G18" s="19">
        <v>0.64</v>
      </c>
      <c r="H18" s="19">
        <v>1</v>
      </c>
      <c r="I18" s="34">
        <v>1.61</v>
      </c>
      <c r="J18" s="19">
        <v>2.8</v>
      </c>
    </row>
    <row r="19" spans="2:10" ht="14.25">
      <c r="B19" s="16"/>
      <c r="C19" s="10"/>
      <c r="D19" s="10"/>
      <c r="E19" s="10"/>
      <c r="F19" s="10"/>
      <c r="G19" s="10"/>
      <c r="H19" s="10"/>
      <c r="I19" s="10"/>
      <c r="J19" s="10"/>
    </row>
    <row r="20" spans="2:10" ht="14.25">
      <c r="B20" s="16"/>
      <c r="C20" s="10"/>
      <c r="D20" s="10"/>
      <c r="E20" s="10"/>
      <c r="F20" s="10"/>
      <c r="G20" s="10"/>
      <c r="H20" s="10"/>
      <c r="I20" s="10"/>
      <c r="J20" s="10"/>
    </row>
    <row r="21" spans="2:10" ht="14.25">
      <c r="B21" s="16"/>
      <c r="C21" s="10"/>
      <c r="D21" s="10"/>
      <c r="E21" s="10"/>
      <c r="F21" s="10"/>
      <c r="G21" s="10"/>
      <c r="H21" s="10"/>
      <c r="I21" s="10"/>
      <c r="J21" s="10"/>
    </row>
    <row r="22" spans="2:10" ht="14.25">
      <c r="B22" s="16"/>
      <c r="C22" s="10"/>
      <c r="D22" s="10"/>
      <c r="E22" s="10"/>
      <c r="F22" s="10"/>
      <c r="G22" s="10"/>
      <c r="H22" s="10"/>
      <c r="I22" s="10"/>
      <c r="J22" s="10"/>
    </row>
    <row r="23" spans="2:10" ht="14.25">
      <c r="B23" s="16"/>
      <c r="C23" s="10"/>
      <c r="D23" s="10"/>
      <c r="E23" s="10"/>
      <c r="F23" s="10"/>
      <c r="G23" s="10"/>
      <c r="H23" s="10"/>
      <c r="I23" s="10"/>
      <c r="J23" s="10"/>
    </row>
    <row r="24" spans="2:10" ht="14.25">
      <c r="B24" s="16"/>
      <c r="C24" s="10"/>
      <c r="D24" s="10"/>
      <c r="E24" s="10"/>
      <c r="F24" s="10"/>
      <c r="G24" s="10"/>
      <c r="H24" s="10"/>
      <c r="I24" s="10"/>
      <c r="J24" s="10"/>
    </row>
    <row r="25" spans="2:10" ht="14.25">
      <c r="B25" s="16"/>
      <c r="C25" s="10"/>
      <c r="D25" s="10"/>
      <c r="E25" s="10"/>
      <c r="F25" s="10"/>
      <c r="G25" s="10"/>
      <c r="H25" s="10"/>
      <c r="I25" s="10"/>
      <c r="J25" s="10"/>
    </row>
    <row r="26" spans="2:10" ht="14.25">
      <c r="B26" s="16"/>
      <c r="C26" s="10"/>
      <c r="D26" s="10"/>
      <c r="E26" s="150" t="s">
        <v>26</v>
      </c>
      <c r="F26" s="151"/>
      <c r="G26" s="152"/>
      <c r="H26" s="10"/>
      <c r="I26" s="10"/>
      <c r="J26" s="10"/>
    </row>
    <row r="27" spans="2:10" ht="15" thickBot="1">
      <c r="B27" s="16"/>
      <c r="C27" s="10"/>
      <c r="D27" s="10"/>
      <c r="E27" s="153"/>
      <c r="F27" s="154"/>
      <c r="G27" s="155"/>
      <c r="H27" s="10"/>
      <c r="I27" s="10"/>
      <c r="J27" s="10"/>
    </row>
    <row r="28" spans="2:10" ht="26.25" thickBot="1">
      <c r="B28" s="11"/>
      <c r="C28" s="11" t="s">
        <v>3</v>
      </c>
      <c r="D28" s="11" t="s">
        <v>8</v>
      </c>
      <c r="E28" s="11" t="s">
        <v>5</v>
      </c>
      <c r="F28" s="11" t="s">
        <v>22</v>
      </c>
      <c r="G28" s="11" t="s">
        <v>31</v>
      </c>
    </row>
    <row r="29" spans="2:10" ht="26.25" thickBot="1">
      <c r="B29" s="12" t="s">
        <v>24</v>
      </c>
      <c r="C29" s="12">
        <f>C7</f>
        <v>31.9</v>
      </c>
      <c r="D29" s="18">
        <f>F7</f>
        <v>18</v>
      </c>
      <c r="E29" s="18">
        <f>H7</f>
        <v>21.700000000000003</v>
      </c>
      <c r="F29" s="12">
        <f>J7</f>
        <v>18.100000000000001</v>
      </c>
      <c r="G29" s="12">
        <f>M7</f>
        <v>1.1599999999999999</v>
      </c>
    </row>
    <row r="30" spans="2:10" ht="26.25" thickBot="1">
      <c r="B30" s="12" t="s">
        <v>25</v>
      </c>
      <c r="C30" s="12">
        <f>D7</f>
        <v>44.4</v>
      </c>
      <c r="D30" s="18">
        <f>G7</f>
        <v>30.5</v>
      </c>
      <c r="E30" s="12">
        <f>I7</f>
        <v>34.200000000000003</v>
      </c>
      <c r="F30" s="12">
        <f>K7</f>
        <v>30.6</v>
      </c>
      <c r="G30" s="12">
        <f>N7</f>
        <v>2.77</v>
      </c>
    </row>
    <row r="31" spans="2:10" ht="26.25" thickBot="1">
      <c r="B31" s="12" t="s">
        <v>29</v>
      </c>
      <c r="C31" s="12">
        <f>C29/C29</f>
        <v>1</v>
      </c>
      <c r="D31" s="17">
        <f>C29/D29</f>
        <v>1.7722222222222221</v>
      </c>
      <c r="E31" s="17">
        <f>C29/E29</f>
        <v>1.4700460829493085</v>
      </c>
      <c r="F31" s="17">
        <f>C29/F29</f>
        <v>1.7624309392265192</v>
      </c>
      <c r="G31" s="17">
        <f>C29/G29</f>
        <v>27.5</v>
      </c>
    </row>
    <row r="32" spans="2:10" ht="26.25" thickBot="1">
      <c r="B32" s="12" t="s">
        <v>30</v>
      </c>
      <c r="C32" s="12">
        <f>C30/C30</f>
        <v>1</v>
      </c>
      <c r="D32" s="17">
        <f>C30/D30</f>
        <v>1.4557377049180327</v>
      </c>
      <c r="E32" s="17">
        <f>C30/E30</f>
        <v>1.2982456140350875</v>
      </c>
      <c r="F32" s="17">
        <f>C30/F30</f>
        <v>1.4509803921568627</v>
      </c>
      <c r="G32" s="17">
        <f>C30/G30</f>
        <v>16.028880866425993</v>
      </c>
    </row>
    <row r="37" spans="2:19">
      <c r="I37" s="150" t="s">
        <v>43</v>
      </c>
      <c r="J37" s="151"/>
      <c r="K37" s="152"/>
    </row>
    <row r="38" spans="2:19" ht="14.25" thickBot="1">
      <c r="I38" s="153"/>
      <c r="J38" s="154"/>
      <c r="K38" s="155"/>
    </row>
    <row r="39" spans="2:19" ht="15" thickBot="1">
      <c r="B39" s="156" t="s">
        <v>39</v>
      </c>
      <c r="C39" s="157"/>
      <c r="D39" s="156" t="s">
        <v>27</v>
      </c>
      <c r="E39" s="157"/>
      <c r="F39" s="156" t="s">
        <v>40</v>
      </c>
      <c r="G39" s="157"/>
      <c r="H39" s="156" t="s">
        <v>23</v>
      </c>
      <c r="I39" s="157"/>
      <c r="J39" s="156" t="s">
        <v>41</v>
      </c>
      <c r="K39" s="157"/>
    </row>
    <row r="40" spans="2:19" ht="15" thickBot="1">
      <c r="B40" s="35" t="s">
        <v>42</v>
      </c>
      <c r="C40" s="36" t="s">
        <v>21</v>
      </c>
      <c r="D40" s="36" t="s">
        <v>42</v>
      </c>
      <c r="E40" s="36" t="s">
        <v>21</v>
      </c>
      <c r="F40" s="36" t="s">
        <v>42</v>
      </c>
      <c r="G40" s="36" t="s">
        <v>21</v>
      </c>
      <c r="H40" s="36" t="s">
        <v>42</v>
      </c>
      <c r="I40" s="36" t="s">
        <v>21</v>
      </c>
      <c r="J40" s="36" t="s">
        <v>45</v>
      </c>
      <c r="K40" s="36" t="s">
        <v>21</v>
      </c>
    </row>
    <row r="41" spans="2:19" ht="15" thickBot="1">
      <c r="B41" s="35">
        <f>C41-I16</f>
        <v>18.5</v>
      </c>
      <c r="C41" s="27">
        <v>31</v>
      </c>
      <c r="D41" s="34">
        <f>E41-I16</f>
        <v>16.899999999999999</v>
      </c>
      <c r="E41" s="36">
        <v>29.4</v>
      </c>
      <c r="F41" s="34">
        <f>G41-I16</f>
        <v>17.600000000000001</v>
      </c>
      <c r="G41" s="36">
        <v>30.1</v>
      </c>
      <c r="H41" s="23">
        <f>I41-I16</f>
        <v>17.2</v>
      </c>
      <c r="I41" s="36">
        <v>29.7</v>
      </c>
      <c r="J41" s="34">
        <f>K41-I18</f>
        <v>0.8600000000000001</v>
      </c>
      <c r="K41" s="36">
        <v>2.4700000000000002</v>
      </c>
    </row>
    <row r="43" spans="2:19">
      <c r="I43" s="150" t="s">
        <v>44</v>
      </c>
      <c r="J43" s="151"/>
      <c r="K43" s="152"/>
    </row>
    <row r="44" spans="2:19" ht="14.25" thickBot="1">
      <c r="I44" s="153"/>
      <c r="J44" s="154"/>
      <c r="K44" s="155"/>
    </row>
    <row r="45" spans="2:19" ht="15" thickBot="1">
      <c r="B45" s="156" t="s">
        <v>39</v>
      </c>
      <c r="C45" s="157"/>
      <c r="D45" s="156" t="s">
        <v>27</v>
      </c>
      <c r="E45" s="157"/>
      <c r="F45" s="156" t="s">
        <v>40</v>
      </c>
      <c r="G45" s="157"/>
      <c r="H45" s="156" t="s">
        <v>23</v>
      </c>
      <c r="I45" s="157"/>
      <c r="J45" s="156" t="s">
        <v>41</v>
      </c>
      <c r="K45" s="157"/>
    </row>
    <row r="46" spans="2:19" ht="15" thickBot="1">
      <c r="B46" s="35" t="s">
        <v>42</v>
      </c>
      <c r="C46" s="36" t="s">
        <v>21</v>
      </c>
      <c r="D46" s="36" t="s">
        <v>42</v>
      </c>
      <c r="E46" s="36" t="s">
        <v>21</v>
      </c>
      <c r="F46" s="36" t="s">
        <v>42</v>
      </c>
      <c r="G46" s="36" t="s">
        <v>21</v>
      </c>
      <c r="H46" s="36" t="s">
        <v>42</v>
      </c>
      <c r="I46" s="36" t="s">
        <v>21</v>
      </c>
      <c r="J46" s="36" t="s">
        <v>42</v>
      </c>
      <c r="K46" s="36" t="s">
        <v>21</v>
      </c>
    </row>
    <row r="47" spans="2:19" ht="15" thickBot="1">
      <c r="B47" s="35">
        <f>C47-I16</f>
        <v>21.700000000000003</v>
      </c>
      <c r="C47" s="1">
        <v>34.200000000000003</v>
      </c>
      <c r="D47" s="34">
        <f>E47-I16</f>
        <v>17.899999999999999</v>
      </c>
      <c r="E47" s="34">
        <v>30.4</v>
      </c>
      <c r="F47" s="34">
        <f>G47-I16</f>
        <v>18.600000000000001</v>
      </c>
      <c r="G47" s="34">
        <v>31.1</v>
      </c>
      <c r="H47" s="23">
        <f>I47-I16</f>
        <v>17.2</v>
      </c>
      <c r="I47" s="34">
        <v>29.7</v>
      </c>
      <c r="J47" s="34">
        <f>K47-I18</f>
        <v>0.95</v>
      </c>
      <c r="K47" s="34">
        <v>2.56</v>
      </c>
      <c r="Q47" s="150" t="s">
        <v>59</v>
      </c>
      <c r="R47" s="151"/>
      <c r="S47" s="152"/>
    </row>
    <row r="48" spans="2:19" ht="14.25" thickBot="1">
      <c r="Q48" s="153"/>
      <c r="R48" s="154"/>
      <c r="S48" s="155"/>
    </row>
    <row r="50" spans="2:20">
      <c r="P50" t="s">
        <v>80</v>
      </c>
    </row>
    <row r="51" spans="2:20">
      <c r="I51" s="150" t="s">
        <v>70</v>
      </c>
      <c r="J51" s="151"/>
      <c r="K51" s="152"/>
    </row>
    <row r="52" spans="2:20" ht="14.25" thickBot="1">
      <c r="I52" s="153"/>
      <c r="J52" s="154"/>
      <c r="K52" s="155"/>
      <c r="O52" s="44"/>
      <c r="P52" s="44" t="s">
        <v>72</v>
      </c>
      <c r="Q52" s="44"/>
      <c r="R52" s="44"/>
    </row>
    <row r="53" spans="2:20" ht="41.25" thickBot="1">
      <c r="B53" s="17"/>
      <c r="C53" s="17" t="s">
        <v>64</v>
      </c>
      <c r="D53" s="17" t="s">
        <v>52</v>
      </c>
      <c r="E53" s="17" t="s">
        <v>53</v>
      </c>
      <c r="F53" s="17" t="s">
        <v>54</v>
      </c>
      <c r="G53" s="17" t="s">
        <v>51</v>
      </c>
      <c r="I53" s="38" t="s">
        <v>65</v>
      </c>
      <c r="J53" s="39" t="s">
        <v>66</v>
      </c>
      <c r="K53" s="38" t="s">
        <v>67</v>
      </c>
      <c r="L53" s="39" t="s">
        <v>68</v>
      </c>
      <c r="O53" s="44"/>
      <c r="P53" s="44"/>
      <c r="Q53" s="45" t="s">
        <v>50</v>
      </c>
      <c r="R53" s="46" t="s">
        <v>75</v>
      </c>
    </row>
    <row r="54" spans="2:20" ht="39" thickBot="1">
      <c r="B54" s="17" t="s">
        <v>55</v>
      </c>
      <c r="C54" s="33">
        <v>42.9</v>
      </c>
      <c r="D54" s="17">
        <f>16.7-F54-G54</f>
        <v>3.2999999999999989</v>
      </c>
      <c r="E54" s="18">
        <f>C54-D54-F54-G54</f>
        <v>26.200000000000003</v>
      </c>
      <c r="F54" s="18">
        <f>13.4-G54</f>
        <v>10.98</v>
      </c>
      <c r="G54" s="17">
        <v>2.42</v>
      </c>
      <c r="I54" s="42">
        <v>1.68</v>
      </c>
      <c r="J54" s="40">
        <f>I54/C54</f>
        <v>3.9160839160839157E-2</v>
      </c>
      <c r="K54">
        <v>0.09</v>
      </c>
      <c r="L54" s="40">
        <f>K54/G54</f>
        <v>3.71900826446281E-2</v>
      </c>
      <c r="O54" s="44"/>
      <c r="P54" s="44" t="s">
        <v>73</v>
      </c>
      <c r="Q54" s="44">
        <v>42.1</v>
      </c>
      <c r="R54" s="44"/>
      <c r="S54">
        <v>0.64</v>
      </c>
      <c r="T54" s="58">
        <f>S54/Q54</f>
        <v>1.5201900237529691E-2</v>
      </c>
    </row>
    <row r="55" spans="2:20" ht="39" thickBot="1">
      <c r="B55" s="17" t="s">
        <v>56</v>
      </c>
      <c r="C55" s="18">
        <v>32.5</v>
      </c>
      <c r="D55" s="17">
        <f>4.41-G55</f>
        <v>1.9900000000000002</v>
      </c>
      <c r="E55" s="18">
        <f>C55-D55-F55-G55</f>
        <v>22.099999999999994</v>
      </c>
      <c r="F55" s="17">
        <f>10.4-D55-G55</f>
        <v>5.99</v>
      </c>
      <c r="G55" s="17">
        <v>2.42</v>
      </c>
      <c r="I55" s="41">
        <v>0.88</v>
      </c>
      <c r="J55" s="40">
        <f>I55/C55</f>
        <v>2.7076923076923078E-2</v>
      </c>
      <c r="K55">
        <v>0.08</v>
      </c>
      <c r="L55" s="40">
        <f>K55/G55</f>
        <v>3.3057851239669422E-2</v>
      </c>
      <c r="O55" s="44">
        <v>1</v>
      </c>
      <c r="P55" s="46" t="s">
        <v>74</v>
      </c>
      <c r="Q55" s="44" t="s">
        <v>93</v>
      </c>
      <c r="R55" s="47" t="e">
        <f>(Q54-Q55)/Q55</f>
        <v>#VALUE!</v>
      </c>
    </row>
    <row r="56" spans="2:20" ht="39" thickBot="1">
      <c r="B56" s="17" t="s">
        <v>57</v>
      </c>
      <c r="C56" s="31">
        <f>SUM(D56:G56)</f>
        <v>1</v>
      </c>
      <c r="D56" s="31">
        <f>D54/C54</f>
        <v>7.69230769230769E-2</v>
      </c>
      <c r="E56" s="32">
        <f>E54/C54</f>
        <v>0.6107226107226108</v>
      </c>
      <c r="F56" s="31">
        <f>F54/C54</f>
        <v>0.25594405594405595</v>
      </c>
      <c r="G56" s="31">
        <f>G54/C54</f>
        <v>5.6410256410256411E-2</v>
      </c>
      <c r="O56" s="44">
        <v>2</v>
      </c>
      <c r="P56" s="46" t="s">
        <v>76</v>
      </c>
      <c r="Q56" s="44" t="s">
        <v>93</v>
      </c>
      <c r="R56" s="47" t="e">
        <f>(Q54-Q56)/Q56</f>
        <v>#VALUE!</v>
      </c>
    </row>
    <row r="57" spans="2:20" ht="39" thickBot="1">
      <c r="B57" s="17" t="s">
        <v>58</v>
      </c>
      <c r="C57" s="31">
        <f>SUM(D57:G57)</f>
        <v>0.99999999999999978</v>
      </c>
      <c r="D57" s="31">
        <f>D55/C55</f>
        <v>6.1230769230769234E-2</v>
      </c>
      <c r="E57" s="31">
        <f>E55/C55</f>
        <v>0.67999999999999983</v>
      </c>
      <c r="F57" s="31">
        <f>F55/C55</f>
        <v>0.18430769230769231</v>
      </c>
      <c r="G57" s="31">
        <f>G55/C55</f>
        <v>7.4461538461538454E-2</v>
      </c>
      <c r="O57" s="44">
        <v>3</v>
      </c>
      <c r="P57" s="44" t="s">
        <v>77</v>
      </c>
      <c r="Q57" s="44" t="s">
        <v>93</v>
      </c>
      <c r="R57" s="47" t="e">
        <f>(Q54-Q57)/Q57</f>
        <v>#VALUE!</v>
      </c>
    </row>
    <row r="58" spans="2:20" ht="27">
      <c r="B58" s="62"/>
      <c r="C58" s="63"/>
      <c r="D58" s="63"/>
      <c r="E58" s="63"/>
      <c r="F58" s="63"/>
      <c r="G58" s="63"/>
      <c r="O58" s="44">
        <v>4</v>
      </c>
      <c r="P58" s="46" t="s">
        <v>78</v>
      </c>
      <c r="Q58" s="44" t="s">
        <v>93</v>
      </c>
      <c r="R58" s="47" t="e">
        <f>(Q54-Q58)/Q58</f>
        <v>#VALUE!</v>
      </c>
    </row>
    <row r="59" spans="2:20">
      <c r="B59" s="62"/>
      <c r="C59" s="63"/>
      <c r="D59" s="63"/>
      <c r="E59" s="63"/>
      <c r="F59" s="63"/>
      <c r="G59" s="63"/>
      <c r="O59" s="55">
        <v>5</v>
      </c>
      <c r="P59" s="56" t="s">
        <v>86</v>
      </c>
      <c r="Q59" s="55" t="s">
        <v>99</v>
      </c>
      <c r="R59" s="47" t="e">
        <f>(Q54-Q59)/Q54</f>
        <v>#VALUE!</v>
      </c>
    </row>
    <row r="60" spans="2:20">
      <c r="B60" s="62"/>
      <c r="C60" s="63"/>
      <c r="D60" s="63"/>
      <c r="E60" s="63"/>
      <c r="F60" s="63"/>
      <c r="G60" s="63"/>
      <c r="Q60" s="55">
        <v>30.6</v>
      </c>
      <c r="R60" s="47">
        <f>(Q54-Q60)/Q54</f>
        <v>0.27315914489311161</v>
      </c>
      <c r="S60">
        <v>0.61</v>
      </c>
      <c r="T60" s="58">
        <f>S60/Q60</f>
        <v>1.9934640522875816E-2</v>
      </c>
    </row>
    <row r="61" spans="2:20" ht="27">
      <c r="B61" s="62"/>
      <c r="C61" s="63"/>
      <c r="D61" s="63"/>
      <c r="E61" s="63"/>
      <c r="F61" s="63"/>
      <c r="G61" s="63"/>
      <c r="P61" s="38" t="s">
        <v>100</v>
      </c>
      <c r="Q61">
        <v>29.1</v>
      </c>
      <c r="R61" s="47">
        <f>(Q54-Q61)/Q54</f>
        <v>0.30878859857482183</v>
      </c>
      <c r="S61">
        <v>0.69</v>
      </c>
      <c r="T61" s="58">
        <f>S61/Q61</f>
        <v>2.3711340206185563E-2</v>
      </c>
    </row>
    <row r="62" spans="2:20" ht="27">
      <c r="B62" s="62"/>
      <c r="C62" s="63"/>
      <c r="D62" s="63"/>
      <c r="E62" s="63"/>
      <c r="F62" s="63"/>
      <c r="G62" s="63"/>
      <c r="O62" s="64"/>
      <c r="P62" s="65" t="s">
        <v>101</v>
      </c>
      <c r="Q62" s="55">
        <v>23.6</v>
      </c>
      <c r="R62" s="47">
        <f>(Q54-Q62)/Q54</f>
        <v>0.4394299287410926</v>
      </c>
      <c r="S62">
        <v>0.72</v>
      </c>
      <c r="T62" s="58">
        <f>S62/Q62</f>
        <v>3.0508474576271184E-2</v>
      </c>
    </row>
    <row r="63" spans="2:20">
      <c r="C63" s="43"/>
      <c r="P63" s="65"/>
      <c r="Q63" s="69"/>
      <c r="R63" s="47"/>
    </row>
    <row r="65" spans="2:27">
      <c r="I65" s="150" t="s">
        <v>60</v>
      </c>
      <c r="J65" s="151"/>
      <c r="K65" s="152"/>
      <c r="X65" s="150" t="s">
        <v>70</v>
      </c>
      <c r="Y65" s="151"/>
      <c r="Z65" s="152"/>
    </row>
    <row r="66" spans="2:27" ht="14.25" thickBot="1">
      <c r="I66" s="153"/>
      <c r="J66" s="154"/>
      <c r="K66" s="155"/>
      <c r="X66" s="153"/>
      <c r="Y66" s="154"/>
      <c r="Z66" s="155"/>
    </row>
    <row r="67" spans="2:27" ht="41.25" thickBot="1">
      <c r="B67" s="17"/>
      <c r="C67" s="17" t="s">
        <v>50</v>
      </c>
      <c r="D67" s="17" t="s">
        <v>52</v>
      </c>
      <c r="E67" s="17" t="s">
        <v>53</v>
      </c>
      <c r="F67" s="17" t="s">
        <v>54</v>
      </c>
      <c r="G67" s="17" t="s">
        <v>51</v>
      </c>
      <c r="I67" s="38" t="s">
        <v>65</v>
      </c>
      <c r="J67" s="39" t="s">
        <v>66</v>
      </c>
      <c r="K67" s="38" t="s">
        <v>67</v>
      </c>
      <c r="L67" s="39" t="s">
        <v>66</v>
      </c>
      <c r="P67" s="17"/>
      <c r="Q67" s="17" t="s">
        <v>50</v>
      </c>
      <c r="R67" s="17" t="s">
        <v>52</v>
      </c>
      <c r="S67" s="17" t="s">
        <v>53</v>
      </c>
      <c r="T67" s="17" t="s">
        <v>54</v>
      </c>
      <c r="U67" s="49" t="s">
        <v>51</v>
      </c>
      <c r="V67" s="51" t="s">
        <v>79</v>
      </c>
      <c r="W67" s="38"/>
      <c r="X67" s="38" t="s">
        <v>65</v>
      </c>
      <c r="Y67" s="39" t="s">
        <v>66</v>
      </c>
      <c r="Z67" s="38" t="s">
        <v>67</v>
      </c>
      <c r="AA67" s="39" t="s">
        <v>68</v>
      </c>
    </row>
    <row r="68" spans="2:27" ht="39" thickBot="1">
      <c r="B68" s="17" t="s">
        <v>55</v>
      </c>
      <c r="C68" s="37">
        <v>0.91</v>
      </c>
      <c r="D68" s="17">
        <f>0.42-F68-G68</f>
        <v>3.999999999999998E-2</v>
      </c>
      <c r="E68" s="17">
        <f>C68-D68-F68-G68</f>
        <v>0.49000000000000016</v>
      </c>
      <c r="F68" s="17">
        <f>0.38-G68</f>
        <v>0.18</v>
      </c>
      <c r="G68" s="17">
        <v>0.2</v>
      </c>
      <c r="I68" s="42">
        <v>0.04</v>
      </c>
      <c r="J68" s="40">
        <f>I68/C68</f>
        <v>4.3956043956043953E-2</v>
      </c>
      <c r="K68">
        <v>1.7999999999999999E-2</v>
      </c>
      <c r="L68" s="40">
        <f>K68/G68</f>
        <v>8.9999999999999983E-2</v>
      </c>
      <c r="P68" s="17" t="s">
        <v>55</v>
      </c>
      <c r="Q68" s="33">
        <v>24.9</v>
      </c>
      <c r="R68" s="17">
        <v>5</v>
      </c>
      <c r="S68" s="18">
        <v>13.8</v>
      </c>
      <c r="T68" s="18">
        <f>11.1-U68</f>
        <v>9.1</v>
      </c>
      <c r="U68" s="49">
        <f>U69</f>
        <v>2</v>
      </c>
      <c r="V68" s="52"/>
      <c r="X68" s="42">
        <v>0.69</v>
      </c>
      <c r="Y68" s="58">
        <f>X68/Q68</f>
        <v>2.7710843373493974E-2</v>
      </c>
      <c r="AA68" s="40"/>
    </row>
    <row r="69" spans="2:27" ht="39" thickBot="1">
      <c r="B69" s="17" t="s">
        <v>56</v>
      </c>
      <c r="C69" s="17">
        <v>0.77</v>
      </c>
      <c r="D69" s="17">
        <f>0.21-G69</f>
        <v>9.9999999999999811E-3</v>
      </c>
      <c r="E69" s="17">
        <f>C69-D69-F69-G69</f>
        <v>0.41000000000000009</v>
      </c>
      <c r="F69" s="17">
        <f>0.36-D69-G69</f>
        <v>0.14999999999999997</v>
      </c>
      <c r="G69" s="17">
        <v>0.2</v>
      </c>
      <c r="I69" s="41">
        <v>0.03</v>
      </c>
      <c r="J69" s="40">
        <f>I69/C69</f>
        <v>3.896103896103896E-2</v>
      </c>
      <c r="K69">
        <v>1.7999999999999999E-2</v>
      </c>
      <c r="L69" s="40">
        <f>K69/G69</f>
        <v>8.9999999999999983E-2</v>
      </c>
      <c r="P69" s="17" t="s">
        <v>56</v>
      </c>
      <c r="Q69" s="18">
        <f>Q62</f>
        <v>23.6</v>
      </c>
      <c r="R69" s="17">
        <v>4.62</v>
      </c>
      <c r="S69" s="18">
        <f>S68</f>
        <v>13.8</v>
      </c>
      <c r="T69" s="17">
        <f>6.5-U69</f>
        <v>4.5</v>
      </c>
      <c r="U69" s="49">
        <v>2</v>
      </c>
      <c r="V69" s="52"/>
      <c r="X69" s="41">
        <v>0.66</v>
      </c>
      <c r="Y69" s="58">
        <f>X69/Q69</f>
        <v>2.7966101694915254E-2</v>
      </c>
      <c r="Z69">
        <v>0.25</v>
      </c>
      <c r="AA69" s="58">
        <f>Z69/U69</f>
        <v>0.125</v>
      </c>
    </row>
    <row r="70" spans="2:27" ht="39" thickBot="1">
      <c r="B70" s="17" t="s">
        <v>57</v>
      </c>
      <c r="C70" s="31">
        <f>SUM(D70:G70)</f>
        <v>1</v>
      </c>
      <c r="D70" s="31">
        <f>D68/C68</f>
        <v>4.3956043956043932E-2</v>
      </c>
      <c r="E70" s="32">
        <f>E68/C68</f>
        <v>0.53846153846153866</v>
      </c>
      <c r="F70" s="31">
        <f>F68/C68</f>
        <v>0.19780219780219779</v>
      </c>
      <c r="G70" s="31">
        <f>G68/C68</f>
        <v>0.21978021978021978</v>
      </c>
      <c r="P70" s="17" t="s">
        <v>57</v>
      </c>
      <c r="Q70" s="31">
        <f>SUM(R70:U70)</f>
        <v>1.2008032128514059</v>
      </c>
      <c r="R70" s="31">
        <f>R68/Q68</f>
        <v>0.20080321285140562</v>
      </c>
      <c r="S70" s="32">
        <f>S68/Q68</f>
        <v>0.55421686746987953</v>
      </c>
      <c r="T70" s="31">
        <f>T68/Q68</f>
        <v>0.36546184738955823</v>
      </c>
      <c r="U70" s="50">
        <f>U68/Q68</f>
        <v>8.0321285140562249E-2</v>
      </c>
      <c r="V70" s="53">
        <f>S70+T70</f>
        <v>0.91967871485943775</v>
      </c>
      <c r="W70" s="48"/>
    </row>
    <row r="71" spans="2:27" ht="39" thickBot="1">
      <c r="B71" s="17" t="s">
        <v>58</v>
      </c>
      <c r="C71" s="31">
        <f>SUM(D71:G71)</f>
        <v>1</v>
      </c>
      <c r="D71" s="31">
        <f>D69/C69</f>
        <v>1.2987012987012962E-2</v>
      </c>
      <c r="E71" s="31">
        <f>E69/C69</f>
        <v>0.53246753246753253</v>
      </c>
      <c r="F71" s="31">
        <f>F69/C69</f>
        <v>0.19480519480519476</v>
      </c>
      <c r="G71" s="31">
        <f>G69/C69</f>
        <v>0.25974025974025977</v>
      </c>
      <c r="P71" s="17" t="s">
        <v>58</v>
      </c>
      <c r="Q71" s="31">
        <f>SUM(R71:U71)</f>
        <v>1.0559322033898304</v>
      </c>
      <c r="R71" s="31">
        <f>R69/Q69</f>
        <v>0.19576271186440677</v>
      </c>
      <c r="S71" s="31">
        <f>S69/Q69</f>
        <v>0.5847457627118644</v>
      </c>
      <c r="T71" s="31">
        <f>T69/Q69</f>
        <v>0.19067796610169491</v>
      </c>
      <c r="U71" s="50">
        <f>U69/Q69</f>
        <v>8.4745762711864403E-2</v>
      </c>
      <c r="V71" s="53">
        <f>S71+T71</f>
        <v>0.77542372881355925</v>
      </c>
      <c r="W71" s="48"/>
      <c r="X71" t="s">
        <v>98</v>
      </c>
      <c r="Y71">
        <v>13.9</v>
      </c>
      <c r="Z71">
        <v>7.7</v>
      </c>
      <c r="AA71">
        <f>Y71-Z71</f>
        <v>6.2</v>
      </c>
    </row>
    <row r="74" spans="2:27">
      <c r="I74" s="150" t="s">
        <v>69</v>
      </c>
      <c r="J74" s="151"/>
      <c r="K74" s="152"/>
    </row>
    <row r="75" spans="2:27" ht="14.25" thickBot="1">
      <c r="I75" s="153"/>
      <c r="J75" s="154"/>
      <c r="K75" s="155"/>
    </row>
    <row r="76" spans="2:27" ht="41.25" thickBot="1">
      <c r="B76" s="17"/>
      <c r="C76" s="17" t="s">
        <v>50</v>
      </c>
      <c r="D76" s="17" t="s">
        <v>52</v>
      </c>
      <c r="E76" s="17" t="s">
        <v>53</v>
      </c>
      <c r="F76" s="17" t="s">
        <v>54</v>
      </c>
      <c r="G76" s="17" t="s">
        <v>51</v>
      </c>
      <c r="I76" s="38" t="s">
        <v>65</v>
      </c>
      <c r="J76" s="39" t="s">
        <v>66</v>
      </c>
      <c r="K76" s="38" t="s">
        <v>67</v>
      </c>
      <c r="L76" s="39" t="s">
        <v>66</v>
      </c>
      <c r="Q76" t="s">
        <v>81</v>
      </c>
    </row>
    <row r="77" spans="2:27" ht="39" thickBot="1">
      <c r="B77" s="17" t="s">
        <v>55</v>
      </c>
      <c r="C77" s="33">
        <v>30.7</v>
      </c>
      <c r="D77" s="17">
        <f>13.8-F77-G77</f>
        <v>2.4000000000000004</v>
      </c>
      <c r="E77" s="18">
        <f>C77-D77-F77-G77</f>
        <v>16.899999999999999</v>
      </c>
      <c r="F77" s="18">
        <f>11.4-G77</f>
        <v>9.23</v>
      </c>
      <c r="G77" s="17">
        <v>2.17</v>
      </c>
      <c r="I77" s="42">
        <v>0.66</v>
      </c>
      <c r="J77" s="40">
        <f>I77/C77</f>
        <v>2.1498371335504887E-2</v>
      </c>
      <c r="K77">
        <v>0.09</v>
      </c>
      <c r="L77" s="40">
        <f>K77/G77</f>
        <v>4.1474654377880185E-2</v>
      </c>
    </row>
    <row r="78" spans="2:27" ht="39" thickBot="1">
      <c r="B78" s="17" t="s">
        <v>56</v>
      </c>
      <c r="C78" s="18">
        <v>23.8</v>
      </c>
      <c r="D78" s="17">
        <f>4.01-G78</f>
        <v>1.8399999999999999</v>
      </c>
      <c r="E78" s="18">
        <f>C78-D78-F78-G78</f>
        <v>15.13</v>
      </c>
      <c r="F78" s="17">
        <f>8.67-D78-G78</f>
        <v>4.66</v>
      </c>
      <c r="G78" s="17">
        <v>2.17</v>
      </c>
      <c r="I78" s="41">
        <v>0.41</v>
      </c>
      <c r="J78" s="40">
        <f>I78/C78</f>
        <v>1.7226890756302519E-2</v>
      </c>
      <c r="K78">
        <v>0.17</v>
      </c>
      <c r="L78" s="40">
        <f>K78/G78</f>
        <v>7.83410138248848E-2</v>
      </c>
      <c r="P78" s="44"/>
      <c r="Q78" s="44" t="s">
        <v>72</v>
      </c>
      <c r="R78" s="44"/>
      <c r="S78" s="44"/>
      <c r="T78" s="44"/>
      <c r="U78" s="44"/>
      <c r="V78" s="44"/>
    </row>
    <row r="79" spans="2:27" ht="39" thickBot="1">
      <c r="B79" s="17" t="s">
        <v>57</v>
      </c>
      <c r="C79" s="31">
        <f>SUM(D79:G79)</f>
        <v>0.99999999999999989</v>
      </c>
      <c r="D79" s="31">
        <f>D77/C77</f>
        <v>7.817589576547232E-2</v>
      </c>
      <c r="E79" s="32">
        <f>E77/C77</f>
        <v>0.55048859934853411</v>
      </c>
      <c r="F79" s="31">
        <f>F77/C77</f>
        <v>0.30065146579804564</v>
      </c>
      <c r="G79" s="31">
        <f>G77/C77</f>
        <v>7.0684039087947875E-2</v>
      </c>
      <c r="P79" s="44"/>
      <c r="Q79" s="44"/>
      <c r="R79" s="54" t="s">
        <v>84</v>
      </c>
      <c r="S79" s="46" t="s">
        <v>85</v>
      </c>
      <c r="T79" s="46" t="s">
        <v>87</v>
      </c>
      <c r="U79" s="46" t="s">
        <v>88</v>
      </c>
      <c r="V79" s="46" t="s">
        <v>91</v>
      </c>
      <c r="W79" s="46" t="s">
        <v>90</v>
      </c>
      <c r="X79" s="38" t="s">
        <v>94</v>
      </c>
      <c r="Y79" s="46" t="s">
        <v>95</v>
      </c>
      <c r="Z79" s="46" t="s">
        <v>96</v>
      </c>
      <c r="AA79" s="38" t="s">
        <v>97</v>
      </c>
    </row>
    <row r="80" spans="2:27" ht="39" thickBot="1">
      <c r="B80" s="17" t="s">
        <v>58</v>
      </c>
      <c r="C80" s="31">
        <f>SUM(D80:G80)</f>
        <v>0.99999999999999989</v>
      </c>
      <c r="D80" s="31">
        <f>D78/C78</f>
        <v>7.7310924369747888E-2</v>
      </c>
      <c r="E80" s="31">
        <f>E78/C78</f>
        <v>0.63571428571428568</v>
      </c>
      <c r="F80" s="31">
        <f>F78/C78</f>
        <v>0.19579831932773109</v>
      </c>
      <c r="G80" s="31">
        <f>G78/C78</f>
        <v>9.1176470588235289E-2</v>
      </c>
      <c r="P80" s="44"/>
      <c r="Q80" s="44" t="s">
        <v>73</v>
      </c>
      <c r="R80" s="57">
        <f>S69</f>
        <v>13.8</v>
      </c>
      <c r="S80" s="59">
        <f>T69</f>
        <v>4.5</v>
      </c>
      <c r="T80" s="57">
        <f>SUM(R80:S80)</f>
        <v>18.3</v>
      </c>
      <c r="U80" s="57">
        <f>Q69</f>
        <v>23.6</v>
      </c>
      <c r="W80" s="44"/>
      <c r="Z80" s="44"/>
    </row>
    <row r="81" spans="2:27">
      <c r="P81" s="44">
        <v>1</v>
      </c>
      <c r="Q81" s="46" t="s">
        <v>82</v>
      </c>
      <c r="R81" s="57">
        <f>R80+U81-U80</f>
        <v>6.3999999999999986</v>
      </c>
      <c r="S81" s="59">
        <f>T69</f>
        <v>4.5</v>
      </c>
      <c r="T81" s="57">
        <f t="shared" ref="T81:T84" si="2">SUM(R81:S81)</f>
        <v>10.899999999999999</v>
      </c>
      <c r="U81" s="44">
        <v>16.2</v>
      </c>
      <c r="V81" s="47">
        <f>(R80-R81)/R80</f>
        <v>0.53623188405797118</v>
      </c>
      <c r="W81" s="47">
        <f>(T80-T81)/T80</f>
        <v>0.40437158469945367</v>
      </c>
      <c r="X81" s="47">
        <f>(U80-U81)/U80</f>
        <v>0.31355932203389836</v>
      </c>
      <c r="Y81" s="61">
        <f>R80/R81</f>
        <v>2.1562500000000004</v>
      </c>
      <c r="Z81" s="61">
        <f>T80/T81</f>
        <v>1.6788990825688077</v>
      </c>
      <c r="AA81" s="61">
        <f>U80/U81</f>
        <v>1.4567901234567904</v>
      </c>
    </row>
    <row r="82" spans="2:27">
      <c r="P82" s="44">
        <v>2</v>
      </c>
      <c r="Q82" s="46" t="s">
        <v>83</v>
      </c>
      <c r="R82" s="60">
        <f t="shared" ref="R82:R84" si="3">R81+U82-U81</f>
        <v>8.8999999999999986</v>
      </c>
      <c r="S82" s="59">
        <f>T69</f>
        <v>4.5</v>
      </c>
      <c r="T82" s="57">
        <f t="shared" si="2"/>
        <v>13.399999999999999</v>
      </c>
      <c r="U82" s="44">
        <v>18.7</v>
      </c>
      <c r="V82" s="47">
        <f>(R80-R82)/R80</f>
        <v>0.35507246376811608</v>
      </c>
      <c r="W82" s="47">
        <f>(T80-T82)/T80</f>
        <v>0.26775956284153019</v>
      </c>
      <c r="X82" s="47">
        <f>(U80-U82)/U80</f>
        <v>0.20762711864406788</v>
      </c>
      <c r="Y82" s="61">
        <f>R80/R82</f>
        <v>1.5505617977528092</v>
      </c>
      <c r="Z82" s="61">
        <f>T80/T82</f>
        <v>1.3656716417910451</v>
      </c>
      <c r="AA82" s="61">
        <f>U80/U82</f>
        <v>1.2620320855614975</v>
      </c>
    </row>
    <row r="83" spans="2:27">
      <c r="I83" s="150" t="s">
        <v>71</v>
      </c>
      <c r="J83" s="151"/>
      <c r="K83" s="152"/>
      <c r="P83" s="44">
        <v>3</v>
      </c>
      <c r="Q83" s="44" t="s">
        <v>77</v>
      </c>
      <c r="R83" s="60">
        <f t="shared" si="3"/>
        <v>8.8999999999999986</v>
      </c>
      <c r="S83" s="59">
        <f>T69</f>
        <v>4.5</v>
      </c>
      <c r="T83" s="57">
        <f t="shared" si="2"/>
        <v>13.399999999999999</v>
      </c>
      <c r="U83" s="44">
        <v>18.7</v>
      </c>
      <c r="V83" s="47">
        <f>(R80-R83)/R80</f>
        <v>0.35507246376811608</v>
      </c>
      <c r="W83" s="47">
        <f>(T80-T83)/T80</f>
        <v>0.26775956284153019</v>
      </c>
      <c r="X83" s="47">
        <f>(U80-U83)/U80</f>
        <v>0.20762711864406788</v>
      </c>
      <c r="Y83" s="61">
        <f>R80/R83</f>
        <v>1.5505617977528092</v>
      </c>
      <c r="Z83" s="61">
        <f>T80/T83</f>
        <v>1.3656716417910451</v>
      </c>
      <c r="AA83" s="61">
        <f>U80/U83</f>
        <v>1.2620320855614975</v>
      </c>
    </row>
    <row r="84" spans="2:27" ht="14.25" thickBot="1">
      <c r="I84" s="153"/>
      <c r="J84" s="154"/>
      <c r="K84" s="155"/>
      <c r="P84" s="44">
        <v>4</v>
      </c>
      <c r="Q84" s="46" t="s">
        <v>89</v>
      </c>
      <c r="R84" s="60">
        <f t="shared" si="3"/>
        <v>8.8999999999999986</v>
      </c>
      <c r="S84" s="59">
        <f>T69</f>
        <v>4.5</v>
      </c>
      <c r="T84" s="57">
        <f t="shared" si="2"/>
        <v>13.399999999999999</v>
      </c>
      <c r="U84" s="44">
        <v>18.7</v>
      </c>
      <c r="V84" s="47">
        <f>(R80-R84)/R80</f>
        <v>0.35507246376811608</v>
      </c>
      <c r="W84" s="47">
        <f>(T80-T84)/T80</f>
        <v>0.26775956284153019</v>
      </c>
      <c r="X84" s="47">
        <f>(U80-U84)/U80</f>
        <v>0.20762711864406788</v>
      </c>
      <c r="Y84" s="61">
        <f>R80/R84</f>
        <v>1.5505617977528092</v>
      </c>
      <c r="Z84" s="61">
        <f>T80/T84</f>
        <v>1.3656716417910451</v>
      </c>
      <c r="AA84" s="61">
        <f>U80/U84</f>
        <v>1.2620320855614975</v>
      </c>
    </row>
    <row r="85" spans="2:27" ht="41.25" thickBot="1">
      <c r="B85" s="17"/>
      <c r="C85" s="17" t="s">
        <v>50</v>
      </c>
      <c r="D85" s="17" t="s">
        <v>52</v>
      </c>
      <c r="E85" s="17" t="s">
        <v>53</v>
      </c>
      <c r="F85" s="17" t="s">
        <v>54</v>
      </c>
      <c r="G85" s="17" t="s">
        <v>51</v>
      </c>
      <c r="I85" s="38" t="s">
        <v>65</v>
      </c>
      <c r="J85" s="39" t="s">
        <v>66</v>
      </c>
      <c r="K85" s="38" t="s">
        <v>67</v>
      </c>
      <c r="L85" s="39" t="s">
        <v>66</v>
      </c>
    </row>
    <row r="86" spans="2:27" ht="39" thickBot="1">
      <c r="B86" s="17" t="s">
        <v>55</v>
      </c>
      <c r="C86" s="33">
        <v>350</v>
      </c>
      <c r="D86" s="17">
        <f>133-F86-G86</f>
        <v>19.999999999999996</v>
      </c>
      <c r="E86" s="18">
        <f>C86-D86-F86-G86</f>
        <v>217</v>
      </c>
      <c r="F86" s="18">
        <f>113-G86</f>
        <v>93.2</v>
      </c>
      <c r="G86" s="17">
        <v>19.8</v>
      </c>
      <c r="I86" s="42">
        <v>2.31</v>
      </c>
      <c r="J86" s="40">
        <f>I86/C86</f>
        <v>6.6E-3</v>
      </c>
      <c r="K86">
        <v>0.22</v>
      </c>
      <c r="L86" s="40">
        <f>K86/G86</f>
        <v>1.1111111111111112E-2</v>
      </c>
      <c r="P86" s="44"/>
      <c r="Q86" s="44" t="s">
        <v>92</v>
      </c>
      <c r="R86" s="44"/>
      <c r="S86" s="44"/>
      <c r="T86" s="44"/>
      <c r="U86" s="44"/>
      <c r="V86" s="44"/>
    </row>
    <row r="87" spans="2:27" ht="39" thickBot="1">
      <c r="B87" s="17" t="s">
        <v>56</v>
      </c>
      <c r="C87" s="18">
        <v>252</v>
      </c>
      <c r="D87" s="17">
        <f>38.5-G87</f>
        <v>18.7</v>
      </c>
      <c r="E87" s="18">
        <f>C87-D87-F87-G87</f>
        <v>167.5</v>
      </c>
      <c r="F87" s="17">
        <f>84.5-D87-G87</f>
        <v>46</v>
      </c>
      <c r="G87" s="17">
        <v>19.8</v>
      </c>
      <c r="I87" s="41">
        <v>1.35</v>
      </c>
      <c r="J87" s="40">
        <f>I87/C87</f>
        <v>5.3571428571428572E-3</v>
      </c>
      <c r="K87">
        <v>0.15</v>
      </c>
      <c r="L87" s="40">
        <f>K87/G87</f>
        <v>7.5757575757575751E-3</v>
      </c>
      <c r="P87" s="44"/>
      <c r="Q87" s="44"/>
      <c r="R87" s="54" t="s">
        <v>84</v>
      </c>
      <c r="S87" s="46" t="s">
        <v>85</v>
      </c>
      <c r="T87" s="46" t="s">
        <v>87</v>
      </c>
      <c r="U87" s="46" t="s">
        <v>88</v>
      </c>
      <c r="V87" s="46" t="s">
        <v>91</v>
      </c>
      <c r="W87" s="46" t="s">
        <v>90</v>
      </c>
      <c r="X87" s="38" t="s">
        <v>94</v>
      </c>
      <c r="Y87" s="46" t="s">
        <v>95</v>
      </c>
      <c r="Z87" s="46" t="s">
        <v>96</v>
      </c>
      <c r="AA87" s="38" t="s">
        <v>97</v>
      </c>
    </row>
    <row r="88" spans="2:27" ht="39" thickBot="1">
      <c r="B88" s="17" t="s">
        <v>57</v>
      </c>
      <c r="C88" s="31">
        <f>SUM(D88:G88)</f>
        <v>1</v>
      </c>
      <c r="D88" s="31">
        <f>D86/C86</f>
        <v>5.7142857142857134E-2</v>
      </c>
      <c r="E88" s="32">
        <f>E86/C86</f>
        <v>0.62</v>
      </c>
      <c r="F88" s="31">
        <f>F86/C86</f>
        <v>0.26628571428571429</v>
      </c>
      <c r="G88" s="31">
        <f>G86/C86</f>
        <v>5.6571428571428571E-2</v>
      </c>
      <c r="P88" s="44"/>
      <c r="Q88" s="44" t="s">
        <v>73</v>
      </c>
      <c r="R88" s="57">
        <f>S68</f>
        <v>13.8</v>
      </c>
      <c r="S88" s="57">
        <f>T68</f>
        <v>9.1</v>
      </c>
      <c r="T88" s="57">
        <f>SUM(R88:S88)</f>
        <v>22.9</v>
      </c>
      <c r="U88" s="57">
        <f>Q68</f>
        <v>24.9</v>
      </c>
      <c r="W88" s="44"/>
    </row>
    <row r="89" spans="2:27" ht="39" thickBot="1">
      <c r="B89" s="17" t="s">
        <v>58</v>
      </c>
      <c r="C89" s="31">
        <f>SUM(D89:G89)</f>
        <v>1</v>
      </c>
      <c r="D89" s="31">
        <f>D87/C87</f>
        <v>7.4206349206349206E-2</v>
      </c>
      <c r="E89" s="31">
        <f>E87/C87</f>
        <v>0.66468253968253965</v>
      </c>
      <c r="F89" s="31">
        <f>F87/C87</f>
        <v>0.18253968253968253</v>
      </c>
      <c r="G89" s="31">
        <f>G87/C87</f>
        <v>7.857142857142857E-2</v>
      </c>
      <c r="P89" s="44">
        <v>1</v>
      </c>
      <c r="Q89" s="46" t="s">
        <v>102</v>
      </c>
      <c r="R89" s="57">
        <v>6.35</v>
      </c>
      <c r="S89" s="57">
        <f>T68</f>
        <v>9.1</v>
      </c>
      <c r="T89" s="57">
        <f t="shared" ref="T89:T96" si="4">SUM(R89:S89)</f>
        <v>15.45</v>
      </c>
      <c r="U89" s="57">
        <v>19</v>
      </c>
      <c r="V89" s="47">
        <f>(R88-R89)/R88</f>
        <v>0.53985507246376818</v>
      </c>
      <c r="W89" s="47">
        <f>(T88-T89)/T88</f>
        <v>0.32532751091703055</v>
      </c>
      <c r="X89" s="47">
        <f>(U88-U89)/U88</f>
        <v>0.23694779116465858</v>
      </c>
      <c r="Y89" s="61">
        <f>R88/R89</f>
        <v>2.173228346456693</v>
      </c>
      <c r="Z89" s="61">
        <f>T88/T89</f>
        <v>1.4822006472491909</v>
      </c>
      <c r="AA89" s="61">
        <f>U88/U89</f>
        <v>1.3105263157894735</v>
      </c>
    </row>
    <row r="90" spans="2:27">
      <c r="B90" s="62"/>
      <c r="C90" s="63"/>
      <c r="D90" s="63"/>
      <c r="E90" s="63"/>
      <c r="F90" s="63"/>
      <c r="G90" s="63"/>
      <c r="P90" s="44"/>
      <c r="Q90" s="46" t="s">
        <v>103</v>
      </c>
      <c r="R90" s="57">
        <v>13.7</v>
      </c>
      <c r="S90" s="57"/>
      <c r="T90" s="57"/>
      <c r="U90" s="57"/>
      <c r="V90" s="47"/>
      <c r="W90" s="47"/>
      <c r="X90" s="47"/>
      <c r="Y90" s="61"/>
      <c r="Z90" s="61"/>
      <c r="AA90" s="61"/>
    </row>
    <row r="91" spans="2:27">
      <c r="B91" s="62"/>
      <c r="C91" s="63"/>
      <c r="D91" s="63"/>
      <c r="E91" s="63"/>
      <c r="F91" s="63"/>
      <c r="G91" s="63"/>
      <c r="P91" s="44"/>
      <c r="Q91" s="46" t="s">
        <v>104</v>
      </c>
      <c r="R91" s="57">
        <v>5.5</v>
      </c>
      <c r="S91" s="57"/>
      <c r="T91" s="57"/>
      <c r="U91" s="57"/>
      <c r="V91" s="47"/>
      <c r="W91" s="47"/>
      <c r="X91" s="47"/>
      <c r="Y91" s="61"/>
      <c r="Z91" s="61"/>
      <c r="AA91" s="61"/>
    </row>
    <row r="92" spans="2:27">
      <c r="P92" s="44">
        <v>2</v>
      </c>
      <c r="Q92" s="46" t="s">
        <v>83</v>
      </c>
      <c r="R92" s="60">
        <v>10</v>
      </c>
      <c r="S92" s="57">
        <f>T68</f>
        <v>9.1</v>
      </c>
      <c r="T92" s="57">
        <f t="shared" si="4"/>
        <v>19.100000000000001</v>
      </c>
      <c r="U92" s="57">
        <f>U89+R92-R89</f>
        <v>22.65</v>
      </c>
      <c r="V92" s="47">
        <f>(R88-R92)/R88</f>
        <v>0.27536231884057977</v>
      </c>
      <c r="W92" s="47">
        <f>(T88-T92)/T88</f>
        <v>0.16593886462882085</v>
      </c>
      <c r="X92" s="47">
        <f>(U88-U92)/U88</f>
        <v>9.036144578313253E-2</v>
      </c>
      <c r="Y92" s="61">
        <f>R88/R92</f>
        <v>1.3800000000000001</v>
      </c>
      <c r="Z92" s="61">
        <f>T88/T92</f>
        <v>1.1989528795811517</v>
      </c>
      <c r="AA92" s="61">
        <f>U88/U92</f>
        <v>1.0993377483443709</v>
      </c>
    </row>
    <row r="93" spans="2:27">
      <c r="P93" s="44"/>
      <c r="Q93" s="46"/>
      <c r="R93" s="60"/>
      <c r="S93" s="57"/>
      <c r="T93" s="57"/>
      <c r="U93" s="57"/>
      <c r="V93" s="47"/>
      <c r="W93" s="47"/>
      <c r="X93" s="47"/>
      <c r="Y93" s="61"/>
      <c r="Z93" s="61"/>
      <c r="AA93" s="61"/>
    </row>
    <row r="94" spans="2:27">
      <c r="P94" s="44">
        <v>3</v>
      </c>
      <c r="Q94" s="44" t="s">
        <v>77</v>
      </c>
      <c r="R94" s="60">
        <v>10</v>
      </c>
      <c r="S94" s="57">
        <f>T68</f>
        <v>9.1</v>
      </c>
      <c r="T94" s="57">
        <f t="shared" si="4"/>
        <v>19.100000000000001</v>
      </c>
      <c r="U94" s="57">
        <f>U92+R94-R92</f>
        <v>22.65</v>
      </c>
      <c r="V94" s="47">
        <f>(R88-R94)/R88</f>
        <v>0.27536231884057977</v>
      </c>
      <c r="W94" s="47">
        <f>(T88-T94)/T88</f>
        <v>0.16593886462882085</v>
      </c>
      <c r="X94" s="47">
        <f>(U88-U94)/U88</f>
        <v>9.036144578313253E-2</v>
      </c>
      <c r="Y94" s="61">
        <f>R88/R94</f>
        <v>1.3800000000000001</v>
      </c>
      <c r="Z94" s="61">
        <f>T88/T94</f>
        <v>1.1989528795811517</v>
      </c>
      <c r="AA94" s="61">
        <f>U88/U94</f>
        <v>1.0993377483443709</v>
      </c>
    </row>
    <row r="95" spans="2:27">
      <c r="P95" s="44"/>
      <c r="Q95" s="44"/>
      <c r="R95" s="60"/>
      <c r="S95" s="57"/>
      <c r="T95" s="57"/>
      <c r="U95" s="57"/>
      <c r="V95" s="47"/>
      <c r="W95" s="47"/>
      <c r="X95" s="47"/>
      <c r="Y95" s="61"/>
      <c r="Z95" s="61"/>
      <c r="AA95" s="61"/>
    </row>
    <row r="96" spans="2:27">
      <c r="P96" s="44">
        <v>4</v>
      </c>
      <c r="Q96" s="46" t="s">
        <v>89</v>
      </c>
      <c r="R96" s="60">
        <v>10</v>
      </c>
      <c r="S96" s="57">
        <f>T68</f>
        <v>9.1</v>
      </c>
      <c r="T96" s="57">
        <f t="shared" si="4"/>
        <v>19.100000000000001</v>
      </c>
      <c r="U96" s="57">
        <f t="shared" ref="U96" si="5">U94+R96-R94</f>
        <v>22.65</v>
      </c>
      <c r="V96" s="47">
        <f>(R88-R96)/R88</f>
        <v>0.27536231884057977</v>
      </c>
      <c r="W96" s="47">
        <f>(T88-T96)/T88</f>
        <v>0.16593886462882085</v>
      </c>
      <c r="X96" s="47">
        <f>(U88-U96)/U88</f>
        <v>9.036144578313253E-2</v>
      </c>
      <c r="Y96" s="61">
        <f>R88/R96</f>
        <v>1.3800000000000001</v>
      </c>
      <c r="Z96" s="61">
        <f>T88/T96</f>
        <v>1.1989528795811517</v>
      </c>
      <c r="AA96" s="61">
        <f>U88/U96</f>
        <v>1.0993377483443709</v>
      </c>
    </row>
    <row r="99" spans="16:27">
      <c r="P99" s="150" t="s">
        <v>69</v>
      </c>
      <c r="Q99" s="151"/>
      <c r="R99" s="152"/>
    </row>
    <row r="100" spans="16:27" ht="14.25" thickBot="1">
      <c r="P100" s="153"/>
      <c r="Q100" s="154"/>
      <c r="R100" s="155"/>
    </row>
    <row r="101" spans="16:27">
      <c r="Q101" t="s">
        <v>107</v>
      </c>
    </row>
    <row r="103" spans="16:27" ht="27">
      <c r="R103" s="54" t="s">
        <v>84</v>
      </c>
      <c r="S103" s="46" t="s">
        <v>85</v>
      </c>
      <c r="T103" s="46" t="s">
        <v>87</v>
      </c>
      <c r="U103" s="46" t="s">
        <v>88</v>
      </c>
      <c r="V103" s="46" t="s">
        <v>91</v>
      </c>
      <c r="W103" s="46" t="s">
        <v>90</v>
      </c>
      <c r="X103" s="38" t="s">
        <v>94</v>
      </c>
      <c r="Y103" s="46" t="s">
        <v>95</v>
      </c>
      <c r="Z103" s="46" t="s">
        <v>96</v>
      </c>
      <c r="AA103" s="38" t="s">
        <v>97</v>
      </c>
    </row>
    <row r="104" spans="16:27">
      <c r="P104" s="44" t="s">
        <v>92</v>
      </c>
      <c r="Q104" s="44" t="s">
        <v>73</v>
      </c>
      <c r="R104">
        <v>14.9</v>
      </c>
      <c r="S104">
        <v>8.1999999999999993</v>
      </c>
      <c r="T104">
        <f>R104+S104</f>
        <v>23.1</v>
      </c>
      <c r="U104">
        <v>27.8</v>
      </c>
    </row>
    <row r="105" spans="16:27">
      <c r="Q105" s="46" t="s">
        <v>102</v>
      </c>
      <c r="R105">
        <v>6</v>
      </c>
      <c r="S105">
        <v>8.1999999999999993</v>
      </c>
      <c r="T105">
        <f>R105+S105</f>
        <v>14.2</v>
      </c>
      <c r="U105">
        <v>18.7</v>
      </c>
      <c r="V105" s="43">
        <f>(R104-R105)/R104</f>
        <v>0.59731543624161076</v>
      </c>
      <c r="W105" s="43">
        <f>(T104-T105)/T104</f>
        <v>0.38528138528138534</v>
      </c>
      <c r="X105" s="43">
        <f>(U104-U105)/U104</f>
        <v>0.3273381294964029</v>
      </c>
      <c r="Y105" s="61">
        <f>R104/R105</f>
        <v>2.4833333333333334</v>
      </c>
      <c r="Z105" s="61">
        <f>T104/T105</f>
        <v>1.626760563380282</v>
      </c>
      <c r="AA105" s="61">
        <f>U104/U105</f>
        <v>1.4866310160427809</v>
      </c>
    </row>
    <row r="106" spans="16:27">
      <c r="Q106" s="46" t="s">
        <v>103</v>
      </c>
      <c r="R106">
        <v>13.3</v>
      </c>
    </row>
    <row r="107" spans="16:27">
      <c r="Q107" s="46" t="s">
        <v>104</v>
      </c>
      <c r="R107">
        <v>5.2</v>
      </c>
      <c r="V107" s="43">
        <f>(R106-R107)/R106</f>
        <v>0.60902255639097747</v>
      </c>
      <c r="Y107" s="61">
        <f>R106/R107</f>
        <v>2.5576923076923079</v>
      </c>
    </row>
    <row r="111" spans="16:27">
      <c r="P111" s="150" t="s">
        <v>105</v>
      </c>
      <c r="Q111" s="151"/>
      <c r="R111" s="152"/>
    </row>
    <row r="112" spans="16:27" ht="14.25" thickBot="1">
      <c r="P112" s="153"/>
      <c r="Q112" s="154"/>
      <c r="R112" s="155"/>
    </row>
    <row r="115" spans="16:27" ht="40.5">
      <c r="R115" s="54" t="s">
        <v>84</v>
      </c>
      <c r="S115" s="46" t="s">
        <v>106</v>
      </c>
      <c r="T115" s="46" t="s">
        <v>87</v>
      </c>
      <c r="U115" s="46" t="s">
        <v>88</v>
      </c>
      <c r="V115" s="46" t="s">
        <v>91</v>
      </c>
      <c r="W115" s="46" t="s">
        <v>90</v>
      </c>
      <c r="X115" s="38" t="s">
        <v>94</v>
      </c>
      <c r="Y115" s="46" t="s">
        <v>95</v>
      </c>
      <c r="Z115" s="46" t="s">
        <v>96</v>
      </c>
      <c r="AA115" s="38" t="s">
        <v>97</v>
      </c>
    </row>
    <row r="116" spans="16:27">
      <c r="P116" s="44" t="s">
        <v>92</v>
      </c>
      <c r="Q116" s="44" t="s">
        <v>73</v>
      </c>
      <c r="R116">
        <v>1.97</v>
      </c>
      <c r="S116" s="43">
        <f>R116/U116</f>
        <v>0.61370716510903423</v>
      </c>
      <c r="U116">
        <v>3.21</v>
      </c>
    </row>
    <row r="117" spans="16:27">
      <c r="Q117" s="46" t="s">
        <v>102</v>
      </c>
      <c r="R117">
        <v>0.5</v>
      </c>
      <c r="S117" s="43">
        <f>R117/U117</f>
        <v>0.24271844660194175</v>
      </c>
      <c r="U117">
        <v>2.06</v>
      </c>
      <c r="V117" s="43">
        <f>(R116-R117)/R116</f>
        <v>0.74619289340101524</v>
      </c>
      <c r="W117" s="43"/>
      <c r="X117" s="43">
        <f>(U116-U117)/U116</f>
        <v>0.35825545171339562</v>
      </c>
      <c r="Y117" s="61">
        <f>R116/R117</f>
        <v>3.94</v>
      </c>
      <c r="Z117" s="61"/>
      <c r="AA117" s="61">
        <f>U116/U117</f>
        <v>1.558252427184466</v>
      </c>
    </row>
    <row r="118" spans="16:27">
      <c r="Q118" s="46" t="s">
        <v>103</v>
      </c>
      <c r="R118">
        <v>1.3</v>
      </c>
    </row>
    <row r="119" spans="16:27">
      <c r="Q119" s="46" t="s">
        <v>104</v>
      </c>
      <c r="R119">
        <v>0.25</v>
      </c>
      <c r="V119" s="43">
        <f>(R118-R119)/R118</f>
        <v>0.80769230769230771</v>
      </c>
      <c r="Y119" s="61">
        <f>R118/R119</f>
        <v>5.2</v>
      </c>
    </row>
    <row r="120" spans="16:27">
      <c r="P120" s="44" t="s">
        <v>72</v>
      </c>
      <c r="Q120" s="44" t="s">
        <v>73</v>
      </c>
      <c r="R120">
        <f>2.18-0.52</f>
        <v>1.6600000000000001</v>
      </c>
      <c r="S120" s="43">
        <f>R120/U120</f>
        <v>0.6484375</v>
      </c>
      <c r="U120">
        <v>2.56</v>
      </c>
    </row>
    <row r="121" spans="16:27">
      <c r="Q121" s="46" t="s">
        <v>102</v>
      </c>
      <c r="R121">
        <f>0.77-0.52</f>
        <v>0.25</v>
      </c>
      <c r="S121" s="43">
        <f>R121/U121</f>
        <v>0.16778523489932887</v>
      </c>
      <c r="U121">
        <v>1.49</v>
      </c>
      <c r="V121" s="43">
        <f>(R120-R121)/R120</f>
        <v>0.8493975903614458</v>
      </c>
      <c r="W121" s="43"/>
      <c r="X121" s="43">
        <f>(U120-U121)/U120</f>
        <v>0.41796875</v>
      </c>
      <c r="Y121" s="61">
        <f>R120/R121</f>
        <v>6.6400000000000006</v>
      </c>
      <c r="Z121" s="61"/>
      <c r="AA121" s="61">
        <f>U120/U121</f>
        <v>1.7181208053691275</v>
      </c>
    </row>
    <row r="123" spans="16:27">
      <c r="P123" t="s">
        <v>108</v>
      </c>
    </row>
    <row r="124" spans="16:27">
      <c r="P124" s="44" t="s">
        <v>109</v>
      </c>
      <c r="Q124" s="44" t="s">
        <v>73</v>
      </c>
      <c r="R124">
        <v>2</v>
      </c>
      <c r="S124" s="43">
        <f>R124/U124</f>
        <v>0.61919504643962853</v>
      </c>
      <c r="U124">
        <v>3.23</v>
      </c>
    </row>
    <row r="125" spans="16:27">
      <c r="Q125" s="46" t="s">
        <v>5</v>
      </c>
      <c r="S125" s="43">
        <f>R125/U125</f>
        <v>0</v>
      </c>
      <c r="U125">
        <v>2.92</v>
      </c>
      <c r="V125" s="43">
        <f>(R124-R125)/R124</f>
        <v>1</v>
      </c>
      <c r="W125" s="43"/>
      <c r="X125" s="43">
        <f>(U124-U125)/U124</f>
        <v>9.5975232198142427E-2</v>
      </c>
      <c r="Y125" s="61" t="e">
        <f>R124/R125</f>
        <v>#DIV/0!</v>
      </c>
      <c r="Z125" s="61"/>
      <c r="AA125" s="61">
        <f>U124/U125</f>
        <v>1.1061643835616439</v>
      </c>
    </row>
    <row r="126" spans="16:27">
      <c r="Q126" s="46" t="s">
        <v>103</v>
      </c>
    </row>
    <row r="127" spans="16:27">
      <c r="Q127" s="46" t="s">
        <v>104</v>
      </c>
      <c r="V127" s="43" t="e">
        <f>(R126-R127)/R126</f>
        <v>#DIV/0!</v>
      </c>
      <c r="Y127" s="61" t="e">
        <f>R126/R127</f>
        <v>#DIV/0!</v>
      </c>
    </row>
    <row r="128" spans="16:27">
      <c r="P128" s="44" t="s">
        <v>27</v>
      </c>
      <c r="Q128" s="44" t="s">
        <v>73</v>
      </c>
      <c r="S128" s="43">
        <f>R128/U128</f>
        <v>0</v>
      </c>
      <c r="U128">
        <v>2.2200000000000002</v>
      </c>
    </row>
    <row r="129" spans="16:27">
      <c r="Q129" s="46" t="s">
        <v>5</v>
      </c>
      <c r="S129" s="43">
        <f>R129/U129</f>
        <v>0</v>
      </c>
      <c r="U129">
        <v>2.15</v>
      </c>
      <c r="V129" s="43" t="e">
        <f>(R128-R129)/R128</f>
        <v>#DIV/0!</v>
      </c>
      <c r="W129" s="43"/>
      <c r="X129" s="43">
        <f>(U128-U129)/U128</f>
        <v>3.1531531531531654E-2</v>
      </c>
      <c r="Y129" s="61" t="e">
        <f>R128/R129</f>
        <v>#DIV/0!</v>
      </c>
      <c r="Z129" s="61"/>
      <c r="AA129" s="61">
        <f>U128/U129</f>
        <v>1.032558139534884</v>
      </c>
    </row>
    <row r="130" spans="16:27">
      <c r="Q130" s="56" t="s">
        <v>110</v>
      </c>
      <c r="U130">
        <v>2.02</v>
      </c>
      <c r="X130" s="43">
        <f>(U128-U130)/U128</f>
        <v>9.0090090090090169E-2</v>
      </c>
    </row>
    <row r="132" spans="16:27" ht="27">
      <c r="P132" t="s">
        <v>111</v>
      </c>
      <c r="Q132" s="65" t="s">
        <v>112</v>
      </c>
      <c r="R132" t="s">
        <v>113</v>
      </c>
      <c r="S132" t="s">
        <v>114</v>
      </c>
      <c r="T132" t="s">
        <v>115</v>
      </c>
      <c r="U132" s="38" t="s">
        <v>116</v>
      </c>
      <c r="V132" s="38" t="s">
        <v>117</v>
      </c>
      <c r="W132" s="38" t="s">
        <v>118</v>
      </c>
    </row>
    <row r="133" spans="16:27">
      <c r="P133">
        <v>1</v>
      </c>
      <c r="Q133">
        <v>3.18</v>
      </c>
      <c r="R133">
        <v>2.14</v>
      </c>
      <c r="S133">
        <v>2.5099999999999998</v>
      </c>
      <c r="T133">
        <v>2.0299999999999998</v>
      </c>
      <c r="U133" s="43">
        <f>Q133/R133</f>
        <v>1.485981308411215</v>
      </c>
      <c r="V133" s="43">
        <f>Q133/S133</f>
        <v>1.2669322709163349</v>
      </c>
      <c r="W133" s="43">
        <f>Q133/T133</f>
        <v>1.5665024630541875</v>
      </c>
    </row>
    <row r="134" spans="16:27">
      <c r="P134">
        <v>2</v>
      </c>
      <c r="Q134">
        <v>9.82</v>
      </c>
      <c r="R134">
        <v>3.12</v>
      </c>
      <c r="S134">
        <v>3.96</v>
      </c>
      <c r="T134">
        <v>2.2000000000000002</v>
      </c>
      <c r="U134" s="43">
        <f t="shared" ref="U134:U136" si="6">Q134/R134</f>
        <v>3.1474358974358974</v>
      </c>
      <c r="V134" s="43">
        <f t="shared" ref="V134:V136" si="7">Q134/S134</f>
        <v>2.4797979797979801</v>
      </c>
      <c r="W134" s="43">
        <f t="shared" ref="W134:W136" si="8">Q134/T134</f>
        <v>4.4636363636363638</v>
      </c>
    </row>
    <row r="135" spans="16:27">
      <c r="P135">
        <v>3</v>
      </c>
      <c r="Q135">
        <v>11.9</v>
      </c>
      <c r="R135">
        <v>3.48</v>
      </c>
      <c r="S135">
        <v>4.8899999999999997</v>
      </c>
      <c r="T135">
        <v>2.36</v>
      </c>
      <c r="U135" s="43">
        <f t="shared" si="6"/>
        <v>3.4195402298850577</v>
      </c>
      <c r="V135" s="43">
        <f t="shared" si="7"/>
        <v>2.4335378323108388</v>
      </c>
      <c r="W135" s="43">
        <f t="shared" si="8"/>
        <v>5.0423728813559325</v>
      </c>
    </row>
    <row r="136" spans="16:27">
      <c r="P136">
        <v>4</v>
      </c>
      <c r="Q136">
        <v>14.3</v>
      </c>
      <c r="R136">
        <v>4</v>
      </c>
      <c r="S136">
        <v>5.79</v>
      </c>
      <c r="T136">
        <v>2.57</v>
      </c>
      <c r="U136" s="43">
        <f t="shared" si="6"/>
        <v>3.5750000000000002</v>
      </c>
      <c r="V136" s="43">
        <f t="shared" si="7"/>
        <v>2.4697754749568221</v>
      </c>
      <c r="W136" s="43">
        <f t="shared" si="8"/>
        <v>5.5642023346303509</v>
      </c>
    </row>
  </sheetData>
  <mergeCells count="29">
    <mergeCell ref="Q47:S48"/>
    <mergeCell ref="P99:R100"/>
    <mergeCell ref="P111:R112"/>
    <mergeCell ref="X65:Z66"/>
    <mergeCell ref="I83:K84"/>
    <mergeCell ref="I74:K75"/>
    <mergeCell ref="I51:K52"/>
    <mergeCell ref="I65:K66"/>
    <mergeCell ref="M2:O3"/>
    <mergeCell ref="B4:B5"/>
    <mergeCell ref="C4:E4"/>
    <mergeCell ref="F4:G4"/>
    <mergeCell ref="H4:I4"/>
    <mergeCell ref="J4:L4"/>
    <mergeCell ref="M4:O4"/>
    <mergeCell ref="H11:J12"/>
    <mergeCell ref="E26:G27"/>
    <mergeCell ref="I37:K38"/>
    <mergeCell ref="B39:C39"/>
    <mergeCell ref="D39:E39"/>
    <mergeCell ref="F39:G39"/>
    <mergeCell ref="H39:I39"/>
    <mergeCell ref="J39:K39"/>
    <mergeCell ref="I43:K44"/>
    <mergeCell ref="B45:C45"/>
    <mergeCell ref="D45:E45"/>
    <mergeCell ref="F45:G45"/>
    <mergeCell ref="H45:I45"/>
    <mergeCell ref="J45:K45"/>
  </mergeCells>
  <phoneticPr fontId="3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B2:AG170"/>
  <sheetViews>
    <sheetView topLeftCell="U1" workbookViewId="0">
      <selection activeCell="D145" sqref="D145"/>
    </sheetView>
  </sheetViews>
  <sheetFormatPr defaultRowHeight="13.5"/>
  <cols>
    <col min="2" max="2" width="7.625" bestFit="1" customWidth="1"/>
    <col min="3" max="3" width="8.5" bestFit="1" customWidth="1"/>
    <col min="4" max="4" width="6.75" bestFit="1" customWidth="1"/>
    <col min="5" max="5" width="5.875" bestFit="1" customWidth="1"/>
    <col min="6" max="7" width="7.625" bestFit="1" customWidth="1"/>
    <col min="8" max="8" width="5.5" bestFit="1" customWidth="1"/>
    <col min="9" max="9" width="7.125" bestFit="1" customWidth="1"/>
    <col min="10" max="10" width="7.5" bestFit="1" customWidth="1"/>
    <col min="11" max="11" width="6" customWidth="1"/>
    <col min="12" max="12" width="6.5" bestFit="1" customWidth="1"/>
    <col min="13" max="14" width="6" customWidth="1"/>
    <col min="15" max="15" width="4.625" customWidth="1"/>
    <col min="16" max="17" width="11" bestFit="1" customWidth="1"/>
    <col min="22" max="22" width="10.5" bestFit="1" customWidth="1"/>
    <col min="24" max="24" width="11.375" customWidth="1"/>
    <col min="25" max="25" width="9.875" customWidth="1"/>
    <col min="26" max="27" width="9.5" bestFit="1" customWidth="1"/>
  </cols>
  <sheetData>
    <row r="2" spans="2:16">
      <c r="M2" s="158" t="s">
        <v>62</v>
      </c>
      <c r="N2" s="159"/>
      <c r="O2" s="159"/>
      <c r="P2" t="s">
        <v>63</v>
      </c>
    </row>
    <row r="3" spans="2:16" ht="14.25" thickBot="1">
      <c r="M3" s="159"/>
      <c r="N3" s="159"/>
      <c r="O3" s="159"/>
    </row>
    <row r="4" spans="2:16" ht="15" thickBot="1">
      <c r="B4" s="160" t="s">
        <v>10</v>
      </c>
      <c r="C4" s="162" t="s">
        <v>3</v>
      </c>
      <c r="D4" s="162"/>
      <c r="E4" s="157"/>
      <c r="F4" s="156" t="s">
        <v>4</v>
      </c>
      <c r="G4" s="163"/>
      <c r="H4" s="156" t="s">
        <v>5</v>
      </c>
      <c r="I4" s="163"/>
      <c r="J4" s="156" t="s">
        <v>6</v>
      </c>
      <c r="K4" s="162"/>
      <c r="L4" s="157"/>
      <c r="M4" s="164" t="s">
        <v>7</v>
      </c>
      <c r="N4" s="165"/>
      <c r="O4" s="166"/>
    </row>
    <row r="5" spans="2:16" ht="15" thickBot="1">
      <c r="B5" s="161"/>
      <c r="C5" s="6" t="s">
        <v>1</v>
      </c>
      <c r="D5" s="7" t="s">
        <v>2</v>
      </c>
      <c r="E5" s="6" t="s">
        <v>0</v>
      </c>
      <c r="F5" s="6" t="s">
        <v>1</v>
      </c>
      <c r="G5" s="7" t="s">
        <v>2</v>
      </c>
      <c r="H5" s="6" t="s">
        <v>1</v>
      </c>
      <c r="I5" s="7" t="s">
        <v>2</v>
      </c>
      <c r="J5" s="6" t="s">
        <v>1</v>
      </c>
      <c r="K5" s="7" t="s">
        <v>2</v>
      </c>
      <c r="L5" s="6" t="s">
        <v>0</v>
      </c>
      <c r="M5" s="6" t="s">
        <v>1</v>
      </c>
      <c r="N5" s="7" t="s">
        <v>2</v>
      </c>
      <c r="O5" s="6" t="s">
        <v>0</v>
      </c>
    </row>
    <row r="6" spans="2:16" ht="15" thickBot="1">
      <c r="B6" s="1">
        <v>1</v>
      </c>
      <c r="C6" s="66">
        <f>D6-I16</f>
        <v>24.4</v>
      </c>
      <c r="D6" s="1">
        <v>36.9</v>
      </c>
      <c r="E6" s="1">
        <v>0.26</v>
      </c>
      <c r="F6" s="23">
        <f>G6-I16</f>
        <v>17</v>
      </c>
      <c r="G6" s="1">
        <v>29.5</v>
      </c>
      <c r="H6" s="66">
        <f>I6-I16</f>
        <v>19.700000000000003</v>
      </c>
      <c r="I6" s="25">
        <v>32.200000000000003</v>
      </c>
      <c r="J6" s="66">
        <f>K6-I16</f>
        <v>17.2</v>
      </c>
      <c r="K6" s="1">
        <v>29.7</v>
      </c>
      <c r="L6" s="66">
        <v>0.85</v>
      </c>
      <c r="M6" s="66">
        <f>N6-I18</f>
        <v>0.99</v>
      </c>
      <c r="N6" s="21">
        <v>2.6</v>
      </c>
      <c r="O6" s="66">
        <v>0.13</v>
      </c>
    </row>
    <row r="7" spans="2:16" ht="15" thickBot="1">
      <c r="B7" s="67">
        <v>2</v>
      </c>
      <c r="C7" s="23">
        <f>D7-I16</f>
        <v>31.9</v>
      </c>
      <c r="D7" s="67">
        <v>44.4</v>
      </c>
      <c r="E7" s="67">
        <v>0.28000000000000003</v>
      </c>
      <c r="F7" s="23">
        <f>G7-I16</f>
        <v>18</v>
      </c>
      <c r="G7" s="67">
        <v>30.5</v>
      </c>
      <c r="H7" s="66">
        <f>I7-I16</f>
        <v>21.700000000000003</v>
      </c>
      <c r="I7" s="67">
        <v>34.200000000000003</v>
      </c>
      <c r="J7" s="66">
        <f>K7-I16</f>
        <v>18.100000000000001</v>
      </c>
      <c r="K7" s="67">
        <v>30.6</v>
      </c>
      <c r="L7" s="68">
        <v>0.97</v>
      </c>
      <c r="M7" s="66">
        <f>N7-I18</f>
        <v>1.1599999999999999</v>
      </c>
      <c r="N7" s="67">
        <v>2.77</v>
      </c>
      <c r="O7" s="20">
        <v>0.1</v>
      </c>
    </row>
    <row r="8" spans="2:16" ht="15" thickBot="1">
      <c r="B8" s="67">
        <v>3</v>
      </c>
      <c r="C8" s="23">
        <f>D8-I16</f>
        <v>39.299999999999997</v>
      </c>
      <c r="D8" s="67">
        <v>51.8</v>
      </c>
      <c r="E8" s="22">
        <v>0.3</v>
      </c>
      <c r="F8" s="66">
        <f>G8-I16</f>
        <v>18.8</v>
      </c>
      <c r="G8" s="67">
        <v>31.3</v>
      </c>
      <c r="H8" s="66">
        <f>I8-I16</f>
        <v>25.5</v>
      </c>
      <c r="I8" s="26">
        <v>38</v>
      </c>
      <c r="J8" s="23">
        <f>K8-I16</f>
        <v>18.600000000000001</v>
      </c>
      <c r="K8" s="67">
        <v>31.1</v>
      </c>
      <c r="L8" s="68">
        <v>0.76</v>
      </c>
      <c r="M8" s="19">
        <f>N8-I18</f>
        <v>1.4199999999999997</v>
      </c>
      <c r="N8" s="67">
        <v>3.03</v>
      </c>
      <c r="O8" s="68">
        <v>0.16</v>
      </c>
    </row>
    <row r="9" spans="2:16" ht="15" thickBot="1">
      <c r="B9" s="67">
        <v>4</v>
      </c>
      <c r="C9" s="23">
        <f>D9-I16</f>
        <v>47.6</v>
      </c>
      <c r="D9" s="67">
        <v>60.1</v>
      </c>
      <c r="E9" s="22">
        <v>0.42</v>
      </c>
      <c r="F9" s="66">
        <f>G9-I16</f>
        <v>19.600000000000001</v>
      </c>
      <c r="G9" s="67">
        <v>32.1</v>
      </c>
      <c r="H9" s="23">
        <f>I9-I16</f>
        <v>28.200000000000003</v>
      </c>
      <c r="I9" s="67">
        <v>40.700000000000003</v>
      </c>
      <c r="J9" s="66">
        <f>K9-I16</f>
        <v>19.399999999999999</v>
      </c>
      <c r="K9" s="67">
        <v>31.9</v>
      </c>
      <c r="L9" s="68">
        <v>0.95</v>
      </c>
      <c r="M9" s="66">
        <f>N9-I18</f>
        <v>2.09</v>
      </c>
      <c r="N9" s="24">
        <v>3.7</v>
      </c>
      <c r="O9" s="68">
        <v>0.15</v>
      </c>
    </row>
    <row r="10" spans="2:16" ht="14.25"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2:16" ht="14.25">
      <c r="B11" s="10"/>
      <c r="C11" s="10"/>
      <c r="D11" s="10"/>
      <c r="E11" s="10"/>
      <c r="F11" s="10"/>
      <c r="G11" s="10"/>
      <c r="H11" s="158" t="s">
        <v>34</v>
      </c>
      <c r="I11" s="159"/>
      <c r="J11" s="159"/>
      <c r="K11" s="10"/>
      <c r="L11" s="10"/>
      <c r="M11" s="10"/>
      <c r="N11" s="10"/>
      <c r="O11" s="10"/>
    </row>
    <row r="12" spans="2:16" ht="15" thickBot="1">
      <c r="B12" s="10"/>
      <c r="C12" s="10"/>
      <c r="D12" s="10"/>
      <c r="E12" s="10"/>
      <c r="F12" s="10"/>
      <c r="G12" s="10"/>
      <c r="H12" s="159"/>
      <c r="I12" s="159"/>
      <c r="J12" s="159"/>
      <c r="K12" s="10"/>
      <c r="L12" s="10"/>
      <c r="M12" s="10"/>
      <c r="N12" s="10"/>
      <c r="O12" s="10"/>
    </row>
    <row r="13" spans="2:16" ht="26.25" thickBot="1">
      <c r="B13" s="11" t="s">
        <v>19</v>
      </c>
      <c r="C13" s="66" t="s">
        <v>11</v>
      </c>
      <c r="D13" s="66" t="s">
        <v>12</v>
      </c>
      <c r="E13" s="66" t="s">
        <v>13</v>
      </c>
      <c r="F13" s="66" t="s">
        <v>14</v>
      </c>
      <c r="G13" s="66" t="s">
        <v>15</v>
      </c>
      <c r="H13" s="66" t="s">
        <v>16</v>
      </c>
      <c r="I13" s="66" t="s">
        <v>17</v>
      </c>
      <c r="J13" s="66" t="s">
        <v>18</v>
      </c>
      <c r="K13" s="10"/>
      <c r="L13" s="10"/>
      <c r="M13" s="10"/>
      <c r="N13" s="10"/>
      <c r="O13" s="10"/>
    </row>
    <row r="14" spans="2:16" ht="27.75" thickBot="1">
      <c r="B14" s="12" t="s">
        <v>20</v>
      </c>
      <c r="C14" s="1">
        <v>0.22</v>
      </c>
      <c r="D14" s="19">
        <v>0.23</v>
      </c>
      <c r="E14" s="19">
        <v>0.27</v>
      </c>
      <c r="F14" s="19">
        <v>0.36</v>
      </c>
      <c r="G14" s="19">
        <v>0.57999999999999996</v>
      </c>
      <c r="H14" s="19">
        <v>0.92</v>
      </c>
      <c r="I14" s="66">
        <v>1.51</v>
      </c>
      <c r="J14" s="66">
        <v>2.69</v>
      </c>
    </row>
    <row r="15" spans="2:16" ht="15" thickBot="1">
      <c r="B15" s="67" t="s">
        <v>47</v>
      </c>
      <c r="C15" s="20">
        <f t="shared" ref="C15:J15" si="0">C16-C14</f>
        <v>0.31000000000000005</v>
      </c>
      <c r="D15" s="20">
        <f t="shared" si="0"/>
        <v>0.37</v>
      </c>
      <c r="E15" s="20">
        <f t="shared" si="0"/>
        <v>0.56999999999999995</v>
      </c>
      <c r="F15" s="20">
        <f t="shared" si="0"/>
        <v>1.6</v>
      </c>
      <c r="G15" s="20">
        <f t="shared" si="0"/>
        <v>5.53</v>
      </c>
      <c r="H15" s="20">
        <f t="shared" si="0"/>
        <v>9.98</v>
      </c>
      <c r="I15" s="27">
        <f t="shared" si="0"/>
        <v>10.99</v>
      </c>
      <c r="J15" s="27">
        <f t="shared" si="0"/>
        <v>21.91</v>
      </c>
    </row>
    <row r="16" spans="2:16" ht="15" thickBot="1">
      <c r="B16" s="12" t="s">
        <v>38</v>
      </c>
      <c r="C16" s="21">
        <v>0.53</v>
      </c>
      <c r="D16" s="19">
        <v>0.6</v>
      </c>
      <c r="E16" s="19">
        <v>0.84</v>
      </c>
      <c r="F16" s="19">
        <v>1.96</v>
      </c>
      <c r="G16" s="66">
        <v>6.11</v>
      </c>
      <c r="H16" s="66">
        <v>10.9</v>
      </c>
      <c r="I16" s="66">
        <v>12.5</v>
      </c>
      <c r="J16" s="66">
        <v>24.6</v>
      </c>
    </row>
    <row r="17" spans="2:10" ht="15" thickBot="1">
      <c r="B17" s="67" t="s">
        <v>46</v>
      </c>
      <c r="C17" s="20">
        <f>C18-C14</f>
        <v>6.0000000000000026E-2</v>
      </c>
      <c r="D17" s="20">
        <f t="shared" ref="D17:J17" si="1">D18-D14</f>
        <v>5.999999999999997E-2</v>
      </c>
      <c r="E17" s="20">
        <f t="shared" si="1"/>
        <v>3.999999999999998E-2</v>
      </c>
      <c r="F17" s="20">
        <f t="shared" si="1"/>
        <v>0.06</v>
      </c>
      <c r="G17" s="20">
        <f t="shared" si="1"/>
        <v>6.0000000000000053E-2</v>
      </c>
      <c r="H17" s="20">
        <f t="shared" si="1"/>
        <v>7.999999999999996E-2</v>
      </c>
      <c r="I17" s="20">
        <f t="shared" si="1"/>
        <v>0.10000000000000009</v>
      </c>
      <c r="J17" s="20">
        <f t="shared" si="1"/>
        <v>0.10999999999999988</v>
      </c>
    </row>
    <row r="18" spans="2:10" ht="27.75" thickBot="1">
      <c r="B18" s="12" t="s">
        <v>37</v>
      </c>
      <c r="C18" s="21">
        <v>0.28000000000000003</v>
      </c>
      <c r="D18" s="19">
        <v>0.28999999999999998</v>
      </c>
      <c r="E18" s="19">
        <v>0.31</v>
      </c>
      <c r="F18" s="19">
        <v>0.42</v>
      </c>
      <c r="G18" s="19">
        <v>0.64</v>
      </c>
      <c r="H18" s="19">
        <v>1</v>
      </c>
      <c r="I18" s="66">
        <v>1.61</v>
      </c>
      <c r="J18" s="19">
        <v>2.8</v>
      </c>
    </row>
    <row r="19" spans="2:10" ht="14.25">
      <c r="B19" s="16"/>
      <c r="C19" s="10"/>
      <c r="D19" s="10"/>
      <c r="E19" s="10"/>
      <c r="F19" s="10"/>
      <c r="G19" s="10"/>
      <c r="H19" s="10"/>
      <c r="I19" s="10"/>
      <c r="J19" s="10"/>
    </row>
    <row r="20" spans="2:10" ht="14.25">
      <c r="B20" s="16"/>
      <c r="C20" s="10"/>
      <c r="D20" s="10"/>
      <c r="E20" s="10"/>
      <c r="F20" s="10"/>
      <c r="G20" s="10"/>
      <c r="H20" s="10"/>
      <c r="I20" s="10"/>
      <c r="J20" s="10"/>
    </row>
    <row r="21" spans="2:10" ht="14.25">
      <c r="B21" s="16"/>
      <c r="C21" s="10"/>
      <c r="D21" s="10"/>
      <c r="E21" s="10"/>
      <c r="F21" s="10"/>
      <c r="G21" s="10"/>
      <c r="H21" s="10"/>
      <c r="I21" s="10"/>
      <c r="J21" s="10"/>
    </row>
    <row r="22" spans="2:10" ht="14.25">
      <c r="B22" s="16"/>
      <c r="C22" s="10"/>
      <c r="D22" s="10"/>
      <c r="E22" s="10"/>
      <c r="F22" s="10"/>
      <c r="G22" s="10"/>
      <c r="H22" s="10"/>
      <c r="I22" s="10"/>
      <c r="J22" s="10"/>
    </row>
    <row r="23" spans="2:10" ht="14.25">
      <c r="B23" s="16"/>
      <c r="C23" s="10"/>
      <c r="D23" s="10"/>
      <c r="E23" s="10"/>
      <c r="F23" s="10"/>
      <c r="G23" s="10"/>
      <c r="H23" s="10"/>
      <c r="I23" s="10"/>
      <c r="J23" s="10"/>
    </row>
    <row r="24" spans="2:10" ht="14.25">
      <c r="B24" s="16"/>
      <c r="C24" s="10"/>
      <c r="D24" s="10"/>
      <c r="E24" s="10"/>
      <c r="F24" s="10"/>
      <c r="G24" s="10"/>
      <c r="H24" s="10"/>
      <c r="I24" s="10"/>
      <c r="J24" s="10"/>
    </row>
    <row r="25" spans="2:10" ht="14.25">
      <c r="B25" s="16"/>
      <c r="C25" s="10"/>
      <c r="D25" s="10"/>
      <c r="E25" s="10"/>
      <c r="F25" s="10"/>
      <c r="G25" s="10"/>
      <c r="H25" s="10"/>
      <c r="I25" s="10"/>
      <c r="J25" s="10"/>
    </row>
    <row r="26" spans="2:10" ht="14.25">
      <c r="B26" s="16"/>
      <c r="C26" s="10"/>
      <c r="D26" s="10"/>
      <c r="E26" s="150" t="s">
        <v>26</v>
      </c>
      <c r="F26" s="151"/>
      <c r="G26" s="152"/>
      <c r="H26" s="10"/>
      <c r="I26" s="10"/>
      <c r="J26" s="10"/>
    </row>
    <row r="27" spans="2:10" ht="15" thickBot="1">
      <c r="B27" s="16"/>
      <c r="C27" s="10"/>
      <c r="D27" s="10"/>
      <c r="E27" s="153"/>
      <c r="F27" s="154"/>
      <c r="G27" s="155"/>
      <c r="H27" s="10"/>
      <c r="I27" s="10"/>
      <c r="J27" s="10"/>
    </row>
    <row r="28" spans="2:10" ht="26.25" thickBot="1">
      <c r="B28" s="11"/>
      <c r="C28" s="11" t="s">
        <v>3</v>
      </c>
      <c r="D28" s="11" t="s">
        <v>4</v>
      </c>
      <c r="E28" s="11" t="s">
        <v>5</v>
      </c>
      <c r="F28" s="11" t="s">
        <v>22</v>
      </c>
      <c r="G28" s="11" t="s">
        <v>7</v>
      </c>
    </row>
    <row r="29" spans="2:10" ht="26.25" thickBot="1">
      <c r="B29" s="12" t="s">
        <v>24</v>
      </c>
      <c r="C29" s="12">
        <f>C7</f>
        <v>31.9</v>
      </c>
      <c r="D29" s="18">
        <f>F7</f>
        <v>18</v>
      </c>
      <c r="E29" s="18">
        <f>H7</f>
        <v>21.700000000000003</v>
      </c>
      <c r="F29" s="12">
        <f>J7</f>
        <v>18.100000000000001</v>
      </c>
      <c r="G29" s="12">
        <f>M7</f>
        <v>1.1599999999999999</v>
      </c>
    </row>
    <row r="30" spans="2:10" ht="26.25" thickBot="1">
      <c r="B30" s="12" t="s">
        <v>25</v>
      </c>
      <c r="C30" s="12">
        <f>D7</f>
        <v>44.4</v>
      </c>
      <c r="D30" s="18">
        <f>G7</f>
        <v>30.5</v>
      </c>
      <c r="E30" s="12">
        <f>I7</f>
        <v>34.200000000000003</v>
      </c>
      <c r="F30" s="12">
        <f>K7</f>
        <v>30.6</v>
      </c>
      <c r="G30" s="12">
        <f>N7</f>
        <v>2.77</v>
      </c>
    </row>
    <row r="31" spans="2:10" ht="26.25" thickBot="1">
      <c r="B31" s="12" t="s">
        <v>29</v>
      </c>
      <c r="C31" s="12">
        <f>C29/C29</f>
        <v>1</v>
      </c>
      <c r="D31" s="17">
        <f>C29/D29</f>
        <v>1.7722222222222221</v>
      </c>
      <c r="E31" s="17">
        <f>C29/E29</f>
        <v>1.4700460829493085</v>
      </c>
      <c r="F31" s="17">
        <f>C29/F29</f>
        <v>1.7624309392265192</v>
      </c>
      <c r="G31" s="17">
        <f>C29/G29</f>
        <v>27.5</v>
      </c>
    </row>
    <row r="32" spans="2:10" ht="26.25" thickBot="1">
      <c r="B32" s="12" t="s">
        <v>30</v>
      </c>
      <c r="C32" s="12">
        <f>C30/C30</f>
        <v>1</v>
      </c>
      <c r="D32" s="17">
        <f>C30/D30</f>
        <v>1.4557377049180327</v>
      </c>
      <c r="E32" s="17">
        <f>C30/E30</f>
        <v>1.2982456140350875</v>
      </c>
      <c r="F32" s="17">
        <f>C30/F30</f>
        <v>1.4509803921568627</v>
      </c>
      <c r="G32" s="17">
        <f>C30/G30</f>
        <v>16.028880866425993</v>
      </c>
    </row>
    <row r="37" spans="2:19">
      <c r="I37" s="150" t="s">
        <v>43</v>
      </c>
      <c r="J37" s="151"/>
      <c r="K37" s="152"/>
    </row>
    <row r="38" spans="2:19" ht="14.25" thickBot="1">
      <c r="I38" s="153"/>
      <c r="J38" s="154"/>
      <c r="K38" s="155"/>
    </row>
    <row r="39" spans="2:19" ht="15" thickBot="1">
      <c r="B39" s="156" t="s">
        <v>39</v>
      </c>
      <c r="C39" s="157"/>
      <c r="D39" s="156" t="s">
        <v>27</v>
      </c>
      <c r="E39" s="157"/>
      <c r="F39" s="156" t="s">
        <v>40</v>
      </c>
      <c r="G39" s="157"/>
      <c r="H39" s="156" t="s">
        <v>23</v>
      </c>
      <c r="I39" s="157"/>
      <c r="J39" s="156" t="s">
        <v>41</v>
      </c>
      <c r="K39" s="157"/>
    </row>
    <row r="40" spans="2:19" ht="15" thickBot="1">
      <c r="B40" s="67" t="s">
        <v>42</v>
      </c>
      <c r="C40" s="68" t="s">
        <v>21</v>
      </c>
      <c r="D40" s="68" t="s">
        <v>42</v>
      </c>
      <c r="E40" s="68" t="s">
        <v>21</v>
      </c>
      <c r="F40" s="68" t="s">
        <v>42</v>
      </c>
      <c r="G40" s="68" t="s">
        <v>21</v>
      </c>
      <c r="H40" s="68" t="s">
        <v>42</v>
      </c>
      <c r="I40" s="68" t="s">
        <v>21</v>
      </c>
      <c r="J40" s="68" t="s">
        <v>45</v>
      </c>
      <c r="K40" s="68" t="s">
        <v>21</v>
      </c>
    </row>
    <row r="41" spans="2:19" ht="15" thickBot="1">
      <c r="B41" s="67">
        <f>C41-I16</f>
        <v>18.5</v>
      </c>
      <c r="C41" s="27">
        <v>31</v>
      </c>
      <c r="D41" s="66">
        <f>E41-I16</f>
        <v>16.899999999999999</v>
      </c>
      <c r="E41" s="68">
        <v>29.4</v>
      </c>
      <c r="F41" s="66">
        <f>G41-I16</f>
        <v>17.600000000000001</v>
      </c>
      <c r="G41" s="68">
        <v>30.1</v>
      </c>
      <c r="H41" s="23">
        <f>I41-I16</f>
        <v>17.2</v>
      </c>
      <c r="I41" s="68">
        <v>29.7</v>
      </c>
      <c r="J41" s="66">
        <f>K41-I18</f>
        <v>0.8600000000000001</v>
      </c>
      <c r="K41" s="68">
        <v>2.4700000000000002</v>
      </c>
    </row>
    <row r="43" spans="2:19">
      <c r="I43" s="150" t="s">
        <v>44</v>
      </c>
      <c r="J43" s="151"/>
      <c r="K43" s="152"/>
    </row>
    <row r="44" spans="2:19" ht="14.25" thickBot="1">
      <c r="I44" s="153"/>
      <c r="J44" s="154"/>
      <c r="K44" s="155"/>
    </row>
    <row r="45" spans="2:19" ht="15" thickBot="1">
      <c r="B45" s="156" t="s">
        <v>39</v>
      </c>
      <c r="C45" s="157"/>
      <c r="D45" s="156" t="s">
        <v>27</v>
      </c>
      <c r="E45" s="157"/>
      <c r="F45" s="156" t="s">
        <v>40</v>
      </c>
      <c r="G45" s="157"/>
      <c r="H45" s="156" t="s">
        <v>23</v>
      </c>
      <c r="I45" s="157"/>
      <c r="J45" s="156" t="s">
        <v>41</v>
      </c>
      <c r="K45" s="157"/>
    </row>
    <row r="46" spans="2:19" ht="15" thickBot="1">
      <c r="B46" s="67" t="s">
        <v>42</v>
      </c>
      <c r="C46" s="68" t="s">
        <v>21</v>
      </c>
      <c r="D46" s="68" t="s">
        <v>42</v>
      </c>
      <c r="E46" s="68" t="s">
        <v>21</v>
      </c>
      <c r="F46" s="68" t="s">
        <v>42</v>
      </c>
      <c r="G46" s="68" t="s">
        <v>21</v>
      </c>
      <c r="H46" s="68" t="s">
        <v>42</v>
      </c>
      <c r="I46" s="68" t="s">
        <v>21</v>
      </c>
      <c r="J46" s="68" t="s">
        <v>42</v>
      </c>
      <c r="K46" s="68" t="s">
        <v>21</v>
      </c>
    </row>
    <row r="47" spans="2:19" ht="15" thickBot="1">
      <c r="B47" s="67">
        <f>C47-I16</f>
        <v>21.700000000000003</v>
      </c>
      <c r="C47" s="1">
        <v>34.200000000000003</v>
      </c>
      <c r="D47" s="66">
        <f>E47-I16</f>
        <v>17.899999999999999</v>
      </c>
      <c r="E47" s="66">
        <v>30.4</v>
      </c>
      <c r="F47" s="66">
        <f>G47-I16</f>
        <v>18.600000000000001</v>
      </c>
      <c r="G47" s="66">
        <v>31.1</v>
      </c>
      <c r="H47" s="23">
        <f>I47-I16</f>
        <v>17.2</v>
      </c>
      <c r="I47" s="66">
        <v>29.7</v>
      </c>
      <c r="J47" s="66">
        <f>K47-I18</f>
        <v>0.95</v>
      </c>
      <c r="K47" s="66">
        <v>2.56</v>
      </c>
      <c r="Q47" s="150" t="s">
        <v>59</v>
      </c>
      <c r="R47" s="151"/>
      <c r="S47" s="152"/>
    </row>
    <row r="48" spans="2:19" ht="14.25" thickBot="1">
      <c r="Q48" s="153"/>
      <c r="R48" s="154"/>
      <c r="S48" s="155"/>
    </row>
    <row r="50" spans="2:20">
      <c r="P50" t="s">
        <v>80</v>
      </c>
    </row>
    <row r="51" spans="2:20">
      <c r="I51" s="150" t="s">
        <v>59</v>
      </c>
      <c r="J51" s="151"/>
      <c r="K51" s="152"/>
    </row>
    <row r="52" spans="2:20" ht="14.25" thickBot="1">
      <c r="I52" s="153"/>
      <c r="J52" s="154"/>
      <c r="K52" s="155"/>
      <c r="O52" s="44"/>
      <c r="P52" s="44" t="s">
        <v>72</v>
      </c>
      <c r="Q52" s="44"/>
      <c r="R52" s="44"/>
    </row>
    <row r="53" spans="2:20" ht="41.25" thickBot="1">
      <c r="B53" s="17"/>
      <c r="C53" s="17" t="s">
        <v>50</v>
      </c>
      <c r="D53" s="17" t="s">
        <v>52</v>
      </c>
      <c r="E53" s="17" t="s">
        <v>53</v>
      </c>
      <c r="F53" s="17" t="s">
        <v>54</v>
      </c>
      <c r="G53" s="17" t="s">
        <v>51</v>
      </c>
      <c r="I53" s="38" t="s">
        <v>65</v>
      </c>
      <c r="J53" s="39" t="s">
        <v>66</v>
      </c>
      <c r="K53" s="38" t="s">
        <v>67</v>
      </c>
      <c r="L53" s="39" t="s">
        <v>66</v>
      </c>
      <c r="O53" s="44"/>
      <c r="P53" s="44"/>
      <c r="Q53" s="45" t="s">
        <v>50</v>
      </c>
      <c r="R53" s="46" t="s">
        <v>75</v>
      </c>
    </row>
    <row r="54" spans="2:20" ht="39" thickBot="1">
      <c r="B54" s="17" t="s">
        <v>55</v>
      </c>
      <c r="C54" s="33">
        <v>42.9</v>
      </c>
      <c r="D54" s="17">
        <f>16.7-F54-G54</f>
        <v>3.2999999999999989</v>
      </c>
      <c r="E54" s="18">
        <f>C54-D54-F54-G54</f>
        <v>26.200000000000003</v>
      </c>
      <c r="F54" s="18">
        <f>13.4-G54</f>
        <v>10.98</v>
      </c>
      <c r="G54" s="17">
        <v>2.42</v>
      </c>
      <c r="I54" s="42">
        <v>1.68</v>
      </c>
      <c r="J54" s="40">
        <f>I54/C54</f>
        <v>3.9160839160839157E-2</v>
      </c>
      <c r="K54">
        <v>0.09</v>
      </c>
      <c r="L54" s="40">
        <f>K54/G54</f>
        <v>3.71900826446281E-2</v>
      </c>
      <c r="O54" s="44"/>
      <c r="P54" s="44" t="s">
        <v>73</v>
      </c>
      <c r="Q54" s="44">
        <v>42.1</v>
      </c>
      <c r="R54" s="44"/>
      <c r="S54">
        <v>0.64</v>
      </c>
      <c r="T54" s="58">
        <f>S54/Q54</f>
        <v>1.5201900237529691E-2</v>
      </c>
    </row>
    <row r="55" spans="2:20" ht="39" thickBot="1">
      <c r="B55" s="17" t="s">
        <v>56</v>
      </c>
      <c r="C55" s="18">
        <v>32.5</v>
      </c>
      <c r="D55" s="17">
        <f>4.41-G55</f>
        <v>1.9900000000000002</v>
      </c>
      <c r="E55" s="18">
        <f>C55-D55-F55-G55</f>
        <v>22.099999999999994</v>
      </c>
      <c r="F55" s="17">
        <f>10.4-D55-G55</f>
        <v>5.99</v>
      </c>
      <c r="G55" s="17">
        <v>2.42</v>
      </c>
      <c r="I55" s="41">
        <v>0.88</v>
      </c>
      <c r="J55" s="40">
        <f>I55/C55</f>
        <v>2.7076923076923078E-2</v>
      </c>
      <c r="K55">
        <v>0.08</v>
      </c>
      <c r="L55" s="40">
        <f>K55/G55</f>
        <v>3.3057851239669422E-2</v>
      </c>
      <c r="O55" s="44">
        <v>1</v>
      </c>
      <c r="P55" s="46" t="s">
        <v>74</v>
      </c>
      <c r="Q55" s="44" t="s">
        <v>93</v>
      </c>
      <c r="R55" s="47" t="e">
        <f>(Q54-Q55)/Q55</f>
        <v>#VALUE!</v>
      </c>
    </row>
    <row r="56" spans="2:20" ht="39" thickBot="1">
      <c r="B56" s="17" t="s">
        <v>57</v>
      </c>
      <c r="C56" s="31">
        <f>SUM(D56:G56)</f>
        <v>1</v>
      </c>
      <c r="D56" s="31">
        <f>D54/C54</f>
        <v>7.69230769230769E-2</v>
      </c>
      <c r="E56" s="32">
        <f>E54/C54</f>
        <v>0.6107226107226108</v>
      </c>
      <c r="F56" s="31">
        <f>F54/C54</f>
        <v>0.25594405594405595</v>
      </c>
      <c r="G56" s="31">
        <f>G54/C54</f>
        <v>5.6410256410256411E-2</v>
      </c>
      <c r="O56" s="44">
        <v>2</v>
      </c>
      <c r="P56" s="46" t="s">
        <v>76</v>
      </c>
      <c r="Q56" s="44" t="s">
        <v>93</v>
      </c>
      <c r="R56" s="47" t="e">
        <f>(Q54-Q56)/Q56</f>
        <v>#VALUE!</v>
      </c>
    </row>
    <row r="57" spans="2:20" ht="39" thickBot="1">
      <c r="B57" s="17" t="s">
        <v>58</v>
      </c>
      <c r="C57" s="31">
        <f>SUM(D57:G57)</f>
        <v>0.99999999999999978</v>
      </c>
      <c r="D57" s="31">
        <f>D55/C55</f>
        <v>6.1230769230769234E-2</v>
      </c>
      <c r="E57" s="31">
        <f>E55/C55</f>
        <v>0.67999999999999983</v>
      </c>
      <c r="F57" s="31">
        <f>F55/C55</f>
        <v>0.18430769230769231</v>
      </c>
      <c r="G57" s="31">
        <f>G55/C55</f>
        <v>7.4461538461538454E-2</v>
      </c>
      <c r="O57" s="44">
        <v>3</v>
      </c>
      <c r="P57" s="44" t="s">
        <v>77</v>
      </c>
      <c r="Q57" s="44" t="s">
        <v>93</v>
      </c>
      <c r="R57" s="47" t="e">
        <f>(Q54-Q57)/Q57</f>
        <v>#VALUE!</v>
      </c>
    </row>
    <row r="58" spans="2:20" ht="27">
      <c r="B58" s="62"/>
      <c r="C58" s="63"/>
      <c r="D58" s="63"/>
      <c r="E58" s="63"/>
      <c r="F58" s="63"/>
      <c r="G58" s="63"/>
      <c r="O58" s="44">
        <v>4</v>
      </c>
      <c r="P58" s="46" t="s">
        <v>78</v>
      </c>
      <c r="Q58" s="44" t="s">
        <v>93</v>
      </c>
      <c r="R58" s="47" t="e">
        <f>(Q54-Q58)/Q58</f>
        <v>#VALUE!</v>
      </c>
    </row>
    <row r="59" spans="2:20">
      <c r="B59" s="62"/>
      <c r="C59" s="63"/>
      <c r="D59" s="63"/>
      <c r="E59" s="63"/>
      <c r="F59" s="63"/>
      <c r="G59" s="63"/>
      <c r="O59" s="55">
        <v>5</v>
      </c>
      <c r="P59" s="56" t="s">
        <v>86</v>
      </c>
      <c r="Q59" s="55" t="s">
        <v>93</v>
      </c>
      <c r="R59" s="47" t="e">
        <f>(Q54-Q59)/Q54</f>
        <v>#VALUE!</v>
      </c>
    </row>
    <row r="60" spans="2:20">
      <c r="B60" s="62"/>
      <c r="C60" s="63"/>
      <c r="D60" s="63"/>
      <c r="E60" s="63"/>
      <c r="F60" s="63"/>
      <c r="G60" s="63"/>
      <c r="Q60" s="55">
        <v>30.6</v>
      </c>
      <c r="R60" s="47">
        <f>(Q54-Q60)/Q54</f>
        <v>0.27315914489311161</v>
      </c>
      <c r="S60">
        <v>0.61</v>
      </c>
      <c r="T60" s="58">
        <f>S60/Q60</f>
        <v>1.9934640522875816E-2</v>
      </c>
    </row>
    <row r="61" spans="2:20" ht="27">
      <c r="B61" s="62"/>
      <c r="C61" s="63"/>
      <c r="D61" s="63"/>
      <c r="E61" s="63"/>
      <c r="F61" s="63"/>
      <c r="G61" s="63"/>
      <c r="P61" s="38" t="s">
        <v>100</v>
      </c>
      <c r="Q61">
        <v>29.1</v>
      </c>
      <c r="R61" s="47">
        <f>(Q54-Q61)/Q54</f>
        <v>0.30878859857482183</v>
      </c>
      <c r="S61">
        <v>0.69</v>
      </c>
      <c r="T61" s="58">
        <f>S61/Q61</f>
        <v>2.3711340206185563E-2</v>
      </c>
    </row>
    <row r="62" spans="2:20" ht="27">
      <c r="B62" s="62"/>
      <c r="C62" s="63"/>
      <c r="D62" s="63"/>
      <c r="E62" s="63"/>
      <c r="F62" s="63"/>
      <c r="G62" s="63"/>
      <c r="O62" s="64"/>
      <c r="P62" s="65" t="s">
        <v>101</v>
      </c>
      <c r="Q62" s="55">
        <v>23.6</v>
      </c>
      <c r="R62" s="47">
        <f>(Q54-Q62)/Q54</f>
        <v>0.4394299287410926</v>
      </c>
      <c r="S62">
        <v>0.72</v>
      </c>
      <c r="T62" s="58">
        <f>S62/Q62</f>
        <v>3.0508474576271184E-2</v>
      </c>
    </row>
    <row r="63" spans="2:20">
      <c r="C63" s="43"/>
      <c r="P63" s="65"/>
      <c r="Q63" s="69"/>
      <c r="R63" s="47"/>
    </row>
    <row r="65" spans="2:27">
      <c r="I65" s="150" t="s">
        <v>60</v>
      </c>
      <c r="J65" s="151"/>
      <c r="K65" s="152"/>
      <c r="X65" s="150" t="s">
        <v>59</v>
      </c>
      <c r="Y65" s="151"/>
      <c r="Z65" s="152"/>
    </row>
    <row r="66" spans="2:27" ht="14.25" thickBot="1">
      <c r="I66" s="153"/>
      <c r="J66" s="154"/>
      <c r="K66" s="155"/>
      <c r="X66" s="153"/>
      <c r="Y66" s="154"/>
      <c r="Z66" s="155"/>
    </row>
    <row r="67" spans="2:27" ht="41.25" thickBot="1">
      <c r="B67" s="17"/>
      <c r="C67" s="17" t="s">
        <v>50</v>
      </c>
      <c r="D67" s="17" t="s">
        <v>52</v>
      </c>
      <c r="E67" s="17" t="s">
        <v>53</v>
      </c>
      <c r="F67" s="17" t="s">
        <v>54</v>
      </c>
      <c r="G67" s="17" t="s">
        <v>51</v>
      </c>
      <c r="I67" s="38" t="s">
        <v>65</v>
      </c>
      <c r="J67" s="39" t="s">
        <v>66</v>
      </c>
      <c r="K67" s="38" t="s">
        <v>67</v>
      </c>
      <c r="L67" s="39" t="s">
        <v>66</v>
      </c>
      <c r="P67" s="17"/>
      <c r="Q67" s="17" t="s">
        <v>50</v>
      </c>
      <c r="R67" s="17" t="s">
        <v>52</v>
      </c>
      <c r="S67" s="17" t="s">
        <v>53</v>
      </c>
      <c r="T67" s="17" t="s">
        <v>54</v>
      </c>
      <c r="U67" s="49" t="s">
        <v>51</v>
      </c>
      <c r="V67" s="51" t="s">
        <v>79</v>
      </c>
      <c r="W67" s="38"/>
      <c r="X67" s="38" t="s">
        <v>65</v>
      </c>
      <c r="Y67" s="39" t="s">
        <v>66</v>
      </c>
      <c r="Z67" s="38" t="s">
        <v>67</v>
      </c>
      <c r="AA67" s="39" t="s">
        <v>66</v>
      </c>
    </row>
    <row r="68" spans="2:27" ht="39" thickBot="1">
      <c r="B68" s="17" t="s">
        <v>55</v>
      </c>
      <c r="C68" s="37">
        <v>0.91</v>
      </c>
      <c r="D68" s="17">
        <f>0.42-F68-G68</f>
        <v>3.999999999999998E-2</v>
      </c>
      <c r="E68" s="17">
        <f>C68-D68-F68-G68</f>
        <v>0.49000000000000016</v>
      </c>
      <c r="F68" s="17">
        <f>0.38-G68</f>
        <v>0.18</v>
      </c>
      <c r="G68" s="17">
        <v>0.2</v>
      </c>
      <c r="I68" s="42">
        <v>0.04</v>
      </c>
      <c r="J68" s="40">
        <f>I68/C68</f>
        <v>4.3956043956043953E-2</v>
      </c>
      <c r="K68">
        <v>1.7999999999999999E-2</v>
      </c>
      <c r="L68" s="40">
        <f>K68/G68</f>
        <v>8.9999999999999983E-2</v>
      </c>
      <c r="P68" s="17" t="s">
        <v>55</v>
      </c>
      <c r="Q68" s="33">
        <v>24.9</v>
      </c>
      <c r="R68" s="17">
        <v>5</v>
      </c>
      <c r="S68" s="18">
        <v>13.8</v>
      </c>
      <c r="T68" s="18">
        <f>11.1-U68</f>
        <v>9.1</v>
      </c>
      <c r="U68" s="49">
        <f>U69</f>
        <v>2</v>
      </c>
      <c r="V68" s="52"/>
      <c r="X68" s="42">
        <v>0.69</v>
      </c>
      <c r="Y68" s="58">
        <f>X68/Q68</f>
        <v>2.7710843373493974E-2</v>
      </c>
      <c r="AA68" s="40"/>
    </row>
    <row r="69" spans="2:27" ht="39" thickBot="1">
      <c r="B69" s="17" t="s">
        <v>56</v>
      </c>
      <c r="C69" s="17">
        <v>0.77</v>
      </c>
      <c r="D69" s="17">
        <f>0.21-G69</f>
        <v>9.9999999999999811E-3</v>
      </c>
      <c r="E69" s="17">
        <f>C69-D69-F69-G69</f>
        <v>0.41000000000000009</v>
      </c>
      <c r="F69" s="17">
        <f>0.36-D69-G69</f>
        <v>0.14999999999999997</v>
      </c>
      <c r="G69" s="17">
        <v>0.2</v>
      </c>
      <c r="I69" s="41">
        <v>0.03</v>
      </c>
      <c r="J69" s="40">
        <f>I69/C69</f>
        <v>3.896103896103896E-2</v>
      </c>
      <c r="K69">
        <v>1.7999999999999999E-2</v>
      </c>
      <c r="L69" s="40">
        <f>K69/G69</f>
        <v>8.9999999999999983E-2</v>
      </c>
      <c r="P69" s="17" t="s">
        <v>56</v>
      </c>
      <c r="Q69" s="18">
        <f>Q62</f>
        <v>23.6</v>
      </c>
      <c r="R69" s="17">
        <v>4.62</v>
      </c>
      <c r="S69" s="18">
        <f>S68</f>
        <v>13.8</v>
      </c>
      <c r="T69" s="17">
        <f>6.5-U69</f>
        <v>4.5</v>
      </c>
      <c r="U69" s="49">
        <v>2</v>
      </c>
      <c r="V69" s="52"/>
      <c r="X69" s="41">
        <v>0.66</v>
      </c>
      <c r="Y69" s="58">
        <f>X69/Q69</f>
        <v>2.7966101694915254E-2</v>
      </c>
      <c r="Z69">
        <v>0.25</v>
      </c>
      <c r="AA69" s="58">
        <f>Z69/U69</f>
        <v>0.125</v>
      </c>
    </row>
    <row r="70" spans="2:27" ht="39" thickBot="1">
      <c r="B70" s="17" t="s">
        <v>57</v>
      </c>
      <c r="C70" s="31">
        <f>SUM(D70:G70)</f>
        <v>1</v>
      </c>
      <c r="D70" s="31">
        <f>D68/C68</f>
        <v>4.3956043956043932E-2</v>
      </c>
      <c r="E70" s="32">
        <f>E68/C68</f>
        <v>0.53846153846153866</v>
      </c>
      <c r="F70" s="31">
        <f>F68/C68</f>
        <v>0.19780219780219779</v>
      </c>
      <c r="G70" s="31">
        <f>G68/C68</f>
        <v>0.21978021978021978</v>
      </c>
      <c r="P70" s="17" t="s">
        <v>57</v>
      </c>
      <c r="Q70" s="31">
        <f>SUM(R70:U70)</f>
        <v>1.2008032128514059</v>
      </c>
      <c r="R70" s="31">
        <f>R68/Q68</f>
        <v>0.20080321285140562</v>
      </c>
      <c r="S70" s="32">
        <f>S68/Q68</f>
        <v>0.55421686746987953</v>
      </c>
      <c r="T70" s="31">
        <f>T68/Q68</f>
        <v>0.36546184738955823</v>
      </c>
      <c r="U70" s="50">
        <f>U68/Q68</f>
        <v>8.0321285140562249E-2</v>
      </c>
      <c r="V70" s="53">
        <f>S70+T70</f>
        <v>0.91967871485943775</v>
      </c>
      <c r="W70" s="48"/>
    </row>
    <row r="71" spans="2:27" ht="39" thickBot="1">
      <c r="B71" s="17" t="s">
        <v>58</v>
      </c>
      <c r="C71" s="31">
        <f>SUM(D71:G71)</f>
        <v>1</v>
      </c>
      <c r="D71" s="31">
        <f>D69/C69</f>
        <v>1.2987012987012962E-2</v>
      </c>
      <c r="E71" s="31">
        <f>E69/C69</f>
        <v>0.53246753246753253</v>
      </c>
      <c r="F71" s="31">
        <f>F69/C69</f>
        <v>0.19480519480519476</v>
      </c>
      <c r="G71" s="31">
        <f>G69/C69</f>
        <v>0.25974025974025977</v>
      </c>
      <c r="P71" s="17" t="s">
        <v>58</v>
      </c>
      <c r="Q71" s="31">
        <f>SUM(R71:U71)</f>
        <v>1.0559322033898304</v>
      </c>
      <c r="R71" s="31">
        <f>R69/Q69</f>
        <v>0.19576271186440677</v>
      </c>
      <c r="S71" s="31">
        <f>S69/Q69</f>
        <v>0.5847457627118644</v>
      </c>
      <c r="T71" s="31">
        <f>T69/Q69</f>
        <v>0.19067796610169491</v>
      </c>
      <c r="U71" s="50">
        <f>U69/Q69</f>
        <v>8.4745762711864403E-2</v>
      </c>
      <c r="V71" s="53">
        <f>S71+T71</f>
        <v>0.77542372881355925</v>
      </c>
      <c r="W71" s="48"/>
      <c r="X71" t="s">
        <v>98</v>
      </c>
      <c r="Y71">
        <v>13.9</v>
      </c>
      <c r="Z71">
        <v>7.7</v>
      </c>
      <c r="AA71">
        <f>Y71-Z71</f>
        <v>6.2</v>
      </c>
    </row>
    <row r="74" spans="2:27">
      <c r="I74" s="150" t="s">
        <v>69</v>
      </c>
      <c r="J74" s="151"/>
      <c r="K74" s="152"/>
    </row>
    <row r="75" spans="2:27" ht="14.25" thickBot="1">
      <c r="I75" s="153"/>
      <c r="J75" s="154"/>
      <c r="K75" s="155"/>
    </row>
    <row r="76" spans="2:27" ht="41.25" thickBot="1">
      <c r="B76" s="17"/>
      <c r="C76" s="17" t="s">
        <v>50</v>
      </c>
      <c r="D76" s="17" t="s">
        <v>52</v>
      </c>
      <c r="E76" s="17" t="s">
        <v>53</v>
      </c>
      <c r="F76" s="17" t="s">
        <v>54</v>
      </c>
      <c r="G76" s="17" t="s">
        <v>51</v>
      </c>
      <c r="I76" s="38" t="s">
        <v>65</v>
      </c>
      <c r="J76" s="39" t="s">
        <v>66</v>
      </c>
      <c r="K76" s="38" t="s">
        <v>67</v>
      </c>
      <c r="L76" s="39" t="s">
        <v>66</v>
      </c>
      <c r="Q76" t="s">
        <v>81</v>
      </c>
    </row>
    <row r="77" spans="2:27" ht="39" thickBot="1">
      <c r="B77" s="17" t="s">
        <v>55</v>
      </c>
      <c r="C77" s="33">
        <v>30.7</v>
      </c>
      <c r="D77" s="17">
        <f>13.8-F77-G77</f>
        <v>2.4000000000000004</v>
      </c>
      <c r="E77" s="18">
        <f>C77-D77-F77-G77</f>
        <v>16.899999999999999</v>
      </c>
      <c r="F77" s="18">
        <f>11.4-G77</f>
        <v>9.23</v>
      </c>
      <c r="G77" s="17">
        <v>2.17</v>
      </c>
      <c r="I77" s="42">
        <v>0.66</v>
      </c>
      <c r="J77" s="40">
        <f>I77/C77</f>
        <v>2.1498371335504887E-2</v>
      </c>
      <c r="K77">
        <v>0.09</v>
      </c>
      <c r="L77" s="40">
        <f>K77/G77</f>
        <v>4.1474654377880185E-2</v>
      </c>
    </row>
    <row r="78" spans="2:27" ht="39" thickBot="1">
      <c r="B78" s="17" t="s">
        <v>56</v>
      </c>
      <c r="C78" s="18">
        <v>23.8</v>
      </c>
      <c r="D78" s="17">
        <f>4.01-G78</f>
        <v>1.8399999999999999</v>
      </c>
      <c r="E78" s="18">
        <f>C78-D78-F78-G78</f>
        <v>15.13</v>
      </c>
      <c r="F78" s="17">
        <f>8.67-D78-G78</f>
        <v>4.66</v>
      </c>
      <c r="G78" s="17">
        <v>2.17</v>
      </c>
      <c r="I78" s="41">
        <v>0.41</v>
      </c>
      <c r="J78" s="40">
        <f>I78/C78</f>
        <v>1.7226890756302519E-2</v>
      </c>
      <c r="K78">
        <v>0.17</v>
      </c>
      <c r="L78" s="40">
        <f>K78/G78</f>
        <v>7.83410138248848E-2</v>
      </c>
      <c r="P78" s="44"/>
      <c r="Q78" s="44" t="s">
        <v>72</v>
      </c>
      <c r="R78" s="44"/>
      <c r="S78" s="44"/>
      <c r="T78" s="44"/>
      <c r="U78" s="44"/>
      <c r="V78" s="44"/>
    </row>
    <row r="79" spans="2:27" ht="39" thickBot="1">
      <c r="B79" s="17" t="s">
        <v>57</v>
      </c>
      <c r="C79" s="31">
        <f>SUM(D79:G79)</f>
        <v>0.99999999999999989</v>
      </c>
      <c r="D79" s="31">
        <f>D77/C77</f>
        <v>7.817589576547232E-2</v>
      </c>
      <c r="E79" s="32">
        <f>E77/C77</f>
        <v>0.55048859934853411</v>
      </c>
      <c r="F79" s="31">
        <f>F77/C77</f>
        <v>0.30065146579804564</v>
      </c>
      <c r="G79" s="31">
        <f>G77/C77</f>
        <v>7.0684039087947875E-2</v>
      </c>
      <c r="P79" s="44"/>
      <c r="Q79" s="44"/>
      <c r="R79" s="54" t="s">
        <v>84</v>
      </c>
      <c r="S79" s="46" t="s">
        <v>85</v>
      </c>
      <c r="T79" s="46" t="s">
        <v>87</v>
      </c>
      <c r="U79" s="46" t="s">
        <v>88</v>
      </c>
      <c r="V79" s="46" t="s">
        <v>91</v>
      </c>
      <c r="W79" s="46" t="s">
        <v>90</v>
      </c>
      <c r="X79" s="38" t="s">
        <v>94</v>
      </c>
      <c r="Y79" s="46" t="s">
        <v>95</v>
      </c>
      <c r="Z79" s="46" t="s">
        <v>96</v>
      </c>
      <c r="AA79" s="38" t="s">
        <v>97</v>
      </c>
    </row>
    <row r="80" spans="2:27" ht="39" thickBot="1">
      <c r="B80" s="17" t="s">
        <v>58</v>
      </c>
      <c r="C80" s="31">
        <f>SUM(D80:G80)</f>
        <v>0.99999999999999989</v>
      </c>
      <c r="D80" s="31">
        <f>D78/C78</f>
        <v>7.7310924369747888E-2</v>
      </c>
      <c r="E80" s="31">
        <f>E78/C78</f>
        <v>0.63571428571428568</v>
      </c>
      <c r="F80" s="31">
        <f>F78/C78</f>
        <v>0.19579831932773109</v>
      </c>
      <c r="G80" s="31">
        <f>G78/C78</f>
        <v>9.1176470588235289E-2</v>
      </c>
      <c r="P80" s="44"/>
      <c r="Q80" s="44" t="s">
        <v>73</v>
      </c>
      <c r="R80" s="57">
        <f>S69</f>
        <v>13.8</v>
      </c>
      <c r="S80" s="59">
        <f>T69</f>
        <v>4.5</v>
      </c>
      <c r="T80" s="57">
        <f>SUM(R80:S80)</f>
        <v>18.3</v>
      </c>
      <c r="U80" s="57">
        <f>Q69</f>
        <v>23.6</v>
      </c>
      <c r="W80" s="44"/>
      <c r="Z80" s="44"/>
    </row>
    <row r="81" spans="2:27">
      <c r="P81" s="44">
        <v>1</v>
      </c>
      <c r="Q81" s="46" t="s">
        <v>4</v>
      </c>
      <c r="R81" s="57">
        <f>R80+U81-U80</f>
        <v>6.3999999999999986</v>
      </c>
      <c r="S81" s="59">
        <f>T69</f>
        <v>4.5</v>
      </c>
      <c r="T81" s="57">
        <f t="shared" ref="T81:T84" si="2">SUM(R81:S81)</f>
        <v>10.899999999999999</v>
      </c>
      <c r="U81" s="44">
        <v>16.2</v>
      </c>
      <c r="V81" s="47">
        <f>(R80-R81)/R80</f>
        <v>0.53623188405797118</v>
      </c>
      <c r="W81" s="47">
        <f>(T80-T81)/T80</f>
        <v>0.40437158469945367</v>
      </c>
      <c r="X81" s="47">
        <f>(U80-U81)/U80</f>
        <v>0.31355932203389836</v>
      </c>
      <c r="Y81" s="61">
        <f>R80/R81</f>
        <v>2.1562500000000004</v>
      </c>
      <c r="Z81" s="61">
        <f>T80/T81</f>
        <v>1.6788990825688077</v>
      </c>
      <c r="AA81" s="61">
        <f>U80/U81</f>
        <v>1.4567901234567904</v>
      </c>
    </row>
    <row r="82" spans="2:27">
      <c r="P82" s="44">
        <v>2</v>
      </c>
      <c r="Q82" s="46" t="s">
        <v>5</v>
      </c>
      <c r="R82" s="60">
        <f t="shared" ref="R82:R84" si="3">R81+U82-U81</f>
        <v>8.8999999999999986</v>
      </c>
      <c r="S82" s="59">
        <f>T69</f>
        <v>4.5</v>
      </c>
      <c r="T82" s="57">
        <f t="shared" si="2"/>
        <v>13.399999999999999</v>
      </c>
      <c r="U82" s="44">
        <v>18.7</v>
      </c>
      <c r="V82" s="47">
        <f>(R80-R82)/R80</f>
        <v>0.35507246376811608</v>
      </c>
      <c r="W82" s="47">
        <f>(T80-T82)/T80</f>
        <v>0.26775956284153019</v>
      </c>
      <c r="X82" s="47">
        <f>(U80-U82)/U80</f>
        <v>0.20762711864406788</v>
      </c>
      <c r="Y82" s="61">
        <f>R80/R82</f>
        <v>1.5505617977528092</v>
      </c>
      <c r="Z82" s="61">
        <f>T80/T82</f>
        <v>1.3656716417910451</v>
      </c>
      <c r="AA82" s="61">
        <f>U80/U82</f>
        <v>1.2620320855614975</v>
      </c>
    </row>
    <row r="83" spans="2:27">
      <c r="I83" s="150" t="s">
        <v>71</v>
      </c>
      <c r="J83" s="151"/>
      <c r="K83" s="152"/>
      <c r="P83" s="44">
        <v>3</v>
      </c>
      <c r="Q83" s="44" t="s">
        <v>77</v>
      </c>
      <c r="R83" s="60">
        <f t="shared" si="3"/>
        <v>8.8999999999999986</v>
      </c>
      <c r="S83" s="59">
        <f>T69</f>
        <v>4.5</v>
      </c>
      <c r="T83" s="57">
        <f t="shared" si="2"/>
        <v>13.399999999999999</v>
      </c>
      <c r="U83" s="44">
        <v>18.7</v>
      </c>
      <c r="V83" s="47">
        <f>(R80-R83)/R80</f>
        <v>0.35507246376811608</v>
      </c>
      <c r="W83" s="47">
        <f>(T80-T83)/T80</f>
        <v>0.26775956284153019</v>
      </c>
      <c r="X83" s="47">
        <f>(U80-U83)/U80</f>
        <v>0.20762711864406788</v>
      </c>
      <c r="Y83" s="61">
        <f>R80/R83</f>
        <v>1.5505617977528092</v>
      </c>
      <c r="Z83" s="61">
        <f>T80/T83</f>
        <v>1.3656716417910451</v>
      </c>
      <c r="AA83" s="61">
        <f>U80/U83</f>
        <v>1.2620320855614975</v>
      </c>
    </row>
    <row r="84" spans="2:27" ht="14.25" thickBot="1">
      <c r="I84" s="153"/>
      <c r="J84" s="154"/>
      <c r="K84" s="155"/>
      <c r="P84" s="44">
        <v>4</v>
      </c>
      <c r="Q84" s="46" t="s">
        <v>7</v>
      </c>
      <c r="R84" s="60">
        <f t="shared" si="3"/>
        <v>8.8999999999999986</v>
      </c>
      <c r="S84" s="59">
        <f>T69</f>
        <v>4.5</v>
      </c>
      <c r="T84" s="57">
        <f t="shared" si="2"/>
        <v>13.399999999999999</v>
      </c>
      <c r="U84" s="44">
        <v>18.7</v>
      </c>
      <c r="V84" s="47">
        <f>(R80-R84)/R80</f>
        <v>0.35507246376811608</v>
      </c>
      <c r="W84" s="47">
        <f>(T80-T84)/T80</f>
        <v>0.26775956284153019</v>
      </c>
      <c r="X84" s="47">
        <f>(U80-U84)/U80</f>
        <v>0.20762711864406788</v>
      </c>
      <c r="Y84" s="61">
        <f>R80/R84</f>
        <v>1.5505617977528092</v>
      </c>
      <c r="Z84" s="61">
        <f>T80/T84</f>
        <v>1.3656716417910451</v>
      </c>
      <c r="AA84" s="61">
        <f>U80/U84</f>
        <v>1.2620320855614975</v>
      </c>
    </row>
    <row r="85" spans="2:27" ht="41.25" thickBot="1">
      <c r="B85" s="17"/>
      <c r="C85" s="17" t="s">
        <v>50</v>
      </c>
      <c r="D85" s="17" t="s">
        <v>52</v>
      </c>
      <c r="E85" s="17" t="s">
        <v>53</v>
      </c>
      <c r="F85" s="17" t="s">
        <v>54</v>
      </c>
      <c r="G85" s="17" t="s">
        <v>51</v>
      </c>
      <c r="I85" s="38" t="s">
        <v>65</v>
      </c>
      <c r="J85" s="39" t="s">
        <v>66</v>
      </c>
      <c r="K85" s="38" t="s">
        <v>67</v>
      </c>
      <c r="L85" s="39" t="s">
        <v>66</v>
      </c>
    </row>
    <row r="86" spans="2:27" ht="39" thickBot="1">
      <c r="B86" s="17" t="s">
        <v>55</v>
      </c>
      <c r="C86" s="33">
        <v>350</v>
      </c>
      <c r="D86" s="17">
        <f>133-F86-G86</f>
        <v>19.999999999999996</v>
      </c>
      <c r="E86" s="18">
        <f>C86-D86-F86-G86</f>
        <v>217</v>
      </c>
      <c r="F86" s="18">
        <f>113-G86</f>
        <v>93.2</v>
      </c>
      <c r="G86" s="17">
        <v>19.8</v>
      </c>
      <c r="I86" s="42">
        <v>2.31</v>
      </c>
      <c r="J86" s="40">
        <f>I86/C86</f>
        <v>6.6E-3</v>
      </c>
      <c r="K86">
        <v>0.22</v>
      </c>
      <c r="L86" s="40">
        <f>K86/G86</f>
        <v>1.1111111111111112E-2</v>
      </c>
      <c r="P86" s="44"/>
      <c r="Q86" s="44" t="s">
        <v>92</v>
      </c>
      <c r="R86" s="44"/>
      <c r="S86" s="44"/>
      <c r="T86" s="44"/>
      <c r="U86" s="44"/>
      <c r="V86" s="44"/>
    </row>
    <row r="87" spans="2:27" ht="39" thickBot="1">
      <c r="B87" s="17" t="s">
        <v>56</v>
      </c>
      <c r="C87" s="18">
        <v>252</v>
      </c>
      <c r="D87" s="17">
        <f>38.5-G87</f>
        <v>18.7</v>
      </c>
      <c r="E87" s="18">
        <f>C87-D87-F87-G87</f>
        <v>167.5</v>
      </c>
      <c r="F87" s="17">
        <f>84.5-D87-G87</f>
        <v>46</v>
      </c>
      <c r="G87" s="17">
        <v>19.8</v>
      </c>
      <c r="I87" s="41">
        <v>1.35</v>
      </c>
      <c r="J87" s="40">
        <f>I87/C87</f>
        <v>5.3571428571428572E-3</v>
      </c>
      <c r="K87">
        <v>0.15</v>
      </c>
      <c r="L87" s="40">
        <f>K87/G87</f>
        <v>7.5757575757575751E-3</v>
      </c>
      <c r="P87" s="44"/>
      <c r="Q87" s="44"/>
      <c r="R87" s="54" t="s">
        <v>84</v>
      </c>
      <c r="S87" s="46" t="s">
        <v>85</v>
      </c>
      <c r="T87" s="46" t="s">
        <v>87</v>
      </c>
      <c r="U87" s="46" t="s">
        <v>88</v>
      </c>
      <c r="V87" s="46" t="s">
        <v>91</v>
      </c>
      <c r="W87" s="46" t="s">
        <v>90</v>
      </c>
      <c r="X87" s="38" t="s">
        <v>94</v>
      </c>
      <c r="Y87" s="46" t="s">
        <v>95</v>
      </c>
      <c r="Z87" s="46" t="s">
        <v>96</v>
      </c>
      <c r="AA87" s="38" t="s">
        <v>97</v>
      </c>
    </row>
    <row r="88" spans="2:27" ht="39" thickBot="1">
      <c r="B88" s="17" t="s">
        <v>57</v>
      </c>
      <c r="C88" s="31">
        <f>SUM(D88:G88)</f>
        <v>1</v>
      </c>
      <c r="D88" s="31">
        <f>D86/C86</f>
        <v>5.7142857142857134E-2</v>
      </c>
      <c r="E88" s="32">
        <f>E86/C86</f>
        <v>0.62</v>
      </c>
      <c r="F88" s="31">
        <f>F86/C86</f>
        <v>0.26628571428571429</v>
      </c>
      <c r="G88" s="31">
        <f>G86/C86</f>
        <v>5.6571428571428571E-2</v>
      </c>
      <c r="P88" s="44"/>
      <c r="Q88" s="44" t="s">
        <v>73</v>
      </c>
      <c r="R88" s="57">
        <f>S68</f>
        <v>13.8</v>
      </c>
      <c r="S88" s="57">
        <f>T68</f>
        <v>9.1</v>
      </c>
      <c r="T88" s="57">
        <f>SUM(R88:S88)</f>
        <v>22.9</v>
      </c>
      <c r="U88" s="57">
        <f>Q68</f>
        <v>24.9</v>
      </c>
      <c r="W88" s="44"/>
    </row>
    <row r="89" spans="2:27" ht="39" thickBot="1">
      <c r="B89" s="17" t="s">
        <v>58</v>
      </c>
      <c r="C89" s="31">
        <f>SUM(D89:G89)</f>
        <v>1</v>
      </c>
      <c r="D89" s="31">
        <f>D87/C87</f>
        <v>7.4206349206349206E-2</v>
      </c>
      <c r="E89" s="31">
        <f>E87/C87</f>
        <v>0.66468253968253965</v>
      </c>
      <c r="F89" s="31">
        <f>F87/C87</f>
        <v>0.18253968253968253</v>
      </c>
      <c r="G89" s="31">
        <f>G87/C87</f>
        <v>7.857142857142857E-2</v>
      </c>
      <c r="P89" s="44">
        <v>1</v>
      </c>
      <c r="Q89" s="46" t="s">
        <v>4</v>
      </c>
      <c r="R89" s="57">
        <v>6.35</v>
      </c>
      <c r="S89" s="57">
        <f>T68</f>
        <v>9.1</v>
      </c>
      <c r="T89" s="57">
        <f t="shared" ref="T89:T96" si="4">SUM(R89:S89)</f>
        <v>15.45</v>
      </c>
      <c r="U89" s="57">
        <v>19</v>
      </c>
      <c r="V89" s="47">
        <f>(R88-R89)/R88</f>
        <v>0.53985507246376818</v>
      </c>
      <c r="W89" s="47">
        <f>(T88-T89)/T88</f>
        <v>0.32532751091703055</v>
      </c>
      <c r="X89" s="47">
        <f>(U88-U89)/U88</f>
        <v>0.23694779116465858</v>
      </c>
      <c r="Y89" s="61">
        <f>R88/R89</f>
        <v>2.173228346456693</v>
      </c>
      <c r="Z89" s="61">
        <f>T88/T89</f>
        <v>1.4822006472491909</v>
      </c>
      <c r="AA89" s="61">
        <f>U88/U89</f>
        <v>1.3105263157894735</v>
      </c>
    </row>
    <row r="90" spans="2:27">
      <c r="B90" s="62"/>
      <c r="C90" s="63"/>
      <c r="D90" s="63"/>
      <c r="E90" s="63"/>
      <c r="F90" s="63"/>
      <c r="G90" s="63"/>
      <c r="P90" s="44"/>
      <c r="Q90" s="46" t="s">
        <v>103</v>
      </c>
      <c r="R90" s="57">
        <v>13.7</v>
      </c>
      <c r="S90" s="57"/>
      <c r="T90" s="57"/>
      <c r="U90" s="57"/>
      <c r="V90" s="47"/>
      <c r="W90" s="47"/>
      <c r="X90" s="47"/>
      <c r="Y90" s="61"/>
      <c r="Z90" s="61"/>
      <c r="AA90" s="61"/>
    </row>
    <row r="91" spans="2:27">
      <c r="B91" s="62"/>
      <c r="C91" s="63"/>
      <c r="D91" s="63"/>
      <c r="E91" s="63"/>
      <c r="F91" s="63"/>
      <c r="G91" s="63"/>
      <c r="P91" s="44"/>
      <c r="Q91" s="46" t="s">
        <v>104</v>
      </c>
      <c r="R91" s="57">
        <v>5.5</v>
      </c>
      <c r="S91" s="57"/>
      <c r="T91" s="57"/>
      <c r="U91" s="57"/>
      <c r="V91" s="47"/>
      <c r="W91" s="47"/>
      <c r="X91" s="47"/>
      <c r="Y91" s="61"/>
      <c r="Z91" s="61"/>
      <c r="AA91" s="61"/>
    </row>
    <row r="92" spans="2:27">
      <c r="I92" s="150" t="s">
        <v>105</v>
      </c>
      <c r="J92" s="151"/>
      <c r="K92" s="152"/>
      <c r="L92" t="s">
        <v>128</v>
      </c>
      <c r="P92" s="44">
        <v>2</v>
      </c>
      <c r="Q92" s="46" t="s">
        <v>5</v>
      </c>
      <c r="R92" s="60">
        <v>10</v>
      </c>
      <c r="S92" s="57">
        <f>T68</f>
        <v>9.1</v>
      </c>
      <c r="T92" s="57">
        <f t="shared" si="4"/>
        <v>19.100000000000001</v>
      </c>
      <c r="U92" s="57">
        <f>U89+R92-R89</f>
        <v>22.65</v>
      </c>
      <c r="V92" s="47">
        <f>(R88-R92)/R88</f>
        <v>0.27536231884057977</v>
      </c>
      <c r="W92" s="47">
        <f>(T88-T92)/T88</f>
        <v>0.16593886462882085</v>
      </c>
      <c r="X92" s="47">
        <f>(U88-U92)/U88</f>
        <v>9.036144578313253E-2</v>
      </c>
      <c r="Y92" s="61">
        <f>R88/R92</f>
        <v>1.3800000000000001</v>
      </c>
      <c r="Z92" s="61">
        <f>T88/T92</f>
        <v>1.1989528795811517</v>
      </c>
      <c r="AA92" s="61">
        <f>U88/U92</f>
        <v>1.0993377483443709</v>
      </c>
    </row>
    <row r="93" spans="2:27" ht="14.25" thickBot="1">
      <c r="I93" s="153"/>
      <c r="J93" s="154"/>
      <c r="K93" s="155"/>
      <c r="L93" t="s">
        <v>129</v>
      </c>
      <c r="P93" s="44"/>
      <c r="Q93" s="46"/>
      <c r="R93" s="60"/>
      <c r="S93" s="57"/>
      <c r="T93" s="57"/>
      <c r="U93" s="57"/>
      <c r="V93" s="47"/>
      <c r="W93" s="47"/>
      <c r="X93" s="47"/>
      <c r="Y93" s="61"/>
      <c r="Z93" s="61"/>
      <c r="AA93" s="61"/>
    </row>
    <row r="94" spans="2:27" ht="41.25" thickBot="1">
      <c r="B94" s="17"/>
      <c r="C94" s="17" t="s">
        <v>50</v>
      </c>
      <c r="D94" s="17" t="s">
        <v>52</v>
      </c>
      <c r="E94" s="17" t="s">
        <v>53</v>
      </c>
      <c r="F94" s="17" t="s">
        <v>54</v>
      </c>
      <c r="G94" s="17" t="s">
        <v>51</v>
      </c>
      <c r="I94" s="38" t="s">
        <v>65</v>
      </c>
      <c r="J94" s="39" t="s">
        <v>66</v>
      </c>
      <c r="K94" s="38" t="s">
        <v>67</v>
      </c>
      <c r="L94" s="39" t="s">
        <v>66</v>
      </c>
      <c r="P94" s="44">
        <v>3</v>
      </c>
      <c r="Q94" s="44" t="s">
        <v>77</v>
      </c>
      <c r="R94" s="60">
        <v>10</v>
      </c>
      <c r="S94" s="57">
        <f>T68</f>
        <v>9.1</v>
      </c>
      <c r="T94" s="57">
        <f t="shared" si="4"/>
        <v>19.100000000000001</v>
      </c>
      <c r="U94" s="57">
        <f>U92+R94-R92</f>
        <v>22.65</v>
      </c>
      <c r="V94" s="47">
        <f>(R88-R94)/R88</f>
        <v>0.27536231884057977</v>
      </c>
      <c r="W94" s="47">
        <f>(T88-T94)/T88</f>
        <v>0.16593886462882085</v>
      </c>
      <c r="X94" s="47">
        <f>(U88-U94)/U88</f>
        <v>9.036144578313253E-2</v>
      </c>
      <c r="Y94" s="61">
        <f>R88/R94</f>
        <v>1.3800000000000001</v>
      </c>
      <c r="Z94" s="61">
        <f>T88/T94</f>
        <v>1.1989528795811517</v>
      </c>
      <c r="AA94" s="61">
        <f>U88/U94</f>
        <v>1.0993377483443709</v>
      </c>
    </row>
    <row r="95" spans="2:27" ht="39" thickBot="1">
      <c r="B95" s="17" t="s">
        <v>55</v>
      </c>
      <c r="C95" s="37">
        <v>2.14</v>
      </c>
      <c r="D95" s="17">
        <v>0.28000000000000003</v>
      </c>
      <c r="E95" s="17">
        <v>0.82</v>
      </c>
      <c r="F95" s="17">
        <f>1.83-G96</f>
        <v>1.23</v>
      </c>
      <c r="G95" s="17">
        <f>G96</f>
        <v>0.6</v>
      </c>
      <c r="I95" s="42">
        <v>0.05</v>
      </c>
      <c r="J95" s="40">
        <f>I95/C95</f>
        <v>2.336448598130841E-2</v>
      </c>
      <c r="L95" s="40"/>
      <c r="P95" s="44"/>
      <c r="Q95" s="44"/>
      <c r="R95" s="60"/>
      <c r="S95" s="57"/>
      <c r="T95" s="57"/>
      <c r="U95" s="57"/>
      <c r="V95" s="47"/>
      <c r="W95" s="47"/>
      <c r="X95" s="47"/>
      <c r="Y95" s="61"/>
      <c r="Z95" s="61"/>
      <c r="AA95" s="61"/>
    </row>
    <row r="96" spans="2:27" ht="39" thickBot="1">
      <c r="B96" s="17" t="s">
        <v>56</v>
      </c>
      <c r="C96" s="17">
        <v>1.96</v>
      </c>
      <c r="D96" s="17">
        <f>D95</f>
        <v>0.28000000000000003</v>
      </c>
      <c r="E96" s="17">
        <f>E95</f>
        <v>0.82</v>
      </c>
      <c r="F96" s="17">
        <f>0.97-G96</f>
        <v>0.37</v>
      </c>
      <c r="G96" s="17">
        <v>0.6</v>
      </c>
      <c r="I96" s="41">
        <v>0.05</v>
      </c>
      <c r="J96" s="40">
        <f>I96/C96</f>
        <v>2.5510204081632654E-2</v>
      </c>
      <c r="K96">
        <v>0.03</v>
      </c>
      <c r="L96" s="40">
        <f>K96/G96</f>
        <v>0.05</v>
      </c>
      <c r="P96" s="44">
        <v>4</v>
      </c>
      <c r="Q96" s="46" t="s">
        <v>7</v>
      </c>
      <c r="R96" s="60">
        <v>10</v>
      </c>
      <c r="S96" s="57">
        <f>T68</f>
        <v>9.1</v>
      </c>
      <c r="T96" s="57">
        <f t="shared" si="4"/>
        <v>19.100000000000001</v>
      </c>
      <c r="U96" s="57">
        <f t="shared" ref="U96" si="5">U94+R96-R94</f>
        <v>22.65</v>
      </c>
      <c r="V96" s="47">
        <f>(R88-R96)/R88</f>
        <v>0.27536231884057977</v>
      </c>
      <c r="W96" s="47">
        <f>(T88-T96)/T88</f>
        <v>0.16593886462882085</v>
      </c>
      <c r="X96" s="47">
        <f>(U88-U96)/U88</f>
        <v>9.036144578313253E-2</v>
      </c>
      <c r="Y96" s="61">
        <f>R88/R96</f>
        <v>1.3800000000000001</v>
      </c>
      <c r="Z96" s="61">
        <f>T88/T96</f>
        <v>1.1989528795811517</v>
      </c>
      <c r="AA96" s="61">
        <f>U88/U96</f>
        <v>1.0993377483443709</v>
      </c>
    </row>
    <row r="97" spans="2:27" ht="39" thickBot="1">
      <c r="B97" s="17" t="s">
        <v>57</v>
      </c>
      <c r="C97" s="31">
        <f>SUM(D97:G97)</f>
        <v>1.3691588785046729</v>
      </c>
      <c r="D97" s="31">
        <f>D95/C95</f>
        <v>0.13084112149532712</v>
      </c>
      <c r="E97" s="32">
        <f>E95/C95</f>
        <v>0.38317757009345788</v>
      </c>
      <c r="F97" s="31">
        <f>F95/C95</f>
        <v>0.57476635514018692</v>
      </c>
      <c r="G97" s="31">
        <f>G95/C95</f>
        <v>0.28037383177570091</v>
      </c>
    </row>
    <row r="98" spans="2:27" ht="39" thickBot="1">
      <c r="B98" s="17" t="s">
        <v>58</v>
      </c>
      <c r="C98" s="31">
        <f>SUM(D98:G98)</f>
        <v>1.056122448979592</v>
      </c>
      <c r="D98" s="31">
        <f>D96/C96</f>
        <v>0.14285714285714288</v>
      </c>
      <c r="E98" s="31">
        <f>E96/C96</f>
        <v>0.41836734693877548</v>
      </c>
      <c r="F98" s="31">
        <f>F96/C96</f>
        <v>0.18877551020408162</v>
      </c>
      <c r="G98" s="31">
        <f>G96/C96</f>
        <v>0.30612244897959184</v>
      </c>
    </row>
    <row r="99" spans="2:27">
      <c r="P99" s="150" t="s">
        <v>69</v>
      </c>
      <c r="Q99" s="151"/>
      <c r="R99" s="152"/>
    </row>
    <row r="100" spans="2:27" ht="14.25" thickBot="1">
      <c r="P100" s="153"/>
      <c r="Q100" s="154"/>
      <c r="R100" s="155"/>
    </row>
    <row r="101" spans="2:27">
      <c r="I101" s="150" t="s">
        <v>105</v>
      </c>
      <c r="J101" s="151"/>
      <c r="K101" s="152"/>
      <c r="L101" t="s">
        <v>131</v>
      </c>
    </row>
    <row r="102" spans="2:27" ht="14.25" thickBot="1">
      <c r="I102" s="153"/>
      <c r="J102" s="154"/>
      <c r="K102" s="155"/>
      <c r="L102" t="s">
        <v>129</v>
      </c>
    </row>
    <row r="103" spans="2:27" ht="41.25" thickBot="1">
      <c r="B103" s="17"/>
      <c r="C103" s="17" t="s">
        <v>50</v>
      </c>
      <c r="D103" s="17" t="s">
        <v>52</v>
      </c>
      <c r="E103" s="17" t="s">
        <v>53</v>
      </c>
      <c r="F103" s="17" t="s">
        <v>54</v>
      </c>
      <c r="G103" s="17" t="s">
        <v>51</v>
      </c>
      <c r="I103" s="38" t="s">
        <v>65</v>
      </c>
      <c r="J103" s="39" t="s">
        <v>66</v>
      </c>
      <c r="K103" s="38" t="s">
        <v>67</v>
      </c>
      <c r="L103" s="39" t="s">
        <v>66</v>
      </c>
      <c r="R103" s="54" t="s">
        <v>84</v>
      </c>
      <c r="S103" s="46" t="s">
        <v>85</v>
      </c>
      <c r="T103" s="46" t="s">
        <v>87</v>
      </c>
      <c r="U103" s="46" t="s">
        <v>88</v>
      </c>
      <c r="V103" s="46" t="s">
        <v>91</v>
      </c>
      <c r="W103" s="46" t="s">
        <v>90</v>
      </c>
      <c r="X103" s="38" t="s">
        <v>94</v>
      </c>
      <c r="Y103" s="46" t="s">
        <v>95</v>
      </c>
      <c r="Z103" s="46" t="s">
        <v>96</v>
      </c>
      <c r="AA103" s="38" t="s">
        <v>97</v>
      </c>
    </row>
    <row r="104" spans="2:27" ht="39" thickBot="1">
      <c r="B104" s="17" t="s">
        <v>55</v>
      </c>
      <c r="C104" s="37">
        <v>1.5</v>
      </c>
      <c r="D104" s="17">
        <v>0.16</v>
      </c>
      <c r="E104" s="17">
        <v>0.54</v>
      </c>
      <c r="F104" s="17">
        <f>1.83-G105</f>
        <v>1.23</v>
      </c>
      <c r="G104" s="17">
        <f>G105</f>
        <v>0.6</v>
      </c>
      <c r="I104" s="42">
        <v>0.11</v>
      </c>
      <c r="J104" s="40">
        <f>I104/C104</f>
        <v>7.3333333333333334E-2</v>
      </c>
      <c r="L104" s="40"/>
      <c r="P104" s="44" t="s">
        <v>92</v>
      </c>
      <c r="Q104" s="44" t="s">
        <v>73</v>
      </c>
      <c r="R104">
        <v>14.9</v>
      </c>
      <c r="S104">
        <v>8.1999999999999993</v>
      </c>
      <c r="T104">
        <f>R104+S104</f>
        <v>23.1</v>
      </c>
      <c r="U104">
        <v>27.8</v>
      </c>
    </row>
    <row r="105" spans="2:27" ht="39" thickBot="1">
      <c r="B105" s="17" t="s">
        <v>56</v>
      </c>
      <c r="C105" s="17">
        <v>1.44</v>
      </c>
      <c r="D105" s="17">
        <v>0.16</v>
      </c>
      <c r="E105" s="17">
        <f>E104</f>
        <v>0.54</v>
      </c>
      <c r="F105" s="17">
        <f>0.97-G105</f>
        <v>0.37</v>
      </c>
      <c r="G105" s="17">
        <v>0.6</v>
      </c>
      <c r="I105" s="41">
        <v>0.08</v>
      </c>
      <c r="J105" s="40">
        <f>I105/C105</f>
        <v>5.5555555555555559E-2</v>
      </c>
      <c r="K105">
        <v>0.17</v>
      </c>
      <c r="L105" s="40">
        <f>K105/G105</f>
        <v>0.28333333333333338</v>
      </c>
      <c r="Q105" s="46" t="s">
        <v>4</v>
      </c>
      <c r="R105">
        <v>6</v>
      </c>
      <c r="S105">
        <v>8.1999999999999993</v>
      </c>
      <c r="T105">
        <f>R105+S105</f>
        <v>14.2</v>
      </c>
      <c r="U105">
        <v>18.7</v>
      </c>
      <c r="V105" s="43">
        <f>(R104-R105)/R104</f>
        <v>0.59731543624161076</v>
      </c>
      <c r="W105" s="43">
        <f>(T104-T105)/T104</f>
        <v>0.38528138528138534</v>
      </c>
      <c r="X105" s="43">
        <f>(U104-U105)/U104</f>
        <v>0.3273381294964029</v>
      </c>
      <c r="Y105" s="61">
        <f>R104/R105</f>
        <v>2.4833333333333334</v>
      </c>
      <c r="Z105" s="61">
        <f>T104/T105</f>
        <v>1.626760563380282</v>
      </c>
      <c r="AA105" s="61">
        <f>U104/U105</f>
        <v>1.4866310160427809</v>
      </c>
    </row>
    <row r="106" spans="2:27" ht="39" thickBot="1">
      <c r="B106" s="17" t="s">
        <v>57</v>
      </c>
      <c r="C106" s="31">
        <f>SUM(D106:G106)</f>
        <v>1.6866666666666665</v>
      </c>
      <c r="D106" s="31">
        <f>D104/C104</f>
        <v>0.10666666666666667</v>
      </c>
      <c r="E106" s="32">
        <f>E104/C104</f>
        <v>0.36000000000000004</v>
      </c>
      <c r="F106" s="31">
        <f>F104/C104</f>
        <v>0.82</v>
      </c>
      <c r="G106" s="31">
        <f>G104/C104</f>
        <v>0.39999999999999997</v>
      </c>
      <c r="Q106" s="46" t="s">
        <v>103</v>
      </c>
      <c r="R106">
        <v>13.3</v>
      </c>
    </row>
    <row r="107" spans="2:27" ht="39" thickBot="1">
      <c r="B107" s="17" t="s">
        <v>58</v>
      </c>
      <c r="C107" s="31">
        <f>SUM(D107:G107)</f>
        <v>1.1597222222222223</v>
      </c>
      <c r="D107" s="31">
        <f>D105/C105</f>
        <v>0.11111111111111112</v>
      </c>
      <c r="E107" s="31">
        <f>E105/C105</f>
        <v>0.37500000000000006</v>
      </c>
      <c r="F107" s="31">
        <f>F105/C105</f>
        <v>0.25694444444444448</v>
      </c>
      <c r="G107" s="31">
        <f>G105/C105</f>
        <v>0.41666666666666669</v>
      </c>
      <c r="Q107" s="46" t="s">
        <v>104</v>
      </c>
      <c r="R107">
        <v>5.2</v>
      </c>
      <c r="V107" s="43">
        <f>(R106-R107)/R106</f>
        <v>0.60902255639097747</v>
      </c>
      <c r="Y107" s="61">
        <f>R106/R107</f>
        <v>2.5576923076923079</v>
      </c>
    </row>
    <row r="111" spans="2:27">
      <c r="P111" s="150" t="s">
        <v>105</v>
      </c>
      <c r="Q111" s="151"/>
      <c r="R111" s="152"/>
    </row>
    <row r="112" spans="2:27" ht="14.25" thickBot="1">
      <c r="P112" s="153"/>
      <c r="Q112" s="154"/>
      <c r="R112" s="155"/>
    </row>
    <row r="115" spans="16:32" ht="40.5">
      <c r="R115" s="54" t="s">
        <v>84</v>
      </c>
      <c r="S115" s="46" t="s">
        <v>106</v>
      </c>
      <c r="T115" s="46" t="s">
        <v>87</v>
      </c>
      <c r="U115" s="46" t="s">
        <v>88</v>
      </c>
      <c r="V115" s="46" t="s">
        <v>91</v>
      </c>
      <c r="W115" s="46" t="s">
        <v>90</v>
      </c>
      <c r="X115" s="38" t="s">
        <v>94</v>
      </c>
      <c r="Y115" s="46" t="s">
        <v>95</v>
      </c>
      <c r="Z115" s="46" t="s">
        <v>96</v>
      </c>
      <c r="AA115" s="38" t="s">
        <v>97</v>
      </c>
    </row>
    <row r="116" spans="16:32">
      <c r="P116" s="44" t="s">
        <v>92</v>
      </c>
      <c r="Q116" s="44" t="s">
        <v>73</v>
      </c>
      <c r="R116">
        <v>1.29</v>
      </c>
      <c r="S116" s="43">
        <f>R116/U116</f>
        <v>0.60563380281690149</v>
      </c>
      <c r="U116">
        <v>2.13</v>
      </c>
    </row>
    <row r="117" spans="16:32">
      <c r="Q117" s="46" t="s">
        <v>4</v>
      </c>
      <c r="R117">
        <v>0.74</v>
      </c>
      <c r="S117" s="43">
        <f>R117/U117</f>
        <v>0.48051948051948051</v>
      </c>
      <c r="U117">
        <v>1.54</v>
      </c>
      <c r="V117" s="43">
        <f>(R116-R117)/R116</f>
        <v>0.42635658914728686</v>
      </c>
      <c r="W117" s="43"/>
      <c r="X117" s="43">
        <f>(U116-U117)/U116</f>
        <v>0.27699530516431919</v>
      </c>
      <c r="Y117" s="61">
        <f>R116/R117</f>
        <v>1.7432432432432432</v>
      </c>
      <c r="Z117" s="61"/>
      <c r="AA117" s="61">
        <f>U116/U117</f>
        <v>1.383116883116883</v>
      </c>
    </row>
    <row r="118" spans="16:32">
      <c r="Q118" s="46" t="s">
        <v>103</v>
      </c>
      <c r="R118">
        <v>1.3</v>
      </c>
    </row>
    <row r="119" spans="16:32">
      <c r="Q119" s="46" t="s">
        <v>104</v>
      </c>
      <c r="R119">
        <v>0.25</v>
      </c>
      <c r="V119" s="43">
        <f>(R118-R119)/R118</f>
        <v>0.80769230769230771</v>
      </c>
      <c r="Y119" s="61">
        <f>R118/R119</f>
        <v>5.2</v>
      </c>
    </row>
    <row r="120" spans="16:32">
      <c r="P120" s="44" t="s">
        <v>72</v>
      </c>
      <c r="Q120" s="44" t="s">
        <v>73</v>
      </c>
      <c r="R120">
        <v>1.48</v>
      </c>
      <c r="S120" s="43">
        <f>R120/U120</f>
        <v>0.77486910994764402</v>
      </c>
      <c r="U120">
        <v>1.91</v>
      </c>
    </row>
    <row r="121" spans="16:32">
      <c r="Q121" s="46" t="s">
        <v>4</v>
      </c>
      <c r="R121">
        <v>0.95</v>
      </c>
      <c r="S121" s="43">
        <f>R121/U121</f>
        <v>0.67375886524822692</v>
      </c>
      <c r="U121">
        <v>1.41</v>
      </c>
      <c r="V121" s="43">
        <f>(R120-R121)/R120</f>
        <v>0.35810810810810811</v>
      </c>
      <c r="W121" s="43"/>
      <c r="X121" s="43">
        <f>(U120-U121)/U120</f>
        <v>0.26178010471204188</v>
      </c>
      <c r="Y121" s="61">
        <f>R120/R121</f>
        <v>1.5578947368421052</v>
      </c>
      <c r="Z121" s="61"/>
      <c r="AA121" s="61">
        <f>U120/U121</f>
        <v>1.3546099290780143</v>
      </c>
    </row>
    <row r="125" spans="16:32">
      <c r="P125" s="44" t="s">
        <v>92</v>
      </c>
    </row>
    <row r="126" spans="16:32" ht="40.5">
      <c r="P126" t="s">
        <v>111</v>
      </c>
      <c r="Q126" s="65" t="s">
        <v>112</v>
      </c>
      <c r="R126" t="s">
        <v>4</v>
      </c>
      <c r="S126" t="s">
        <v>5</v>
      </c>
      <c r="T126" s="72" t="s">
        <v>115</v>
      </c>
      <c r="U126" s="38" t="s">
        <v>116</v>
      </c>
      <c r="V126" s="38" t="s">
        <v>117</v>
      </c>
      <c r="W126" s="38" t="s">
        <v>118</v>
      </c>
      <c r="X126" s="38" t="s">
        <v>119</v>
      </c>
      <c r="Y126" s="38" t="s">
        <v>120</v>
      </c>
      <c r="Z126" s="38" t="s">
        <v>121</v>
      </c>
      <c r="AA126" s="80" t="s">
        <v>122</v>
      </c>
      <c r="AB126" s="38" t="s">
        <v>123</v>
      </c>
      <c r="AC126" s="38" t="s">
        <v>124</v>
      </c>
      <c r="AD126" s="38" t="s">
        <v>125</v>
      </c>
      <c r="AE126" s="38" t="s">
        <v>126</v>
      </c>
      <c r="AF126" s="38" t="s">
        <v>127</v>
      </c>
    </row>
    <row r="127" spans="16:32">
      <c r="P127">
        <v>1</v>
      </c>
      <c r="Q127">
        <v>2.1800000000000002</v>
      </c>
      <c r="R127">
        <v>1.51</v>
      </c>
      <c r="S127">
        <v>1.72</v>
      </c>
      <c r="T127">
        <v>1.5</v>
      </c>
      <c r="U127" s="43">
        <f>Q127/R127</f>
        <v>1.4437086092715232</v>
      </c>
      <c r="V127" s="43">
        <f>Q127/S127</f>
        <v>1.2674418604651163</v>
      </c>
      <c r="W127" s="43">
        <f>Q127/T127</f>
        <v>1.4533333333333334</v>
      </c>
      <c r="X127">
        <v>0.82</v>
      </c>
      <c r="Y127">
        <v>0.22</v>
      </c>
      <c r="Z127">
        <v>0.43</v>
      </c>
      <c r="AA127" s="81">
        <v>0.16</v>
      </c>
      <c r="AB127" s="70">
        <f>X127/Y127</f>
        <v>3.7272727272727271</v>
      </c>
      <c r="AC127" s="70">
        <f>X127/Z127</f>
        <v>1.9069767441860463</v>
      </c>
      <c r="AD127" s="70">
        <f>X127/AA127</f>
        <v>5.125</v>
      </c>
      <c r="AE127" s="43">
        <f>X127/Q127</f>
        <v>0.37614678899082565</v>
      </c>
      <c r="AF127" s="43">
        <f>AA127/Q127</f>
        <v>7.3394495412844027E-2</v>
      </c>
    </row>
    <row r="128" spans="16:32">
      <c r="P128">
        <v>2</v>
      </c>
      <c r="Q128">
        <v>7.35</v>
      </c>
      <c r="R128">
        <v>2.2799999999999998</v>
      </c>
      <c r="S128">
        <v>2.76</v>
      </c>
      <c r="T128">
        <v>1.68</v>
      </c>
      <c r="U128" s="43">
        <f t="shared" ref="U128:U130" si="6">Q128/R128</f>
        <v>3.2236842105263159</v>
      </c>
      <c r="V128" s="43">
        <f t="shared" ref="V128:V130" si="7">Q128/S128</f>
        <v>2.6630434782608696</v>
      </c>
      <c r="W128" s="43">
        <f t="shared" ref="W128:W130" si="8">Q128/T128</f>
        <v>4.375</v>
      </c>
      <c r="X128">
        <v>5.72</v>
      </c>
      <c r="Y128">
        <v>0.88</v>
      </c>
      <c r="Z128">
        <v>1.41</v>
      </c>
      <c r="AA128" s="81">
        <v>0.31</v>
      </c>
      <c r="AB128" s="70">
        <f t="shared" ref="AB128:AB130" si="9">X128/Y128</f>
        <v>6.5</v>
      </c>
      <c r="AC128" s="70">
        <f t="shared" ref="AC128:AC130" si="10">X128/Z128</f>
        <v>4.0567375886524824</v>
      </c>
      <c r="AD128" s="71">
        <f t="shared" ref="AD128:AD130" si="11">X128/AA128</f>
        <v>18.451612903225804</v>
      </c>
      <c r="AE128" s="43">
        <f t="shared" ref="AE128:AE130" si="12">X128/Q128</f>
        <v>0.77823129251700685</v>
      </c>
      <c r="AF128" s="43">
        <f t="shared" ref="AF128:AF130" si="13">AA128/Q128</f>
        <v>4.2176870748299324E-2</v>
      </c>
    </row>
    <row r="129" spans="2:32">
      <c r="P129">
        <v>3</v>
      </c>
      <c r="Q129">
        <v>8.77</v>
      </c>
      <c r="R129">
        <v>2.61</v>
      </c>
      <c r="S129">
        <v>3.42</v>
      </c>
      <c r="T129">
        <v>1.77</v>
      </c>
      <c r="U129" s="43">
        <f t="shared" si="6"/>
        <v>3.3601532567049808</v>
      </c>
      <c r="V129" s="43">
        <f t="shared" si="7"/>
        <v>2.564327485380117</v>
      </c>
      <c r="W129" s="43">
        <f t="shared" si="8"/>
        <v>4.9548022598870052</v>
      </c>
      <c r="X129">
        <v>7.49</v>
      </c>
      <c r="Y129">
        <v>1.1399999999999999</v>
      </c>
      <c r="Z129">
        <v>2.0699999999999998</v>
      </c>
      <c r="AA129" s="81">
        <v>0.43</v>
      </c>
      <c r="AB129" s="70">
        <f t="shared" si="9"/>
        <v>6.5701754385964923</v>
      </c>
      <c r="AC129" s="70">
        <f t="shared" si="10"/>
        <v>3.6183574879227058</v>
      </c>
      <c r="AD129" s="71">
        <f t="shared" si="11"/>
        <v>17.418604651162791</v>
      </c>
      <c r="AE129" s="43">
        <f t="shared" si="12"/>
        <v>0.85404789053591801</v>
      </c>
      <c r="AF129" s="43">
        <f t="shared" si="13"/>
        <v>4.9030786773090085E-2</v>
      </c>
    </row>
    <row r="130" spans="2:32">
      <c r="P130">
        <v>4</v>
      </c>
      <c r="Q130">
        <v>10.7</v>
      </c>
      <c r="R130">
        <v>2.77</v>
      </c>
      <c r="S130">
        <v>4.0999999999999996</v>
      </c>
      <c r="T130">
        <v>1.81</v>
      </c>
      <c r="U130" s="43">
        <f t="shared" si="6"/>
        <v>3.8628158844765341</v>
      </c>
      <c r="V130" s="43">
        <f t="shared" si="7"/>
        <v>2.6097560975609757</v>
      </c>
      <c r="W130" s="43">
        <f t="shared" si="8"/>
        <v>5.9116022099447507</v>
      </c>
      <c r="X130">
        <v>9.2899999999999991</v>
      </c>
      <c r="Y130">
        <v>1.55</v>
      </c>
      <c r="Z130">
        <v>2.82</v>
      </c>
      <c r="AA130" s="81">
        <v>0.56000000000000005</v>
      </c>
      <c r="AB130" s="70">
        <f t="shared" si="9"/>
        <v>5.9935483870967738</v>
      </c>
      <c r="AC130" s="70">
        <f t="shared" si="10"/>
        <v>3.2943262411347516</v>
      </c>
      <c r="AD130" s="71">
        <f t="shared" si="11"/>
        <v>16.589285714285712</v>
      </c>
      <c r="AE130" s="43">
        <f t="shared" si="12"/>
        <v>0.86822429906542054</v>
      </c>
      <c r="AF130" s="43">
        <f t="shared" si="13"/>
        <v>5.2336448598130851E-2</v>
      </c>
    </row>
    <row r="133" spans="2:32">
      <c r="P133" s="44" t="s">
        <v>72</v>
      </c>
    </row>
    <row r="134" spans="2:32" ht="27">
      <c r="P134" t="s">
        <v>111</v>
      </c>
      <c r="Q134" s="65" t="s">
        <v>130</v>
      </c>
      <c r="R134" t="s">
        <v>4</v>
      </c>
      <c r="S134" t="s">
        <v>5</v>
      </c>
      <c r="T134" s="72" t="s">
        <v>115</v>
      </c>
      <c r="U134" s="38" t="s">
        <v>116</v>
      </c>
      <c r="V134" s="38" t="s">
        <v>117</v>
      </c>
      <c r="W134" s="38" t="s">
        <v>118</v>
      </c>
    </row>
    <row r="135" spans="2:32">
      <c r="P135">
        <v>1</v>
      </c>
      <c r="Q135">
        <v>1.99</v>
      </c>
      <c r="R135">
        <v>1.48</v>
      </c>
      <c r="S135">
        <v>1.64</v>
      </c>
      <c r="T135">
        <v>1.62</v>
      </c>
      <c r="U135" s="43">
        <f>Q135/R135</f>
        <v>1.3445945945945945</v>
      </c>
      <c r="V135" s="43">
        <f>Q135/S135</f>
        <v>1.2134146341463414</v>
      </c>
      <c r="W135" s="43">
        <f>Q135/T135</f>
        <v>1.228395061728395</v>
      </c>
    </row>
    <row r="136" spans="2:32">
      <c r="P136">
        <v>2</v>
      </c>
      <c r="Q136">
        <v>7.01</v>
      </c>
      <c r="R136">
        <v>2.12</v>
      </c>
      <c r="S136">
        <v>2.67</v>
      </c>
      <c r="T136">
        <v>1.61</v>
      </c>
      <c r="U136" s="43">
        <f t="shared" ref="U136:U138" si="14">Q136/R136</f>
        <v>3.3066037735849054</v>
      </c>
      <c r="V136" s="43">
        <f t="shared" ref="V136:V138" si="15">Q136/S136</f>
        <v>2.6254681647940075</v>
      </c>
      <c r="W136" s="43">
        <f t="shared" ref="W136:W138" si="16">Q136/T136</f>
        <v>4.354037267080745</v>
      </c>
    </row>
    <row r="137" spans="2:32">
      <c r="P137">
        <v>3</v>
      </c>
      <c r="Q137">
        <v>8.5500000000000007</v>
      </c>
      <c r="R137">
        <v>2.39</v>
      </c>
      <c r="S137">
        <v>3.24</v>
      </c>
      <c r="T137">
        <v>1.7</v>
      </c>
      <c r="U137" s="43">
        <f t="shared" si="14"/>
        <v>3.5774058577405858</v>
      </c>
      <c r="V137" s="43">
        <f t="shared" si="15"/>
        <v>2.6388888888888888</v>
      </c>
      <c r="W137" s="43">
        <f t="shared" si="16"/>
        <v>5.0294117647058831</v>
      </c>
    </row>
    <row r="138" spans="2:32">
      <c r="P138">
        <v>4</v>
      </c>
      <c r="Q138">
        <v>10.4</v>
      </c>
      <c r="R138">
        <v>2.67</v>
      </c>
      <c r="S138">
        <v>3.97</v>
      </c>
      <c r="T138">
        <v>1.78</v>
      </c>
      <c r="U138" s="43">
        <f t="shared" si="14"/>
        <v>3.8951310861423223</v>
      </c>
      <c r="V138" s="43">
        <f t="shared" si="15"/>
        <v>2.6196473551637278</v>
      </c>
      <c r="W138" s="43">
        <f t="shared" si="16"/>
        <v>5.8426966292134832</v>
      </c>
    </row>
    <row r="142" spans="2:32">
      <c r="B142" s="73"/>
      <c r="C142" s="73"/>
      <c r="D142" s="73"/>
      <c r="E142" s="73"/>
      <c r="F142" s="73"/>
      <c r="G142" s="73"/>
      <c r="H142" s="73"/>
      <c r="I142" s="168"/>
      <c r="J142" s="168"/>
      <c r="K142" s="168"/>
      <c r="L142" s="73"/>
      <c r="M142" s="73"/>
      <c r="P142" s="44" t="s">
        <v>136</v>
      </c>
      <c r="Q142" t="s">
        <v>155</v>
      </c>
      <c r="Y142" t="s">
        <v>148</v>
      </c>
    </row>
    <row r="143" spans="2:32" ht="40.5">
      <c r="B143" s="73"/>
      <c r="C143" s="73"/>
      <c r="D143" s="73"/>
      <c r="E143" s="73"/>
      <c r="F143" s="73"/>
      <c r="G143" s="73"/>
      <c r="H143" s="73"/>
      <c r="I143" s="168"/>
      <c r="J143" s="168"/>
      <c r="K143" s="168"/>
      <c r="L143" s="73"/>
      <c r="M143" s="73"/>
      <c r="P143" t="s">
        <v>111</v>
      </c>
      <c r="Q143" s="65" t="s">
        <v>112</v>
      </c>
      <c r="R143" s="72" t="s">
        <v>132</v>
      </c>
      <c r="S143" s="38" t="s">
        <v>133</v>
      </c>
      <c r="T143" s="38" t="s">
        <v>45</v>
      </c>
      <c r="U143" s="38" t="s">
        <v>134</v>
      </c>
      <c r="V143" s="38" t="s">
        <v>135</v>
      </c>
      <c r="W143" s="38" t="s">
        <v>126</v>
      </c>
      <c r="X143" s="38"/>
      <c r="Y143" s="80" t="s">
        <v>139</v>
      </c>
      <c r="Z143" s="38" t="s">
        <v>140</v>
      </c>
      <c r="AA143" s="38" t="s">
        <v>141</v>
      </c>
      <c r="AB143" s="38" t="s">
        <v>142</v>
      </c>
      <c r="AC143" s="38" t="s">
        <v>143</v>
      </c>
      <c r="AD143" s="38" t="s">
        <v>144</v>
      </c>
      <c r="AE143" s="38" t="s">
        <v>145</v>
      </c>
    </row>
    <row r="144" spans="2:32">
      <c r="B144" s="62"/>
      <c r="C144" s="62"/>
      <c r="D144" s="62"/>
      <c r="E144" s="62"/>
      <c r="F144" s="62"/>
      <c r="G144" s="62"/>
      <c r="H144" s="73"/>
      <c r="I144" s="74"/>
      <c r="J144" s="39"/>
      <c r="K144" s="74"/>
      <c r="L144" s="39"/>
      <c r="M144" s="73"/>
      <c r="P144">
        <v>1</v>
      </c>
      <c r="Q144">
        <v>2.1800000000000002</v>
      </c>
      <c r="R144">
        <v>2.0699999999999998</v>
      </c>
      <c r="S144" s="43">
        <f>Q144/R144</f>
        <v>1.0531400966183577</v>
      </c>
      <c r="T144">
        <v>0.82</v>
      </c>
      <c r="U144">
        <v>0.5</v>
      </c>
      <c r="V144" s="70">
        <f>T144/U144</f>
        <v>1.64</v>
      </c>
      <c r="W144" s="43">
        <f>T144/Q144</f>
        <v>0.37614678899082565</v>
      </c>
      <c r="X144" s="70"/>
      <c r="Y144" s="38" t="s">
        <v>147</v>
      </c>
      <c r="Z144">
        <v>2.0699999999999998</v>
      </c>
      <c r="AA144">
        <v>2.2000000000000002</v>
      </c>
      <c r="AB144">
        <v>2.2000000000000002</v>
      </c>
      <c r="AC144" s="70">
        <v>2.2000000000000002</v>
      </c>
      <c r="AD144" s="43" t="s">
        <v>146</v>
      </c>
      <c r="AE144" t="s">
        <v>146</v>
      </c>
    </row>
    <row r="145" spans="2:33">
      <c r="B145" s="62"/>
      <c r="C145" s="75"/>
      <c r="D145" s="62"/>
      <c r="E145" s="62"/>
      <c r="F145" s="62"/>
      <c r="G145" s="62"/>
      <c r="H145" s="73"/>
      <c r="I145" s="76"/>
      <c r="J145" s="77"/>
      <c r="K145" s="73"/>
      <c r="L145" s="77"/>
      <c r="M145" s="73"/>
      <c r="P145">
        <v>2</v>
      </c>
      <c r="Q145">
        <v>7.35</v>
      </c>
      <c r="R145">
        <v>2.23</v>
      </c>
      <c r="S145" s="43">
        <f>Q145/R145</f>
        <v>3.2959641255605381</v>
      </c>
      <c r="T145">
        <v>5.72</v>
      </c>
      <c r="U145">
        <v>0.59</v>
      </c>
      <c r="V145" s="70">
        <f>T145/U145</f>
        <v>9.6949152542372889</v>
      </c>
      <c r="W145" s="43">
        <f>T145/Q145</f>
        <v>0.77823129251700685</v>
      </c>
      <c r="X145" s="71"/>
      <c r="Z145">
        <v>2.23</v>
      </c>
      <c r="AA145">
        <v>2.44</v>
      </c>
      <c r="AB145">
        <v>2.37</v>
      </c>
      <c r="AC145" s="70">
        <v>2.4</v>
      </c>
      <c r="AD145" s="43"/>
    </row>
    <row r="146" spans="2:33">
      <c r="B146" s="62"/>
      <c r="C146" s="62"/>
      <c r="D146" s="62"/>
      <c r="E146" s="62"/>
      <c r="F146" s="62"/>
      <c r="G146" s="62"/>
      <c r="H146" s="73"/>
      <c r="I146" s="78"/>
      <c r="J146" s="77"/>
      <c r="K146" s="73"/>
      <c r="L146" s="77"/>
      <c r="M146" s="73"/>
      <c r="P146">
        <v>3</v>
      </c>
      <c r="Q146">
        <v>8.77</v>
      </c>
      <c r="R146">
        <v>2.34</v>
      </c>
      <c r="S146" s="43">
        <f>Q146/R146</f>
        <v>3.7478632478632479</v>
      </c>
      <c r="T146">
        <v>7.49</v>
      </c>
      <c r="U146">
        <v>0.74</v>
      </c>
      <c r="V146" s="70">
        <f>T146/U146</f>
        <v>10.121621621621623</v>
      </c>
      <c r="W146" s="43">
        <f>T146/Q146</f>
        <v>0.85404789053591801</v>
      </c>
      <c r="X146" s="71"/>
      <c r="Z146">
        <v>2.34</v>
      </c>
      <c r="AA146">
        <v>2.5</v>
      </c>
      <c r="AB146">
        <v>2.4900000000000002</v>
      </c>
      <c r="AC146" s="70">
        <v>2.5299999999999998</v>
      </c>
      <c r="AD146" s="43"/>
    </row>
    <row r="147" spans="2:33">
      <c r="B147" s="62"/>
      <c r="C147" s="63"/>
      <c r="D147" s="63"/>
      <c r="E147" s="79"/>
      <c r="F147" s="63"/>
      <c r="G147" s="63"/>
      <c r="H147" s="73"/>
      <c r="I147" s="73"/>
      <c r="J147" s="73"/>
      <c r="K147" s="73"/>
      <c r="L147" s="73"/>
      <c r="M147" s="73"/>
      <c r="P147">
        <v>4</v>
      </c>
      <c r="Q147">
        <v>10.7</v>
      </c>
      <c r="R147">
        <v>2.46</v>
      </c>
      <c r="S147" s="43">
        <f>Q147/R147</f>
        <v>4.3495934959349594</v>
      </c>
      <c r="T147">
        <v>9.2899999999999991</v>
      </c>
      <c r="U147">
        <v>0.83</v>
      </c>
      <c r="V147" s="70">
        <f>T147/U147</f>
        <v>11.192771084337348</v>
      </c>
      <c r="W147" s="43">
        <f>T147/Q147</f>
        <v>0.86822429906542054</v>
      </c>
      <c r="X147" s="71"/>
      <c r="Z147">
        <v>2.46</v>
      </c>
      <c r="AA147">
        <v>2.66</v>
      </c>
      <c r="AB147">
        <v>2.64</v>
      </c>
      <c r="AC147" s="70">
        <v>2.71</v>
      </c>
      <c r="AD147" s="43"/>
    </row>
    <row r="148" spans="2:33">
      <c r="B148" s="62"/>
      <c r="C148" s="63"/>
      <c r="D148" s="63"/>
      <c r="E148" s="63"/>
      <c r="F148" s="63"/>
      <c r="G148" s="63"/>
      <c r="H148" s="73"/>
      <c r="I148" s="73"/>
      <c r="J148" s="73"/>
      <c r="K148" s="73"/>
      <c r="L148" s="73"/>
      <c r="M148" s="73"/>
    </row>
    <row r="150" spans="2:33">
      <c r="P150" s="44"/>
      <c r="V150" t="s">
        <v>149</v>
      </c>
      <c r="W150" t="s">
        <v>150</v>
      </c>
      <c r="X150" s="72" t="s">
        <v>152</v>
      </c>
      <c r="Z150" t="s">
        <v>153</v>
      </c>
      <c r="AC150" s="72" t="s">
        <v>151</v>
      </c>
      <c r="AF150" t="s">
        <v>153</v>
      </c>
    </row>
    <row r="151" spans="2:33" ht="40.5">
      <c r="I151" s="150" t="s">
        <v>105</v>
      </c>
      <c r="J151" s="151"/>
      <c r="K151" s="152"/>
      <c r="L151" t="s">
        <v>131</v>
      </c>
      <c r="M151" t="s">
        <v>137</v>
      </c>
      <c r="Q151" s="65"/>
      <c r="R151" s="72"/>
      <c r="S151" s="38"/>
      <c r="V151" t="s">
        <v>111</v>
      </c>
      <c r="W151" s="38" t="s">
        <v>45</v>
      </c>
      <c r="X151" s="38" t="s">
        <v>134</v>
      </c>
      <c r="Y151" s="38" t="s">
        <v>135</v>
      </c>
      <c r="Z151" s="38" t="s">
        <v>134</v>
      </c>
      <c r="AA151" s="38" t="s">
        <v>135</v>
      </c>
      <c r="AC151" s="38" t="s">
        <v>45</v>
      </c>
      <c r="AD151" s="38" t="s">
        <v>134</v>
      </c>
      <c r="AE151" s="38" t="s">
        <v>135</v>
      </c>
      <c r="AF151" s="38" t="s">
        <v>134</v>
      </c>
      <c r="AG151" s="38" t="s">
        <v>135</v>
      </c>
    </row>
    <row r="152" spans="2:33" ht="14.25" thickBot="1">
      <c r="I152" s="153"/>
      <c r="J152" s="154"/>
      <c r="K152" s="155"/>
      <c r="L152" t="s">
        <v>129</v>
      </c>
      <c r="S152" s="43"/>
      <c r="V152">
        <v>1</v>
      </c>
      <c r="W152">
        <v>0.82</v>
      </c>
      <c r="X152">
        <v>0.5</v>
      </c>
      <c r="Y152" s="70">
        <f>W152/X152</f>
        <v>1.64</v>
      </c>
      <c r="Z152">
        <v>0.36</v>
      </c>
      <c r="AA152" s="70">
        <f>W152/Z152</f>
        <v>2.2777777777777777</v>
      </c>
      <c r="AC152">
        <v>0.73</v>
      </c>
      <c r="AD152">
        <v>0.27</v>
      </c>
      <c r="AE152" s="70">
        <f>AC152/AD152</f>
        <v>2.7037037037037033</v>
      </c>
      <c r="AF152">
        <v>0.19</v>
      </c>
      <c r="AG152" s="70">
        <f>AC152/AF152</f>
        <v>3.8421052631578947</v>
      </c>
    </row>
    <row r="153" spans="2:33" ht="41.25" thickBot="1">
      <c r="B153" s="17"/>
      <c r="C153" s="17" t="s">
        <v>50</v>
      </c>
      <c r="D153" s="17" t="s">
        <v>52</v>
      </c>
      <c r="E153" s="17" t="s">
        <v>53</v>
      </c>
      <c r="F153" s="17" t="s">
        <v>54</v>
      </c>
      <c r="G153" s="17" t="s">
        <v>51</v>
      </c>
      <c r="I153" s="38" t="s">
        <v>65</v>
      </c>
      <c r="J153" s="39" t="s">
        <v>66</v>
      </c>
      <c r="K153" s="38" t="s">
        <v>67</v>
      </c>
      <c r="L153" s="39" t="s">
        <v>66</v>
      </c>
      <c r="S153" s="43"/>
      <c r="V153">
        <v>2</v>
      </c>
      <c r="W153">
        <v>5.72</v>
      </c>
      <c r="X153">
        <v>0.59</v>
      </c>
      <c r="Y153" s="70">
        <f>W153/X153</f>
        <v>9.6949152542372889</v>
      </c>
      <c r="Z153">
        <v>0.49</v>
      </c>
      <c r="AA153" s="70">
        <f t="shared" ref="AA153:AA155" si="17">W153/Z153</f>
        <v>11.673469387755102</v>
      </c>
      <c r="AC153">
        <v>4.8099999999999996</v>
      </c>
      <c r="AD153">
        <v>0.41</v>
      </c>
      <c r="AE153" s="70">
        <f>AC153/AD153</f>
        <v>11.73170731707317</v>
      </c>
      <c r="AF153">
        <v>0.28000000000000003</v>
      </c>
      <c r="AG153" s="70">
        <f t="shared" ref="AG153:AG155" si="18">AC153/AF153</f>
        <v>17.178571428571427</v>
      </c>
    </row>
    <row r="154" spans="2:33" ht="39" thickBot="1">
      <c r="B154" s="17" t="s">
        <v>55</v>
      </c>
      <c r="C154" s="37">
        <v>2.2000000000000002</v>
      </c>
      <c r="D154" s="17">
        <v>0.16</v>
      </c>
      <c r="E154" s="17">
        <v>0.56999999999999995</v>
      </c>
      <c r="F154" s="17">
        <f>2.07-G155</f>
        <v>1.4699999999999998</v>
      </c>
      <c r="G154" s="17">
        <f>G155</f>
        <v>0.6</v>
      </c>
      <c r="I154" s="42">
        <v>0.11</v>
      </c>
      <c r="J154" s="40">
        <f>I154/C154</f>
        <v>4.9999999999999996E-2</v>
      </c>
      <c r="L154" s="40"/>
      <c r="S154" s="43"/>
      <c r="V154">
        <v>3</v>
      </c>
      <c r="W154">
        <v>7.49</v>
      </c>
      <c r="X154">
        <v>0.74</v>
      </c>
      <c r="Y154" s="70">
        <f>W154/X154</f>
        <v>10.121621621621623</v>
      </c>
      <c r="Z154">
        <v>0.56000000000000005</v>
      </c>
      <c r="AA154" s="70">
        <f t="shared" si="17"/>
        <v>13.374999999999998</v>
      </c>
      <c r="AC154">
        <v>6.23</v>
      </c>
      <c r="AD154">
        <v>0.54</v>
      </c>
      <c r="AE154" s="70">
        <f>AC154/AD154</f>
        <v>11.537037037037036</v>
      </c>
      <c r="AF154">
        <v>0.34</v>
      </c>
      <c r="AG154" s="70">
        <f t="shared" si="18"/>
        <v>18.323529411764707</v>
      </c>
    </row>
    <row r="155" spans="2:33" ht="39" thickBot="1">
      <c r="B155" s="17" t="s">
        <v>56</v>
      </c>
      <c r="C155" s="17" t="s">
        <v>138</v>
      </c>
      <c r="D155" s="17">
        <v>0.16</v>
      </c>
      <c r="E155" s="17">
        <f>E154</f>
        <v>0.56999999999999995</v>
      </c>
      <c r="F155" s="17">
        <f>0.97-G155</f>
        <v>0.37</v>
      </c>
      <c r="G155" s="17">
        <v>0.6</v>
      </c>
      <c r="I155" s="41">
        <v>0.08</v>
      </c>
      <c r="J155" s="40" t="e">
        <f>I155/C155</f>
        <v>#VALUE!</v>
      </c>
      <c r="K155">
        <v>0.17</v>
      </c>
      <c r="L155" s="40">
        <f>K155/G155</f>
        <v>0.28333333333333338</v>
      </c>
      <c r="S155" s="43"/>
      <c r="V155">
        <v>4</v>
      </c>
      <c r="W155">
        <v>9.2899999999999991</v>
      </c>
      <c r="X155">
        <v>0.83</v>
      </c>
      <c r="Y155" s="70">
        <f>W155/X155</f>
        <v>11.192771084337348</v>
      </c>
      <c r="Z155">
        <v>0.65</v>
      </c>
      <c r="AA155" s="70">
        <f t="shared" si="17"/>
        <v>14.292307692307691</v>
      </c>
      <c r="AC155">
        <v>7.73</v>
      </c>
      <c r="AD155">
        <v>0.56999999999999995</v>
      </c>
      <c r="AE155" s="70">
        <f>AC155/AD155</f>
        <v>13.561403508771932</v>
      </c>
      <c r="AF155">
        <v>0.41</v>
      </c>
      <c r="AG155" s="70">
        <f t="shared" si="18"/>
        <v>18.853658536585368</v>
      </c>
    </row>
    <row r="156" spans="2:33" ht="39" thickBot="1">
      <c r="B156" s="17" t="s">
        <v>57</v>
      </c>
      <c r="C156" s="31">
        <f>SUM(D156:G156)</f>
        <v>1.2727272727272725</v>
      </c>
      <c r="D156" s="31">
        <f>D154/C154</f>
        <v>7.2727272727272724E-2</v>
      </c>
      <c r="E156" s="32">
        <f>E154/C154</f>
        <v>0.25909090909090904</v>
      </c>
      <c r="F156" s="31">
        <f>F154/C154</f>
        <v>0.66818181818181799</v>
      </c>
      <c r="G156" s="31">
        <f>G154/C154</f>
        <v>0.27272727272727271</v>
      </c>
    </row>
    <row r="157" spans="2:33" ht="39" thickBot="1">
      <c r="B157" s="17" t="s">
        <v>58</v>
      </c>
      <c r="C157" s="31" t="e">
        <f>SUM(D157:G157)</f>
        <v>#VALUE!</v>
      </c>
      <c r="D157" s="31" t="e">
        <f>D155/C155</f>
        <v>#VALUE!</v>
      </c>
      <c r="E157" s="31" t="e">
        <f>E155/C155</f>
        <v>#VALUE!</v>
      </c>
      <c r="F157" s="31" t="e">
        <f>F155/C155</f>
        <v>#VALUE!</v>
      </c>
      <c r="G157" s="31" t="e">
        <f>G155/C155</f>
        <v>#VALUE!</v>
      </c>
      <c r="P157" s="44" t="s">
        <v>136</v>
      </c>
      <c r="Q157" t="s">
        <v>156</v>
      </c>
      <c r="X157" s="72" t="s">
        <v>154</v>
      </c>
      <c r="Z157" t="s">
        <v>153</v>
      </c>
    </row>
    <row r="158" spans="2:33" ht="40.5">
      <c r="P158" t="s">
        <v>111</v>
      </c>
      <c r="Q158" s="65" t="s">
        <v>112</v>
      </c>
      <c r="R158" s="72" t="s">
        <v>7</v>
      </c>
      <c r="S158" s="38" t="s">
        <v>133</v>
      </c>
      <c r="T158" s="80" t="s">
        <v>157</v>
      </c>
      <c r="U158" s="38" t="s">
        <v>133</v>
      </c>
      <c r="V158" t="s">
        <v>111</v>
      </c>
      <c r="W158" s="38" t="s">
        <v>45</v>
      </c>
      <c r="X158" s="38" t="s">
        <v>134</v>
      </c>
      <c r="Y158" s="38" t="s">
        <v>135</v>
      </c>
      <c r="Z158" s="38" t="s">
        <v>134</v>
      </c>
      <c r="AA158" s="38" t="s">
        <v>135</v>
      </c>
    </row>
    <row r="159" spans="2:33">
      <c r="P159">
        <v>1</v>
      </c>
      <c r="Q159">
        <v>2.1800000000000002</v>
      </c>
      <c r="R159">
        <v>2.0699999999999998</v>
      </c>
      <c r="S159" s="43">
        <f>Q159/R159</f>
        <v>1.0531400966183577</v>
      </c>
      <c r="T159">
        <v>1.84</v>
      </c>
      <c r="U159" s="43">
        <f>Q159/T159</f>
        <v>1.1847826086956521</v>
      </c>
      <c r="V159">
        <v>1</v>
      </c>
      <c r="W159">
        <v>0.72</v>
      </c>
      <c r="X159">
        <v>0.5</v>
      </c>
      <c r="Y159" s="70">
        <f>W159/X159</f>
        <v>1.44</v>
      </c>
      <c r="Z159">
        <v>0.25</v>
      </c>
      <c r="AA159" s="70">
        <f>W159/Z159</f>
        <v>2.88</v>
      </c>
    </row>
    <row r="160" spans="2:33">
      <c r="P160">
        <v>2</v>
      </c>
      <c r="Q160">
        <v>7.35</v>
      </c>
      <c r="R160">
        <v>2.23</v>
      </c>
      <c r="S160" s="43">
        <f>Q160/R160</f>
        <v>3.2959641255605381</v>
      </c>
      <c r="T160">
        <v>1.97</v>
      </c>
      <c r="U160" s="43">
        <f t="shared" ref="U160:U162" si="19">Q160/T160</f>
        <v>3.7309644670050761</v>
      </c>
      <c r="V160">
        <v>2</v>
      </c>
      <c r="W160">
        <v>5.72</v>
      </c>
      <c r="X160">
        <v>0.59</v>
      </c>
      <c r="Y160" s="70">
        <f>W160/X160</f>
        <v>9.6949152542372889</v>
      </c>
      <c r="Z160">
        <v>0.36</v>
      </c>
      <c r="AA160" s="70">
        <f t="shared" ref="AA160:AA162" si="20">W160/Z160</f>
        <v>15.888888888888889</v>
      </c>
    </row>
    <row r="161" spans="16:27">
      <c r="P161">
        <v>3</v>
      </c>
      <c r="Q161">
        <v>8.77</v>
      </c>
      <c r="R161">
        <v>2.34</v>
      </c>
      <c r="S161" s="43">
        <f>Q161/R161</f>
        <v>3.7478632478632479</v>
      </c>
      <c r="T161">
        <v>2.11</v>
      </c>
      <c r="U161" s="43">
        <f t="shared" si="19"/>
        <v>4.1563981042654028</v>
      </c>
      <c r="V161">
        <v>3</v>
      </c>
      <c r="W161">
        <v>7.4</v>
      </c>
      <c r="X161">
        <v>0.74</v>
      </c>
      <c r="Y161" s="70">
        <f>W161/X161</f>
        <v>10</v>
      </c>
      <c r="Z161">
        <v>0.43</v>
      </c>
      <c r="AA161" s="70">
        <f t="shared" si="20"/>
        <v>17.209302325581397</v>
      </c>
    </row>
    <row r="162" spans="16:27">
      <c r="P162">
        <v>4</v>
      </c>
      <c r="Q162">
        <v>10.7</v>
      </c>
      <c r="R162">
        <v>2.46</v>
      </c>
      <c r="S162" s="43">
        <f>Q162/R162</f>
        <v>4.3495934959349594</v>
      </c>
      <c r="T162">
        <v>2.19</v>
      </c>
      <c r="U162" s="43">
        <f t="shared" si="19"/>
        <v>4.8858447488584469</v>
      </c>
      <c r="V162">
        <v>4</v>
      </c>
      <c r="W162">
        <v>9.1999999999999993</v>
      </c>
      <c r="X162">
        <v>0.83</v>
      </c>
      <c r="Y162" s="70">
        <f>W162/X162</f>
        <v>11.08433734939759</v>
      </c>
      <c r="Z162">
        <v>0.54</v>
      </c>
      <c r="AA162" s="70">
        <f t="shared" si="20"/>
        <v>17.037037037037035</v>
      </c>
    </row>
    <row r="165" spans="16:27" ht="27">
      <c r="P165" s="44" t="s">
        <v>130</v>
      </c>
      <c r="Q165" t="s">
        <v>156</v>
      </c>
      <c r="R165" s="38"/>
      <c r="T165" s="38" t="s">
        <v>159</v>
      </c>
    </row>
    <row r="166" spans="16:27" ht="27">
      <c r="P166" t="s">
        <v>111</v>
      </c>
      <c r="Q166" s="65" t="s">
        <v>130</v>
      </c>
      <c r="R166" t="s">
        <v>158</v>
      </c>
      <c r="S166" t="s">
        <v>160</v>
      </c>
      <c r="T166" s="72" t="s">
        <v>7</v>
      </c>
      <c r="U166" s="38" t="s">
        <v>133</v>
      </c>
    </row>
    <row r="167" spans="16:27">
      <c r="P167">
        <v>1</v>
      </c>
      <c r="Q167">
        <v>1.83</v>
      </c>
      <c r="R167">
        <v>1.81</v>
      </c>
      <c r="S167">
        <v>1.48</v>
      </c>
      <c r="T167">
        <v>1.59</v>
      </c>
      <c r="U167" s="43">
        <f>Q167/T167</f>
        <v>1.1509433962264151</v>
      </c>
    </row>
    <row r="168" spans="16:27">
      <c r="P168">
        <v>2</v>
      </c>
      <c r="Q168">
        <v>7.01</v>
      </c>
      <c r="R168">
        <v>6.77</v>
      </c>
      <c r="S168">
        <v>1.61</v>
      </c>
      <c r="T168">
        <v>1.66</v>
      </c>
      <c r="U168" s="43">
        <f>Q168/T168</f>
        <v>4.2228915662650603</v>
      </c>
    </row>
    <row r="169" spans="16:27">
      <c r="P169">
        <v>3</v>
      </c>
      <c r="Q169">
        <v>8.5500000000000007</v>
      </c>
      <c r="R169">
        <v>8.42</v>
      </c>
      <c r="S169">
        <v>1.7</v>
      </c>
      <c r="T169">
        <v>1.7</v>
      </c>
      <c r="U169" s="43">
        <f>Q169/T169</f>
        <v>5.0294117647058831</v>
      </c>
    </row>
    <row r="170" spans="16:27">
      <c r="P170">
        <v>4</v>
      </c>
      <c r="Q170">
        <v>10.4</v>
      </c>
      <c r="R170">
        <v>10.3</v>
      </c>
      <c r="S170">
        <v>1.78</v>
      </c>
      <c r="T170">
        <v>1.74</v>
      </c>
      <c r="U170" s="43">
        <f>Q170/T170</f>
        <v>5.9770114942528734</v>
      </c>
    </row>
  </sheetData>
  <mergeCells count="33">
    <mergeCell ref="I142:K143"/>
    <mergeCell ref="I151:K152"/>
    <mergeCell ref="M2:O3"/>
    <mergeCell ref="B4:B5"/>
    <mergeCell ref="C4:E4"/>
    <mergeCell ref="F4:G4"/>
    <mergeCell ref="H4:I4"/>
    <mergeCell ref="J4:L4"/>
    <mergeCell ref="M4:O4"/>
    <mergeCell ref="H11:J12"/>
    <mergeCell ref="E26:G27"/>
    <mergeCell ref="I37:K38"/>
    <mergeCell ref="B39:C39"/>
    <mergeCell ref="D39:E39"/>
    <mergeCell ref="F39:G39"/>
    <mergeCell ref="H39:I39"/>
    <mergeCell ref="J39:K39"/>
    <mergeCell ref="X65:Z66"/>
    <mergeCell ref="I74:K75"/>
    <mergeCell ref="I83:K84"/>
    <mergeCell ref="I43:K44"/>
    <mergeCell ref="B45:C45"/>
    <mergeCell ref="D45:E45"/>
    <mergeCell ref="F45:G45"/>
    <mergeCell ref="H45:I45"/>
    <mergeCell ref="J45:K45"/>
    <mergeCell ref="P99:R100"/>
    <mergeCell ref="P111:R112"/>
    <mergeCell ref="Q47:S48"/>
    <mergeCell ref="I51:K52"/>
    <mergeCell ref="I65:K66"/>
    <mergeCell ref="I92:K93"/>
    <mergeCell ref="I101:K102"/>
  </mergeCells>
  <phoneticPr fontId="3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4:AG399"/>
  <sheetViews>
    <sheetView tabSelected="1" topLeftCell="H379" workbookViewId="0">
      <selection activeCell="AG385" sqref="AG385"/>
    </sheetView>
  </sheetViews>
  <sheetFormatPr defaultRowHeight="13.5"/>
  <cols>
    <col min="4" max="4" width="5.375" customWidth="1"/>
    <col min="5" max="5" width="8.25" customWidth="1"/>
    <col min="6" max="6" width="5.75" customWidth="1"/>
    <col min="7" max="7" width="7.75" customWidth="1"/>
    <col min="8" max="8" width="7.875" customWidth="1"/>
    <col min="9" max="9" width="7.125" customWidth="1"/>
    <col min="10" max="10" width="6.125" customWidth="1"/>
    <col min="11" max="12" width="6.625" customWidth="1"/>
    <col min="13" max="13" width="7.375" customWidth="1"/>
    <col min="14" max="17" width="6.125" customWidth="1"/>
    <col min="18" max="18" width="5.375" customWidth="1"/>
  </cols>
  <sheetData>
    <row r="4" spans="2:26" ht="14.25" thickBot="1">
      <c r="J4" t="s">
        <v>161</v>
      </c>
      <c r="K4" t="s">
        <v>169</v>
      </c>
      <c r="L4" t="s">
        <v>172</v>
      </c>
    </row>
    <row r="5" spans="2:26" ht="14.25" thickBot="1">
      <c r="B5" s="171" t="s">
        <v>162</v>
      </c>
      <c r="C5" s="171" t="s">
        <v>163</v>
      </c>
      <c r="D5" s="169" t="s">
        <v>187</v>
      </c>
      <c r="E5" s="170"/>
      <c r="F5" s="169" t="s">
        <v>185</v>
      </c>
      <c r="G5" s="170"/>
      <c r="H5" s="169" t="s">
        <v>186</v>
      </c>
      <c r="I5" s="170"/>
      <c r="J5" s="169" t="s">
        <v>204</v>
      </c>
      <c r="K5" s="170"/>
      <c r="L5" s="85"/>
      <c r="M5" s="85"/>
      <c r="N5" s="84"/>
      <c r="O5" s="84"/>
      <c r="P5" s="84"/>
      <c r="Q5" s="84"/>
      <c r="R5" s="84"/>
      <c r="S5" s="84"/>
      <c r="T5" s="84"/>
      <c r="U5" s="84"/>
      <c r="V5" s="84"/>
    </row>
    <row r="6" spans="2:26" ht="14.25" thickBot="1">
      <c r="B6" s="172"/>
      <c r="C6" s="172"/>
      <c r="D6" s="83" t="s">
        <v>167</v>
      </c>
      <c r="E6" s="83" t="s">
        <v>168</v>
      </c>
      <c r="F6" s="83" t="s">
        <v>167</v>
      </c>
      <c r="G6" s="83" t="s">
        <v>168</v>
      </c>
      <c r="H6" s="83" t="s">
        <v>167</v>
      </c>
      <c r="I6" s="83" t="s">
        <v>168</v>
      </c>
      <c r="J6" s="83" t="s">
        <v>167</v>
      </c>
      <c r="K6" s="31" t="s">
        <v>168</v>
      </c>
      <c r="L6" s="84" t="s">
        <v>203</v>
      </c>
      <c r="M6" s="84"/>
    </row>
    <row r="7" spans="2:26" ht="14.25" thickBot="1">
      <c r="B7" s="82">
        <v>1</v>
      </c>
      <c r="C7" s="17">
        <v>6.01</v>
      </c>
      <c r="D7" s="17">
        <v>0.32</v>
      </c>
      <c r="E7" s="31">
        <f>D7/C7</f>
        <v>5.3244592346089852E-2</v>
      </c>
      <c r="F7" s="17">
        <f>4.36-D7</f>
        <v>4.04</v>
      </c>
      <c r="G7" s="31">
        <f>F7/C7</f>
        <v>0.67221297836938443</v>
      </c>
      <c r="H7" s="17">
        <v>1.74</v>
      </c>
      <c r="I7" s="31">
        <f>H7/C7</f>
        <v>0.28951747088186358</v>
      </c>
      <c r="J7" s="18">
        <f>C7-D7-F7-H7</f>
        <v>-9.0000000000000524E-2</v>
      </c>
      <c r="K7" s="31">
        <f>-J7/C7</f>
        <v>1.4975041597337858E-2</v>
      </c>
      <c r="L7" s="63">
        <f>0.17/C7</f>
        <v>2.8286189683860236E-2</v>
      </c>
      <c r="M7" s="63"/>
    </row>
    <row r="8" spans="2:26" ht="14.25" thickBot="1">
      <c r="B8" s="82">
        <v>2</v>
      </c>
      <c r="C8" s="17">
        <v>7.71</v>
      </c>
      <c r="D8" s="17">
        <v>0.32</v>
      </c>
      <c r="E8" s="31">
        <f t="shared" ref="E8:E10" si="0">D8/C8</f>
        <v>4.1504539559014265E-2</v>
      </c>
      <c r="F8" s="17">
        <f>6.01-D8</f>
        <v>5.6899999999999995</v>
      </c>
      <c r="G8" s="31">
        <f t="shared" ref="G8:G10" si="1">F8/C8</f>
        <v>0.73800259403372237</v>
      </c>
      <c r="H8" s="17">
        <v>1.74</v>
      </c>
      <c r="I8" s="31">
        <f t="shared" ref="I8:I10" si="2">H8/C8</f>
        <v>0.22568093385214008</v>
      </c>
      <c r="J8" s="18">
        <f t="shared" ref="J8:J10" si="3">C8-D8-F8-H8</f>
        <v>-3.9999999999999813E-2</v>
      </c>
      <c r="K8" s="31">
        <f>-J8/C8</f>
        <v>5.1880674448767589E-3</v>
      </c>
      <c r="L8" s="63">
        <f>0.22/C8</f>
        <v>2.8534370946822308E-2</v>
      </c>
      <c r="M8" s="63"/>
    </row>
    <row r="9" spans="2:26" ht="14.25" thickBot="1">
      <c r="B9" s="82">
        <v>3</v>
      </c>
      <c r="C9" s="17">
        <v>9.25</v>
      </c>
      <c r="D9" s="17">
        <v>0.32</v>
      </c>
      <c r="E9" s="31">
        <f t="shared" si="0"/>
        <v>3.4594594594594595E-2</v>
      </c>
      <c r="F9" s="17">
        <f>7.51-D9</f>
        <v>7.1899999999999995</v>
      </c>
      <c r="G9" s="31">
        <f t="shared" si="1"/>
        <v>0.77729729729729724</v>
      </c>
      <c r="H9" s="17">
        <v>1.74</v>
      </c>
      <c r="I9" s="31">
        <f t="shared" si="2"/>
        <v>0.1881081081081081</v>
      </c>
      <c r="J9" s="18">
        <f t="shared" si="3"/>
        <v>0</v>
      </c>
      <c r="K9" s="31">
        <f t="shared" ref="K9:K10" si="4">J9/C9</f>
        <v>0</v>
      </c>
      <c r="L9" s="90">
        <f>0.24/C9</f>
        <v>2.5945945945945945E-2</v>
      </c>
      <c r="M9" s="63"/>
    </row>
    <row r="10" spans="2:26" ht="14.25" thickBot="1">
      <c r="B10" s="82">
        <v>4</v>
      </c>
      <c r="C10" s="18">
        <v>10.9</v>
      </c>
      <c r="D10" s="17">
        <v>0.32</v>
      </c>
      <c r="E10" s="31">
        <f t="shared" si="0"/>
        <v>2.9357798165137613E-2</v>
      </c>
      <c r="F10" s="17">
        <f>9.13-D10</f>
        <v>8.81</v>
      </c>
      <c r="G10" s="31">
        <f t="shared" si="1"/>
        <v>0.80825688073394497</v>
      </c>
      <c r="H10" s="17">
        <v>1.74</v>
      </c>
      <c r="I10" s="31">
        <f t="shared" si="2"/>
        <v>0.15963302752293576</v>
      </c>
      <c r="J10" s="18">
        <f t="shared" si="3"/>
        <v>2.9999999999999583E-2</v>
      </c>
      <c r="K10" s="31">
        <f t="shared" si="4"/>
        <v>2.7522935779816129E-3</v>
      </c>
      <c r="L10" s="90">
        <f>0.26/C10</f>
        <v>2.3853211009174313E-2</v>
      </c>
      <c r="M10" s="63"/>
    </row>
    <row r="11" spans="2:26">
      <c r="B11" s="84"/>
      <c r="C11" s="85"/>
      <c r="D11" s="85"/>
      <c r="E11" s="62"/>
      <c r="F11" s="85"/>
      <c r="G11" s="62"/>
      <c r="H11" s="85"/>
      <c r="I11" s="62"/>
      <c r="J11" s="85"/>
      <c r="K11" s="62"/>
    </row>
    <row r="12" spans="2:26">
      <c r="B12" s="84"/>
      <c r="C12" s="84"/>
      <c r="D12" s="85"/>
      <c r="E12" s="62"/>
      <c r="F12" s="85"/>
      <c r="G12" s="62"/>
      <c r="H12" s="85"/>
      <c r="I12" s="62"/>
      <c r="J12" s="85"/>
      <c r="K12" s="62"/>
    </row>
    <row r="13" spans="2:26">
      <c r="B13" s="84"/>
      <c r="C13" s="84"/>
      <c r="D13" s="85"/>
      <c r="E13" s="62"/>
      <c r="F13" s="85"/>
      <c r="G13" s="62"/>
      <c r="H13" s="85"/>
      <c r="I13" s="62"/>
      <c r="J13" s="85"/>
      <c r="K13" s="62"/>
      <c r="U13" t="s">
        <v>201</v>
      </c>
      <c r="Z13" t="s">
        <v>202</v>
      </c>
    </row>
    <row r="14" spans="2:26">
      <c r="B14" s="84"/>
      <c r="C14" s="84"/>
      <c r="D14" s="85"/>
      <c r="E14" s="62"/>
      <c r="F14" s="85"/>
      <c r="G14" s="62"/>
      <c r="H14" s="85"/>
      <c r="I14" s="62"/>
      <c r="J14" s="85"/>
      <c r="K14" s="62"/>
    </row>
    <row r="15" spans="2:26">
      <c r="L15" t="s">
        <v>199</v>
      </c>
    </row>
    <row r="16" spans="2:26" ht="14.25" thickBot="1">
      <c r="J16" t="s">
        <v>161</v>
      </c>
      <c r="K16" t="s">
        <v>169</v>
      </c>
      <c r="L16" t="s">
        <v>171</v>
      </c>
    </row>
    <row r="17" spans="2:26" ht="14.25" thickBot="1">
      <c r="B17" s="171" t="s">
        <v>162</v>
      </c>
      <c r="C17" s="171" t="s">
        <v>163</v>
      </c>
      <c r="D17" s="169" t="s">
        <v>187</v>
      </c>
      <c r="E17" s="170"/>
      <c r="F17" s="169" t="s">
        <v>185</v>
      </c>
      <c r="G17" s="170"/>
      <c r="H17" s="169" t="s">
        <v>186</v>
      </c>
      <c r="I17" s="170"/>
      <c r="J17" s="169" t="s">
        <v>204</v>
      </c>
      <c r="K17" s="170"/>
      <c r="L17" s="174"/>
      <c r="M17" s="174"/>
    </row>
    <row r="18" spans="2:26" ht="14.25" thickBot="1">
      <c r="B18" s="172"/>
      <c r="C18" s="172"/>
      <c r="D18" s="83" t="s">
        <v>167</v>
      </c>
      <c r="E18" s="83" t="s">
        <v>168</v>
      </c>
      <c r="F18" s="83" t="s">
        <v>167</v>
      </c>
      <c r="G18" s="83" t="s">
        <v>168</v>
      </c>
      <c r="H18" s="83" t="s">
        <v>167</v>
      </c>
      <c r="I18" s="83" t="s">
        <v>168</v>
      </c>
      <c r="J18" s="83" t="s">
        <v>167</v>
      </c>
      <c r="K18" s="83" t="s">
        <v>168</v>
      </c>
      <c r="L18" s="84"/>
      <c r="M18" s="84"/>
    </row>
    <row r="19" spans="2:26" ht="14.25" thickBot="1">
      <c r="B19" s="82">
        <v>1</v>
      </c>
      <c r="C19" s="17">
        <v>2.66</v>
      </c>
      <c r="D19" s="17">
        <v>0.32</v>
      </c>
      <c r="E19" s="31">
        <f>D19/C19</f>
        <v>0.12030075187969924</v>
      </c>
      <c r="F19" s="17">
        <f>1.14-D19</f>
        <v>0.81999999999999984</v>
      </c>
      <c r="G19" s="31">
        <f>F19/C19</f>
        <v>0.30827067669172925</v>
      </c>
      <c r="H19" s="18">
        <v>1.74</v>
      </c>
      <c r="I19" s="31">
        <f>H19/C19</f>
        <v>0.65413533834586457</v>
      </c>
      <c r="J19" s="18">
        <f>C19-D19-F19-H19</f>
        <v>-0.21999999999999953</v>
      </c>
      <c r="K19" s="31">
        <f t="shared" ref="K19:K21" si="5">J19/C19</f>
        <v>-8.2706766917293048E-2</v>
      </c>
      <c r="L19" s="90">
        <f>0.25/C19</f>
        <v>9.3984962406015032E-2</v>
      </c>
      <c r="M19" s="63"/>
    </row>
    <row r="20" spans="2:26" ht="14.25" thickBot="1">
      <c r="B20" s="82">
        <v>2</v>
      </c>
      <c r="C20" s="17">
        <v>7.18</v>
      </c>
      <c r="D20" s="17">
        <v>0.32</v>
      </c>
      <c r="E20" s="31">
        <f t="shared" ref="E20:E22" si="6">D20/C20</f>
        <v>4.456824512534819E-2</v>
      </c>
      <c r="F20" s="17">
        <f>5.41-D20</f>
        <v>5.09</v>
      </c>
      <c r="G20" s="31">
        <f t="shared" ref="G20:G22" si="7">F20/C20</f>
        <v>0.70891364902506959</v>
      </c>
      <c r="H20" s="18">
        <v>1.74</v>
      </c>
      <c r="I20" s="31">
        <f t="shared" ref="I20:I22" si="8">H20/C20</f>
        <v>0.24233983286908078</v>
      </c>
      <c r="J20" s="18">
        <f t="shared" ref="J20:J22" si="9">C20-D20-F20-H20</f>
        <v>2.9999999999999583E-2</v>
      </c>
      <c r="K20" s="31">
        <f>J20/C20</f>
        <v>4.1782729805013349E-3</v>
      </c>
      <c r="L20" s="90">
        <f>0.36/C20</f>
        <v>5.0139275766016712E-2</v>
      </c>
      <c r="M20" s="63"/>
    </row>
    <row r="21" spans="2:26" ht="14.25" thickBot="1">
      <c r="B21" s="82">
        <v>3</v>
      </c>
      <c r="C21" s="17">
        <v>8.75</v>
      </c>
      <c r="D21" s="17">
        <v>0.32</v>
      </c>
      <c r="E21" s="31">
        <f t="shared" si="6"/>
        <v>3.6571428571428574E-2</v>
      </c>
      <c r="F21" s="17">
        <f>6.86-D21</f>
        <v>6.54</v>
      </c>
      <c r="G21" s="31">
        <f t="shared" si="7"/>
        <v>0.74742857142857144</v>
      </c>
      <c r="H21" s="18">
        <v>1.74</v>
      </c>
      <c r="I21" s="31">
        <f t="shared" si="8"/>
        <v>0.19885714285714284</v>
      </c>
      <c r="J21" s="18">
        <f t="shared" si="9"/>
        <v>0.14999999999999969</v>
      </c>
      <c r="K21" s="31">
        <f t="shared" si="5"/>
        <v>1.7142857142857109E-2</v>
      </c>
      <c r="L21" s="90">
        <f>0.42/C21</f>
        <v>4.8000000000000001E-2</v>
      </c>
      <c r="M21" s="63"/>
    </row>
    <row r="22" spans="2:26" ht="14.25" thickBot="1">
      <c r="B22" s="82">
        <v>4</v>
      </c>
      <c r="C22" s="18">
        <v>10.199999999999999</v>
      </c>
      <c r="D22" s="17">
        <v>0.32</v>
      </c>
      <c r="E22" s="31">
        <f t="shared" si="6"/>
        <v>3.1372549019607843E-2</v>
      </c>
      <c r="F22" s="17">
        <f>8.39-D22</f>
        <v>8.07</v>
      </c>
      <c r="G22" s="31">
        <f t="shared" si="7"/>
        <v>0.79117647058823537</v>
      </c>
      <c r="H22" s="18">
        <v>1.74</v>
      </c>
      <c r="I22" s="31">
        <f t="shared" si="8"/>
        <v>0.17058823529411765</v>
      </c>
      <c r="J22" s="18">
        <f t="shared" si="9"/>
        <v>6.999999999999873E-2</v>
      </c>
      <c r="K22" s="31">
        <f>J22/C22</f>
        <v>6.8627450980390916E-3</v>
      </c>
      <c r="L22" s="90">
        <f>0.29/C22</f>
        <v>2.8431372549019607E-2</v>
      </c>
      <c r="M22" s="63"/>
    </row>
    <row r="26" spans="2:26">
      <c r="L26" t="s">
        <v>200</v>
      </c>
      <c r="S26" s="174"/>
      <c r="T26" s="173"/>
      <c r="U26" s="173"/>
      <c r="V26" s="173"/>
      <c r="W26" s="173"/>
    </row>
    <row r="27" spans="2:26" ht="14.25" thickBot="1">
      <c r="B27" t="s">
        <v>209</v>
      </c>
      <c r="J27" t="s">
        <v>161</v>
      </c>
      <c r="K27" t="s">
        <v>169</v>
      </c>
      <c r="S27" s="174"/>
      <c r="T27" s="174"/>
      <c r="U27" s="174"/>
      <c r="V27" s="174"/>
      <c r="W27" s="174"/>
    </row>
    <row r="28" spans="2:26" ht="14.25" thickBot="1">
      <c r="B28" s="171" t="s">
        <v>162</v>
      </c>
      <c r="C28" s="171" t="s">
        <v>163</v>
      </c>
      <c r="D28" s="169" t="s">
        <v>187</v>
      </c>
      <c r="E28" s="170"/>
      <c r="F28" s="169" t="s">
        <v>185</v>
      </c>
      <c r="G28" s="170"/>
      <c r="H28" s="169" t="s">
        <v>186</v>
      </c>
      <c r="I28" s="170"/>
      <c r="J28" s="169" t="s">
        <v>204</v>
      </c>
      <c r="K28" s="170"/>
      <c r="M28" s="169" t="s">
        <v>184</v>
      </c>
      <c r="N28" s="170"/>
      <c r="O28" s="107"/>
      <c r="P28" s="107"/>
      <c r="Q28" s="107"/>
    </row>
    <row r="29" spans="2:26" ht="18" customHeight="1" thickBot="1">
      <c r="B29" s="172"/>
      <c r="C29" s="172"/>
      <c r="D29" s="83" t="s">
        <v>167</v>
      </c>
      <c r="E29" s="83" t="s">
        <v>168</v>
      </c>
      <c r="F29" s="83" t="s">
        <v>167</v>
      </c>
      <c r="G29" s="83" t="s">
        <v>168</v>
      </c>
      <c r="H29" s="83" t="s">
        <v>167</v>
      </c>
      <c r="I29" s="83" t="s">
        <v>168</v>
      </c>
      <c r="J29" s="83" t="s">
        <v>167</v>
      </c>
      <c r="K29" s="83" t="s">
        <v>168</v>
      </c>
      <c r="L29" s="84"/>
      <c r="M29" s="83" t="s">
        <v>182</v>
      </c>
      <c r="N29" s="83" t="s">
        <v>183</v>
      </c>
      <c r="O29" s="84"/>
      <c r="P29" s="84"/>
      <c r="Q29" s="84"/>
      <c r="T29" t="s">
        <v>208</v>
      </c>
      <c r="U29" t="s">
        <v>190</v>
      </c>
      <c r="V29" t="s">
        <v>191</v>
      </c>
      <c r="W29" t="s">
        <v>191</v>
      </c>
      <c r="X29" s="88"/>
      <c r="Y29" s="169" t="s">
        <v>184</v>
      </c>
      <c r="Z29" s="170"/>
    </row>
    <row r="30" spans="2:26" ht="14.25" thickBot="1">
      <c r="B30" s="82" t="s">
        <v>210</v>
      </c>
      <c r="C30" s="17">
        <v>7.65</v>
      </c>
      <c r="D30" s="17">
        <v>0.32</v>
      </c>
      <c r="E30" s="31">
        <f t="shared" ref="E30" si="10">D30/C30</f>
        <v>4.1830065359477121E-2</v>
      </c>
      <c r="F30" s="17">
        <f>5.98-D30</f>
        <v>5.66</v>
      </c>
      <c r="G30" s="31">
        <f t="shared" ref="G30" si="11">F30/C30</f>
        <v>0.73986928104575167</v>
      </c>
      <c r="H30" s="18">
        <v>1.74</v>
      </c>
      <c r="I30" s="31">
        <f t="shared" ref="I30" si="12">H30/C30</f>
        <v>0.22745098039215686</v>
      </c>
      <c r="J30" s="18">
        <f t="shared" ref="J30" si="13">C30-D30-F30-H30</f>
        <v>-7.0000000000000062E-2</v>
      </c>
      <c r="K30" s="31">
        <f t="shared" ref="K30" si="14">J30/C30</f>
        <v>-9.1503267973856283E-3</v>
      </c>
      <c r="L30" s="63">
        <f>0.36/C30</f>
        <v>4.7058823529411764E-2</v>
      </c>
      <c r="M30" s="104">
        <f>F8/F30</f>
        <v>1.0053003533568903</v>
      </c>
      <c r="N30" s="104">
        <f>C8/C30</f>
        <v>1.0078431372549019</v>
      </c>
      <c r="O30" s="108"/>
      <c r="P30" s="108"/>
      <c r="Q30" s="108"/>
      <c r="R30" s="84"/>
      <c r="S30" s="83" t="s">
        <v>188</v>
      </c>
      <c r="T30" s="83" t="s">
        <v>193</v>
      </c>
      <c r="U30" s="83" t="s">
        <v>189</v>
      </c>
      <c r="V30" s="83" t="s">
        <v>193</v>
      </c>
      <c r="W30" s="83" t="s">
        <v>189</v>
      </c>
      <c r="X30" s="86"/>
      <c r="Y30" s="83" t="s">
        <v>182</v>
      </c>
      <c r="Z30" s="83" t="s">
        <v>183</v>
      </c>
    </row>
    <row r="31" spans="2:26" ht="14.25" thickBot="1">
      <c r="B31" s="82" t="s">
        <v>211</v>
      </c>
      <c r="C31" s="17">
        <v>7.2</v>
      </c>
      <c r="D31" s="17">
        <v>0.32</v>
      </c>
      <c r="E31" s="31">
        <f t="shared" ref="E31:E32" si="15">D31/C31</f>
        <v>4.4444444444444446E-2</v>
      </c>
      <c r="F31" s="17">
        <f>5.38-D31</f>
        <v>5.0599999999999996</v>
      </c>
      <c r="G31" s="31">
        <f t="shared" ref="G31:G32" si="16">F31/C31</f>
        <v>0.70277777777777772</v>
      </c>
      <c r="H31" s="18">
        <v>1.74</v>
      </c>
      <c r="I31" s="31">
        <f t="shared" ref="I31:I32" si="17">H31/C31</f>
        <v>0.24166666666666667</v>
      </c>
      <c r="J31" s="18">
        <f t="shared" ref="J31:J32" si="18">C31-D31-F31-H31</f>
        <v>8.0000000000000293E-2</v>
      </c>
      <c r="K31" s="31">
        <f>J31/C31</f>
        <v>1.1111111111111151E-2</v>
      </c>
      <c r="L31" s="63">
        <f>0.62/C31</f>
        <v>8.611111111111111E-2</v>
      </c>
      <c r="M31" s="104">
        <f>F20/F31</f>
        <v>1.0059288537549407</v>
      </c>
      <c r="N31" s="104">
        <f>C20/C31</f>
        <v>0.99722222222222212</v>
      </c>
      <c r="O31" s="108"/>
      <c r="P31" s="108"/>
      <c r="Q31" s="108"/>
      <c r="R31" s="85"/>
      <c r="S31" s="82">
        <v>1</v>
      </c>
      <c r="T31" s="17">
        <f>C19</f>
        <v>2.66</v>
      </c>
      <c r="U31" s="17">
        <f>C39</f>
        <v>2.98</v>
      </c>
      <c r="V31" s="17">
        <f>F19</f>
        <v>0.81999999999999984</v>
      </c>
      <c r="W31" s="17">
        <f>F39</f>
        <v>0.35000000000000003</v>
      </c>
      <c r="X31" s="62"/>
      <c r="Y31" s="89">
        <f>V31/W31</f>
        <v>2.3428571428571421</v>
      </c>
      <c r="Z31" s="18">
        <f>T31/U31</f>
        <v>0.89261744966442957</v>
      </c>
    </row>
    <row r="32" spans="2:26" ht="14.25" thickBot="1">
      <c r="B32" s="96" t="s">
        <v>212</v>
      </c>
      <c r="C32" s="98">
        <v>3.77</v>
      </c>
      <c r="D32" s="98">
        <v>0.32</v>
      </c>
      <c r="E32" s="99">
        <f t="shared" si="15"/>
        <v>8.4880636604774531E-2</v>
      </c>
      <c r="F32" s="98">
        <f>1.51-D32</f>
        <v>1.19</v>
      </c>
      <c r="G32" s="99">
        <f t="shared" si="16"/>
        <v>0.3156498673740053</v>
      </c>
      <c r="H32" s="97">
        <v>2.2999999999999998</v>
      </c>
      <c r="I32" s="99">
        <f t="shared" si="17"/>
        <v>0.61007957559681691</v>
      </c>
      <c r="J32" s="97">
        <f t="shared" si="18"/>
        <v>-3.9999999999999591E-2</v>
      </c>
      <c r="K32" s="99">
        <f t="shared" ref="K32" si="19">J32/C32</f>
        <v>-1.0610079575596709E-2</v>
      </c>
      <c r="L32" s="63">
        <f>0.26/C32</f>
        <v>6.8965517241379309E-2</v>
      </c>
      <c r="M32" s="104">
        <f>F40/F32</f>
        <v>1.0420168067226891</v>
      </c>
      <c r="N32" s="104">
        <f>C40/C32</f>
        <v>1.0185676392572944</v>
      </c>
      <c r="O32" s="108"/>
      <c r="P32" s="108"/>
      <c r="Q32" s="108"/>
      <c r="R32" s="85"/>
      <c r="S32" s="82">
        <v>2</v>
      </c>
      <c r="T32" s="18">
        <f t="shared" ref="T32:T34" si="20">C20</f>
        <v>7.18</v>
      </c>
      <c r="U32" s="17">
        <f t="shared" ref="U32:U34" si="21">C40</f>
        <v>3.84</v>
      </c>
      <c r="V32" s="17">
        <f t="shared" ref="V32:V34" si="22">F20</f>
        <v>5.09</v>
      </c>
      <c r="W32" s="17">
        <f t="shared" ref="W32:W34" si="23">F40</f>
        <v>1.24</v>
      </c>
      <c r="X32" s="62"/>
      <c r="Y32" s="89">
        <f t="shared" ref="Y32:Y34" si="24">V32/W32</f>
        <v>4.104838709677419</v>
      </c>
      <c r="Z32" s="18">
        <f t="shared" ref="Z32:Z34" si="25">T32/U32</f>
        <v>1.8697916666666667</v>
      </c>
    </row>
    <row r="33" spans="2:26" ht="14.25" thickBot="1">
      <c r="B33" s="100"/>
      <c r="C33" s="101"/>
      <c r="D33" s="102"/>
      <c r="E33" s="103"/>
      <c r="F33" s="101"/>
      <c r="G33" s="103"/>
      <c r="H33" s="101"/>
      <c r="I33" s="103"/>
      <c r="J33" s="101"/>
      <c r="K33" s="103"/>
      <c r="L33" s="63"/>
      <c r="M33" s="101"/>
      <c r="N33" s="101"/>
      <c r="O33" s="85"/>
      <c r="P33" s="85"/>
      <c r="Q33" s="85"/>
      <c r="R33" s="85"/>
      <c r="S33" s="82">
        <v>3</v>
      </c>
      <c r="T33" s="18">
        <f t="shared" si="20"/>
        <v>8.75</v>
      </c>
      <c r="U33" s="17">
        <f t="shared" si="21"/>
        <v>4.22</v>
      </c>
      <c r="V33" s="17">
        <f t="shared" si="22"/>
        <v>6.54</v>
      </c>
      <c r="W33" s="17">
        <f t="shared" si="23"/>
        <v>1.66</v>
      </c>
      <c r="X33" s="62"/>
      <c r="Y33" s="89">
        <f t="shared" si="24"/>
        <v>3.9397590361445785</v>
      </c>
      <c r="Z33" s="18">
        <f t="shared" si="25"/>
        <v>2.0734597156398107</v>
      </c>
    </row>
    <row r="34" spans="2:26" ht="14.25" thickBot="1">
      <c r="N34" s="85"/>
      <c r="O34" s="85"/>
      <c r="P34" s="85"/>
      <c r="Q34" s="85"/>
      <c r="R34" s="85"/>
      <c r="S34" s="82">
        <v>4</v>
      </c>
      <c r="T34" s="18">
        <f t="shared" si="20"/>
        <v>10.199999999999999</v>
      </c>
      <c r="U34" s="17">
        <f t="shared" si="21"/>
        <v>4.67</v>
      </c>
      <c r="V34" s="18">
        <f t="shared" si="22"/>
        <v>8.07</v>
      </c>
      <c r="W34" s="17">
        <f t="shared" si="23"/>
        <v>2.06</v>
      </c>
      <c r="X34" s="62"/>
      <c r="Y34" s="89">
        <f t="shared" si="24"/>
        <v>3.9174757281553401</v>
      </c>
      <c r="Z34" s="18">
        <f t="shared" si="25"/>
        <v>2.1841541755888652</v>
      </c>
    </row>
    <row r="36" spans="2:26" ht="14.25" thickBot="1">
      <c r="J36" t="s">
        <v>161</v>
      </c>
      <c r="K36" t="s">
        <v>169</v>
      </c>
      <c r="L36" t="s">
        <v>177</v>
      </c>
    </row>
    <row r="37" spans="2:26" ht="14.25" thickBot="1">
      <c r="B37" s="171" t="s">
        <v>162</v>
      </c>
      <c r="C37" s="171" t="s">
        <v>163</v>
      </c>
      <c r="D37" s="169" t="s">
        <v>187</v>
      </c>
      <c r="E37" s="170"/>
      <c r="F37" s="169" t="s">
        <v>185</v>
      </c>
      <c r="G37" s="170"/>
      <c r="H37" s="169" t="s">
        <v>186</v>
      </c>
      <c r="I37" s="170"/>
      <c r="J37" s="169" t="s">
        <v>204</v>
      </c>
      <c r="K37" s="170"/>
      <c r="L37" s="169" t="s">
        <v>184</v>
      </c>
      <c r="M37" s="170"/>
    </row>
    <row r="38" spans="2:26" ht="13.5" customHeight="1" thickBot="1">
      <c r="B38" s="172"/>
      <c r="C38" s="172"/>
      <c r="D38" s="83" t="s">
        <v>167</v>
      </c>
      <c r="E38" s="83" t="s">
        <v>168</v>
      </c>
      <c r="F38" s="83" t="s">
        <v>167</v>
      </c>
      <c r="G38" s="83" t="s">
        <v>168</v>
      </c>
      <c r="H38" s="83" t="s">
        <v>167</v>
      </c>
      <c r="I38" s="83" t="s">
        <v>168</v>
      </c>
      <c r="J38" s="83" t="s">
        <v>167</v>
      </c>
      <c r="K38" s="83" t="s">
        <v>168</v>
      </c>
      <c r="L38" s="83" t="s">
        <v>182</v>
      </c>
      <c r="M38" s="83" t="s">
        <v>183</v>
      </c>
      <c r="T38" s="173"/>
    </row>
    <row r="39" spans="2:26" ht="14.25" thickBot="1">
      <c r="B39" s="82">
        <v>1</v>
      </c>
      <c r="C39" s="17">
        <v>2.98</v>
      </c>
      <c r="D39" s="17">
        <v>0.32</v>
      </c>
      <c r="E39" s="31">
        <f>D39/C39</f>
        <v>0.10738255033557047</v>
      </c>
      <c r="F39" s="17">
        <f>0.67-D39</f>
        <v>0.35000000000000003</v>
      </c>
      <c r="G39" s="31">
        <f>F39/C39</f>
        <v>0.11744966442953021</v>
      </c>
      <c r="H39" s="18">
        <v>2.2000000000000002</v>
      </c>
      <c r="I39" s="31">
        <f>H39/C39</f>
        <v>0.73825503355704702</v>
      </c>
      <c r="J39" s="18">
        <f>C39-D39-F39-H39</f>
        <v>0.10999999999999988</v>
      </c>
      <c r="K39" s="31">
        <f t="shared" ref="K39:K41" si="26">J39/C39</f>
        <v>3.691275167785231E-2</v>
      </c>
      <c r="L39" s="18">
        <f>F19/F39</f>
        <v>2.3428571428571421</v>
      </c>
      <c r="M39" s="18">
        <f>C19/C39</f>
        <v>0.89261744966442957</v>
      </c>
      <c r="N39" s="43">
        <f>0.3/C39</f>
        <v>0.10067114093959731</v>
      </c>
      <c r="O39" s="43"/>
      <c r="P39" s="43"/>
      <c r="Q39" s="43"/>
      <c r="T39" s="174"/>
    </row>
    <row r="40" spans="2:26" ht="14.25" thickBot="1">
      <c r="B40" s="82">
        <v>2</v>
      </c>
      <c r="C40" s="17">
        <v>3.84</v>
      </c>
      <c r="D40" s="17">
        <v>0.32</v>
      </c>
      <c r="E40" s="31">
        <f t="shared" ref="E40:E42" si="27">D40/C40</f>
        <v>8.3333333333333343E-2</v>
      </c>
      <c r="F40" s="17">
        <f>1.56-D40</f>
        <v>1.24</v>
      </c>
      <c r="G40" s="31">
        <f t="shared" ref="G40:G42" si="28">F40/C40</f>
        <v>0.32291666666666669</v>
      </c>
      <c r="H40" s="18">
        <v>2.2000000000000002</v>
      </c>
      <c r="I40" s="31">
        <f t="shared" ref="I40:I42" si="29">H40/C40</f>
        <v>0.57291666666666674</v>
      </c>
      <c r="J40" s="18">
        <f t="shared" ref="J40:J44" si="30">C40-D40-F40-H40</f>
        <v>8.0000000000000071E-2</v>
      </c>
      <c r="K40" s="31">
        <f>J40/C40</f>
        <v>2.0833333333333353E-2</v>
      </c>
      <c r="L40" s="18">
        <f>F20/F40</f>
        <v>4.104838709677419</v>
      </c>
      <c r="M40" s="18">
        <f>C20/C40</f>
        <v>1.8697916666666667</v>
      </c>
      <c r="N40" s="43">
        <f>0.3/C40</f>
        <v>7.8125E-2</v>
      </c>
      <c r="O40" s="43"/>
      <c r="P40" s="43"/>
      <c r="Q40" s="43"/>
      <c r="T40" s="62"/>
    </row>
    <row r="41" spans="2:26" ht="14.25" customHeight="1" thickBot="1">
      <c r="B41" s="82">
        <v>3</v>
      </c>
      <c r="C41" s="17">
        <v>4.22</v>
      </c>
      <c r="D41" s="17">
        <v>0.32</v>
      </c>
      <c r="E41" s="31">
        <f t="shared" si="27"/>
        <v>7.582938388625593E-2</v>
      </c>
      <c r="F41" s="17">
        <f>1.98-D41</f>
        <v>1.66</v>
      </c>
      <c r="G41" s="31">
        <f t="shared" si="28"/>
        <v>0.39336492890995262</v>
      </c>
      <c r="H41" s="18">
        <v>2.2000000000000002</v>
      </c>
      <c r="I41" s="31">
        <f t="shared" si="29"/>
        <v>0.52132701421800953</v>
      </c>
      <c r="J41" s="18">
        <f t="shared" si="30"/>
        <v>4.0000000000000036E-2</v>
      </c>
      <c r="K41" s="31">
        <f t="shared" si="26"/>
        <v>9.4786729857819999E-3</v>
      </c>
      <c r="L41" s="18">
        <f>F21/F41</f>
        <v>3.9397590361445785</v>
      </c>
      <c r="M41" s="18">
        <f>C21/C41</f>
        <v>2.0734597156398107</v>
      </c>
      <c r="N41" s="43">
        <f t="shared" ref="N41:N42" si="31">0.3/C41</f>
        <v>7.1090047393364927E-2</v>
      </c>
      <c r="O41" s="43"/>
      <c r="P41" s="43"/>
      <c r="Q41" s="43"/>
      <c r="R41" s="84"/>
      <c r="T41" t="s">
        <v>190</v>
      </c>
      <c r="U41" t="s">
        <v>190</v>
      </c>
      <c r="V41" t="s">
        <v>191</v>
      </c>
      <c r="W41" t="s">
        <v>191</v>
      </c>
      <c r="Y41" s="169" t="s">
        <v>184</v>
      </c>
      <c r="Z41" s="170"/>
    </row>
    <row r="42" spans="2:26" ht="14.25" thickBot="1">
      <c r="B42" s="82">
        <v>4</v>
      </c>
      <c r="C42" s="17">
        <v>4.67</v>
      </c>
      <c r="D42" s="17">
        <v>0.32</v>
      </c>
      <c r="E42" s="31">
        <f t="shared" si="27"/>
        <v>6.852248394004283E-2</v>
      </c>
      <c r="F42" s="17">
        <f>2.38-D42</f>
        <v>2.06</v>
      </c>
      <c r="G42" s="31">
        <f t="shared" si="28"/>
        <v>0.4411134903640257</v>
      </c>
      <c r="H42" s="18">
        <v>2.2000000000000002</v>
      </c>
      <c r="I42" s="31">
        <f t="shared" si="29"/>
        <v>0.47109207708779449</v>
      </c>
      <c r="J42" s="18">
        <f t="shared" si="30"/>
        <v>8.9999999999999414E-2</v>
      </c>
      <c r="K42" s="31">
        <f>J42/C42</f>
        <v>1.927194860813692E-2</v>
      </c>
      <c r="L42" s="18">
        <f>F22/F42</f>
        <v>3.9174757281553401</v>
      </c>
      <c r="M42" s="18">
        <f>C22/C42</f>
        <v>2.1841541755888652</v>
      </c>
      <c r="N42" s="43">
        <f t="shared" si="31"/>
        <v>6.4239828693790149E-2</v>
      </c>
      <c r="O42" s="43"/>
      <c r="P42" s="43"/>
      <c r="Q42" s="43"/>
      <c r="R42" s="84"/>
      <c r="S42" s="83" t="s">
        <v>188</v>
      </c>
      <c r="T42" s="83" t="s">
        <v>194</v>
      </c>
      <c r="U42" s="83" t="s">
        <v>195</v>
      </c>
      <c r="V42" s="83" t="s">
        <v>194</v>
      </c>
      <c r="W42" s="83" t="s">
        <v>195</v>
      </c>
      <c r="Y42" s="83" t="s">
        <v>182</v>
      </c>
      <c r="Z42" s="83" t="s">
        <v>183</v>
      </c>
    </row>
    <row r="43" spans="2:26" ht="14.25" thickBot="1">
      <c r="B43" t="s">
        <v>205</v>
      </c>
      <c r="C43" s="91">
        <v>4.1100000000000003</v>
      </c>
      <c r="D43" s="17">
        <v>0.32</v>
      </c>
      <c r="F43" s="17">
        <f>1.8-D43</f>
        <v>1.48</v>
      </c>
      <c r="H43" s="94">
        <v>2.2000000000000002</v>
      </c>
      <c r="I43" s="95"/>
      <c r="L43" s="18">
        <f>F20/F43</f>
        <v>3.439189189189189</v>
      </c>
      <c r="M43" s="18">
        <f>C20/C43</f>
        <v>1.7469586374695862</v>
      </c>
      <c r="N43" s="85"/>
      <c r="O43" s="85"/>
      <c r="P43" s="85"/>
      <c r="Q43" s="85"/>
      <c r="R43" s="85"/>
      <c r="S43" s="82">
        <v>1</v>
      </c>
      <c r="T43" s="18">
        <f>C19</f>
        <v>2.66</v>
      </c>
      <c r="U43" s="18">
        <f>C51</f>
        <v>2.2999999999999998</v>
      </c>
      <c r="V43" s="18">
        <f>F19</f>
        <v>0.81999999999999984</v>
      </c>
      <c r="W43" s="18">
        <f>F51</f>
        <v>0.31</v>
      </c>
      <c r="Y43" s="89">
        <f>V43/W43</f>
        <v>2.6451612903225801</v>
      </c>
      <c r="Z43" s="18">
        <f>T43/U43</f>
        <v>1.156521739130435</v>
      </c>
    </row>
    <row r="44" spans="2:26" ht="14.25" thickBot="1">
      <c r="B44" s="144">
        <v>2</v>
      </c>
      <c r="C44" s="91">
        <v>3.23</v>
      </c>
      <c r="D44" s="17">
        <v>0.27</v>
      </c>
      <c r="F44" s="17">
        <v>1.28</v>
      </c>
      <c r="H44" s="93">
        <v>1.55</v>
      </c>
      <c r="J44" s="18">
        <f t="shared" si="30"/>
        <v>0.12999999999999989</v>
      </c>
      <c r="L44" s="18">
        <f>F20/F44</f>
        <v>3.9765625</v>
      </c>
      <c r="M44" s="18">
        <f>C20/C44</f>
        <v>2.2229102167182662</v>
      </c>
      <c r="N44" s="85"/>
      <c r="O44" s="85"/>
      <c r="P44" s="85"/>
      <c r="Q44" s="85"/>
      <c r="R44" s="85"/>
      <c r="S44" s="82">
        <v>2</v>
      </c>
      <c r="T44" s="18">
        <f t="shared" ref="T44:T46" si="32">C20</f>
        <v>7.18</v>
      </c>
      <c r="U44" s="18">
        <f t="shared" ref="U44:U46" si="33">C52</f>
        <v>3.34</v>
      </c>
      <c r="V44" s="18">
        <f t="shared" ref="V44:V46" si="34">F20</f>
        <v>5.09</v>
      </c>
      <c r="W44" s="18">
        <f t="shared" ref="W44:W46" si="35">F52</f>
        <v>1.29</v>
      </c>
      <c r="Y44" s="89">
        <f t="shared" ref="Y44:Y46" si="36">V44/W44</f>
        <v>3.945736434108527</v>
      </c>
      <c r="Z44" s="18">
        <f t="shared" ref="Z44:Z46" si="37">T44/U44</f>
        <v>2.1497005988023954</v>
      </c>
    </row>
    <row r="45" spans="2:26" ht="14.25" thickBot="1">
      <c r="B45" t="s">
        <v>206</v>
      </c>
      <c r="C45" s="91">
        <v>3.79</v>
      </c>
      <c r="D45" s="17">
        <v>0.32</v>
      </c>
      <c r="F45" s="92">
        <f>1.53-D45</f>
        <v>1.21</v>
      </c>
      <c r="H45" s="93">
        <v>2.2999999999999998</v>
      </c>
      <c r="L45" s="18">
        <f>F20/F45</f>
        <v>4.2066115702479339</v>
      </c>
      <c r="M45" s="18">
        <f>C20/C45</f>
        <v>1.8944591029023745</v>
      </c>
      <c r="N45" s="85"/>
      <c r="O45" s="85"/>
      <c r="P45" s="85"/>
      <c r="Q45" s="85"/>
      <c r="R45" s="85"/>
      <c r="S45" s="82">
        <v>3</v>
      </c>
      <c r="T45" s="18">
        <f t="shared" si="32"/>
        <v>8.75</v>
      </c>
      <c r="U45" s="18">
        <f t="shared" si="33"/>
        <v>3.85</v>
      </c>
      <c r="V45" s="18">
        <f t="shared" si="34"/>
        <v>6.54</v>
      </c>
      <c r="W45" s="18">
        <f t="shared" si="35"/>
        <v>1.8099999999999998</v>
      </c>
      <c r="Y45" s="89">
        <f t="shared" si="36"/>
        <v>3.6132596685082876</v>
      </c>
      <c r="Z45" s="18">
        <f t="shared" si="37"/>
        <v>2.2727272727272725</v>
      </c>
    </row>
    <row r="46" spans="2:26" ht="14.25" thickBot="1">
      <c r="B46" t="s">
        <v>207</v>
      </c>
      <c r="C46" s="91">
        <v>3.61</v>
      </c>
      <c r="N46" s="85"/>
      <c r="O46" s="85"/>
      <c r="P46" s="85"/>
      <c r="Q46" s="85"/>
      <c r="R46" s="85"/>
      <c r="S46" s="82">
        <v>4</v>
      </c>
      <c r="T46" s="18">
        <f t="shared" si="32"/>
        <v>10.199999999999999</v>
      </c>
      <c r="U46" s="18">
        <f t="shared" si="33"/>
        <v>4.54</v>
      </c>
      <c r="V46" s="18">
        <f t="shared" si="34"/>
        <v>8.07</v>
      </c>
      <c r="W46" s="18">
        <f t="shared" si="35"/>
        <v>2.46</v>
      </c>
      <c r="Y46" s="89">
        <f t="shared" si="36"/>
        <v>3.280487804878049</v>
      </c>
      <c r="Z46" s="18">
        <f t="shared" si="37"/>
        <v>2.2466960352422904</v>
      </c>
    </row>
    <row r="47" spans="2:26">
      <c r="N47" s="85"/>
      <c r="O47" s="85"/>
      <c r="P47" s="85"/>
      <c r="Q47" s="85"/>
      <c r="R47" s="85"/>
    </row>
    <row r="48" spans="2:26" ht="14.25" thickBot="1">
      <c r="J48" t="s">
        <v>161</v>
      </c>
      <c r="K48" t="s">
        <v>169</v>
      </c>
      <c r="L48" t="s">
        <v>178</v>
      </c>
      <c r="N48" t="s">
        <v>213</v>
      </c>
    </row>
    <row r="49" spans="2:26" ht="14.25" thickBot="1">
      <c r="B49" s="171" t="s">
        <v>162</v>
      </c>
      <c r="C49" s="171" t="s">
        <v>163</v>
      </c>
      <c r="D49" s="169" t="s">
        <v>187</v>
      </c>
      <c r="E49" s="170"/>
      <c r="F49" s="169" t="s">
        <v>185</v>
      </c>
      <c r="G49" s="170"/>
      <c r="H49" s="169" t="s">
        <v>186</v>
      </c>
      <c r="I49" s="170"/>
      <c r="J49" s="169" t="s">
        <v>170</v>
      </c>
      <c r="K49" s="170"/>
      <c r="L49" s="169" t="s">
        <v>184</v>
      </c>
      <c r="M49" s="170"/>
    </row>
    <row r="50" spans="2:26" ht="14.25" thickBot="1">
      <c r="B50" s="172"/>
      <c r="C50" s="172"/>
      <c r="D50" s="83" t="s">
        <v>167</v>
      </c>
      <c r="E50" s="83" t="s">
        <v>168</v>
      </c>
      <c r="F50" s="83" t="s">
        <v>167</v>
      </c>
      <c r="G50" s="83" t="s">
        <v>168</v>
      </c>
      <c r="H50" s="83" t="s">
        <v>167</v>
      </c>
      <c r="I50" s="83" t="s">
        <v>168</v>
      </c>
      <c r="J50" s="83" t="s">
        <v>167</v>
      </c>
      <c r="K50" s="83" t="s">
        <v>168</v>
      </c>
      <c r="L50" s="83" t="s">
        <v>182</v>
      </c>
      <c r="M50" s="18" t="s">
        <v>183</v>
      </c>
    </row>
    <row r="51" spans="2:26" ht="14.25" thickBot="1">
      <c r="B51" s="82">
        <v>1</v>
      </c>
      <c r="C51" s="17">
        <v>2.2999999999999998</v>
      </c>
      <c r="D51" s="17">
        <v>0.32</v>
      </c>
      <c r="E51" s="31">
        <f>D51/C51</f>
        <v>0.1391304347826087</v>
      </c>
      <c r="F51" s="17">
        <f>0.63-D51</f>
        <v>0.31</v>
      </c>
      <c r="G51" s="31">
        <f>F51/C51</f>
        <v>0.13478260869565217</v>
      </c>
      <c r="H51" s="18">
        <v>2.61</v>
      </c>
      <c r="I51" s="31">
        <f>H51/C51</f>
        <v>1.1347826086956523</v>
      </c>
      <c r="J51" s="18">
        <f>C51-D51-F51-H51</f>
        <v>-0.94000000000000017</v>
      </c>
      <c r="K51" s="31">
        <f t="shared" ref="K51:K53" si="38">J51/C51</f>
        <v>-0.40869565217391313</v>
      </c>
      <c r="L51" s="18">
        <f>F19/F51</f>
        <v>2.6451612903225801</v>
      </c>
      <c r="M51" s="18">
        <f>C19/C51</f>
        <v>1.156521739130435</v>
      </c>
      <c r="N51" s="43">
        <f>0.21/C51</f>
        <v>9.1304347826086957E-2</v>
      </c>
      <c r="O51" s="43"/>
      <c r="P51" s="43"/>
      <c r="Q51" s="43"/>
    </row>
    <row r="52" spans="2:26" ht="14.25" thickBot="1">
      <c r="B52" s="82">
        <v>2</v>
      </c>
      <c r="C52" s="105">
        <v>3.34</v>
      </c>
      <c r="D52" s="17">
        <v>0.32</v>
      </c>
      <c r="E52" s="31">
        <f t="shared" ref="E52:E54" si="39">D52/C52</f>
        <v>9.580838323353294E-2</v>
      </c>
      <c r="F52" s="17">
        <f>1.61-D52</f>
        <v>1.29</v>
      </c>
      <c r="G52" s="31">
        <f t="shared" ref="G52:G54" si="40">F52/C52</f>
        <v>0.38622754491017969</v>
      </c>
      <c r="H52" s="18">
        <v>2.61</v>
      </c>
      <c r="I52" s="31">
        <f t="shared" ref="I52:I54" si="41">H52/C52</f>
        <v>0.78143712574850299</v>
      </c>
      <c r="J52" s="18">
        <f t="shared" ref="J52:J54" si="42">C52-D52-F52-H52</f>
        <v>-0.87999999999999989</v>
      </c>
      <c r="K52" s="31">
        <f t="shared" si="38"/>
        <v>-0.26347305389221554</v>
      </c>
      <c r="L52" s="18">
        <f>F20/F52</f>
        <v>3.945736434108527</v>
      </c>
      <c r="M52" s="18">
        <f>C20/C52</f>
        <v>2.1497005988023954</v>
      </c>
      <c r="N52" s="43">
        <f>0.19/C52</f>
        <v>5.6886227544910184E-2</v>
      </c>
      <c r="O52" s="43"/>
      <c r="P52" s="43"/>
      <c r="Q52" s="43"/>
    </row>
    <row r="53" spans="2:26" ht="14.25" thickBot="1">
      <c r="B53" s="82">
        <v>3</v>
      </c>
      <c r="C53" s="17">
        <v>3.85</v>
      </c>
      <c r="D53" s="17">
        <v>0.32</v>
      </c>
      <c r="E53" s="31">
        <f t="shared" si="39"/>
        <v>8.3116883116883117E-2</v>
      </c>
      <c r="F53" s="17">
        <f>2.13-D53</f>
        <v>1.8099999999999998</v>
      </c>
      <c r="G53" s="31">
        <f t="shared" si="40"/>
        <v>0.47012987012987006</v>
      </c>
      <c r="H53" s="18">
        <v>2.61</v>
      </c>
      <c r="I53" s="31">
        <f t="shared" si="41"/>
        <v>0.67792207792207793</v>
      </c>
      <c r="J53" s="18">
        <f t="shared" si="42"/>
        <v>-0.88999999999999946</v>
      </c>
      <c r="K53" s="31">
        <f t="shared" si="38"/>
        <v>-0.23116883116883102</v>
      </c>
      <c r="L53" s="18">
        <f>F21/F53</f>
        <v>3.6132596685082876</v>
      </c>
      <c r="M53" s="18">
        <f>C21/C53</f>
        <v>2.2727272727272725</v>
      </c>
      <c r="N53" s="43">
        <f>0.16/C53</f>
        <v>4.1558441558441558E-2</v>
      </c>
      <c r="O53" s="43"/>
      <c r="P53" s="43"/>
      <c r="Q53" s="43"/>
    </row>
    <row r="54" spans="2:26" ht="14.25" thickBot="1">
      <c r="B54" s="82">
        <v>4</v>
      </c>
      <c r="C54" s="17">
        <v>4.54</v>
      </c>
      <c r="D54" s="17">
        <v>0.32</v>
      </c>
      <c r="E54" s="31">
        <f t="shared" si="39"/>
        <v>7.0484581497797363E-2</v>
      </c>
      <c r="F54" s="17">
        <f>2.78-D54</f>
        <v>2.46</v>
      </c>
      <c r="G54" s="31">
        <f t="shared" si="40"/>
        <v>0.54185022026431717</v>
      </c>
      <c r="H54" s="18">
        <v>2.61</v>
      </c>
      <c r="I54" s="31">
        <f t="shared" si="41"/>
        <v>0.57488986784140961</v>
      </c>
      <c r="J54" s="18">
        <f t="shared" si="42"/>
        <v>-0.85000000000000009</v>
      </c>
      <c r="K54" s="31">
        <f>J54/C54</f>
        <v>-0.18722466960352424</v>
      </c>
      <c r="L54" s="18">
        <f>F22/F54</f>
        <v>3.280487804878049</v>
      </c>
      <c r="M54" s="18">
        <f>C22/C54</f>
        <v>2.2466960352422904</v>
      </c>
      <c r="N54" s="43">
        <f>0.19/C54</f>
        <v>4.185022026431718E-2</v>
      </c>
      <c r="O54" s="43"/>
      <c r="P54" s="43"/>
      <c r="Q54" s="43"/>
      <c r="R54" s="84"/>
    </row>
    <row r="55" spans="2:26">
      <c r="B55" s="84"/>
      <c r="C55" s="62"/>
      <c r="D55" s="62"/>
      <c r="E55" s="63"/>
      <c r="F55" s="85"/>
      <c r="G55" s="63"/>
      <c r="H55" s="85"/>
      <c r="I55" s="63"/>
      <c r="J55" s="85"/>
      <c r="K55" s="63"/>
      <c r="L55" s="85"/>
      <c r="M55" s="85"/>
      <c r="N55" s="85"/>
      <c r="O55" s="85"/>
      <c r="P55" s="85"/>
      <c r="Q55" s="85"/>
      <c r="R55" s="85"/>
    </row>
    <row r="56" spans="2:26">
      <c r="B56" s="73"/>
      <c r="C56" s="105"/>
      <c r="D56" s="62"/>
      <c r="E56" s="63"/>
      <c r="F56" s="85"/>
      <c r="G56" s="63"/>
      <c r="H56" s="85"/>
      <c r="I56" s="63"/>
      <c r="J56" s="85"/>
      <c r="K56" s="63"/>
      <c r="L56" s="85"/>
      <c r="M56" s="85"/>
      <c r="N56" s="106"/>
      <c r="O56" s="106"/>
      <c r="P56" s="106"/>
      <c r="Q56" s="106"/>
      <c r="R56" s="85"/>
    </row>
    <row r="57" spans="2:26">
      <c r="N57" s="85"/>
      <c r="O57" s="85"/>
      <c r="P57" s="85"/>
      <c r="Q57" s="85"/>
      <c r="R57" s="85"/>
    </row>
    <row r="58" spans="2:26" ht="14.25" thickBot="1">
      <c r="N58" s="85"/>
      <c r="O58" s="85"/>
      <c r="P58" s="85"/>
      <c r="Q58" s="85"/>
      <c r="R58" s="85"/>
    </row>
    <row r="59" spans="2:26" ht="14.25" thickBot="1">
      <c r="N59" s="85"/>
      <c r="O59" s="85"/>
      <c r="P59" s="85"/>
      <c r="Q59" s="85"/>
      <c r="R59" s="85"/>
      <c r="T59" t="s">
        <v>163</v>
      </c>
      <c r="U59" t="s">
        <v>163</v>
      </c>
      <c r="V59" t="s">
        <v>165</v>
      </c>
      <c r="W59" t="s">
        <v>165</v>
      </c>
      <c r="Y59" s="169" t="s">
        <v>184</v>
      </c>
      <c r="Z59" s="170"/>
    </row>
    <row r="60" spans="2:26" ht="14.25" thickBot="1">
      <c r="N60" s="85"/>
      <c r="O60" s="85"/>
      <c r="P60" s="85"/>
      <c r="Q60" s="85"/>
      <c r="R60" s="85"/>
      <c r="S60" s="83" t="s">
        <v>162</v>
      </c>
      <c r="T60" s="83" t="s">
        <v>194</v>
      </c>
      <c r="U60" s="83" t="s">
        <v>195</v>
      </c>
      <c r="V60" s="83" t="s">
        <v>194</v>
      </c>
      <c r="W60" s="83" t="s">
        <v>195</v>
      </c>
      <c r="Y60" s="83" t="s">
        <v>182</v>
      </c>
      <c r="Z60" s="83" t="s">
        <v>183</v>
      </c>
    </row>
    <row r="61" spans="2:26" ht="14.25" thickBot="1">
      <c r="N61" s="85"/>
      <c r="O61" s="85"/>
      <c r="P61" s="85"/>
      <c r="Q61" s="85"/>
      <c r="R61" s="85"/>
      <c r="S61" s="82">
        <v>1</v>
      </c>
      <c r="T61" s="17">
        <f>C19</f>
        <v>2.66</v>
      </c>
      <c r="U61" s="17">
        <f>C65</f>
        <v>2.36</v>
      </c>
      <c r="V61" s="17">
        <f>F19</f>
        <v>0.81999999999999984</v>
      </c>
      <c r="W61" s="17">
        <f>F65</f>
        <v>0.47000000000000003</v>
      </c>
      <c r="Y61" s="89">
        <f>V61/W61</f>
        <v>1.7446808510638294</v>
      </c>
      <c r="Z61" s="18">
        <f>T61/U61</f>
        <v>1.1271186440677967</v>
      </c>
    </row>
    <row r="62" spans="2:26" ht="14.25" thickBot="1">
      <c r="J62" t="s">
        <v>161</v>
      </c>
      <c r="K62" t="s">
        <v>169</v>
      </c>
      <c r="L62" t="s">
        <v>178</v>
      </c>
      <c r="N62" t="s">
        <v>214</v>
      </c>
      <c r="S62" s="82">
        <v>2</v>
      </c>
      <c r="T62" s="18">
        <f t="shared" ref="T62:T64" si="43">C20</f>
        <v>7.18</v>
      </c>
      <c r="U62" s="17">
        <f t="shared" ref="U62:U64" si="44">C66</f>
        <v>3.48</v>
      </c>
      <c r="V62" s="17">
        <f t="shared" ref="V62:V64" si="45">F20</f>
        <v>5.09</v>
      </c>
      <c r="W62" s="17">
        <f t="shared" ref="W62:W64" si="46">F66</f>
        <v>1.38</v>
      </c>
      <c r="Y62" s="89">
        <f t="shared" ref="Y62:Y64" si="47">V62/W62</f>
        <v>3.6884057971014497</v>
      </c>
      <c r="Z62" s="18">
        <f t="shared" ref="Z62:Z64" si="48">T62/U62</f>
        <v>2.0632183908045976</v>
      </c>
    </row>
    <row r="63" spans="2:26" ht="14.25" thickBot="1">
      <c r="B63" s="171" t="s">
        <v>162</v>
      </c>
      <c r="C63" s="171" t="s">
        <v>163</v>
      </c>
      <c r="D63" s="169" t="s">
        <v>187</v>
      </c>
      <c r="E63" s="170"/>
      <c r="F63" s="169" t="s">
        <v>185</v>
      </c>
      <c r="G63" s="170"/>
      <c r="H63" s="169" t="s">
        <v>186</v>
      </c>
      <c r="I63" s="170"/>
      <c r="J63" s="169" t="s">
        <v>170</v>
      </c>
      <c r="K63" s="170"/>
      <c r="L63" s="169" t="s">
        <v>184</v>
      </c>
      <c r="M63" s="170"/>
      <c r="S63" s="82">
        <v>3</v>
      </c>
      <c r="T63" s="18">
        <f t="shared" si="43"/>
        <v>8.75</v>
      </c>
      <c r="U63" s="17">
        <f t="shared" si="44"/>
        <v>3.91</v>
      </c>
      <c r="V63" s="17">
        <f t="shared" si="45"/>
        <v>6.54</v>
      </c>
      <c r="W63" s="17">
        <f t="shared" si="46"/>
        <v>1.9799999999999998</v>
      </c>
      <c r="Y63" s="89">
        <f t="shared" si="47"/>
        <v>3.3030303030303036</v>
      </c>
      <c r="Z63" s="18">
        <f t="shared" si="48"/>
        <v>2.2378516624040921</v>
      </c>
    </row>
    <row r="64" spans="2:26" ht="14.25" thickBot="1">
      <c r="B64" s="172"/>
      <c r="C64" s="172"/>
      <c r="D64" s="83" t="s">
        <v>167</v>
      </c>
      <c r="E64" s="83" t="s">
        <v>168</v>
      </c>
      <c r="F64" s="83" t="s">
        <v>167</v>
      </c>
      <c r="G64" s="83" t="s">
        <v>168</v>
      </c>
      <c r="H64" s="83" t="s">
        <v>167</v>
      </c>
      <c r="I64" s="83" t="s">
        <v>168</v>
      </c>
      <c r="J64" s="83" t="s">
        <v>167</v>
      </c>
      <c r="K64" s="83" t="s">
        <v>168</v>
      </c>
      <c r="L64" s="83" t="s">
        <v>182</v>
      </c>
      <c r="M64" s="18" t="s">
        <v>183</v>
      </c>
      <c r="S64" s="82">
        <v>4</v>
      </c>
      <c r="T64" s="18">
        <f t="shared" si="43"/>
        <v>10.199999999999999</v>
      </c>
      <c r="U64" s="17">
        <f t="shared" si="44"/>
        <v>4.71</v>
      </c>
      <c r="V64" s="18">
        <f t="shared" si="45"/>
        <v>8.07</v>
      </c>
      <c r="W64" s="17">
        <f t="shared" si="46"/>
        <v>2.6100000000000003</v>
      </c>
      <c r="Y64" s="89">
        <f t="shared" si="47"/>
        <v>3.0919540229885056</v>
      </c>
      <c r="Z64" s="18">
        <f t="shared" si="48"/>
        <v>2.1656050955414012</v>
      </c>
    </row>
    <row r="65" spans="2:26" ht="14.25" thickBot="1">
      <c r="B65" s="82">
        <v>1</v>
      </c>
      <c r="C65" s="17">
        <v>2.36</v>
      </c>
      <c r="D65" s="17">
        <v>0.32</v>
      </c>
      <c r="E65" s="31">
        <f>D65/C65</f>
        <v>0.13559322033898305</v>
      </c>
      <c r="F65" s="17">
        <f>0.79-D65</f>
        <v>0.47000000000000003</v>
      </c>
      <c r="G65" s="31">
        <f>F65/C65</f>
        <v>0.19915254237288138</v>
      </c>
      <c r="H65" s="18">
        <v>2.59</v>
      </c>
      <c r="I65" s="31">
        <f>H65/C65</f>
        <v>1.097457627118644</v>
      </c>
      <c r="J65" s="18">
        <f>C65-D65-F65-H65</f>
        <v>-1.0199999999999998</v>
      </c>
      <c r="K65" s="31">
        <f t="shared" ref="K65:K67" si="49">J65/C65</f>
        <v>-0.43220338983050843</v>
      </c>
      <c r="L65" s="18">
        <f>F19/F65</f>
        <v>1.7446808510638294</v>
      </c>
      <c r="M65" s="18">
        <f>C19/C65</f>
        <v>1.1271186440677967</v>
      </c>
      <c r="N65" s="43">
        <f>0.28/C65</f>
        <v>0.11864406779661019</v>
      </c>
      <c r="O65" s="43"/>
      <c r="P65" s="43"/>
      <c r="Q65" s="43"/>
      <c r="S65" s="84"/>
      <c r="T65" s="85"/>
      <c r="U65" s="62"/>
      <c r="V65" s="85"/>
      <c r="W65" s="62"/>
      <c r="Y65" s="85"/>
      <c r="Z65" s="85"/>
    </row>
    <row r="66" spans="2:26" ht="14.25" thickBot="1">
      <c r="B66" s="82">
        <v>2</v>
      </c>
      <c r="C66" s="105">
        <v>3.48</v>
      </c>
      <c r="D66" s="17">
        <v>0.32</v>
      </c>
      <c r="E66" s="31">
        <f t="shared" ref="E66" si="50">D66/C66</f>
        <v>9.1954022988505746E-2</v>
      </c>
      <c r="F66" s="17">
        <f>1.7-D66</f>
        <v>1.38</v>
      </c>
      <c r="G66" s="31">
        <f t="shared" ref="G66" si="51">F66/C66</f>
        <v>0.39655172413793099</v>
      </c>
      <c r="H66" s="18">
        <v>2.59</v>
      </c>
      <c r="I66" s="31">
        <f t="shared" ref="I66" si="52">H66/C66</f>
        <v>0.74425287356321834</v>
      </c>
      <c r="J66" s="18">
        <f t="shared" ref="J66" si="53">C66-D66-F66-H66</f>
        <v>-0.80999999999999961</v>
      </c>
      <c r="K66" s="31">
        <f t="shared" si="49"/>
        <v>-0.23275862068965505</v>
      </c>
      <c r="L66" s="18">
        <f>F20/F66</f>
        <v>3.6884057971014497</v>
      </c>
      <c r="M66" s="18">
        <f>C20/C66</f>
        <v>2.0632183908045976</v>
      </c>
      <c r="N66" s="43">
        <f>0.18/C66</f>
        <v>5.1724137931034482E-2</v>
      </c>
      <c r="O66" s="43"/>
      <c r="P66" s="43"/>
      <c r="Q66" s="43"/>
      <c r="S66" s="84"/>
      <c r="T66" s="85"/>
      <c r="U66" s="62"/>
      <c r="V66" s="85"/>
      <c r="W66" s="62"/>
      <c r="Y66" s="85"/>
      <c r="Z66" s="85"/>
    </row>
    <row r="67" spans="2:26" ht="14.25" thickBot="1">
      <c r="B67" s="82">
        <v>3</v>
      </c>
      <c r="C67" s="17">
        <v>3.91</v>
      </c>
      <c r="D67" s="17">
        <v>0.32</v>
      </c>
      <c r="E67" s="31">
        <f t="shared" ref="E67:E68" si="54">D67/C67</f>
        <v>8.1841432225063931E-2</v>
      </c>
      <c r="F67" s="17">
        <f>2.3-D67</f>
        <v>1.9799999999999998</v>
      </c>
      <c r="G67" s="31">
        <f t="shared" ref="G67:G68" si="55">F67/C67</f>
        <v>0.50639386189258306</v>
      </c>
      <c r="H67" s="18">
        <v>2.59</v>
      </c>
      <c r="I67" s="31">
        <f t="shared" ref="I67:I68" si="56">H67/C67</f>
        <v>0.66240409207161122</v>
      </c>
      <c r="J67" s="18">
        <f t="shared" ref="J67:J68" si="57">C67-D67-F67-H67</f>
        <v>-0.97999999999999932</v>
      </c>
      <c r="K67" s="31">
        <f t="shared" si="49"/>
        <v>-0.25063938618925813</v>
      </c>
      <c r="L67" s="18">
        <f>F21/F67</f>
        <v>3.3030303030303036</v>
      </c>
      <c r="M67" s="18">
        <f>C21/C67</f>
        <v>2.2378516624040921</v>
      </c>
      <c r="N67" s="43">
        <f>0.18/C67</f>
        <v>4.603580562659846E-2</v>
      </c>
      <c r="O67" s="43"/>
      <c r="P67" s="43"/>
      <c r="Q67" s="43"/>
      <c r="S67" s="84"/>
      <c r="T67" s="85"/>
      <c r="U67" s="62"/>
      <c r="V67" s="85"/>
      <c r="W67" s="62"/>
      <c r="Y67" s="85"/>
      <c r="Z67" s="85"/>
    </row>
    <row r="68" spans="2:26" ht="14.25" thickBot="1">
      <c r="B68" s="82">
        <v>4</v>
      </c>
      <c r="C68" s="17">
        <v>4.71</v>
      </c>
      <c r="D68" s="17">
        <v>0.32</v>
      </c>
      <c r="E68" s="31">
        <f t="shared" si="54"/>
        <v>6.7940552016985137E-2</v>
      </c>
      <c r="F68" s="17">
        <f>2.93-D68</f>
        <v>2.6100000000000003</v>
      </c>
      <c r="G68" s="31">
        <f t="shared" si="55"/>
        <v>0.55414012738853513</v>
      </c>
      <c r="H68" s="18">
        <v>2.59</v>
      </c>
      <c r="I68" s="31">
        <f t="shared" si="56"/>
        <v>0.54989384288747345</v>
      </c>
      <c r="J68" s="18">
        <f t="shared" si="57"/>
        <v>-0.8100000000000005</v>
      </c>
      <c r="K68" s="31">
        <f>J68/C68</f>
        <v>-0.17197452229299373</v>
      </c>
      <c r="L68" s="18">
        <f>F22/F68</f>
        <v>3.0919540229885056</v>
      </c>
      <c r="M68" s="18">
        <f>C22/C68</f>
        <v>2.1656050955414012</v>
      </c>
      <c r="N68" s="43">
        <f>0.18/C68</f>
        <v>3.8216560509554139E-2</v>
      </c>
      <c r="O68" s="43"/>
      <c r="P68" s="43"/>
      <c r="Q68" s="43"/>
      <c r="R68" s="84"/>
      <c r="S68" s="84"/>
      <c r="T68" s="85"/>
      <c r="U68" s="62"/>
      <c r="V68" s="85"/>
      <c r="W68" s="62"/>
      <c r="Y68" s="85"/>
      <c r="Z68" s="85"/>
    </row>
    <row r="69" spans="2:26">
      <c r="B69" s="84"/>
      <c r="C69" s="62"/>
      <c r="D69" s="62"/>
      <c r="E69" s="63"/>
      <c r="F69" s="85"/>
      <c r="G69" s="63"/>
      <c r="H69" s="85"/>
      <c r="I69" s="63"/>
      <c r="J69" s="85"/>
      <c r="K69" s="63"/>
      <c r="L69" s="85"/>
      <c r="M69" s="85"/>
      <c r="N69" s="85"/>
      <c r="O69" s="85"/>
      <c r="P69" s="85"/>
      <c r="Q69" s="85"/>
      <c r="R69" s="85"/>
      <c r="S69" s="84"/>
      <c r="T69" s="85"/>
      <c r="U69" s="62"/>
      <c r="V69" s="85"/>
      <c r="W69" s="62"/>
      <c r="Y69" s="85"/>
      <c r="Z69" s="85"/>
    </row>
    <row r="70" spans="2:26">
      <c r="B70" s="73"/>
      <c r="C70" s="105"/>
      <c r="D70" s="62"/>
      <c r="E70" s="63"/>
      <c r="F70" s="85"/>
      <c r="G70" s="63"/>
      <c r="H70" s="85"/>
      <c r="I70" s="63"/>
      <c r="J70" s="85"/>
      <c r="K70" s="63"/>
      <c r="L70" s="85"/>
      <c r="M70" s="85"/>
      <c r="N70" s="106"/>
      <c r="O70" s="106"/>
      <c r="P70" s="106"/>
      <c r="Q70" s="106"/>
      <c r="R70" s="85"/>
    </row>
    <row r="71" spans="2:26" ht="14.25" thickBot="1">
      <c r="J71" t="s">
        <v>161</v>
      </c>
      <c r="K71" t="s">
        <v>169</v>
      </c>
      <c r="L71" t="s">
        <v>179</v>
      </c>
    </row>
    <row r="72" spans="2:26" ht="14.25" thickBot="1">
      <c r="B72" s="171" t="s">
        <v>162</v>
      </c>
      <c r="C72" s="171" t="s">
        <v>163</v>
      </c>
      <c r="D72" s="169" t="s">
        <v>187</v>
      </c>
      <c r="E72" s="170"/>
      <c r="F72" s="169" t="s">
        <v>185</v>
      </c>
      <c r="G72" s="170"/>
      <c r="H72" s="169" t="s">
        <v>186</v>
      </c>
      <c r="I72" s="170"/>
      <c r="J72" s="169" t="s">
        <v>170</v>
      </c>
      <c r="K72" s="170"/>
      <c r="L72" s="169" t="s">
        <v>184</v>
      </c>
      <c r="M72" s="170"/>
    </row>
    <row r="73" spans="2:26" ht="14.25" thickBot="1">
      <c r="B73" s="172"/>
      <c r="C73" s="172"/>
      <c r="D73" s="83" t="s">
        <v>167</v>
      </c>
      <c r="E73" s="83" t="s">
        <v>168</v>
      </c>
      <c r="F73" s="83" t="s">
        <v>167</v>
      </c>
      <c r="G73" s="83" t="s">
        <v>168</v>
      </c>
      <c r="H73" s="83" t="s">
        <v>167</v>
      </c>
      <c r="I73" s="83" t="s">
        <v>168</v>
      </c>
      <c r="J73" s="83" t="s">
        <v>167</v>
      </c>
      <c r="K73" s="83" t="s">
        <v>168</v>
      </c>
      <c r="L73" s="83" t="s">
        <v>182</v>
      </c>
      <c r="M73" s="18" t="s">
        <v>183</v>
      </c>
      <c r="T73" t="s">
        <v>190</v>
      </c>
      <c r="U73" t="s">
        <v>190</v>
      </c>
      <c r="V73" t="s">
        <v>191</v>
      </c>
      <c r="W73" t="s">
        <v>191</v>
      </c>
      <c r="Y73" s="169" t="s">
        <v>184</v>
      </c>
      <c r="Z73" s="170"/>
    </row>
    <row r="74" spans="2:26" ht="14.25" thickBot="1">
      <c r="B74" s="82">
        <v>1</v>
      </c>
      <c r="C74" s="17">
        <v>2.65</v>
      </c>
      <c r="D74" s="17">
        <v>0.32</v>
      </c>
      <c r="E74" s="31">
        <f>D74/C74</f>
        <v>0.12075471698113208</v>
      </c>
      <c r="F74" s="17">
        <f>0.42-D74</f>
        <v>9.9999999999999978E-2</v>
      </c>
      <c r="G74" s="31">
        <f>F74/C74</f>
        <v>3.7735849056603765E-2</v>
      </c>
      <c r="H74" s="18">
        <v>2.2000000000000002</v>
      </c>
      <c r="I74" s="31">
        <f>H74/C74</f>
        <v>0.83018867924528317</v>
      </c>
      <c r="J74" s="18">
        <f>C74-D74-F74-H74</f>
        <v>2.9999999999999805E-2</v>
      </c>
      <c r="K74" s="31">
        <f t="shared" ref="K74:K76" si="58">J74/C74</f>
        <v>1.1320754716981058E-2</v>
      </c>
      <c r="L74" s="18">
        <f>F19/F74</f>
        <v>8.2000000000000011</v>
      </c>
      <c r="M74" s="18">
        <f>C19/C74</f>
        <v>1.0037735849056604</v>
      </c>
      <c r="N74" s="43">
        <f>0.25/C74</f>
        <v>9.4339622641509441E-2</v>
      </c>
      <c r="O74" s="43"/>
      <c r="P74" s="43"/>
      <c r="Q74" s="43"/>
      <c r="S74" s="83" t="s">
        <v>188</v>
      </c>
      <c r="T74" s="83" t="s">
        <v>192</v>
      </c>
      <c r="U74" s="83" t="s">
        <v>196</v>
      </c>
      <c r="V74" s="83" t="s">
        <v>192</v>
      </c>
      <c r="W74" s="83" t="s">
        <v>196</v>
      </c>
      <c r="Y74" s="83" t="s">
        <v>182</v>
      </c>
      <c r="Z74" s="83" t="s">
        <v>183</v>
      </c>
    </row>
    <row r="75" spans="2:26" ht="14.25" thickBot="1">
      <c r="B75" s="82">
        <v>2</v>
      </c>
      <c r="C75" s="17">
        <v>2.86</v>
      </c>
      <c r="D75" s="17">
        <v>0.32</v>
      </c>
      <c r="E75" s="31">
        <f t="shared" ref="E75:E77" si="59">D75/C75</f>
        <v>0.1118881118881119</v>
      </c>
      <c r="F75" s="17">
        <f>0.63-D75</f>
        <v>0.31</v>
      </c>
      <c r="G75" s="31">
        <f t="shared" ref="G75:G77" si="60">F75/C75</f>
        <v>0.1083916083916084</v>
      </c>
      <c r="H75" s="18">
        <v>2.2000000000000002</v>
      </c>
      <c r="I75" s="31">
        <f t="shared" ref="I75:I77" si="61">H75/C75</f>
        <v>0.76923076923076927</v>
      </c>
      <c r="J75" s="18">
        <f t="shared" ref="J75:J79" si="62">C75-D75-F75-H75</f>
        <v>2.9999999999999805E-2</v>
      </c>
      <c r="K75" s="31">
        <f t="shared" si="58"/>
        <v>1.0489510489510422E-2</v>
      </c>
      <c r="L75" s="18">
        <f>F20/F75</f>
        <v>16.419354838709676</v>
      </c>
      <c r="M75" s="18">
        <f>C20/C75</f>
        <v>2.5104895104895104</v>
      </c>
      <c r="N75" s="43">
        <f>0.18/C75</f>
        <v>6.2937062937062943E-2</v>
      </c>
      <c r="O75" s="43"/>
      <c r="P75" s="43"/>
      <c r="Q75" s="43"/>
      <c r="S75" s="82">
        <v>1</v>
      </c>
      <c r="T75" s="18">
        <f>C19</f>
        <v>2.66</v>
      </c>
      <c r="U75" s="18">
        <f>C74</f>
        <v>2.65</v>
      </c>
      <c r="V75" s="18">
        <f>F19</f>
        <v>0.81999999999999984</v>
      </c>
      <c r="W75" s="18">
        <f>F74</f>
        <v>9.9999999999999978E-2</v>
      </c>
      <c r="Y75" s="89">
        <f>V75/W75</f>
        <v>8.2000000000000011</v>
      </c>
      <c r="Z75" s="18">
        <f>T75/U75</f>
        <v>1.0037735849056604</v>
      </c>
    </row>
    <row r="76" spans="2:26" ht="14.25" thickBot="1">
      <c r="B76" s="82">
        <v>3</v>
      </c>
      <c r="C76" s="17">
        <v>3.06</v>
      </c>
      <c r="D76" s="17">
        <v>0.32</v>
      </c>
      <c r="E76" s="31">
        <f t="shared" si="59"/>
        <v>0.10457516339869281</v>
      </c>
      <c r="F76" s="17">
        <f>0.77-D76</f>
        <v>0.45</v>
      </c>
      <c r="G76" s="31">
        <f t="shared" si="60"/>
        <v>0.14705882352941177</v>
      </c>
      <c r="H76" s="18">
        <v>2.2000000000000002</v>
      </c>
      <c r="I76" s="31">
        <f t="shared" si="61"/>
        <v>0.71895424836601307</v>
      </c>
      <c r="J76" s="18">
        <f t="shared" si="62"/>
        <v>8.9999999999999858E-2</v>
      </c>
      <c r="K76" s="31">
        <f t="shared" si="58"/>
        <v>2.9411764705882307E-2</v>
      </c>
      <c r="L76" s="18">
        <f>F21/F76</f>
        <v>14.533333333333333</v>
      </c>
      <c r="M76" s="18">
        <f>C21/C76</f>
        <v>2.8594771241830066</v>
      </c>
      <c r="N76" s="43">
        <f>0.28/C76</f>
        <v>9.1503267973856217E-2</v>
      </c>
      <c r="O76" s="43"/>
      <c r="P76" s="43"/>
      <c r="Q76" s="43"/>
      <c r="S76" s="82">
        <v>2</v>
      </c>
      <c r="T76" s="18">
        <f>C20</f>
        <v>7.18</v>
      </c>
      <c r="U76" s="18">
        <f>C75</f>
        <v>2.86</v>
      </c>
      <c r="V76" s="18">
        <f>F20</f>
        <v>5.09</v>
      </c>
      <c r="W76" s="18">
        <f>F75</f>
        <v>0.31</v>
      </c>
      <c r="Y76" s="89">
        <f t="shared" ref="Y76:Y78" si="63">V76/W76</f>
        <v>16.419354838709676</v>
      </c>
      <c r="Z76" s="18">
        <f t="shared" ref="Z76:Z78" si="64">T76/U76</f>
        <v>2.5104895104895104</v>
      </c>
    </row>
    <row r="77" spans="2:26" ht="14.25" thickBot="1">
      <c r="B77" s="82">
        <v>4</v>
      </c>
      <c r="C77" s="17">
        <v>3.2</v>
      </c>
      <c r="D77" s="17">
        <v>0.32</v>
      </c>
      <c r="E77" s="31">
        <f t="shared" si="59"/>
        <v>9.9999999999999992E-2</v>
      </c>
      <c r="F77" s="17">
        <f>0.91-D77</f>
        <v>0.59000000000000008</v>
      </c>
      <c r="G77" s="31">
        <f t="shared" si="60"/>
        <v>0.18437500000000001</v>
      </c>
      <c r="H77" s="18">
        <v>2.2000000000000002</v>
      </c>
      <c r="I77" s="31">
        <f t="shared" si="61"/>
        <v>0.6875</v>
      </c>
      <c r="J77" s="18">
        <f t="shared" si="62"/>
        <v>8.9999999999999858E-2</v>
      </c>
      <c r="K77" s="31">
        <f>J77/C77</f>
        <v>2.8124999999999956E-2</v>
      </c>
      <c r="L77" s="18">
        <f>F22/F77</f>
        <v>13.677966101694913</v>
      </c>
      <c r="M77" s="18">
        <f>C22/C77</f>
        <v>3.1874999999999996</v>
      </c>
      <c r="N77" s="43">
        <f>0.27/C77</f>
        <v>8.4375000000000006E-2</v>
      </c>
      <c r="O77" s="43"/>
      <c r="P77" s="43"/>
      <c r="Q77" s="43"/>
      <c r="S77" s="82">
        <v>3</v>
      </c>
      <c r="T77" s="18">
        <f>C21</f>
        <v>8.75</v>
      </c>
      <c r="U77" s="18">
        <f>C76</f>
        <v>3.06</v>
      </c>
      <c r="V77" s="18">
        <f>F21</f>
        <v>6.54</v>
      </c>
      <c r="W77" s="18">
        <f>F76</f>
        <v>0.45</v>
      </c>
      <c r="Y77" s="89">
        <f t="shared" si="63"/>
        <v>14.533333333333333</v>
      </c>
      <c r="Z77" s="18">
        <f t="shared" si="64"/>
        <v>2.8594771241830066</v>
      </c>
    </row>
    <row r="78" spans="2:26" ht="14.25" thickBot="1">
      <c r="S78" s="82">
        <v>4</v>
      </c>
      <c r="T78" s="18">
        <f>C22</f>
        <v>10.199999999999999</v>
      </c>
      <c r="U78" s="18">
        <f>C77</f>
        <v>3.2</v>
      </c>
      <c r="V78" s="18">
        <f>F22</f>
        <v>8.07</v>
      </c>
      <c r="W78" s="18">
        <f>F77</f>
        <v>0.59000000000000008</v>
      </c>
      <c r="Y78" s="89">
        <f t="shared" si="63"/>
        <v>13.677966101694913</v>
      </c>
      <c r="Z78" s="18">
        <f t="shared" si="64"/>
        <v>3.1874999999999996</v>
      </c>
    </row>
    <row r="79" spans="2:26" ht="14.25" thickBot="1">
      <c r="B79" s="115">
        <v>2</v>
      </c>
      <c r="C79" s="105">
        <v>2</v>
      </c>
      <c r="D79" s="105">
        <v>0.27</v>
      </c>
      <c r="F79">
        <v>0.51</v>
      </c>
      <c r="H79" s="93">
        <v>1.55</v>
      </c>
      <c r="J79" s="18">
        <f t="shared" si="62"/>
        <v>-0.33000000000000007</v>
      </c>
    </row>
    <row r="82" spans="2:26" ht="14.25" thickBot="1">
      <c r="J82" t="s">
        <v>161</v>
      </c>
      <c r="K82" t="s">
        <v>169</v>
      </c>
      <c r="L82" t="s">
        <v>46</v>
      </c>
    </row>
    <row r="83" spans="2:26" ht="14.25" thickBot="1">
      <c r="B83" s="171" t="s">
        <v>162</v>
      </c>
      <c r="C83" s="171" t="s">
        <v>163</v>
      </c>
      <c r="D83" s="169" t="s">
        <v>187</v>
      </c>
      <c r="E83" s="170"/>
      <c r="F83" s="169" t="s">
        <v>185</v>
      </c>
      <c r="G83" s="170"/>
      <c r="H83" s="169" t="s">
        <v>186</v>
      </c>
      <c r="I83" s="170"/>
      <c r="J83" s="169" t="s">
        <v>220</v>
      </c>
      <c r="K83" s="170"/>
      <c r="L83" s="169" t="s">
        <v>184</v>
      </c>
      <c r="M83" s="170"/>
      <c r="N83" s="169" t="s">
        <v>219</v>
      </c>
      <c r="O83" s="170"/>
      <c r="T83" t="s">
        <v>163</v>
      </c>
      <c r="U83" t="s">
        <v>163</v>
      </c>
      <c r="V83" t="s">
        <v>165</v>
      </c>
      <c r="W83" t="s">
        <v>165</v>
      </c>
      <c r="Y83" s="169" t="s">
        <v>184</v>
      </c>
      <c r="Z83" s="170"/>
    </row>
    <row r="84" spans="2:26" ht="14.25" thickBot="1">
      <c r="B84" s="172"/>
      <c r="C84" s="172"/>
      <c r="D84" s="83" t="s">
        <v>167</v>
      </c>
      <c r="E84" s="83" t="s">
        <v>168</v>
      </c>
      <c r="F84" s="83" t="s">
        <v>167</v>
      </c>
      <c r="G84" s="83" t="s">
        <v>168</v>
      </c>
      <c r="H84" s="83" t="s">
        <v>167</v>
      </c>
      <c r="I84" s="83" t="s">
        <v>168</v>
      </c>
      <c r="J84" s="83" t="s">
        <v>167</v>
      </c>
      <c r="K84" s="83" t="s">
        <v>168</v>
      </c>
      <c r="L84" s="83" t="s">
        <v>182</v>
      </c>
      <c r="M84" s="18" t="s">
        <v>183</v>
      </c>
      <c r="N84" s="83"/>
      <c r="O84" s="83"/>
      <c r="S84" s="83" t="s">
        <v>162</v>
      </c>
      <c r="T84" s="83" t="s">
        <v>192</v>
      </c>
      <c r="U84" s="83" t="s">
        <v>46</v>
      </c>
      <c r="V84" s="83" t="s">
        <v>192</v>
      </c>
      <c r="W84" s="83" t="s">
        <v>46</v>
      </c>
      <c r="Y84" s="83" t="s">
        <v>182</v>
      </c>
      <c r="Z84" s="83" t="s">
        <v>183</v>
      </c>
    </row>
    <row r="85" spans="2:26" ht="14.25" thickBot="1">
      <c r="B85" s="82">
        <v>1</v>
      </c>
      <c r="C85" s="17">
        <v>2.58</v>
      </c>
      <c r="D85" s="17">
        <v>0.32</v>
      </c>
      <c r="E85" s="31">
        <f>D85/C85</f>
        <v>0.12403100775193798</v>
      </c>
      <c r="F85" s="17">
        <f>0.33</f>
        <v>0.33</v>
      </c>
      <c r="G85" s="31">
        <f>F85/C85</f>
        <v>0.12790697674418605</v>
      </c>
      <c r="H85" s="18">
        <v>2.4</v>
      </c>
      <c r="I85" s="31">
        <f>H85/C85</f>
        <v>0.93023255813953487</v>
      </c>
      <c r="J85" s="18">
        <f>C85-D85-F85-H85-N85</f>
        <v>-0.75999999999999979</v>
      </c>
      <c r="K85" s="31">
        <f t="shared" ref="K85:K87" si="65">J85/C85</f>
        <v>-0.29457364341085263</v>
      </c>
      <c r="L85" s="18">
        <f>F19/F85</f>
        <v>2.4848484848484844</v>
      </c>
      <c r="M85" s="18">
        <f>C19/C85</f>
        <v>1.0310077519379846</v>
      </c>
      <c r="N85" s="17">
        <v>0.28999999999999998</v>
      </c>
      <c r="O85" s="31">
        <f>N85/C85</f>
        <v>0.11240310077519379</v>
      </c>
      <c r="P85">
        <v>0.69</v>
      </c>
      <c r="Q85" s="43">
        <f>0.17/C85</f>
        <v>6.589147286821706E-2</v>
      </c>
      <c r="S85" s="82">
        <v>1</v>
      </c>
      <c r="T85" s="18">
        <f>C19</f>
        <v>2.66</v>
      </c>
      <c r="U85" s="18">
        <f>C85</f>
        <v>2.58</v>
      </c>
      <c r="V85" s="18">
        <f>F19</f>
        <v>0.81999999999999984</v>
      </c>
      <c r="W85" s="18">
        <f>F85</f>
        <v>0.33</v>
      </c>
      <c r="Y85" s="89">
        <f>V85/W85</f>
        <v>2.4848484848484844</v>
      </c>
      <c r="Z85" s="18">
        <f>T85/U85</f>
        <v>1.0310077519379846</v>
      </c>
    </row>
    <row r="86" spans="2:26" ht="14.25" thickBot="1">
      <c r="B86" s="82">
        <v>2</v>
      </c>
      <c r="C86" s="17">
        <v>3.19</v>
      </c>
      <c r="D86" s="17">
        <v>0.32</v>
      </c>
      <c r="E86" s="31">
        <f t="shared" ref="E86:E88" si="66">D86/C86</f>
        <v>0.10031347962382446</v>
      </c>
      <c r="F86" s="17">
        <f>0.45</f>
        <v>0.45</v>
      </c>
      <c r="G86" s="31">
        <f t="shared" ref="G86:G88" si="67">F86/C86</f>
        <v>0.14106583072100315</v>
      </c>
      <c r="H86" s="18">
        <v>2.4</v>
      </c>
      <c r="I86" s="31">
        <f t="shared" ref="I86:I88" si="68">H86/C86</f>
        <v>0.75235109717868343</v>
      </c>
      <c r="J86" s="18">
        <f>C86-D86-F86-H86-N86</f>
        <v>-0.26999999999999996</v>
      </c>
      <c r="K86" s="31">
        <f>-J86/C86</f>
        <v>8.4639498432601865E-2</v>
      </c>
      <c r="L86" s="18">
        <f t="shared" ref="L86:L88" si="69">F20/F86</f>
        <v>11.31111111111111</v>
      </c>
      <c r="M86" s="18">
        <f t="shared" ref="M86:M88" si="70">C20/C86</f>
        <v>2.2507836990595611</v>
      </c>
      <c r="N86" s="17">
        <v>0.28999999999999998</v>
      </c>
      <c r="O86" s="31">
        <f>N86/C86</f>
        <v>9.0909090909090898E-2</v>
      </c>
      <c r="P86">
        <v>0.54</v>
      </c>
      <c r="Q86" s="43">
        <f>0.23/C86</f>
        <v>7.2100313479623826E-2</v>
      </c>
      <c r="S86" s="82">
        <v>2</v>
      </c>
      <c r="T86" s="18">
        <f>C20</f>
        <v>7.18</v>
      </c>
      <c r="U86" s="18">
        <f>C86</f>
        <v>3.19</v>
      </c>
      <c r="V86" s="18">
        <f>F20</f>
        <v>5.09</v>
      </c>
      <c r="W86" s="18">
        <f>F86</f>
        <v>0.45</v>
      </c>
      <c r="Y86" s="89">
        <f>V86/W86</f>
        <v>11.31111111111111</v>
      </c>
      <c r="Z86" s="18">
        <f>T86/U86</f>
        <v>2.2507836990595611</v>
      </c>
    </row>
    <row r="87" spans="2:26" ht="14.25" thickBot="1">
      <c r="B87" s="82">
        <v>3</v>
      </c>
      <c r="C87" s="17">
        <v>3.59</v>
      </c>
      <c r="D87" s="17">
        <v>0.32</v>
      </c>
      <c r="E87" s="31">
        <f t="shared" si="66"/>
        <v>8.9136490250696379E-2</v>
      </c>
      <c r="F87" s="17">
        <f>0.54</f>
        <v>0.54</v>
      </c>
      <c r="G87" s="31">
        <f t="shared" si="67"/>
        <v>0.15041782729805014</v>
      </c>
      <c r="H87" s="18">
        <v>2.4</v>
      </c>
      <c r="I87" s="31">
        <f t="shared" si="68"/>
        <v>0.66852367688022285</v>
      </c>
      <c r="J87" s="18">
        <f t="shared" ref="J87:J88" si="71">C87-D87-F87-H87-N87</f>
        <v>4.0000000000000091E-2</v>
      </c>
      <c r="K87" s="31">
        <f t="shared" si="65"/>
        <v>1.1142061281337073E-2</v>
      </c>
      <c r="L87" s="18">
        <f t="shared" si="69"/>
        <v>12.111111111111111</v>
      </c>
      <c r="M87" s="18">
        <f t="shared" si="70"/>
        <v>2.4373259052924792</v>
      </c>
      <c r="N87" s="17">
        <v>0.28999999999999998</v>
      </c>
      <c r="O87" s="31">
        <f>N87/C87</f>
        <v>8.0779944289693595E-2</v>
      </c>
      <c r="P87">
        <v>0.72</v>
      </c>
      <c r="Q87" s="43">
        <f>0.3/C87</f>
        <v>8.3565459610027856E-2</v>
      </c>
      <c r="S87" s="82">
        <v>3</v>
      </c>
      <c r="T87" s="18">
        <f>C21</f>
        <v>8.75</v>
      </c>
      <c r="U87" s="18">
        <f>C87</f>
        <v>3.59</v>
      </c>
      <c r="V87" s="18">
        <f>F21</f>
        <v>6.54</v>
      </c>
      <c r="W87" s="18">
        <f>F87</f>
        <v>0.54</v>
      </c>
      <c r="Y87" s="89">
        <f>V87/W87</f>
        <v>12.111111111111111</v>
      </c>
      <c r="Z87" s="18">
        <f>T87/U87</f>
        <v>2.4373259052924792</v>
      </c>
    </row>
    <row r="88" spans="2:26" ht="14.25" thickBot="1">
      <c r="B88" s="82">
        <v>4</v>
      </c>
      <c r="C88" s="17">
        <v>3.69</v>
      </c>
      <c r="D88" s="17">
        <v>0.32</v>
      </c>
      <c r="E88" s="31">
        <f t="shared" si="66"/>
        <v>8.6720867208672087E-2</v>
      </c>
      <c r="F88" s="17">
        <f>0.58</f>
        <v>0.57999999999999996</v>
      </c>
      <c r="G88" s="31">
        <f t="shared" si="67"/>
        <v>0.15718157181571815</v>
      </c>
      <c r="H88" s="18">
        <v>2.4</v>
      </c>
      <c r="I88" s="31">
        <f t="shared" si="68"/>
        <v>0.65040650406504064</v>
      </c>
      <c r="J88" s="18">
        <f t="shared" si="71"/>
        <v>0.10000000000000014</v>
      </c>
      <c r="K88" s="31">
        <f>J88/C88</f>
        <v>2.7100271002710067E-2</v>
      </c>
      <c r="L88" s="18">
        <f t="shared" si="69"/>
        <v>13.913793103448278</v>
      </c>
      <c r="M88" s="18">
        <f t="shared" si="70"/>
        <v>2.7642276422764227</v>
      </c>
      <c r="N88" s="17">
        <v>0.28999999999999998</v>
      </c>
      <c r="O88" s="31">
        <f>N88/C88</f>
        <v>7.8590785907859076E-2</v>
      </c>
      <c r="Q88" s="43">
        <f>0.13/C88</f>
        <v>3.523035230352304E-2</v>
      </c>
      <c r="S88" s="82">
        <v>4</v>
      </c>
      <c r="T88" s="18">
        <f>C22</f>
        <v>10.199999999999999</v>
      </c>
      <c r="U88" s="18">
        <f>C88</f>
        <v>3.69</v>
      </c>
      <c r="V88" s="18">
        <f>F22</f>
        <v>8.07</v>
      </c>
      <c r="W88" s="18">
        <f>F88</f>
        <v>0.57999999999999996</v>
      </c>
      <c r="Y88" s="89">
        <f>V88/W88</f>
        <v>13.913793103448278</v>
      </c>
      <c r="Z88" s="18">
        <f>T88/U88</f>
        <v>2.7642276422764227</v>
      </c>
    </row>
    <row r="90" spans="2:26" ht="14.25" thickBot="1">
      <c r="B90" t="s">
        <v>218</v>
      </c>
      <c r="C90" s="105">
        <v>2.4300000000000002</v>
      </c>
      <c r="D90" s="17">
        <v>0.32</v>
      </c>
      <c r="F90" s="17">
        <f>0.71-D90</f>
        <v>0.38999999999999996</v>
      </c>
      <c r="N90" s="43"/>
      <c r="O90" s="43"/>
      <c r="P90" s="43"/>
      <c r="Q90" s="43"/>
    </row>
    <row r="91" spans="2:26" ht="14.25" thickBot="1">
      <c r="C91" s="105">
        <v>2.58</v>
      </c>
      <c r="D91" s="17">
        <v>0.32</v>
      </c>
      <c r="F91" s="17">
        <f>0.72-D91</f>
        <v>0.39999999999999997</v>
      </c>
      <c r="J91" s="73" t="s">
        <v>310</v>
      </c>
      <c r="K91" s="73" t="s">
        <v>311</v>
      </c>
      <c r="L91" s="73" t="s">
        <v>312</v>
      </c>
      <c r="M91" s="64" t="s">
        <v>313</v>
      </c>
      <c r="N91" s="106" t="s">
        <v>315</v>
      </c>
    </row>
    <row r="92" spans="2:26" ht="14.25" thickBot="1">
      <c r="C92" s="105">
        <v>2.46</v>
      </c>
      <c r="D92" s="17">
        <v>0.32</v>
      </c>
      <c r="F92" s="17">
        <f>0.72-D92</f>
        <v>0.39999999999999997</v>
      </c>
      <c r="J92" s="31">
        <f>E86</f>
        <v>0.10031347962382446</v>
      </c>
      <c r="K92" s="120">
        <f>G86</f>
        <v>0.14106583072100315</v>
      </c>
      <c r="L92" s="120">
        <f>I86</f>
        <v>0.75235109717868343</v>
      </c>
      <c r="M92" s="120">
        <f>K86</f>
        <v>8.4639498432601865E-2</v>
      </c>
      <c r="N92" s="106">
        <f>O86</f>
        <v>9.0909090909090898E-2</v>
      </c>
    </row>
    <row r="93" spans="2:26">
      <c r="J93" s="73"/>
      <c r="K93" s="73"/>
      <c r="L93" s="73"/>
      <c r="M93" s="73"/>
      <c r="N93" s="73"/>
    </row>
    <row r="94" spans="2:26" ht="14.25" thickBot="1">
      <c r="B94" t="s">
        <v>215</v>
      </c>
      <c r="C94" s="105">
        <v>3.26</v>
      </c>
      <c r="D94" s="17">
        <v>0.32</v>
      </c>
      <c r="F94" s="17">
        <f>0.84-D94</f>
        <v>0.52</v>
      </c>
      <c r="J94" s="73"/>
      <c r="K94" s="73"/>
      <c r="L94" s="73"/>
      <c r="M94" s="73"/>
      <c r="N94" s="106"/>
    </row>
    <row r="95" spans="2:26" ht="14.25" thickBot="1">
      <c r="C95" s="105">
        <v>3</v>
      </c>
      <c r="D95" s="17">
        <v>0.32</v>
      </c>
      <c r="F95" s="17">
        <f>0.83-D95</f>
        <v>0.51</v>
      </c>
      <c r="J95" s="73"/>
      <c r="K95" s="73"/>
      <c r="L95" s="73"/>
      <c r="M95" s="73"/>
      <c r="N95" s="106"/>
    </row>
    <row r="96" spans="2:26" ht="14.25" thickBot="1">
      <c r="C96" s="105">
        <v>2.84</v>
      </c>
      <c r="D96" s="17">
        <v>0.32</v>
      </c>
      <c r="F96" s="17">
        <f>0.83-D96</f>
        <v>0.51</v>
      </c>
      <c r="J96" s="73"/>
      <c r="K96" s="73"/>
      <c r="L96" s="73"/>
      <c r="M96" s="73"/>
      <c r="N96" s="106"/>
    </row>
    <row r="97" spans="2:26">
      <c r="C97" s="105">
        <v>2.66</v>
      </c>
      <c r="J97" s="73"/>
      <c r="K97" s="73"/>
      <c r="L97" s="73"/>
      <c r="M97" s="73"/>
      <c r="N97" s="73"/>
    </row>
    <row r="98" spans="2:26">
      <c r="J98" s="73"/>
      <c r="K98" s="73"/>
      <c r="L98" s="73"/>
      <c r="M98" s="73"/>
      <c r="N98" s="106"/>
    </row>
    <row r="99" spans="2:26" ht="14.25" thickBot="1">
      <c r="B99" t="s">
        <v>216</v>
      </c>
      <c r="C99" s="105">
        <v>3.05</v>
      </c>
      <c r="D99" s="17">
        <v>0.32</v>
      </c>
      <c r="F99" s="17">
        <f>1.02-D99</f>
        <v>0.7</v>
      </c>
      <c r="J99" s="73"/>
      <c r="K99" s="73"/>
      <c r="L99" s="73"/>
      <c r="M99" s="73"/>
      <c r="N99" s="106"/>
    </row>
    <row r="100" spans="2:26" ht="14.25" thickBot="1">
      <c r="C100" s="105">
        <v>2.82</v>
      </c>
      <c r="D100" s="17">
        <v>0.32</v>
      </c>
      <c r="F100" s="17">
        <f>0.99-D100</f>
        <v>0.66999999999999993</v>
      </c>
      <c r="J100" s="73"/>
      <c r="K100" s="73"/>
      <c r="L100" s="73"/>
      <c r="M100" s="73"/>
      <c r="N100" s="106"/>
    </row>
    <row r="101" spans="2:26" ht="14.25" thickBot="1">
      <c r="C101" s="105">
        <v>3.04</v>
      </c>
      <c r="D101" s="17">
        <v>0.32</v>
      </c>
      <c r="F101" s="17">
        <f>0.99-D101</f>
        <v>0.66999999999999993</v>
      </c>
    </row>
    <row r="103" spans="2:26" ht="14.25" thickBot="1">
      <c r="B103" t="s">
        <v>217</v>
      </c>
      <c r="C103" s="105">
        <v>2.94</v>
      </c>
      <c r="D103" s="17">
        <v>0.32</v>
      </c>
      <c r="F103" s="17">
        <f>1.08-D103</f>
        <v>0.76</v>
      </c>
    </row>
    <row r="104" spans="2:26" ht="14.25" thickBot="1">
      <c r="C104" s="105">
        <v>3.05</v>
      </c>
      <c r="D104" s="17">
        <v>0.32</v>
      </c>
      <c r="F104" s="17">
        <f>1.09-D104</f>
        <v>0.77</v>
      </c>
      <c r="N104" s="43"/>
    </row>
    <row r="105" spans="2:26" ht="14.25" thickBot="1">
      <c r="C105" s="105">
        <v>3.01</v>
      </c>
      <c r="D105" s="17">
        <v>0.32</v>
      </c>
      <c r="F105" s="17">
        <f>1.12-D105</f>
        <v>0.8</v>
      </c>
      <c r="N105" s="43"/>
    </row>
    <row r="107" spans="2:26">
      <c r="H107" t="s">
        <v>223</v>
      </c>
    </row>
    <row r="108" spans="2:26" ht="14.25" thickBot="1">
      <c r="H108" t="s">
        <v>222</v>
      </c>
      <c r="J108" t="s">
        <v>161</v>
      </c>
      <c r="K108" t="s">
        <v>169</v>
      </c>
      <c r="L108" t="s">
        <v>46</v>
      </c>
      <c r="M108" t="s">
        <v>221</v>
      </c>
      <c r="O108" t="s">
        <v>224</v>
      </c>
      <c r="P108" t="s">
        <v>226</v>
      </c>
    </row>
    <row r="109" spans="2:26" ht="14.25" thickBot="1">
      <c r="B109" s="171" t="s">
        <v>162</v>
      </c>
      <c r="C109" s="171" t="s">
        <v>163</v>
      </c>
      <c r="D109" s="169" t="s">
        <v>187</v>
      </c>
      <c r="E109" s="170"/>
      <c r="F109" s="169" t="s">
        <v>185</v>
      </c>
      <c r="G109" s="170"/>
      <c r="H109" s="169" t="s">
        <v>186</v>
      </c>
      <c r="I109" s="170"/>
      <c r="J109" s="169" t="s">
        <v>228</v>
      </c>
      <c r="K109" s="170"/>
      <c r="L109" s="169" t="s">
        <v>184</v>
      </c>
      <c r="M109" s="170"/>
      <c r="N109" s="169" t="s">
        <v>219</v>
      </c>
      <c r="O109" s="170"/>
      <c r="T109" t="s">
        <v>163</v>
      </c>
      <c r="U109" t="s">
        <v>163</v>
      </c>
      <c r="V109" t="s">
        <v>165</v>
      </c>
      <c r="W109" t="s">
        <v>165</v>
      </c>
      <c r="Y109" s="169" t="s">
        <v>184</v>
      </c>
      <c r="Z109" s="170"/>
    </row>
    <row r="110" spans="2:26" ht="14.25" thickBot="1">
      <c r="B110" s="172"/>
      <c r="C110" s="172"/>
      <c r="D110" s="83" t="s">
        <v>167</v>
      </c>
      <c r="E110" s="83" t="s">
        <v>168</v>
      </c>
      <c r="F110" s="83" t="s">
        <v>167</v>
      </c>
      <c r="G110" s="83" t="s">
        <v>168</v>
      </c>
      <c r="H110" s="83" t="s">
        <v>167</v>
      </c>
      <c r="I110" s="83" t="s">
        <v>168</v>
      </c>
      <c r="J110" s="83" t="s">
        <v>167</v>
      </c>
      <c r="K110" s="83" t="s">
        <v>168</v>
      </c>
      <c r="L110" s="83" t="s">
        <v>182</v>
      </c>
      <c r="M110" s="18" t="s">
        <v>183</v>
      </c>
      <c r="N110" s="83"/>
      <c r="O110" s="83"/>
      <c r="S110" s="83" t="s">
        <v>162</v>
      </c>
      <c r="T110" s="83" t="s">
        <v>192</v>
      </c>
      <c r="U110" s="83" t="s">
        <v>46</v>
      </c>
      <c r="V110" s="83" t="s">
        <v>192</v>
      </c>
      <c r="W110" s="83" t="s">
        <v>46</v>
      </c>
      <c r="Y110" s="83" t="s">
        <v>182</v>
      </c>
      <c r="Z110" s="83" t="s">
        <v>183</v>
      </c>
    </row>
    <row r="111" spans="2:26" ht="14.25" thickBot="1">
      <c r="B111" s="82">
        <v>1</v>
      </c>
      <c r="C111" s="17">
        <v>1.45</v>
      </c>
      <c r="D111" s="17">
        <v>0.32</v>
      </c>
      <c r="E111" s="31">
        <f>D111/C111</f>
        <v>0.22068965517241382</v>
      </c>
      <c r="F111" s="17">
        <f>0.29</f>
        <v>0.28999999999999998</v>
      </c>
      <c r="G111" s="31">
        <f>F111/C111</f>
        <v>0.19999999999999998</v>
      </c>
      <c r="H111" s="18">
        <v>0.33</v>
      </c>
      <c r="I111" s="31">
        <f>H111/C111</f>
        <v>0.22758620689655173</v>
      </c>
      <c r="J111" s="18">
        <f>C111-D111-F111-H111-N111</f>
        <v>0.33999999999999975</v>
      </c>
      <c r="K111" s="31">
        <f t="shared" ref="K111" si="72">J111/C111</f>
        <v>0.23448275862068949</v>
      </c>
      <c r="L111" s="18">
        <f>F19/F111</f>
        <v>2.8275862068965512</v>
      </c>
      <c r="M111" s="18">
        <f>C19/C111</f>
        <v>1.8344827586206898</v>
      </c>
      <c r="N111" s="17">
        <v>0.17</v>
      </c>
      <c r="O111" s="31">
        <f>N111/C111</f>
        <v>0.11724137931034484</v>
      </c>
      <c r="P111">
        <v>0.69</v>
      </c>
      <c r="Q111" s="43">
        <f>0.17/C111</f>
        <v>0.11724137931034484</v>
      </c>
      <c r="S111" s="82">
        <v>1</v>
      </c>
      <c r="T111" s="18">
        <f>C19</f>
        <v>2.66</v>
      </c>
      <c r="U111" s="18">
        <f>C111</f>
        <v>1.45</v>
      </c>
      <c r="V111" s="18">
        <f>F19</f>
        <v>0.81999999999999984</v>
      </c>
      <c r="W111" s="18">
        <f>F111</f>
        <v>0.28999999999999998</v>
      </c>
      <c r="Y111" s="89">
        <f>V111/W111</f>
        <v>2.8275862068965512</v>
      </c>
      <c r="Z111" s="18">
        <f>T111/U111</f>
        <v>1.8344827586206898</v>
      </c>
    </row>
    <row r="112" spans="2:26" ht="14.25" thickBot="1">
      <c r="B112" s="82">
        <v>2</v>
      </c>
      <c r="C112" s="17">
        <v>1.59</v>
      </c>
      <c r="D112" s="17">
        <v>0.32</v>
      </c>
      <c r="E112" s="31">
        <f t="shared" ref="E112:E114" si="73">D112/C112</f>
        <v>0.20125786163522011</v>
      </c>
      <c r="F112" s="17">
        <v>0.42</v>
      </c>
      <c r="G112" s="31">
        <f t="shared" ref="G112:G114" si="74">F112/C112</f>
        <v>0.26415094339622641</v>
      </c>
      <c r="H112" s="18">
        <v>0.33</v>
      </c>
      <c r="I112" s="31">
        <f t="shared" ref="I112:I114" si="75">H112/C112</f>
        <v>0.20754716981132076</v>
      </c>
      <c r="J112" s="18">
        <f>C112-D112-F112-H112-N112</f>
        <v>0.35</v>
      </c>
      <c r="K112" s="31">
        <f>J112/C112</f>
        <v>0.22012578616352199</v>
      </c>
      <c r="L112" s="18">
        <f t="shared" ref="L112:L114" si="76">F20/F112</f>
        <v>12.119047619047619</v>
      </c>
      <c r="M112" s="18">
        <f t="shared" ref="M112:M114" si="77">C20/C112</f>
        <v>4.515723270440251</v>
      </c>
      <c r="N112" s="17">
        <v>0.17</v>
      </c>
      <c r="O112" s="31">
        <f>N112/C112</f>
        <v>0.1069182389937107</v>
      </c>
      <c r="P112">
        <v>0.54</v>
      </c>
      <c r="Q112" s="43">
        <f>0.13/C112</f>
        <v>8.1761006289308172E-2</v>
      </c>
      <c r="S112" s="82">
        <v>2</v>
      </c>
      <c r="T112" s="18">
        <f t="shared" ref="T112:T114" si="78">C20</f>
        <v>7.18</v>
      </c>
      <c r="U112" s="18">
        <f>C112</f>
        <v>1.59</v>
      </c>
      <c r="V112" s="18">
        <f t="shared" ref="V112:V114" si="79">F20</f>
        <v>5.09</v>
      </c>
      <c r="W112" s="18">
        <f>F112</f>
        <v>0.42</v>
      </c>
      <c r="Y112" s="83">
        <f>V112/W112</f>
        <v>12.119047619047619</v>
      </c>
      <c r="Z112" s="18">
        <f>T112/U112</f>
        <v>4.515723270440251</v>
      </c>
    </row>
    <row r="113" spans="2:26" ht="14.25" thickBot="1">
      <c r="B113" s="82">
        <v>3</v>
      </c>
      <c r="C113" s="17">
        <v>1.64</v>
      </c>
      <c r="D113" s="17">
        <v>0.32</v>
      </c>
      <c r="E113" s="31">
        <f t="shared" si="73"/>
        <v>0.1951219512195122</v>
      </c>
      <c r="F113" s="17">
        <f>0.5</f>
        <v>0.5</v>
      </c>
      <c r="G113" s="31">
        <f t="shared" si="74"/>
        <v>0.3048780487804878</v>
      </c>
      <c r="H113" s="18">
        <v>0.33</v>
      </c>
      <c r="I113" s="31">
        <f t="shared" si="75"/>
        <v>0.20121951219512196</v>
      </c>
      <c r="J113" s="18">
        <f t="shared" ref="J113:J114" si="80">C113-D113-F113-H113-N113</f>
        <v>0.31999999999999984</v>
      </c>
      <c r="K113" s="31">
        <f t="shared" ref="K113" si="81">J113/C113</f>
        <v>0.19512195121951212</v>
      </c>
      <c r="L113" s="18">
        <f t="shared" si="76"/>
        <v>13.08</v>
      </c>
      <c r="M113" s="18">
        <f t="shared" si="77"/>
        <v>5.3353658536585371</v>
      </c>
      <c r="N113" s="17">
        <v>0.17</v>
      </c>
      <c r="O113" s="31">
        <f>N113/C113</f>
        <v>0.10365853658536586</v>
      </c>
      <c r="P113">
        <v>0.72</v>
      </c>
      <c r="Q113" s="43">
        <f>0.13/C113</f>
        <v>7.926829268292683E-2</v>
      </c>
      <c r="S113" s="82">
        <v>3</v>
      </c>
      <c r="T113" s="18">
        <f t="shared" si="78"/>
        <v>8.75</v>
      </c>
      <c r="U113" s="18">
        <f>C113</f>
        <v>1.64</v>
      </c>
      <c r="V113" s="18">
        <f t="shared" si="79"/>
        <v>6.54</v>
      </c>
      <c r="W113" s="18">
        <f>F113</f>
        <v>0.5</v>
      </c>
      <c r="Y113" s="83">
        <f>V113/W113</f>
        <v>13.08</v>
      </c>
      <c r="Z113" s="18">
        <f>T113/U113</f>
        <v>5.3353658536585371</v>
      </c>
    </row>
    <row r="114" spans="2:26" ht="14.25" thickBot="1">
      <c r="B114" s="82">
        <v>4</v>
      </c>
      <c r="C114" s="17">
        <v>1.74</v>
      </c>
      <c r="D114" s="17">
        <v>0.32</v>
      </c>
      <c r="E114" s="31">
        <f t="shared" si="73"/>
        <v>0.18390804597701149</v>
      </c>
      <c r="F114" s="17">
        <f>0.58</f>
        <v>0.57999999999999996</v>
      </c>
      <c r="G114" s="31">
        <f t="shared" si="74"/>
        <v>0.33333333333333331</v>
      </c>
      <c r="H114" s="18">
        <v>0.33</v>
      </c>
      <c r="I114" s="31">
        <f t="shared" si="75"/>
        <v>0.18965517241379312</v>
      </c>
      <c r="J114" s="18">
        <f t="shared" si="80"/>
        <v>0.33999999999999997</v>
      </c>
      <c r="K114" s="31">
        <f>J114/C114</f>
        <v>0.1954022988505747</v>
      </c>
      <c r="L114" s="18">
        <f t="shared" si="76"/>
        <v>13.913793103448278</v>
      </c>
      <c r="M114" s="18">
        <f t="shared" si="77"/>
        <v>5.8620689655172411</v>
      </c>
      <c r="N114" s="17">
        <v>0.17</v>
      </c>
      <c r="O114" s="31">
        <f>N114/C114</f>
        <v>9.7701149425287362E-2</v>
      </c>
      <c r="P114">
        <v>0.72</v>
      </c>
      <c r="Q114" s="43">
        <f>0.19/C114</f>
        <v>0.10919540229885058</v>
      </c>
      <c r="S114" s="82">
        <v>4</v>
      </c>
      <c r="T114" s="18">
        <f t="shared" si="78"/>
        <v>10.199999999999999</v>
      </c>
      <c r="U114" s="18">
        <f>C114</f>
        <v>1.74</v>
      </c>
      <c r="V114" s="18">
        <f t="shared" si="79"/>
        <v>8.07</v>
      </c>
      <c r="W114" s="18">
        <f>F114</f>
        <v>0.57999999999999996</v>
      </c>
      <c r="Y114" s="83">
        <f>V114/W114</f>
        <v>13.913793103448278</v>
      </c>
      <c r="Z114" s="18">
        <f>T114/U114</f>
        <v>5.8620689655172411</v>
      </c>
    </row>
    <row r="116" spans="2:26" ht="14.25" thickBot="1">
      <c r="B116" t="s">
        <v>218</v>
      </c>
      <c r="C116" s="105">
        <v>1.53</v>
      </c>
      <c r="D116" s="17">
        <v>0.32</v>
      </c>
      <c r="F116" s="17">
        <f>0.71-D116</f>
        <v>0.38999999999999996</v>
      </c>
      <c r="N116" s="43"/>
    </row>
    <row r="117" spans="2:26" ht="14.25" thickBot="1">
      <c r="C117" s="105">
        <v>1.49</v>
      </c>
      <c r="D117" s="17">
        <v>0.32</v>
      </c>
      <c r="F117" s="17">
        <f>0.72-D117</f>
        <v>0.39999999999999997</v>
      </c>
      <c r="J117" s="73" t="s">
        <v>310</v>
      </c>
      <c r="K117" s="73" t="s">
        <v>311</v>
      </c>
      <c r="L117" s="73" t="s">
        <v>312</v>
      </c>
      <c r="M117" s="64" t="s">
        <v>313</v>
      </c>
      <c r="N117" s="106" t="s">
        <v>315</v>
      </c>
    </row>
    <row r="118" spans="2:26" ht="14.25" thickBot="1">
      <c r="C118" s="105">
        <v>1.49</v>
      </c>
      <c r="D118" s="17">
        <v>0.32</v>
      </c>
      <c r="F118" s="17">
        <f>0.72-D118</f>
        <v>0.39999999999999997</v>
      </c>
      <c r="J118" s="31">
        <f>E112</f>
        <v>0.20125786163522011</v>
      </c>
      <c r="K118" s="120">
        <f>G112</f>
        <v>0.26415094339622641</v>
      </c>
      <c r="L118" s="120">
        <f>I112</f>
        <v>0.20754716981132076</v>
      </c>
      <c r="M118" s="120">
        <f>K112</f>
        <v>0.22012578616352199</v>
      </c>
      <c r="N118" s="106">
        <f>O112</f>
        <v>0.1069182389937107</v>
      </c>
    </row>
    <row r="119" spans="2:26">
      <c r="J119" s="73"/>
      <c r="K119" s="73"/>
      <c r="L119" s="73"/>
      <c r="M119" s="73"/>
      <c r="N119" s="73"/>
    </row>
    <row r="120" spans="2:26" ht="14.25" thickBot="1">
      <c r="B120" t="s">
        <v>215</v>
      </c>
      <c r="C120" s="105">
        <v>1.58</v>
      </c>
      <c r="D120" s="17">
        <v>0.08</v>
      </c>
      <c r="F120" s="17">
        <v>0.24</v>
      </c>
      <c r="H120">
        <v>0.25</v>
      </c>
      <c r="J120" s="73">
        <v>0.31</v>
      </c>
      <c r="K120" s="73"/>
      <c r="L120" s="73"/>
      <c r="M120" s="73"/>
      <c r="N120">
        <v>0.7</v>
      </c>
    </row>
    <row r="121" spans="2:26" ht="14.25" thickBot="1">
      <c r="C121" s="105">
        <v>1.59</v>
      </c>
      <c r="D121" s="17">
        <v>0.32</v>
      </c>
      <c r="F121" s="17">
        <f>0.83-D121</f>
        <v>0.51</v>
      </c>
      <c r="H121">
        <v>1.0900000000000001</v>
      </c>
      <c r="J121" s="73"/>
      <c r="K121" s="73"/>
      <c r="L121" s="73"/>
      <c r="M121" s="73"/>
      <c r="N121" s="106"/>
    </row>
    <row r="122" spans="2:26" ht="14.25" thickBot="1">
      <c r="C122" s="105">
        <v>1.59</v>
      </c>
      <c r="D122" s="17">
        <v>0.32</v>
      </c>
      <c r="F122" s="17">
        <f>0.83-D122</f>
        <v>0.51</v>
      </c>
      <c r="H122">
        <v>0.84</v>
      </c>
      <c r="J122" s="73"/>
      <c r="K122" s="73"/>
      <c r="L122" s="73"/>
      <c r="M122" s="73"/>
      <c r="N122" s="106"/>
    </row>
    <row r="123" spans="2:26">
      <c r="C123" s="105"/>
      <c r="J123" s="73"/>
      <c r="K123" s="73"/>
      <c r="L123" s="73"/>
      <c r="M123" s="73"/>
      <c r="N123" s="73"/>
    </row>
    <row r="124" spans="2:26">
      <c r="J124" s="73"/>
      <c r="K124" s="73"/>
      <c r="L124" s="73"/>
      <c r="M124" s="73"/>
      <c r="N124" s="106"/>
    </row>
    <row r="125" spans="2:26" ht="14.25" thickBot="1">
      <c r="B125" t="s">
        <v>216</v>
      </c>
      <c r="C125" s="105">
        <v>1.65</v>
      </c>
      <c r="D125" s="17">
        <v>0.32</v>
      </c>
      <c r="F125" s="17">
        <f>1.02-D125</f>
        <v>0.7</v>
      </c>
      <c r="J125" s="73"/>
      <c r="K125" s="73"/>
      <c r="L125" s="73"/>
      <c r="M125" s="73"/>
      <c r="N125" s="106"/>
    </row>
    <row r="126" spans="2:26" ht="14.25" thickBot="1">
      <c r="C126" s="105">
        <v>1.28</v>
      </c>
      <c r="D126" s="17">
        <v>0.32</v>
      </c>
      <c r="F126" s="17">
        <f>0.99-D126</f>
        <v>0.66999999999999993</v>
      </c>
      <c r="J126" s="73"/>
      <c r="K126" s="73"/>
      <c r="L126" s="73"/>
      <c r="M126" s="73"/>
      <c r="N126" s="106"/>
    </row>
    <row r="127" spans="2:26" ht="14.25" thickBot="1">
      <c r="C127" s="105">
        <v>1.64</v>
      </c>
      <c r="D127" s="17">
        <v>0.32</v>
      </c>
      <c r="F127" s="17">
        <f>0.99-D127</f>
        <v>0.66999999999999993</v>
      </c>
    </row>
    <row r="129" spans="2:26" ht="14.25" thickBot="1">
      <c r="B129" t="s">
        <v>217</v>
      </c>
      <c r="C129" s="105">
        <v>1.36</v>
      </c>
      <c r="D129" s="17">
        <v>0.32</v>
      </c>
      <c r="F129" s="17">
        <f>1.08-D129</f>
        <v>0.76</v>
      </c>
    </row>
    <row r="130" spans="2:26" ht="14.25" thickBot="1">
      <c r="C130" s="105">
        <v>1.62</v>
      </c>
      <c r="D130" s="17">
        <v>0.32</v>
      </c>
      <c r="F130" s="17">
        <f>1.09-D130</f>
        <v>0.77</v>
      </c>
      <c r="N130" s="43"/>
    </row>
    <row r="131" spans="2:26" ht="14.25" thickBot="1">
      <c r="C131" s="105">
        <v>1.74</v>
      </c>
      <c r="D131" s="17">
        <v>0.32</v>
      </c>
      <c r="F131" s="17">
        <f>1.12-D131</f>
        <v>0.8</v>
      </c>
      <c r="N131" s="43"/>
    </row>
    <row r="141" spans="2:26" ht="14.25" thickBot="1">
      <c r="J141" t="s">
        <v>161</v>
      </c>
      <c r="K141" t="s">
        <v>169</v>
      </c>
      <c r="L141" t="s">
        <v>46</v>
      </c>
      <c r="M141" t="s">
        <v>221</v>
      </c>
      <c r="O141" t="s">
        <v>225</v>
      </c>
      <c r="P141" t="s">
        <v>227</v>
      </c>
    </row>
    <row r="142" spans="2:26" ht="14.25" thickBot="1">
      <c r="B142" s="171" t="s">
        <v>162</v>
      </c>
      <c r="C142" s="171" t="s">
        <v>163</v>
      </c>
      <c r="D142" s="169" t="s">
        <v>187</v>
      </c>
      <c r="E142" s="170"/>
      <c r="F142" s="169" t="s">
        <v>185</v>
      </c>
      <c r="G142" s="170"/>
      <c r="H142" s="169" t="s">
        <v>186</v>
      </c>
      <c r="I142" s="170"/>
      <c r="J142" s="169" t="s">
        <v>228</v>
      </c>
      <c r="K142" s="170"/>
      <c r="L142" s="169" t="s">
        <v>184</v>
      </c>
      <c r="M142" s="170"/>
      <c r="N142" s="169" t="s">
        <v>219</v>
      </c>
      <c r="O142" s="170"/>
      <c r="T142" t="s">
        <v>163</v>
      </c>
      <c r="U142" t="s">
        <v>163</v>
      </c>
      <c r="V142" t="s">
        <v>165</v>
      </c>
      <c r="W142" t="s">
        <v>165</v>
      </c>
      <c r="Y142" s="169" t="s">
        <v>184</v>
      </c>
      <c r="Z142" s="170"/>
    </row>
    <row r="143" spans="2:26" ht="14.25" thickBot="1">
      <c r="B143" s="172"/>
      <c r="C143" s="172"/>
      <c r="D143" s="83" t="s">
        <v>167</v>
      </c>
      <c r="E143" s="83" t="s">
        <v>168</v>
      </c>
      <c r="F143" s="83" t="s">
        <v>167</v>
      </c>
      <c r="G143" s="83" t="s">
        <v>168</v>
      </c>
      <c r="H143" s="83" t="s">
        <v>167</v>
      </c>
      <c r="I143" s="83" t="s">
        <v>168</v>
      </c>
      <c r="J143" s="83" t="s">
        <v>167</v>
      </c>
      <c r="K143" s="83" t="s">
        <v>168</v>
      </c>
      <c r="L143" s="83" t="s">
        <v>182</v>
      </c>
      <c r="M143" s="18" t="s">
        <v>183</v>
      </c>
      <c r="N143" s="83"/>
      <c r="O143" s="83"/>
      <c r="S143" s="83" t="s">
        <v>162</v>
      </c>
      <c r="T143" s="83" t="s">
        <v>192</v>
      </c>
      <c r="U143" s="83" t="s">
        <v>46</v>
      </c>
      <c r="V143" s="83" t="s">
        <v>192</v>
      </c>
      <c r="W143" s="83" t="s">
        <v>46</v>
      </c>
      <c r="Y143" s="83" t="s">
        <v>182</v>
      </c>
      <c r="Z143" s="83" t="s">
        <v>183</v>
      </c>
    </row>
    <row r="144" spans="2:26" ht="14.25" thickBot="1">
      <c r="B144" s="82">
        <v>1</v>
      </c>
      <c r="C144" s="17">
        <v>1.94</v>
      </c>
      <c r="D144" s="17">
        <v>0.32</v>
      </c>
      <c r="E144" s="31">
        <f>D144/C144</f>
        <v>0.16494845360824742</v>
      </c>
      <c r="F144" s="17">
        <v>0.19</v>
      </c>
      <c r="G144" s="31">
        <f>F144/C144</f>
        <v>9.7938144329896906E-2</v>
      </c>
      <c r="H144" s="18">
        <v>0.33</v>
      </c>
      <c r="I144" s="31">
        <f>H144/C144</f>
        <v>0.17010309278350516</v>
      </c>
      <c r="J144" s="18">
        <f>C144-D144-F144-H144-N144</f>
        <v>0.30999999999999983</v>
      </c>
      <c r="K144" s="31">
        <f t="shared" ref="K144" si="82">J144/C144</f>
        <v>0.15979381443298959</v>
      </c>
      <c r="L144" s="18">
        <f>F19/F144</f>
        <v>4.3157894736842097</v>
      </c>
      <c r="M144" s="18">
        <f>C19/C144</f>
        <v>1.3711340206185567</v>
      </c>
      <c r="N144" s="17">
        <v>0.79</v>
      </c>
      <c r="O144" s="31">
        <f>N144/C144</f>
        <v>0.40721649484536088</v>
      </c>
      <c r="P144">
        <v>0.69</v>
      </c>
      <c r="Q144" s="43">
        <f>0.17/C144</f>
        <v>8.7628865979381451E-2</v>
      </c>
      <c r="S144" s="82">
        <v>1</v>
      </c>
      <c r="T144" s="18">
        <f>C19</f>
        <v>2.66</v>
      </c>
      <c r="U144" s="18">
        <f>C144</f>
        <v>1.94</v>
      </c>
      <c r="V144" s="18">
        <f>F19</f>
        <v>0.81999999999999984</v>
      </c>
      <c r="W144" s="18">
        <f>F144</f>
        <v>0.19</v>
      </c>
      <c r="Y144" s="89">
        <f>V144/W144</f>
        <v>4.3157894736842097</v>
      </c>
      <c r="Z144" s="18">
        <f>T144/U144</f>
        <v>1.3711340206185567</v>
      </c>
    </row>
    <row r="145" spans="2:26" ht="14.25" thickBot="1">
      <c r="B145" s="82">
        <v>2</v>
      </c>
      <c r="C145" s="17">
        <v>2.14</v>
      </c>
      <c r="D145" s="17">
        <v>0.32</v>
      </c>
      <c r="E145" s="31">
        <f t="shared" ref="E145:E147" si="83">D145/C145</f>
        <v>0.14953271028037382</v>
      </c>
      <c r="F145" s="17">
        <v>0.42</v>
      </c>
      <c r="G145" s="31">
        <f t="shared" ref="G145:G147" si="84">F145/C145</f>
        <v>0.19626168224299065</v>
      </c>
      <c r="H145" s="18">
        <v>0.33</v>
      </c>
      <c r="I145" s="31">
        <f t="shared" ref="I145:I147" si="85">H145/C145</f>
        <v>0.1542056074766355</v>
      </c>
      <c r="J145" s="18">
        <f>C145-D145-F145-H145-N145</f>
        <v>0.30000000000000004</v>
      </c>
      <c r="K145" s="31">
        <f>J145/C145</f>
        <v>0.14018691588785048</v>
      </c>
      <c r="L145" s="18">
        <f>F20/F145</f>
        <v>12.119047619047619</v>
      </c>
      <c r="M145" s="18">
        <f>C20/C145</f>
        <v>3.3551401869158877</v>
      </c>
      <c r="N145" s="17">
        <v>0.77</v>
      </c>
      <c r="O145" s="31">
        <f>N145/C145</f>
        <v>0.35981308411214952</v>
      </c>
      <c r="P145">
        <v>0.54</v>
      </c>
      <c r="Q145" s="43">
        <f>0.13/C145</f>
        <v>6.0747663551401869E-2</v>
      </c>
      <c r="S145" s="82">
        <v>2</v>
      </c>
      <c r="T145" s="18">
        <f t="shared" ref="T145:T147" si="86">C20</f>
        <v>7.18</v>
      </c>
      <c r="U145" s="18">
        <f>C145</f>
        <v>2.14</v>
      </c>
      <c r="V145" s="18">
        <f t="shared" ref="V145:V147" si="87">F20</f>
        <v>5.09</v>
      </c>
      <c r="W145" s="18">
        <f>F145</f>
        <v>0.42</v>
      </c>
      <c r="Y145" s="83">
        <f>V145/W145</f>
        <v>12.119047619047619</v>
      </c>
      <c r="Z145" s="18">
        <f>T145/U145</f>
        <v>3.3551401869158877</v>
      </c>
    </row>
    <row r="146" spans="2:26" ht="14.25" thickBot="1">
      <c r="B146" s="82">
        <v>3</v>
      </c>
      <c r="C146" s="17">
        <v>2.2599999999999998</v>
      </c>
      <c r="D146" s="17">
        <v>0.32</v>
      </c>
      <c r="E146" s="31">
        <f t="shared" si="83"/>
        <v>0.14159292035398233</v>
      </c>
      <c r="F146" s="17">
        <f>0.56</f>
        <v>0.56000000000000005</v>
      </c>
      <c r="G146" s="31">
        <f t="shared" si="84"/>
        <v>0.24778761061946908</v>
      </c>
      <c r="H146" s="18">
        <v>0.33</v>
      </c>
      <c r="I146" s="31">
        <f t="shared" si="85"/>
        <v>0.14601769911504428</v>
      </c>
      <c r="J146" s="18">
        <f t="shared" ref="J146:J147" si="88">C146-D146-F146-H146-N146</f>
        <v>0.26999999999999957</v>
      </c>
      <c r="K146" s="31">
        <f t="shared" ref="K146" si="89">J146/C146</f>
        <v>0.11946902654867239</v>
      </c>
      <c r="L146" s="18">
        <f>F21/F146</f>
        <v>11.678571428571427</v>
      </c>
      <c r="M146" s="18">
        <f>C21/C146</f>
        <v>3.8716814159292041</v>
      </c>
      <c r="N146" s="17">
        <v>0.78</v>
      </c>
      <c r="O146" s="31">
        <f>N146/C146</f>
        <v>0.3451327433628319</v>
      </c>
      <c r="P146">
        <v>0.72</v>
      </c>
      <c r="Q146" s="43">
        <f>0.13/C146</f>
        <v>5.7522123893805316E-2</v>
      </c>
      <c r="S146" s="82">
        <v>3</v>
      </c>
      <c r="T146" s="18">
        <f t="shared" si="86"/>
        <v>8.75</v>
      </c>
      <c r="U146" s="18">
        <f>C146</f>
        <v>2.2599999999999998</v>
      </c>
      <c r="V146" s="18">
        <f t="shared" si="87"/>
        <v>6.54</v>
      </c>
      <c r="W146" s="18">
        <f>F146</f>
        <v>0.56000000000000005</v>
      </c>
      <c r="Y146" s="83">
        <f>V146/W146</f>
        <v>11.678571428571427</v>
      </c>
      <c r="Z146" s="18">
        <f>T146/U146</f>
        <v>3.8716814159292041</v>
      </c>
    </row>
    <row r="147" spans="2:26" ht="14.25" thickBot="1">
      <c r="B147" s="82">
        <v>4</v>
      </c>
      <c r="C147" s="17">
        <v>2.36</v>
      </c>
      <c r="D147" s="17">
        <v>0.32</v>
      </c>
      <c r="E147" s="31">
        <f t="shared" si="83"/>
        <v>0.13559322033898305</v>
      </c>
      <c r="F147" s="17">
        <f>0.68</f>
        <v>0.68</v>
      </c>
      <c r="G147" s="31">
        <f t="shared" si="84"/>
        <v>0.28813559322033899</v>
      </c>
      <c r="H147" s="18">
        <v>0.33</v>
      </c>
      <c r="I147" s="31">
        <f t="shared" si="85"/>
        <v>0.13983050847457629</v>
      </c>
      <c r="J147" s="18">
        <f t="shared" si="88"/>
        <v>0.25999999999999979</v>
      </c>
      <c r="K147" s="31">
        <f>J147/C147</f>
        <v>0.11016949152542364</v>
      </c>
      <c r="L147" s="18">
        <f>F22/F147</f>
        <v>11.867647058823529</v>
      </c>
      <c r="M147" s="18">
        <f>C22/C147</f>
        <v>4.3220338983050848</v>
      </c>
      <c r="N147" s="17">
        <v>0.77</v>
      </c>
      <c r="O147" s="31">
        <f>N147/C147</f>
        <v>0.32627118644067798</v>
      </c>
      <c r="P147">
        <v>0.72</v>
      </c>
      <c r="Q147" s="43">
        <f>0.19/C147</f>
        <v>8.0508474576271194E-2</v>
      </c>
      <c r="S147" s="82">
        <v>4</v>
      </c>
      <c r="T147" s="18">
        <f t="shared" si="86"/>
        <v>10.199999999999999</v>
      </c>
      <c r="U147" s="18">
        <f>C147</f>
        <v>2.36</v>
      </c>
      <c r="V147" s="18">
        <f t="shared" si="87"/>
        <v>8.07</v>
      </c>
      <c r="W147" s="18">
        <f>F147</f>
        <v>0.68</v>
      </c>
      <c r="Y147" s="83">
        <f>V147/W147</f>
        <v>11.867647058823529</v>
      </c>
      <c r="Z147" s="18">
        <f>T147/U147</f>
        <v>4.3220338983050848</v>
      </c>
    </row>
    <row r="149" spans="2:26" ht="14.25" thickBot="1">
      <c r="B149" t="s">
        <v>218</v>
      </c>
      <c r="C149" s="105">
        <v>1.99</v>
      </c>
      <c r="D149" s="17">
        <v>0.32</v>
      </c>
      <c r="F149" s="17">
        <v>0.15</v>
      </c>
      <c r="N149" s="43"/>
    </row>
    <row r="150" spans="2:26" ht="14.25" thickBot="1">
      <c r="C150" s="105">
        <v>1.92</v>
      </c>
      <c r="D150" s="17">
        <v>0.32</v>
      </c>
      <c r="F150" s="17">
        <v>0.19</v>
      </c>
      <c r="J150" s="73" t="s">
        <v>310</v>
      </c>
      <c r="K150" s="73" t="s">
        <v>311</v>
      </c>
      <c r="L150" s="73" t="s">
        <v>312</v>
      </c>
      <c r="M150" s="64" t="s">
        <v>313</v>
      </c>
      <c r="N150" s="106" t="s">
        <v>315</v>
      </c>
    </row>
    <row r="151" spans="2:26" ht="14.25" thickBot="1">
      <c r="C151" s="105">
        <v>1.94</v>
      </c>
      <c r="D151" s="17">
        <v>0.32</v>
      </c>
      <c r="F151" s="17">
        <v>0.19</v>
      </c>
      <c r="J151" s="31">
        <f>E145</f>
        <v>0.14953271028037382</v>
      </c>
      <c r="K151" s="120">
        <f>G145</f>
        <v>0.19626168224299065</v>
      </c>
      <c r="L151" s="120">
        <f>I145</f>
        <v>0.1542056074766355</v>
      </c>
      <c r="M151" s="120">
        <f>K145</f>
        <v>0.14018691588785048</v>
      </c>
      <c r="N151" s="106">
        <f>O145</f>
        <v>0.35981308411214952</v>
      </c>
    </row>
    <row r="152" spans="2:26">
      <c r="J152" s="73"/>
      <c r="K152" s="73"/>
      <c r="L152" s="73"/>
      <c r="M152" s="73"/>
      <c r="N152" s="73"/>
    </row>
    <row r="153" spans="2:26" ht="14.25" thickBot="1">
      <c r="B153" t="s">
        <v>215</v>
      </c>
      <c r="C153" s="105">
        <v>2.2400000000000002</v>
      </c>
      <c r="D153" s="17">
        <v>0.32</v>
      </c>
      <c r="F153" s="17">
        <v>0.45</v>
      </c>
      <c r="J153" s="73"/>
      <c r="K153" s="73"/>
      <c r="L153" s="73"/>
      <c r="M153" s="73"/>
      <c r="N153" s="106"/>
    </row>
    <row r="154" spans="2:26" ht="14.25" thickBot="1">
      <c r="C154" s="105">
        <v>2.14</v>
      </c>
      <c r="D154" s="17">
        <v>0.32</v>
      </c>
      <c r="F154" s="17">
        <v>0.41</v>
      </c>
      <c r="J154" s="73"/>
      <c r="K154" s="73"/>
      <c r="L154" s="73"/>
      <c r="M154" s="73"/>
      <c r="N154" s="106"/>
    </row>
    <row r="155" spans="2:26" ht="14.25" thickBot="1">
      <c r="C155" s="105">
        <v>2.14</v>
      </c>
      <c r="D155" s="17">
        <v>0.32</v>
      </c>
      <c r="F155" s="17">
        <v>0.42</v>
      </c>
      <c r="J155" s="73"/>
      <c r="K155" s="73"/>
      <c r="L155" s="73"/>
      <c r="M155" s="73"/>
      <c r="N155" s="106"/>
    </row>
    <row r="156" spans="2:26">
      <c r="C156" s="105"/>
      <c r="J156" s="73"/>
      <c r="K156" s="73"/>
      <c r="L156" s="73"/>
      <c r="M156" s="73"/>
      <c r="N156" s="73"/>
    </row>
    <row r="157" spans="2:26">
      <c r="J157" s="73"/>
      <c r="K157" s="73"/>
      <c r="L157" s="73"/>
      <c r="M157" s="73"/>
      <c r="N157" s="106"/>
    </row>
    <row r="158" spans="2:26" ht="14.25" thickBot="1">
      <c r="B158" t="s">
        <v>216</v>
      </c>
      <c r="C158" s="105">
        <v>2.27</v>
      </c>
      <c r="D158" s="17">
        <v>2.36</v>
      </c>
      <c r="F158" s="17">
        <v>0.56000000000000005</v>
      </c>
      <c r="J158" s="73"/>
      <c r="K158" s="73"/>
      <c r="L158" s="73"/>
      <c r="M158" s="73"/>
      <c r="N158" s="106"/>
    </row>
    <row r="159" spans="2:26" ht="14.25" thickBot="1">
      <c r="C159" s="105">
        <v>2.2599999999999998</v>
      </c>
      <c r="D159" s="17">
        <v>0.32</v>
      </c>
      <c r="F159" s="17">
        <v>0.6</v>
      </c>
      <c r="J159" s="73"/>
      <c r="K159" s="73"/>
      <c r="L159" s="73"/>
      <c r="M159" s="73"/>
      <c r="N159" s="106"/>
    </row>
    <row r="160" spans="2:26" ht="14.25" thickBot="1">
      <c r="C160" s="105">
        <v>2.2599999999999998</v>
      </c>
      <c r="D160" s="17">
        <v>0.32</v>
      </c>
      <c r="F160" s="17">
        <v>0.55000000000000004</v>
      </c>
    </row>
    <row r="162" spans="2:26" ht="14.25" thickBot="1">
      <c r="B162" t="s">
        <v>217</v>
      </c>
      <c r="C162" s="105">
        <v>2.37</v>
      </c>
      <c r="D162" s="17">
        <v>0.32</v>
      </c>
      <c r="F162" s="17">
        <v>0.67</v>
      </c>
    </row>
    <row r="163" spans="2:26" ht="14.25" thickBot="1">
      <c r="C163" s="105">
        <v>2.36</v>
      </c>
      <c r="D163" s="17">
        <v>0.32</v>
      </c>
      <c r="F163" s="17">
        <v>0.66</v>
      </c>
      <c r="N163" s="43"/>
    </row>
    <row r="164" spans="2:26" ht="14.25" thickBot="1">
      <c r="C164" s="105">
        <v>2.36</v>
      </c>
      <c r="D164" s="17">
        <v>0.32</v>
      </c>
      <c r="F164" s="17">
        <v>0.68</v>
      </c>
      <c r="N164" s="43"/>
    </row>
    <row r="171" spans="2:26" ht="14.25" thickBot="1">
      <c r="J171" t="s">
        <v>161</v>
      </c>
      <c r="K171" t="s">
        <v>169</v>
      </c>
      <c r="L171" t="s">
        <v>229</v>
      </c>
      <c r="M171" t="s">
        <v>230</v>
      </c>
      <c r="O171" t="s">
        <v>225</v>
      </c>
      <c r="P171" t="s">
        <v>227</v>
      </c>
    </row>
    <row r="172" spans="2:26" ht="14.25" thickBot="1">
      <c r="B172" s="171" t="s">
        <v>162</v>
      </c>
      <c r="C172" s="171" t="s">
        <v>163</v>
      </c>
      <c r="D172" s="169" t="s">
        <v>187</v>
      </c>
      <c r="E172" s="170"/>
      <c r="F172" s="169" t="s">
        <v>185</v>
      </c>
      <c r="G172" s="170"/>
      <c r="H172" s="169" t="s">
        <v>186</v>
      </c>
      <c r="I172" s="170"/>
      <c r="J172" s="169" t="s">
        <v>228</v>
      </c>
      <c r="K172" s="170"/>
      <c r="L172" s="169" t="s">
        <v>184</v>
      </c>
      <c r="M172" s="170"/>
      <c r="N172" s="169" t="s">
        <v>231</v>
      </c>
      <c r="O172" s="170"/>
      <c r="T172" t="s">
        <v>163</v>
      </c>
      <c r="U172" t="s">
        <v>163</v>
      </c>
      <c r="V172" t="s">
        <v>165</v>
      </c>
      <c r="W172" t="s">
        <v>165</v>
      </c>
      <c r="Y172" s="169" t="s">
        <v>184</v>
      </c>
      <c r="Z172" s="170"/>
    </row>
    <row r="173" spans="2:26" ht="14.25" thickBot="1">
      <c r="B173" s="172"/>
      <c r="C173" s="172"/>
      <c r="D173" s="83" t="s">
        <v>167</v>
      </c>
      <c r="E173" s="83" t="s">
        <v>168</v>
      </c>
      <c r="F173" s="83" t="s">
        <v>167</v>
      </c>
      <c r="G173" s="83" t="s">
        <v>168</v>
      </c>
      <c r="H173" s="83" t="s">
        <v>167</v>
      </c>
      <c r="I173" s="83" t="s">
        <v>168</v>
      </c>
      <c r="J173" s="83" t="s">
        <v>167</v>
      </c>
      <c r="K173" s="83" t="s">
        <v>168</v>
      </c>
      <c r="L173" s="83" t="s">
        <v>182</v>
      </c>
      <c r="M173" s="18" t="s">
        <v>183</v>
      </c>
      <c r="N173" s="83" t="s">
        <v>167</v>
      </c>
      <c r="O173" s="83" t="s">
        <v>168</v>
      </c>
      <c r="S173" s="83" t="s">
        <v>162</v>
      </c>
      <c r="T173" s="83" t="s">
        <v>192</v>
      </c>
      <c r="U173" s="83" t="s">
        <v>254</v>
      </c>
      <c r="V173" s="83" t="s">
        <v>192</v>
      </c>
      <c r="W173" s="83" t="s">
        <v>233</v>
      </c>
      <c r="Y173" s="83" t="s">
        <v>182</v>
      </c>
      <c r="Z173" s="83" t="s">
        <v>183</v>
      </c>
    </row>
    <row r="174" spans="2:26" ht="14.25" thickBot="1">
      <c r="B174" s="82">
        <v>1</v>
      </c>
      <c r="C174" s="17">
        <v>5.05</v>
      </c>
      <c r="D174" s="17">
        <v>0.32</v>
      </c>
      <c r="E174" s="31">
        <f>D174/C174</f>
        <v>6.3366336633663367E-2</v>
      </c>
      <c r="F174" s="17">
        <v>2.52</v>
      </c>
      <c r="G174" s="31">
        <f>F174/C174</f>
        <v>0.49900990099009901</v>
      </c>
      <c r="H174" s="18">
        <v>0.34</v>
      </c>
      <c r="I174" s="31">
        <f>H174/C174</f>
        <v>6.7326732673267331E-2</v>
      </c>
      <c r="J174" s="18">
        <f>C174-D174-F174-H174-N174</f>
        <v>0.98999999999999944</v>
      </c>
      <c r="K174" s="31">
        <f t="shared" ref="K174" si="90">J174/C174</f>
        <v>0.19603960396039594</v>
      </c>
      <c r="L174" s="18">
        <f>F19/F174</f>
        <v>0.32539682539682535</v>
      </c>
      <c r="M174" s="18">
        <f>C19/C174</f>
        <v>0.52673267326732676</v>
      </c>
      <c r="N174" s="17">
        <v>0.88</v>
      </c>
      <c r="O174" s="31">
        <f>N174/C174</f>
        <v>0.17425742574257427</v>
      </c>
      <c r="P174">
        <v>0.69</v>
      </c>
      <c r="Q174" s="43">
        <f>0.26/C174</f>
        <v>5.1485148514851489E-2</v>
      </c>
      <c r="S174" s="82">
        <v>1</v>
      </c>
      <c r="T174" s="18">
        <f>C19</f>
        <v>2.66</v>
      </c>
      <c r="U174" s="18">
        <f>C174</f>
        <v>5.05</v>
      </c>
      <c r="V174" s="18">
        <f>F19</f>
        <v>0.81999999999999984</v>
      </c>
      <c r="W174" s="18">
        <f>F174</f>
        <v>2.52</v>
      </c>
      <c r="Y174" s="89">
        <f>V174/W174</f>
        <v>0.32539682539682535</v>
      </c>
      <c r="Z174" s="18">
        <f>T174/U174</f>
        <v>0.52673267326732676</v>
      </c>
    </row>
    <row r="175" spans="2:26" ht="14.25" thickBot="1">
      <c r="B175" s="82">
        <v>2</v>
      </c>
      <c r="C175" s="17">
        <v>7.26</v>
      </c>
      <c r="D175" s="17">
        <v>0.32</v>
      </c>
      <c r="E175" s="31">
        <f t="shared" ref="E175:E177" si="91">D175/C175</f>
        <v>4.4077134986225897E-2</v>
      </c>
      <c r="F175" s="17">
        <v>4.75</v>
      </c>
      <c r="G175" s="31">
        <f t="shared" ref="G175:G177" si="92">F175/C175</f>
        <v>0.65426997245179064</v>
      </c>
      <c r="H175" s="18">
        <v>0.34</v>
      </c>
      <c r="I175" s="31">
        <f t="shared" ref="I175:I177" si="93">H175/C175</f>
        <v>4.6831955922865015E-2</v>
      </c>
      <c r="J175" s="18">
        <f>C175-D175-F175-H175-N175</f>
        <v>0.96999999999999942</v>
      </c>
      <c r="K175" s="31">
        <f>J175/C175</f>
        <v>0.13360881542699718</v>
      </c>
      <c r="L175" s="18">
        <f t="shared" ref="L175:L177" si="94">F20/F175</f>
        <v>1.071578947368421</v>
      </c>
      <c r="M175" s="18">
        <f t="shared" ref="M175:M177" si="95">C20/C175</f>
        <v>0.98898071625344353</v>
      </c>
      <c r="N175" s="17">
        <v>0.88</v>
      </c>
      <c r="O175" s="31">
        <f>N175/C175</f>
        <v>0.12121212121212122</v>
      </c>
      <c r="P175">
        <v>0.54</v>
      </c>
      <c r="Q175" s="43">
        <f>0.13/C175</f>
        <v>1.790633608815427E-2</v>
      </c>
      <c r="S175" s="82">
        <v>2</v>
      </c>
      <c r="T175" s="18">
        <f t="shared" ref="T175:T177" si="96">C20</f>
        <v>7.18</v>
      </c>
      <c r="U175" s="18">
        <f>C175</f>
        <v>7.26</v>
      </c>
      <c r="V175" s="18">
        <f t="shared" ref="V175:V177" si="97">F20</f>
        <v>5.09</v>
      </c>
      <c r="W175" s="18">
        <f>F175</f>
        <v>4.75</v>
      </c>
      <c r="Y175" s="89">
        <f>V175/W175</f>
        <v>1.071578947368421</v>
      </c>
      <c r="Z175" s="18">
        <f>T175/U175</f>
        <v>0.98898071625344353</v>
      </c>
    </row>
    <row r="176" spans="2:26" ht="14.25" thickBot="1">
      <c r="B176" s="82">
        <v>3</v>
      </c>
      <c r="C176" s="17">
        <v>9.27</v>
      </c>
      <c r="D176" s="17">
        <v>0.32</v>
      </c>
      <c r="E176" s="31">
        <f t="shared" si="91"/>
        <v>3.4519956850053941E-2</v>
      </c>
      <c r="F176" s="17">
        <v>6.76</v>
      </c>
      <c r="G176" s="31">
        <f t="shared" si="92"/>
        <v>0.72923408845738946</v>
      </c>
      <c r="H176" s="18">
        <v>0.34</v>
      </c>
      <c r="I176" s="31">
        <f t="shared" si="93"/>
        <v>3.6677454153182312E-2</v>
      </c>
      <c r="J176" s="18">
        <f t="shared" ref="J176:J177" si="98">C176-D176-F176-H176-N176</f>
        <v>0.96999999999999942</v>
      </c>
      <c r="K176" s="31">
        <f t="shared" ref="K176" si="99">J176/C176</f>
        <v>0.10463861920172594</v>
      </c>
      <c r="L176" s="18">
        <f t="shared" si="94"/>
        <v>0.9674556213017752</v>
      </c>
      <c r="M176" s="18">
        <f t="shared" si="95"/>
        <v>0.94390507011866243</v>
      </c>
      <c r="N176" s="17">
        <v>0.88</v>
      </c>
      <c r="O176" s="31">
        <f>N176/C176</f>
        <v>9.4929881337648334E-2</v>
      </c>
      <c r="P176">
        <v>0.72</v>
      </c>
      <c r="Q176" s="43">
        <f>0.18/C176</f>
        <v>1.9417475728155342E-2</v>
      </c>
      <c r="S176" s="82">
        <v>3</v>
      </c>
      <c r="T176" s="18">
        <f t="shared" si="96"/>
        <v>8.75</v>
      </c>
      <c r="U176" s="18">
        <f>C176</f>
        <v>9.27</v>
      </c>
      <c r="V176" s="18">
        <f t="shared" si="97"/>
        <v>6.54</v>
      </c>
      <c r="W176" s="18">
        <f>F176</f>
        <v>6.76</v>
      </c>
      <c r="Y176" s="89">
        <f>V176/W176</f>
        <v>0.9674556213017752</v>
      </c>
      <c r="Z176" s="18">
        <f>T176/U176</f>
        <v>0.94390507011866243</v>
      </c>
    </row>
    <row r="177" spans="2:26" ht="14.25" thickBot="1">
      <c r="B177" s="82">
        <v>4</v>
      </c>
      <c r="C177" s="18">
        <v>11.2</v>
      </c>
      <c r="D177" s="17">
        <v>0.32</v>
      </c>
      <c r="E177" s="31">
        <f t="shared" si="91"/>
        <v>2.8571428571428574E-2</v>
      </c>
      <c r="F177" s="17">
        <v>8.75</v>
      </c>
      <c r="G177" s="31">
        <f t="shared" si="92"/>
        <v>0.78125</v>
      </c>
      <c r="H177" s="18">
        <v>0.34</v>
      </c>
      <c r="I177" s="31">
        <f t="shared" si="93"/>
        <v>3.035714285714286E-2</v>
      </c>
      <c r="J177" s="18">
        <f t="shared" si="98"/>
        <v>0.90999999999999892</v>
      </c>
      <c r="K177" s="31">
        <f>J177/C177</f>
        <v>8.1249999999999906E-2</v>
      </c>
      <c r="L177" s="18">
        <f t="shared" si="94"/>
        <v>0.92228571428571426</v>
      </c>
      <c r="M177" s="18">
        <f t="shared" si="95"/>
        <v>0.9107142857142857</v>
      </c>
      <c r="N177" s="17">
        <v>0.88</v>
      </c>
      <c r="O177" s="31">
        <f>N177/C177</f>
        <v>7.8571428571428584E-2</v>
      </c>
      <c r="P177">
        <v>0.72</v>
      </c>
      <c r="Q177" s="43">
        <f>0.18/C177</f>
        <v>1.6071428571428573E-2</v>
      </c>
      <c r="S177" s="82">
        <v>4</v>
      </c>
      <c r="T177" s="18">
        <f t="shared" si="96"/>
        <v>10.199999999999999</v>
      </c>
      <c r="U177" s="18">
        <f>C177</f>
        <v>11.2</v>
      </c>
      <c r="V177" s="18">
        <f t="shared" si="97"/>
        <v>8.07</v>
      </c>
      <c r="W177" s="18">
        <f>F177</f>
        <v>8.75</v>
      </c>
      <c r="Y177" s="89">
        <f>V177/W177</f>
        <v>0.92228571428571426</v>
      </c>
      <c r="Z177" s="18">
        <f>T177/U177</f>
        <v>0.9107142857142857</v>
      </c>
    </row>
    <row r="179" spans="2:26" ht="14.25" thickBot="1">
      <c r="B179" s="73"/>
      <c r="C179" s="105"/>
      <c r="D179" s="62"/>
      <c r="E179" s="73"/>
      <c r="F179" s="62"/>
      <c r="G179" s="73"/>
      <c r="H179" s="73"/>
      <c r="I179" s="73"/>
      <c r="J179" s="73"/>
      <c r="K179" s="73"/>
      <c r="L179" s="73"/>
      <c r="M179" s="73"/>
      <c r="N179" s="106"/>
    </row>
    <row r="180" spans="2:26" ht="14.25" thickBot="1">
      <c r="B180" s="73"/>
      <c r="C180" s="105"/>
      <c r="D180" s="62"/>
      <c r="E180" s="73"/>
      <c r="F180" s="62"/>
      <c r="G180" s="73"/>
      <c r="H180" s="73"/>
      <c r="I180" s="73"/>
      <c r="J180" s="73"/>
      <c r="K180" s="73"/>
      <c r="L180" s="73"/>
      <c r="M180" s="73"/>
      <c r="N180" s="106"/>
      <c r="Y180" s="169" t="s">
        <v>248</v>
      </c>
      <c r="Z180" s="170"/>
    </row>
    <row r="181" spans="2:26" ht="14.25" thickBot="1">
      <c r="B181" s="73">
        <v>1</v>
      </c>
      <c r="C181" s="105"/>
      <c r="D181" s="62"/>
      <c r="E181" s="73"/>
      <c r="F181" s="62">
        <v>0.73</v>
      </c>
      <c r="G181" s="73"/>
      <c r="H181" s="73"/>
      <c r="I181" s="73"/>
      <c r="J181" s="73"/>
      <c r="K181" s="73"/>
      <c r="L181" s="73"/>
      <c r="M181" s="73"/>
      <c r="N181" s="106"/>
      <c r="X181" s="83"/>
      <c r="Y181" s="83" t="s">
        <v>182</v>
      </c>
      <c r="Z181" s="83" t="s">
        <v>183</v>
      </c>
    </row>
    <row r="182" spans="2:26" ht="14.25" thickBot="1">
      <c r="B182" s="73">
        <v>2</v>
      </c>
      <c r="C182" s="73"/>
      <c r="D182" s="73"/>
      <c r="E182" s="73"/>
      <c r="F182" s="62">
        <v>1.48</v>
      </c>
      <c r="G182" s="73"/>
      <c r="H182" s="73"/>
      <c r="I182" s="73"/>
      <c r="J182" s="73"/>
      <c r="K182" s="73"/>
      <c r="L182" s="73"/>
      <c r="M182" s="73"/>
      <c r="N182" s="73"/>
      <c r="X182" s="83" t="s">
        <v>249</v>
      </c>
      <c r="Y182" s="89">
        <f>Y175</f>
        <v>1.071578947368421</v>
      </c>
      <c r="Z182" s="18">
        <f>Z175</f>
        <v>0.98898071625344353</v>
      </c>
    </row>
    <row r="183" spans="2:26">
      <c r="B183" s="73">
        <v>3</v>
      </c>
      <c r="C183" s="105"/>
      <c r="D183" s="62"/>
      <c r="E183" s="73"/>
      <c r="F183" s="62">
        <v>2.1</v>
      </c>
      <c r="G183" s="73"/>
      <c r="H183" s="73"/>
      <c r="I183" s="73"/>
      <c r="J183" s="73"/>
      <c r="K183" s="73"/>
      <c r="L183" s="73"/>
      <c r="M183" s="73"/>
      <c r="N183" s="106"/>
    </row>
    <row r="184" spans="2:26">
      <c r="B184" s="73">
        <v>4</v>
      </c>
      <c r="C184" s="105"/>
      <c r="D184" s="62"/>
      <c r="E184" s="73"/>
      <c r="F184" s="62">
        <v>2.71</v>
      </c>
      <c r="G184" s="73"/>
      <c r="H184" s="73"/>
      <c r="I184" s="73"/>
      <c r="J184" s="73"/>
      <c r="K184" s="73"/>
      <c r="L184" s="73"/>
      <c r="M184" s="73"/>
      <c r="N184" s="106"/>
    </row>
    <row r="185" spans="2:26">
      <c r="B185" s="73"/>
      <c r="C185" s="105"/>
      <c r="D185" s="62"/>
      <c r="E185" s="73"/>
      <c r="F185" s="62"/>
      <c r="G185" s="73"/>
      <c r="H185" s="73"/>
      <c r="I185" s="73"/>
      <c r="J185" s="73" t="s">
        <v>310</v>
      </c>
      <c r="K185" s="73" t="s">
        <v>311</v>
      </c>
      <c r="L185" s="73" t="s">
        <v>312</v>
      </c>
      <c r="M185" s="64" t="s">
        <v>313</v>
      </c>
      <c r="N185" s="106" t="s">
        <v>314</v>
      </c>
    </row>
    <row r="186" spans="2:26" ht="14.25" thickBot="1">
      <c r="B186" s="73"/>
      <c r="C186" s="105"/>
      <c r="D186" s="73"/>
      <c r="E186" s="73"/>
      <c r="F186" s="73"/>
      <c r="G186" s="73"/>
      <c r="H186" s="73"/>
      <c r="I186" s="73"/>
      <c r="J186" s="31">
        <f>E175</f>
        <v>4.4077134986225897E-2</v>
      </c>
      <c r="K186" s="120">
        <f>G175</f>
        <v>0.65426997245179064</v>
      </c>
      <c r="L186" s="120">
        <f>I175</f>
        <v>4.6831955922865015E-2</v>
      </c>
      <c r="M186" s="120">
        <f>K175</f>
        <v>0.13360881542699718</v>
      </c>
      <c r="N186" s="106">
        <f>O175</f>
        <v>0.12121212121212122</v>
      </c>
    </row>
    <row r="187" spans="2:26">
      <c r="B187" s="73"/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</row>
    <row r="188" spans="2:26">
      <c r="B188" s="73"/>
      <c r="C188" s="105"/>
      <c r="D188" s="62"/>
      <c r="E188" s="73"/>
      <c r="F188" s="62"/>
      <c r="G188" s="73"/>
      <c r="H188" s="73"/>
      <c r="I188" s="73"/>
      <c r="J188" s="73"/>
      <c r="K188" s="73"/>
      <c r="L188" s="73"/>
      <c r="M188" s="73"/>
      <c r="N188" s="106"/>
    </row>
    <row r="189" spans="2:26">
      <c r="B189" s="73"/>
      <c r="C189" s="105"/>
      <c r="D189" s="62"/>
      <c r="E189" s="73"/>
      <c r="F189" s="62"/>
      <c r="G189" s="73"/>
      <c r="H189" s="73"/>
      <c r="I189" s="73"/>
      <c r="J189" s="73"/>
      <c r="K189" s="73"/>
      <c r="L189" s="73"/>
      <c r="M189" s="73"/>
      <c r="N189" s="106"/>
    </row>
    <row r="190" spans="2:26">
      <c r="B190" s="73"/>
      <c r="C190" s="105"/>
      <c r="D190" s="62"/>
      <c r="E190" s="73"/>
      <c r="F190" s="62"/>
      <c r="G190" s="73"/>
      <c r="H190" s="73"/>
      <c r="I190" s="73"/>
      <c r="J190" s="73"/>
      <c r="K190" s="73"/>
      <c r="L190" s="73"/>
      <c r="M190" s="73"/>
      <c r="N190" s="106"/>
    </row>
    <row r="191" spans="2:26">
      <c r="B191" s="73"/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</row>
    <row r="192" spans="2:26">
      <c r="B192" s="73"/>
      <c r="C192" s="105"/>
      <c r="D192" s="62"/>
      <c r="E192" s="73"/>
      <c r="F192" s="62"/>
      <c r="G192" s="73"/>
      <c r="H192" s="73"/>
      <c r="I192" s="73"/>
      <c r="J192" s="73"/>
      <c r="K192" s="73"/>
      <c r="L192" s="73"/>
      <c r="M192" s="73"/>
      <c r="N192" s="106"/>
    </row>
    <row r="193" spans="2:26">
      <c r="B193" s="73"/>
      <c r="C193" s="105"/>
      <c r="D193" s="62"/>
      <c r="E193" s="73"/>
      <c r="F193" s="62"/>
      <c r="G193" s="73"/>
      <c r="H193" s="73"/>
      <c r="I193" s="73"/>
      <c r="J193" s="73"/>
      <c r="K193" s="73"/>
      <c r="L193" s="73"/>
      <c r="M193" s="73"/>
      <c r="N193" s="106"/>
    </row>
    <row r="194" spans="2:26">
      <c r="B194" s="73"/>
      <c r="C194" s="105"/>
      <c r="D194" s="62"/>
      <c r="E194" s="73"/>
      <c r="F194" s="62"/>
      <c r="G194" s="73"/>
      <c r="H194" s="73"/>
      <c r="I194" s="73"/>
      <c r="J194" s="73"/>
      <c r="K194" s="73"/>
      <c r="L194" s="73"/>
      <c r="M194" s="73"/>
      <c r="N194" s="106"/>
    </row>
    <row r="198" spans="2:26" ht="14.25" thickBot="1">
      <c r="J198" t="s">
        <v>161</v>
      </c>
      <c r="K198" t="s">
        <v>169</v>
      </c>
      <c r="L198" t="s">
        <v>229</v>
      </c>
      <c r="M198" t="s">
        <v>232</v>
      </c>
      <c r="O198" t="s">
        <v>225</v>
      </c>
      <c r="P198" t="s">
        <v>227</v>
      </c>
    </row>
    <row r="199" spans="2:26" ht="14.25" thickBot="1">
      <c r="B199" s="171" t="s">
        <v>162</v>
      </c>
      <c r="C199" s="171" t="s">
        <v>163</v>
      </c>
      <c r="D199" s="169" t="s">
        <v>187</v>
      </c>
      <c r="E199" s="170"/>
      <c r="F199" s="169" t="s">
        <v>185</v>
      </c>
      <c r="G199" s="170"/>
      <c r="H199" s="169" t="s">
        <v>186</v>
      </c>
      <c r="I199" s="170"/>
      <c r="J199" s="169" t="s">
        <v>228</v>
      </c>
      <c r="K199" s="170"/>
      <c r="L199" s="169" t="s">
        <v>184</v>
      </c>
      <c r="M199" s="170"/>
      <c r="N199" s="169" t="s">
        <v>231</v>
      </c>
      <c r="O199" s="170"/>
      <c r="T199" t="s">
        <v>163</v>
      </c>
      <c r="U199" t="s">
        <v>163</v>
      </c>
      <c r="V199" t="s">
        <v>165</v>
      </c>
      <c r="W199" t="s">
        <v>165</v>
      </c>
      <c r="Y199" s="169" t="s">
        <v>184</v>
      </c>
      <c r="Z199" s="170"/>
    </row>
    <row r="200" spans="2:26" ht="14.25" thickBot="1">
      <c r="B200" s="172"/>
      <c r="C200" s="172"/>
      <c r="D200" s="83" t="s">
        <v>167</v>
      </c>
      <c r="E200" s="83" t="s">
        <v>168</v>
      </c>
      <c r="F200" s="83" t="s">
        <v>167</v>
      </c>
      <c r="G200" s="83" t="s">
        <v>168</v>
      </c>
      <c r="H200" s="83" t="s">
        <v>167</v>
      </c>
      <c r="I200" s="83" t="s">
        <v>168</v>
      </c>
      <c r="J200" s="83" t="s">
        <v>167</v>
      </c>
      <c r="K200" s="83" t="s">
        <v>168</v>
      </c>
      <c r="L200" s="83" t="s">
        <v>182</v>
      </c>
      <c r="M200" s="18" t="s">
        <v>183</v>
      </c>
      <c r="N200" s="83" t="s">
        <v>167</v>
      </c>
      <c r="O200" s="83" t="s">
        <v>168</v>
      </c>
      <c r="S200" s="83" t="s">
        <v>162</v>
      </c>
      <c r="T200" s="83" t="s">
        <v>192</v>
      </c>
      <c r="U200" s="83" t="s">
        <v>243</v>
      </c>
      <c r="V200" s="83" t="s">
        <v>192</v>
      </c>
      <c r="W200" s="83" t="s">
        <v>243</v>
      </c>
      <c r="Y200" s="83" t="s">
        <v>182</v>
      </c>
      <c r="Z200" s="83" t="s">
        <v>183</v>
      </c>
    </row>
    <row r="201" spans="2:26" ht="14.25" thickBot="1">
      <c r="B201" s="82">
        <v>1</v>
      </c>
      <c r="C201" s="17">
        <v>3.13</v>
      </c>
      <c r="D201" s="17">
        <v>0.32</v>
      </c>
      <c r="E201" s="31">
        <f>D201/C201</f>
        <v>0.10223642172523963</v>
      </c>
      <c r="F201" s="17">
        <v>0.73</v>
      </c>
      <c r="G201" s="31">
        <f>F201/C201</f>
        <v>0.23322683706070288</v>
      </c>
      <c r="H201" s="18">
        <v>0.34</v>
      </c>
      <c r="I201" s="31">
        <f>H201/C201</f>
        <v>0.1086261980830671</v>
      </c>
      <c r="J201" s="18">
        <f>C201-D201-F201-H201-N201</f>
        <v>0.86</v>
      </c>
      <c r="K201" s="31">
        <f t="shared" ref="K201" si="100">J201/C201</f>
        <v>0.27476038338658149</v>
      </c>
      <c r="L201" s="18">
        <f>F19/F201</f>
        <v>1.1232876712328765</v>
      </c>
      <c r="M201" s="18">
        <f>C19/C201</f>
        <v>0.84984025559105436</v>
      </c>
      <c r="N201" s="17">
        <v>0.88</v>
      </c>
      <c r="O201" s="31">
        <f>N201/C201</f>
        <v>0.28115015974440893</v>
      </c>
      <c r="P201">
        <v>0.69</v>
      </c>
      <c r="Q201" s="43">
        <f>0.13/C201</f>
        <v>4.1533546325878599E-2</v>
      </c>
      <c r="S201" s="82">
        <v>1</v>
      </c>
      <c r="T201" s="18">
        <f>C19</f>
        <v>2.66</v>
      </c>
      <c r="U201" s="18">
        <f>C201</f>
        <v>3.13</v>
      </c>
      <c r="V201" s="18">
        <f>F19</f>
        <v>0.81999999999999984</v>
      </c>
      <c r="W201" s="18">
        <f>F201</f>
        <v>0.73</v>
      </c>
      <c r="Y201" s="89">
        <f>V201/W201</f>
        <v>1.1232876712328765</v>
      </c>
      <c r="Z201" s="18">
        <f>T201/U201</f>
        <v>0.84984025559105436</v>
      </c>
    </row>
    <row r="202" spans="2:26" ht="14.25" thickBot="1">
      <c r="B202" s="82">
        <v>2</v>
      </c>
      <c r="C202" s="17">
        <v>3.99</v>
      </c>
      <c r="D202" s="17">
        <v>0.32</v>
      </c>
      <c r="E202" s="31">
        <f t="shared" ref="E202:E204" si="101">D202/C202</f>
        <v>8.0200501253132828E-2</v>
      </c>
      <c r="F202" s="17">
        <v>1.48</v>
      </c>
      <c r="G202" s="31">
        <f t="shared" ref="G202:G204" si="102">F202/C202</f>
        <v>0.37092731829573933</v>
      </c>
      <c r="H202" s="18">
        <v>0.34</v>
      </c>
      <c r="I202" s="31">
        <f t="shared" ref="I202:I204" si="103">H202/C202</f>
        <v>8.5213032581453629E-2</v>
      </c>
      <c r="J202" s="18">
        <f>C202-D202-F202-H202-N202</f>
        <v>0.97000000000000031</v>
      </c>
      <c r="K202" s="31">
        <f>J202/C202</f>
        <v>0.24310776942355897</v>
      </c>
      <c r="L202" s="18">
        <f t="shared" ref="L202:L204" si="104">F20/F202</f>
        <v>3.439189189189189</v>
      </c>
      <c r="M202" s="18">
        <f t="shared" ref="M202:M204" si="105">C20/C202</f>
        <v>1.7994987468671677</v>
      </c>
      <c r="N202" s="17">
        <v>0.88</v>
      </c>
      <c r="O202" s="31">
        <f>N202/C202</f>
        <v>0.22055137844611528</v>
      </c>
      <c r="P202">
        <v>0.54</v>
      </c>
      <c r="Q202" s="43">
        <f>0.11/C202</f>
        <v>2.7568922305764409E-2</v>
      </c>
      <c r="S202" s="82">
        <v>2</v>
      </c>
      <c r="T202" s="18">
        <f t="shared" ref="T202:T204" si="106">C20</f>
        <v>7.18</v>
      </c>
      <c r="U202" s="18">
        <f>C202</f>
        <v>3.99</v>
      </c>
      <c r="V202" s="18">
        <f t="shared" ref="V202:V204" si="107">F20</f>
        <v>5.09</v>
      </c>
      <c r="W202" s="18">
        <f>F202</f>
        <v>1.48</v>
      </c>
      <c r="Y202" s="89">
        <f>V202/W202</f>
        <v>3.439189189189189</v>
      </c>
      <c r="Z202" s="18">
        <f>T202/U202</f>
        <v>1.7994987468671677</v>
      </c>
    </row>
    <row r="203" spans="2:26" ht="14.25" thickBot="1">
      <c r="B203" s="82">
        <v>3</v>
      </c>
      <c r="C203" s="17">
        <v>4.54</v>
      </c>
      <c r="D203" s="17">
        <v>0.32</v>
      </c>
      <c r="E203" s="31">
        <f t="shared" si="101"/>
        <v>7.0484581497797363E-2</v>
      </c>
      <c r="F203" s="17">
        <v>2.1</v>
      </c>
      <c r="G203" s="31">
        <f t="shared" si="102"/>
        <v>0.4625550660792952</v>
      </c>
      <c r="H203" s="18">
        <v>0.34</v>
      </c>
      <c r="I203" s="31">
        <f t="shared" si="103"/>
        <v>7.4889867841409691E-2</v>
      </c>
      <c r="J203" s="18">
        <f t="shared" ref="J203:J204" si="108">C203-D203-F203-H203-N203</f>
        <v>0.89999999999999958</v>
      </c>
      <c r="K203" s="31">
        <f t="shared" ref="K203" si="109">J203/C203</f>
        <v>0.19823788546255497</v>
      </c>
      <c r="L203" s="18">
        <f t="shared" si="104"/>
        <v>3.1142857142857143</v>
      </c>
      <c r="M203" s="18">
        <f t="shared" si="105"/>
        <v>1.9273127753303965</v>
      </c>
      <c r="N203" s="17">
        <v>0.88</v>
      </c>
      <c r="O203" s="31">
        <f>N203/C203</f>
        <v>0.19383259911894274</v>
      </c>
      <c r="P203">
        <v>0.72</v>
      </c>
      <c r="Q203" s="43">
        <f>0.12/C203</f>
        <v>2.6431718061674006E-2</v>
      </c>
      <c r="S203" s="82">
        <v>3</v>
      </c>
      <c r="T203" s="18">
        <f t="shared" si="106"/>
        <v>8.75</v>
      </c>
      <c r="U203" s="18">
        <f>C203</f>
        <v>4.54</v>
      </c>
      <c r="V203" s="18">
        <f t="shared" si="107"/>
        <v>6.54</v>
      </c>
      <c r="W203" s="18">
        <f>F203</f>
        <v>2.1</v>
      </c>
      <c r="Y203" s="89">
        <f>V203/W203</f>
        <v>3.1142857142857143</v>
      </c>
      <c r="Z203" s="18">
        <f>T203/U203</f>
        <v>1.9273127753303965</v>
      </c>
    </row>
    <row r="204" spans="2:26" ht="14.25" thickBot="1">
      <c r="B204" s="82">
        <v>4</v>
      </c>
      <c r="C204" s="17">
        <v>5.21</v>
      </c>
      <c r="D204" s="17">
        <v>0.32</v>
      </c>
      <c r="E204" s="31">
        <f t="shared" si="101"/>
        <v>6.1420345489443383E-2</v>
      </c>
      <c r="F204" s="17">
        <v>2.71</v>
      </c>
      <c r="G204" s="31">
        <f t="shared" si="102"/>
        <v>0.52015355086372361</v>
      </c>
      <c r="H204" s="18">
        <v>0.34</v>
      </c>
      <c r="I204" s="31">
        <f t="shared" si="103"/>
        <v>6.5259117082533596E-2</v>
      </c>
      <c r="J204" s="18">
        <f t="shared" si="108"/>
        <v>0.95999999999999963</v>
      </c>
      <c r="K204" s="31">
        <f>J204/C204</f>
        <v>0.18426103646833006</v>
      </c>
      <c r="L204" s="18">
        <f t="shared" si="104"/>
        <v>2.9778597785977863</v>
      </c>
      <c r="M204" s="18">
        <f t="shared" si="105"/>
        <v>1.9577735124760076</v>
      </c>
      <c r="N204" s="17">
        <v>0.88</v>
      </c>
      <c r="O204" s="31">
        <f>N204/C204</f>
        <v>0.16890595009596929</v>
      </c>
      <c r="P204">
        <v>0.72</v>
      </c>
      <c r="Q204" s="43">
        <f>0.14/C204</f>
        <v>2.6871401151631481E-2</v>
      </c>
      <c r="S204" s="82">
        <v>4</v>
      </c>
      <c r="T204" s="18">
        <f t="shared" si="106"/>
        <v>10.199999999999999</v>
      </c>
      <c r="U204" s="18">
        <f>C204</f>
        <v>5.21</v>
      </c>
      <c r="V204" s="18">
        <f t="shared" si="107"/>
        <v>8.07</v>
      </c>
      <c r="W204" s="18">
        <f>F204</f>
        <v>2.71</v>
      </c>
      <c r="Y204" s="89">
        <f>V204/W204</f>
        <v>2.9778597785977863</v>
      </c>
      <c r="Z204" s="18">
        <f>T204/U204</f>
        <v>1.9577735124760076</v>
      </c>
    </row>
    <row r="206" spans="2:26" ht="14.25" thickBot="1">
      <c r="B206" s="73"/>
      <c r="C206" s="105"/>
      <c r="D206" s="62"/>
      <c r="E206" s="73"/>
      <c r="F206" s="62"/>
      <c r="G206" s="73"/>
      <c r="H206" s="73"/>
      <c r="I206" s="73"/>
      <c r="J206" s="73"/>
      <c r="K206" s="73"/>
      <c r="L206" s="73"/>
      <c r="M206" s="73"/>
      <c r="N206" s="106"/>
      <c r="O206" s="73"/>
    </row>
    <row r="207" spans="2:26" ht="14.25" thickBot="1">
      <c r="B207" s="73"/>
      <c r="C207" s="105"/>
      <c r="D207" s="62"/>
      <c r="E207" s="73"/>
      <c r="F207" s="62"/>
      <c r="G207" s="73"/>
      <c r="H207" s="73"/>
      <c r="I207" s="73"/>
      <c r="J207" s="73" t="s">
        <v>310</v>
      </c>
      <c r="K207" s="73" t="s">
        <v>311</v>
      </c>
      <c r="L207" s="73" t="s">
        <v>312</v>
      </c>
      <c r="M207" s="64" t="s">
        <v>313</v>
      </c>
      <c r="N207" s="106" t="s">
        <v>314</v>
      </c>
      <c r="O207" s="73"/>
      <c r="Y207" s="169" t="s">
        <v>248</v>
      </c>
      <c r="Z207" s="170"/>
    </row>
    <row r="208" spans="2:26" ht="14.25" thickBot="1">
      <c r="B208" s="73"/>
      <c r="C208" s="105"/>
      <c r="D208" s="62"/>
      <c r="E208" s="73"/>
      <c r="F208" s="62"/>
      <c r="G208" s="73"/>
      <c r="H208" s="73"/>
      <c r="I208" s="73"/>
      <c r="J208" s="31">
        <f>E202</f>
        <v>8.0200501253132828E-2</v>
      </c>
      <c r="K208" s="120">
        <f>G202</f>
        <v>0.37092731829573933</v>
      </c>
      <c r="L208" s="120">
        <f>I202</f>
        <v>8.5213032581453629E-2</v>
      </c>
      <c r="M208" s="120">
        <f>K202</f>
        <v>0.24310776942355897</v>
      </c>
      <c r="N208" s="106">
        <f>O202</f>
        <v>0.22055137844611528</v>
      </c>
      <c r="O208" s="73"/>
      <c r="X208" s="83"/>
      <c r="Y208" s="83" t="s">
        <v>182</v>
      </c>
      <c r="Z208" s="83" t="s">
        <v>183</v>
      </c>
    </row>
    <row r="209" spans="1:26" ht="14.25" thickBot="1">
      <c r="A209" t="s">
        <v>238</v>
      </c>
      <c r="B209" s="73"/>
      <c r="C209" s="73"/>
      <c r="D209" s="73"/>
      <c r="E209" s="73"/>
      <c r="F209" s="62"/>
      <c r="G209" s="73"/>
      <c r="H209" s="73"/>
      <c r="I209" s="73"/>
      <c r="J209" s="73"/>
      <c r="K209" s="73"/>
      <c r="L209" s="73"/>
      <c r="M209" s="73"/>
      <c r="N209" s="73"/>
      <c r="O209" s="73"/>
      <c r="X209" s="83" t="s">
        <v>249</v>
      </c>
      <c r="Y209" s="89">
        <f>Y175</f>
        <v>1.071578947368421</v>
      </c>
      <c r="Z209" s="18">
        <f>Z175</f>
        <v>0.98898071625344353</v>
      </c>
    </row>
    <row r="210" spans="1:26" ht="14.25" thickBot="1">
      <c r="B210" s="73" t="s">
        <v>235</v>
      </c>
      <c r="C210" s="109">
        <v>3.13</v>
      </c>
      <c r="D210" s="62"/>
      <c r="E210" s="73"/>
      <c r="F210" s="62">
        <v>0.73</v>
      </c>
      <c r="G210" s="73"/>
      <c r="H210" s="73"/>
      <c r="I210" s="73"/>
      <c r="J210" s="73"/>
      <c r="K210" s="73"/>
      <c r="L210" s="73"/>
      <c r="M210" s="73"/>
      <c r="N210" s="106"/>
      <c r="O210" s="73"/>
      <c r="X210" s="83" t="s">
        <v>250</v>
      </c>
      <c r="Y210" s="89">
        <f>Y202</f>
        <v>3.439189189189189</v>
      </c>
      <c r="Z210" s="18">
        <f>Z202</f>
        <v>1.7994987468671677</v>
      </c>
    </row>
    <row r="211" spans="1:26">
      <c r="A211" s="105" t="s">
        <v>236</v>
      </c>
      <c r="B211" s="73" t="s">
        <v>234</v>
      </c>
      <c r="C211" s="110">
        <v>3.36</v>
      </c>
      <c r="D211" s="62">
        <v>3.34</v>
      </c>
      <c r="E211" s="73"/>
      <c r="F211" s="62">
        <v>0.96</v>
      </c>
      <c r="G211" s="112">
        <f>F210/F211-1</f>
        <v>-0.23958333333333337</v>
      </c>
      <c r="H211" s="73"/>
      <c r="I211" s="73"/>
      <c r="J211" s="73"/>
      <c r="K211" s="73"/>
      <c r="L211" s="73"/>
      <c r="M211" s="73"/>
      <c r="N211" s="106"/>
      <c r="O211" s="73"/>
    </row>
    <row r="212" spans="1:26">
      <c r="A212" s="105" t="s">
        <v>237</v>
      </c>
      <c r="B212" s="73" t="s">
        <v>234</v>
      </c>
      <c r="C212" s="111">
        <v>3.15</v>
      </c>
      <c r="D212" s="62"/>
      <c r="E212" s="73"/>
      <c r="F212" s="62">
        <v>0.75</v>
      </c>
      <c r="G212" s="112">
        <f>F211/F212-1</f>
        <v>0.28000000000000003</v>
      </c>
      <c r="H212" s="73"/>
      <c r="I212" s="73"/>
      <c r="J212" s="73"/>
      <c r="K212" s="73"/>
      <c r="L212" s="73"/>
      <c r="M212" s="73"/>
      <c r="N212" s="106"/>
      <c r="O212" s="73"/>
    </row>
    <row r="213" spans="1:26">
      <c r="B213" s="73"/>
      <c r="C213" s="105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106"/>
      <c r="O213" s="73"/>
    </row>
    <row r="214" spans="1:26">
      <c r="B214" s="73"/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</row>
    <row r="215" spans="1:26">
      <c r="B215" s="64"/>
      <c r="C215" s="105"/>
      <c r="D215" s="62"/>
      <c r="E215" s="73"/>
      <c r="F215" s="62"/>
      <c r="G215" s="73"/>
      <c r="H215" s="73"/>
      <c r="I215" s="73"/>
      <c r="J215" s="73"/>
      <c r="K215" s="73"/>
      <c r="L215" s="73"/>
      <c r="M215" s="73"/>
      <c r="N215" s="106"/>
      <c r="O215" s="73"/>
    </row>
    <row r="216" spans="1:26">
      <c r="B216" s="73"/>
      <c r="C216" s="105"/>
      <c r="D216" s="62"/>
      <c r="E216" s="73"/>
      <c r="F216" s="62"/>
      <c r="G216" s="73"/>
      <c r="H216" s="73"/>
      <c r="I216" s="73"/>
      <c r="J216" s="73"/>
      <c r="K216" s="73"/>
      <c r="L216" s="73"/>
      <c r="M216" s="73"/>
      <c r="N216" s="106"/>
      <c r="O216" s="73"/>
    </row>
    <row r="217" spans="1:26">
      <c r="B217" s="64"/>
      <c r="C217" s="105"/>
      <c r="D217" s="62"/>
      <c r="E217" s="73"/>
      <c r="F217" s="62"/>
      <c r="G217" s="73"/>
      <c r="H217" s="73"/>
      <c r="I217" s="73"/>
      <c r="J217" s="73"/>
      <c r="K217" s="73"/>
      <c r="L217" s="73"/>
      <c r="M217" s="73"/>
      <c r="N217" s="106"/>
      <c r="O217" s="73"/>
    </row>
    <row r="218" spans="1:26">
      <c r="B218" s="73"/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</row>
    <row r="219" spans="1:26">
      <c r="B219" s="73"/>
      <c r="C219" s="105"/>
      <c r="D219" s="62"/>
      <c r="E219" s="73"/>
      <c r="F219" s="62"/>
      <c r="G219" s="73"/>
      <c r="H219" s="73"/>
      <c r="I219" s="73"/>
      <c r="J219" s="73"/>
      <c r="K219" s="73"/>
      <c r="L219" s="73"/>
      <c r="M219" s="73"/>
      <c r="N219" s="106"/>
      <c r="O219" s="73"/>
    </row>
    <row r="220" spans="1:26">
      <c r="B220" s="73"/>
      <c r="C220" s="105"/>
      <c r="D220" s="62"/>
      <c r="E220" s="73"/>
      <c r="F220" s="62"/>
      <c r="G220" s="73"/>
      <c r="H220" s="73"/>
      <c r="I220" s="73"/>
      <c r="J220" s="73"/>
      <c r="K220" s="73"/>
      <c r="L220" s="73"/>
      <c r="M220" s="73"/>
      <c r="N220" s="106"/>
      <c r="O220" s="73"/>
    </row>
    <row r="221" spans="1:26" ht="14.25" thickBot="1">
      <c r="J221" t="s">
        <v>161</v>
      </c>
      <c r="K221" t="s">
        <v>169</v>
      </c>
      <c r="L221" t="s">
        <v>229</v>
      </c>
      <c r="M221" t="s">
        <v>242</v>
      </c>
      <c r="O221" t="s">
        <v>225</v>
      </c>
      <c r="P221" t="s">
        <v>227</v>
      </c>
    </row>
    <row r="222" spans="1:26" ht="14.25" thickBot="1">
      <c r="B222" s="171" t="s">
        <v>162</v>
      </c>
      <c r="C222" s="171" t="s">
        <v>163</v>
      </c>
      <c r="D222" s="169" t="s">
        <v>187</v>
      </c>
      <c r="E222" s="170"/>
      <c r="F222" s="169" t="s">
        <v>185</v>
      </c>
      <c r="G222" s="170"/>
      <c r="H222" s="169" t="s">
        <v>186</v>
      </c>
      <c r="I222" s="170"/>
      <c r="J222" s="169" t="s">
        <v>228</v>
      </c>
      <c r="K222" s="170"/>
      <c r="L222" s="169" t="s">
        <v>184</v>
      </c>
      <c r="M222" s="170"/>
      <c r="N222" s="169" t="s">
        <v>231</v>
      </c>
      <c r="O222" s="170"/>
      <c r="T222" t="s">
        <v>163</v>
      </c>
      <c r="U222" t="s">
        <v>163</v>
      </c>
      <c r="V222" t="s">
        <v>165</v>
      </c>
      <c r="W222" t="s">
        <v>165</v>
      </c>
      <c r="Y222" s="169" t="s">
        <v>184</v>
      </c>
      <c r="Z222" s="170"/>
    </row>
    <row r="223" spans="1:26" ht="14.25" thickBot="1">
      <c r="B223" s="172"/>
      <c r="C223" s="172"/>
      <c r="D223" s="83" t="s">
        <v>167</v>
      </c>
      <c r="E223" s="83" t="s">
        <v>168</v>
      </c>
      <c r="F223" s="83" t="s">
        <v>167</v>
      </c>
      <c r="G223" s="83" t="s">
        <v>168</v>
      </c>
      <c r="H223" s="83" t="s">
        <v>167</v>
      </c>
      <c r="I223" s="83" t="s">
        <v>168</v>
      </c>
      <c r="J223" s="83" t="s">
        <v>167</v>
      </c>
      <c r="K223" s="83" t="s">
        <v>168</v>
      </c>
      <c r="L223" s="83" t="s">
        <v>182</v>
      </c>
      <c r="M223" s="18" t="s">
        <v>183</v>
      </c>
      <c r="N223" s="83" t="s">
        <v>167</v>
      </c>
      <c r="O223" s="83" t="s">
        <v>168</v>
      </c>
      <c r="S223" s="83" t="s">
        <v>162</v>
      </c>
      <c r="T223" s="83" t="s">
        <v>244</v>
      </c>
      <c r="U223" s="83" t="s">
        <v>243</v>
      </c>
      <c r="V223" s="83" t="s">
        <v>192</v>
      </c>
      <c r="W223" s="83" t="s">
        <v>243</v>
      </c>
      <c r="Y223" s="83" t="s">
        <v>182</v>
      </c>
      <c r="Z223" s="83" t="s">
        <v>183</v>
      </c>
    </row>
    <row r="224" spans="1:26" ht="14.25" thickBot="1">
      <c r="B224" s="82">
        <v>1</v>
      </c>
      <c r="C224" s="17">
        <v>5.0199999999999996</v>
      </c>
      <c r="D224" s="17">
        <v>0.32</v>
      </c>
      <c r="E224" s="31">
        <f>D224/C224</f>
        <v>6.3745019920318738E-2</v>
      </c>
      <c r="F224" s="17">
        <v>2.5099999999999998</v>
      </c>
      <c r="G224" s="31">
        <f>F224/C224</f>
        <v>0.5</v>
      </c>
      <c r="H224" s="18">
        <v>0.34</v>
      </c>
      <c r="I224" s="31">
        <f>H224/C224</f>
        <v>6.7729083665338655E-2</v>
      </c>
      <c r="J224" s="18">
        <f>C224-D224-F224-H224-N224</f>
        <v>0.96999999999999942</v>
      </c>
      <c r="K224" s="31">
        <f t="shared" ref="K224" si="110">J224/C224</f>
        <v>0.19322709163346605</v>
      </c>
      <c r="L224" s="18">
        <f>F19/F224</f>
        <v>0.32669322709163345</v>
      </c>
      <c r="M224" s="18">
        <f>C19/C224</f>
        <v>0.52988047808764949</v>
      </c>
      <c r="N224" s="17">
        <v>0.88</v>
      </c>
      <c r="O224" s="31">
        <f>N224/C224</f>
        <v>0.1752988047808765</v>
      </c>
      <c r="P224">
        <v>0.69</v>
      </c>
      <c r="Q224" s="43">
        <f>0.12/C224</f>
        <v>2.3904382470119521E-2</v>
      </c>
      <c r="S224" s="82">
        <v>1</v>
      </c>
      <c r="T224" s="18">
        <f>C19</f>
        <v>2.66</v>
      </c>
      <c r="U224" s="18">
        <f>C224</f>
        <v>5.0199999999999996</v>
      </c>
      <c r="V224" s="18">
        <f>F19</f>
        <v>0.81999999999999984</v>
      </c>
      <c r="W224" s="18">
        <f>F224</f>
        <v>2.5099999999999998</v>
      </c>
      <c r="Y224" s="89">
        <f>V224/W224</f>
        <v>0.32669322709163345</v>
      </c>
      <c r="Z224" s="18">
        <f>T224/U224</f>
        <v>0.52988047808764949</v>
      </c>
    </row>
    <row r="225" spans="2:26" ht="14.25" thickBot="1">
      <c r="B225" s="82">
        <v>2</v>
      </c>
      <c r="C225" s="17">
        <v>7.13</v>
      </c>
      <c r="D225" s="17">
        <v>0.32</v>
      </c>
      <c r="E225" s="31">
        <f t="shared" ref="E225:E227" si="111">D225/C225</f>
        <v>4.4880785413744739E-2</v>
      </c>
      <c r="F225" s="17">
        <v>4.63</v>
      </c>
      <c r="G225" s="31">
        <f t="shared" ref="G225:G227" si="112">F225/C225</f>
        <v>0.64936886395511917</v>
      </c>
      <c r="H225" s="18">
        <v>0.34</v>
      </c>
      <c r="I225" s="31">
        <f t="shared" ref="I225:I227" si="113">H225/C225</f>
        <v>4.7685834502103792E-2</v>
      </c>
      <c r="J225" s="18">
        <f>C225-D225-F225-H225-N225</f>
        <v>0.95999999999999963</v>
      </c>
      <c r="K225" s="31">
        <f>J225/C225</f>
        <v>0.13464235624123416</v>
      </c>
      <c r="L225" s="18">
        <f t="shared" ref="L225:L227" si="114">F20/F225</f>
        <v>1.0993520518358531</v>
      </c>
      <c r="M225" s="18">
        <f t="shared" ref="M225:M227" si="115">C20/C225</f>
        <v>1.0070126227208975</v>
      </c>
      <c r="N225" s="17">
        <v>0.88</v>
      </c>
      <c r="O225" s="31">
        <f>N225/C225</f>
        <v>0.12342215988779803</v>
      </c>
      <c r="P225">
        <v>0.54</v>
      </c>
      <c r="Q225" s="43">
        <f>0.17/C225</f>
        <v>2.3842917251051896E-2</v>
      </c>
      <c r="S225" s="82">
        <v>2</v>
      </c>
      <c r="T225" s="18">
        <f t="shared" ref="T225:T227" si="116">C20</f>
        <v>7.18</v>
      </c>
      <c r="U225" s="18">
        <f>C225</f>
        <v>7.13</v>
      </c>
      <c r="V225" s="18">
        <f t="shared" ref="V225:V227" si="117">F20</f>
        <v>5.09</v>
      </c>
      <c r="W225" s="18">
        <f>F225</f>
        <v>4.63</v>
      </c>
      <c r="Y225" s="89">
        <f>V225/W225</f>
        <v>1.0993520518358531</v>
      </c>
      <c r="Z225" s="18">
        <f>T225/U225</f>
        <v>1.0070126227208975</v>
      </c>
    </row>
    <row r="226" spans="2:26" ht="14.25" thickBot="1">
      <c r="B226" s="82">
        <v>3</v>
      </c>
      <c r="C226" s="17">
        <v>8.9499999999999993</v>
      </c>
      <c r="D226" s="17">
        <v>0.32</v>
      </c>
      <c r="E226" s="31">
        <f t="shared" si="111"/>
        <v>3.5754189944134082E-2</v>
      </c>
      <c r="F226" s="17">
        <v>6.52</v>
      </c>
      <c r="G226" s="31">
        <f t="shared" si="112"/>
        <v>0.72849162011173185</v>
      </c>
      <c r="H226" s="18">
        <v>0.34</v>
      </c>
      <c r="I226" s="31">
        <f t="shared" si="113"/>
        <v>3.7988826815642467E-2</v>
      </c>
      <c r="J226" s="18">
        <f t="shared" ref="J226:J227" si="118">C226-D226-F226-H226-N226</f>
        <v>0.88999999999999935</v>
      </c>
      <c r="K226" s="31">
        <f t="shared" ref="K226" si="119">J226/C226</f>
        <v>9.9441340782122842E-2</v>
      </c>
      <c r="L226" s="18">
        <f t="shared" si="114"/>
        <v>1.0030674846625767</v>
      </c>
      <c r="M226" s="18">
        <f t="shared" si="115"/>
        <v>0.97765363128491622</v>
      </c>
      <c r="N226" s="17">
        <v>0.88</v>
      </c>
      <c r="O226" s="31">
        <f>N226/C226</f>
        <v>9.8324022346368722E-2</v>
      </c>
      <c r="P226">
        <v>0.72</v>
      </c>
      <c r="Q226" s="43">
        <f>0.14/C226</f>
        <v>1.5642458100558664E-2</v>
      </c>
      <c r="S226" s="82">
        <v>3</v>
      </c>
      <c r="T226" s="18">
        <f t="shared" si="116"/>
        <v>8.75</v>
      </c>
      <c r="U226" s="18">
        <f>C226</f>
        <v>8.9499999999999993</v>
      </c>
      <c r="V226" s="18">
        <f t="shared" si="117"/>
        <v>6.54</v>
      </c>
      <c r="W226" s="18">
        <f>F226</f>
        <v>6.52</v>
      </c>
      <c r="Y226" s="89">
        <f>V226/W226</f>
        <v>1.0030674846625767</v>
      </c>
      <c r="Z226" s="18">
        <f>T226/U226</f>
        <v>0.97765363128491622</v>
      </c>
    </row>
    <row r="227" spans="2:26" ht="14.25" thickBot="1">
      <c r="B227" s="82">
        <v>4</v>
      </c>
      <c r="C227" s="18">
        <v>11</v>
      </c>
      <c r="D227" s="17">
        <v>0.32</v>
      </c>
      <c r="E227" s="31">
        <f t="shared" si="111"/>
        <v>2.9090909090909091E-2</v>
      </c>
      <c r="F227" s="17">
        <v>8.5399999999999991</v>
      </c>
      <c r="G227" s="31">
        <f t="shared" si="112"/>
        <v>0.77636363636363626</v>
      </c>
      <c r="H227" s="18">
        <v>0.34</v>
      </c>
      <c r="I227" s="31">
        <f t="shared" si="113"/>
        <v>3.090909090909091E-2</v>
      </c>
      <c r="J227" s="18">
        <f t="shared" si="118"/>
        <v>0.92000000000000048</v>
      </c>
      <c r="K227" s="31">
        <f>J227/C227</f>
        <v>8.3636363636363675E-2</v>
      </c>
      <c r="L227" s="18">
        <f t="shared" si="114"/>
        <v>0.94496487119437955</v>
      </c>
      <c r="M227" s="18">
        <f t="shared" si="115"/>
        <v>0.92727272727272725</v>
      </c>
      <c r="N227" s="17">
        <v>0.88</v>
      </c>
      <c r="O227" s="31">
        <f>N227/C227</f>
        <v>0.08</v>
      </c>
      <c r="P227">
        <v>0.72</v>
      </c>
      <c r="Q227" s="43">
        <f>0.3/C227</f>
        <v>2.7272727272727271E-2</v>
      </c>
      <c r="S227" s="82">
        <v>4</v>
      </c>
      <c r="T227" s="18">
        <f t="shared" si="116"/>
        <v>10.199999999999999</v>
      </c>
      <c r="U227" s="18">
        <f>C227</f>
        <v>11</v>
      </c>
      <c r="V227" s="18">
        <f t="shared" si="117"/>
        <v>8.07</v>
      </c>
      <c r="W227" s="18">
        <f>F227</f>
        <v>8.5399999999999991</v>
      </c>
      <c r="Y227" s="89">
        <f>V227/W227</f>
        <v>0.94496487119437955</v>
      </c>
      <c r="Z227" s="18">
        <f>T227/U227</f>
        <v>0.92727272727272725</v>
      </c>
    </row>
    <row r="229" spans="2:26" ht="14.25" thickBot="1">
      <c r="B229" s="73"/>
      <c r="C229" s="105"/>
      <c r="D229" s="62"/>
      <c r="E229" s="73"/>
      <c r="F229" s="62"/>
      <c r="G229" s="73"/>
      <c r="H229" s="73"/>
      <c r="I229" s="73"/>
      <c r="J229" s="73"/>
      <c r="K229" s="73"/>
      <c r="L229" s="73"/>
      <c r="M229" s="73"/>
      <c r="N229" s="106"/>
      <c r="O229" s="73"/>
    </row>
    <row r="230" spans="2:26" ht="14.25" thickBot="1">
      <c r="B230" s="73"/>
      <c r="C230" s="105"/>
      <c r="D230" s="62"/>
      <c r="E230" s="73"/>
      <c r="F230" s="62"/>
      <c r="G230" s="73"/>
      <c r="H230" s="73"/>
      <c r="I230" s="73"/>
      <c r="J230" s="73"/>
      <c r="K230" s="73"/>
      <c r="L230" s="73"/>
      <c r="M230" s="73"/>
      <c r="N230" s="106"/>
      <c r="O230" s="73"/>
      <c r="Y230" s="169" t="s">
        <v>248</v>
      </c>
      <c r="Z230" s="170"/>
    </row>
    <row r="231" spans="2:26" ht="14.25" thickBot="1">
      <c r="B231" s="73"/>
      <c r="C231" s="105"/>
      <c r="D231" s="62"/>
      <c r="E231" s="73"/>
      <c r="F231" s="62"/>
      <c r="G231" s="73"/>
      <c r="H231" s="73"/>
      <c r="I231" s="73"/>
      <c r="J231" s="73"/>
      <c r="K231" s="73"/>
      <c r="L231" s="73"/>
      <c r="M231" s="73"/>
      <c r="N231" s="106"/>
      <c r="O231" s="73"/>
      <c r="X231" s="83"/>
      <c r="Y231" s="83" t="s">
        <v>182</v>
      </c>
      <c r="Z231" s="83" t="s">
        <v>183</v>
      </c>
    </row>
    <row r="232" spans="2:26" ht="14.25" thickBot="1">
      <c r="B232" s="73" t="s">
        <v>245</v>
      </c>
      <c r="C232" s="73"/>
      <c r="D232" s="73"/>
      <c r="E232" s="73"/>
      <c r="F232" s="62"/>
      <c r="G232" s="73"/>
      <c r="H232" s="73"/>
      <c r="I232" s="73"/>
      <c r="J232" s="73"/>
      <c r="K232" s="73"/>
      <c r="L232" s="73"/>
      <c r="M232" s="73"/>
      <c r="N232" s="73"/>
      <c r="O232" s="73"/>
      <c r="X232" s="83" t="s">
        <v>249</v>
      </c>
      <c r="Y232" s="89">
        <f>Y175</f>
        <v>1.071578947368421</v>
      </c>
      <c r="Z232" s="18">
        <f>Z175</f>
        <v>0.98898071625344353</v>
      </c>
    </row>
    <row r="233" spans="2:26" ht="14.25" thickBot="1">
      <c r="B233" s="64" t="s">
        <v>240</v>
      </c>
      <c r="C233" s="105">
        <v>3.88</v>
      </c>
      <c r="D233" s="62"/>
      <c r="E233" s="73"/>
      <c r="F233" s="62">
        <v>1.48</v>
      </c>
      <c r="G233" s="73"/>
      <c r="H233" s="73"/>
      <c r="I233" s="73"/>
      <c r="J233" s="73"/>
      <c r="K233" s="73"/>
      <c r="L233" s="73"/>
      <c r="M233" s="73"/>
      <c r="N233" s="106"/>
      <c r="O233" s="73"/>
      <c r="X233" s="83" t="s">
        <v>250</v>
      </c>
      <c r="Y233" s="89">
        <f>Y202</f>
        <v>3.439189189189189</v>
      </c>
      <c r="Z233" s="18">
        <f>Z202</f>
        <v>1.7994987468671677</v>
      </c>
    </row>
    <row r="234" spans="2:26" ht="14.25" thickBot="1">
      <c r="B234" s="73" t="s">
        <v>239</v>
      </c>
      <c r="C234" s="105">
        <v>3.74</v>
      </c>
      <c r="D234" s="106">
        <f>C233/C234-1</f>
        <v>3.7433155080213831E-2</v>
      </c>
      <c r="E234" s="73"/>
      <c r="F234" s="62">
        <v>1.36</v>
      </c>
      <c r="G234" s="106">
        <f>F233/F234-1</f>
        <v>8.8235294117646967E-2</v>
      </c>
      <c r="H234" s="73"/>
      <c r="I234" s="73"/>
      <c r="J234" s="73"/>
      <c r="K234" s="73"/>
      <c r="L234" s="73"/>
      <c r="M234" s="73"/>
      <c r="N234" s="106"/>
      <c r="O234" s="73"/>
      <c r="X234" s="83" t="s">
        <v>251</v>
      </c>
      <c r="Y234" s="89">
        <f>Y225</f>
        <v>1.0993520518358531</v>
      </c>
      <c r="Z234" s="18">
        <f>Z225</f>
        <v>1.0070126227208975</v>
      </c>
    </row>
    <row r="235" spans="2:26">
      <c r="B235" s="64" t="s">
        <v>241</v>
      </c>
      <c r="C235" s="105">
        <v>5.2</v>
      </c>
      <c r="D235" s="62"/>
      <c r="E235" s="73"/>
      <c r="F235" s="62"/>
      <c r="G235" s="73"/>
      <c r="H235" s="73"/>
      <c r="I235" s="73"/>
      <c r="J235" s="73"/>
      <c r="K235" s="73"/>
      <c r="L235" s="73"/>
      <c r="M235" s="73"/>
      <c r="N235" s="106"/>
      <c r="O235" s="73"/>
    </row>
    <row r="236" spans="2:26">
      <c r="B236" s="73"/>
      <c r="C236" s="105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106"/>
      <c r="O236" s="73"/>
    </row>
    <row r="237" spans="2:26">
      <c r="B237" s="73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</row>
    <row r="238" spans="2:26">
      <c r="G238" s="73"/>
      <c r="H238" s="73"/>
      <c r="I238" s="73"/>
      <c r="J238" s="73"/>
      <c r="K238" s="73"/>
      <c r="L238" s="73"/>
      <c r="M238" s="73"/>
      <c r="N238" s="106"/>
      <c r="O238" s="73"/>
    </row>
    <row r="239" spans="2:26">
      <c r="G239" s="73"/>
      <c r="H239" s="73"/>
      <c r="I239" s="73"/>
      <c r="J239" s="73"/>
      <c r="K239" s="73"/>
      <c r="L239" s="73"/>
      <c r="M239" s="73"/>
      <c r="N239" s="106"/>
      <c r="O239" s="73"/>
    </row>
    <row r="240" spans="2:26">
      <c r="G240" s="73"/>
      <c r="H240" s="73"/>
      <c r="I240" s="73"/>
      <c r="J240" s="73"/>
      <c r="K240" s="73"/>
      <c r="L240" s="73"/>
      <c r="M240" s="73"/>
      <c r="N240" s="106"/>
      <c r="O240" s="73"/>
    </row>
    <row r="242" spans="2:26" ht="14.25" thickBot="1">
      <c r="J242" t="s">
        <v>161</v>
      </c>
      <c r="K242" t="s">
        <v>169</v>
      </c>
      <c r="L242" t="s">
        <v>229</v>
      </c>
      <c r="M242" t="s">
        <v>246</v>
      </c>
      <c r="O242" t="s">
        <v>225</v>
      </c>
      <c r="P242" t="s">
        <v>227</v>
      </c>
    </row>
    <row r="243" spans="2:26" ht="14.25" thickBot="1">
      <c r="B243" s="171" t="s">
        <v>162</v>
      </c>
      <c r="C243" s="171" t="s">
        <v>163</v>
      </c>
      <c r="D243" s="169" t="s">
        <v>187</v>
      </c>
      <c r="E243" s="170"/>
      <c r="F243" s="169" t="s">
        <v>185</v>
      </c>
      <c r="G243" s="170"/>
      <c r="H243" s="169" t="s">
        <v>186</v>
      </c>
      <c r="I243" s="170"/>
      <c r="J243" s="169" t="s">
        <v>228</v>
      </c>
      <c r="K243" s="170"/>
      <c r="L243" s="169" t="s">
        <v>184</v>
      </c>
      <c r="M243" s="170"/>
      <c r="N243" s="169" t="s">
        <v>231</v>
      </c>
      <c r="O243" s="170"/>
      <c r="T243" t="s">
        <v>163</v>
      </c>
      <c r="U243" t="s">
        <v>163</v>
      </c>
      <c r="V243" t="s">
        <v>165</v>
      </c>
      <c r="W243" t="s">
        <v>165</v>
      </c>
      <c r="Y243" s="169" t="s">
        <v>184</v>
      </c>
      <c r="Z243" s="170"/>
    </row>
    <row r="244" spans="2:26" ht="14.25" thickBot="1">
      <c r="B244" s="172"/>
      <c r="C244" s="172"/>
      <c r="D244" s="83" t="s">
        <v>167</v>
      </c>
      <c r="E244" s="83" t="s">
        <v>168</v>
      </c>
      <c r="F244" s="83" t="s">
        <v>167</v>
      </c>
      <c r="G244" s="83" t="s">
        <v>168</v>
      </c>
      <c r="H244" s="83" t="s">
        <v>167</v>
      </c>
      <c r="I244" s="83" t="s">
        <v>168</v>
      </c>
      <c r="J244" s="83" t="s">
        <v>167</v>
      </c>
      <c r="K244" s="83" t="s">
        <v>168</v>
      </c>
      <c r="L244" s="83" t="s">
        <v>182</v>
      </c>
      <c r="M244" s="18" t="s">
        <v>183</v>
      </c>
      <c r="N244" s="83" t="s">
        <v>167</v>
      </c>
      <c r="O244" s="83" t="s">
        <v>168</v>
      </c>
      <c r="S244" s="83" t="s">
        <v>162</v>
      </c>
      <c r="T244" s="83" t="s">
        <v>244</v>
      </c>
      <c r="U244" s="83" t="s">
        <v>229</v>
      </c>
      <c r="V244" s="83" t="s">
        <v>192</v>
      </c>
      <c r="W244" s="83" t="s">
        <v>229</v>
      </c>
      <c r="Y244" s="83" t="s">
        <v>182</v>
      </c>
      <c r="Z244" s="83" t="s">
        <v>183</v>
      </c>
    </row>
    <row r="245" spans="2:26" ht="14.25" thickBot="1">
      <c r="B245" s="82">
        <v>1</v>
      </c>
      <c r="C245" s="17">
        <v>3.17</v>
      </c>
      <c r="D245" s="17">
        <v>0.32</v>
      </c>
      <c r="E245" s="31">
        <f>D245/C245</f>
        <v>0.10094637223974764</v>
      </c>
      <c r="F245" s="17">
        <v>0.61</v>
      </c>
      <c r="G245" s="31">
        <f>F245/C245</f>
        <v>0.19242902208201892</v>
      </c>
      <c r="H245" s="18">
        <v>0.34</v>
      </c>
      <c r="I245" s="31">
        <f>H245/C245</f>
        <v>0.10725552050473187</v>
      </c>
      <c r="J245" s="18">
        <f>C245-D245-F245-H245-N245</f>
        <v>1.04</v>
      </c>
      <c r="K245" s="31">
        <f t="shared" ref="K245" si="120">J245/C245</f>
        <v>0.32807570977917982</v>
      </c>
      <c r="L245" s="18">
        <f>F40/F245</f>
        <v>2.0327868852459017</v>
      </c>
      <c r="M245" s="18">
        <f>C19/C245</f>
        <v>0.83911671924290232</v>
      </c>
      <c r="N245" s="17">
        <v>0.86</v>
      </c>
      <c r="O245" s="31">
        <f>N245/C245</f>
        <v>0.27129337539432175</v>
      </c>
      <c r="P245">
        <v>0.69</v>
      </c>
      <c r="Q245" s="43">
        <f>0.11/C245</f>
        <v>3.4700315457413249E-2</v>
      </c>
      <c r="S245" s="82">
        <v>1</v>
      </c>
      <c r="T245" s="18">
        <f>C19</f>
        <v>2.66</v>
      </c>
      <c r="U245" s="18">
        <f>C245</f>
        <v>3.17</v>
      </c>
      <c r="V245" s="18">
        <f>F19</f>
        <v>0.81999999999999984</v>
      </c>
      <c r="W245" s="18">
        <f>F245</f>
        <v>0.61</v>
      </c>
      <c r="Y245" s="89">
        <f>V245/W245</f>
        <v>1.3442622950819669</v>
      </c>
      <c r="Z245" s="18">
        <f>T245/U245</f>
        <v>0.83911671924290232</v>
      </c>
    </row>
    <row r="246" spans="2:26" ht="14.25" thickBot="1">
      <c r="B246" s="82">
        <v>2</v>
      </c>
      <c r="C246" s="17">
        <v>3.26</v>
      </c>
      <c r="D246" s="17">
        <v>0.32</v>
      </c>
      <c r="E246" s="31">
        <f t="shared" ref="E246:E248" si="121">D246/C246</f>
        <v>9.815950920245399E-2</v>
      </c>
      <c r="F246" s="17">
        <v>0.88</v>
      </c>
      <c r="G246" s="31">
        <f t="shared" ref="G246:G248" si="122">F246/C246</f>
        <v>0.26993865030674846</v>
      </c>
      <c r="H246" s="18">
        <v>0.34</v>
      </c>
      <c r="I246" s="31">
        <f t="shared" ref="I246:I248" si="123">H246/C246</f>
        <v>0.10429447852760737</v>
      </c>
      <c r="J246" s="18">
        <f>C246-D246-F246-H246-N246</f>
        <v>0.86</v>
      </c>
      <c r="K246" s="31">
        <f>J246/C246</f>
        <v>0.26380368098159512</v>
      </c>
      <c r="L246" s="18">
        <f t="shared" ref="L246:L248" si="124">F41/F246</f>
        <v>1.8863636363636362</v>
      </c>
      <c r="M246" s="18">
        <f t="shared" ref="M246:M248" si="125">C20/C246</f>
        <v>2.2024539877300615</v>
      </c>
      <c r="N246" s="17">
        <v>0.86</v>
      </c>
      <c r="O246" s="31">
        <f>N246/C246</f>
        <v>0.26380368098159512</v>
      </c>
      <c r="P246">
        <v>0.54</v>
      </c>
      <c r="Q246" s="43">
        <f>0.1/C246</f>
        <v>3.0674846625766874E-2</v>
      </c>
      <c r="S246" s="82">
        <v>2</v>
      </c>
      <c r="T246" s="18">
        <f t="shared" ref="T246:T248" si="126">C20</f>
        <v>7.18</v>
      </c>
      <c r="U246" s="18">
        <f>C246</f>
        <v>3.26</v>
      </c>
      <c r="V246" s="18">
        <f t="shared" ref="V246:V248" si="127">F20</f>
        <v>5.09</v>
      </c>
      <c r="W246" s="18">
        <f>F246</f>
        <v>0.88</v>
      </c>
      <c r="Y246" s="89">
        <f>V246/W246</f>
        <v>5.7840909090909092</v>
      </c>
      <c r="Z246" s="18">
        <f>T246/U246</f>
        <v>2.2024539877300615</v>
      </c>
    </row>
    <row r="247" spans="2:26" ht="14.25" thickBot="1">
      <c r="B247" s="82">
        <v>3</v>
      </c>
      <c r="C247" s="17">
        <v>3.5</v>
      </c>
      <c r="D247" s="17">
        <v>0.32</v>
      </c>
      <c r="E247" s="31">
        <f t="shared" si="121"/>
        <v>9.1428571428571428E-2</v>
      </c>
      <c r="F247" s="17">
        <v>1.01</v>
      </c>
      <c r="G247" s="31">
        <f t="shared" si="122"/>
        <v>0.28857142857142859</v>
      </c>
      <c r="H247" s="18">
        <v>0.34</v>
      </c>
      <c r="I247" s="31">
        <f t="shared" si="123"/>
        <v>9.7142857142857156E-2</v>
      </c>
      <c r="J247" s="18">
        <f t="shared" ref="J247:J248" si="128">C247-D247-F247-H247-N247</f>
        <v>0.96999999999999986</v>
      </c>
      <c r="K247" s="31">
        <f t="shared" ref="K247" si="129">J247/C247</f>
        <v>0.27714285714285708</v>
      </c>
      <c r="L247" s="18">
        <f t="shared" si="124"/>
        <v>2.0396039603960396</v>
      </c>
      <c r="M247" s="18">
        <f t="shared" si="125"/>
        <v>2.5</v>
      </c>
      <c r="N247" s="17">
        <v>0.86</v>
      </c>
      <c r="O247" s="31">
        <f>N247/C247</f>
        <v>0.24571428571428572</v>
      </c>
      <c r="P247">
        <v>0.72</v>
      </c>
      <c r="Q247" s="43">
        <f>0.12/C247</f>
        <v>3.4285714285714287E-2</v>
      </c>
      <c r="S247" s="82">
        <v>3</v>
      </c>
      <c r="T247" s="18">
        <f t="shared" si="126"/>
        <v>8.75</v>
      </c>
      <c r="U247" s="18">
        <f>C247</f>
        <v>3.5</v>
      </c>
      <c r="V247" s="18">
        <f t="shared" si="127"/>
        <v>6.54</v>
      </c>
      <c r="W247" s="18">
        <f>F247</f>
        <v>1.01</v>
      </c>
      <c r="Y247" s="89">
        <f>V247/W247</f>
        <v>6.4752475247524757</v>
      </c>
      <c r="Z247" s="18">
        <f>T247/U247</f>
        <v>2.5</v>
      </c>
    </row>
    <row r="248" spans="2:26" ht="14.25" thickBot="1">
      <c r="B248" s="82">
        <v>4</v>
      </c>
      <c r="C248" s="17">
        <v>3.6</v>
      </c>
      <c r="D248" s="17">
        <v>0.32</v>
      </c>
      <c r="E248" s="31">
        <f t="shared" si="121"/>
        <v>8.8888888888888892E-2</v>
      </c>
      <c r="F248" s="17">
        <v>1.0900000000000001</v>
      </c>
      <c r="G248" s="31">
        <f t="shared" si="122"/>
        <v>0.30277777777777781</v>
      </c>
      <c r="H248" s="18">
        <v>0.34</v>
      </c>
      <c r="I248" s="31">
        <f t="shared" si="123"/>
        <v>9.4444444444444442E-2</v>
      </c>
      <c r="J248" s="18">
        <f t="shared" si="128"/>
        <v>0.99000000000000032</v>
      </c>
      <c r="K248" s="31">
        <f>J248/C248</f>
        <v>0.27500000000000008</v>
      </c>
      <c r="L248" s="18">
        <f t="shared" si="124"/>
        <v>1.3577981651376145</v>
      </c>
      <c r="M248" s="18">
        <f t="shared" si="125"/>
        <v>2.833333333333333</v>
      </c>
      <c r="N248" s="17">
        <v>0.86</v>
      </c>
      <c r="O248" s="31">
        <f>N248/C248</f>
        <v>0.23888888888888887</v>
      </c>
      <c r="P248">
        <v>0.72</v>
      </c>
      <c r="Q248" s="43">
        <f>0.12/C248</f>
        <v>3.3333333333333333E-2</v>
      </c>
      <c r="S248" s="82">
        <v>4</v>
      </c>
      <c r="T248" s="18">
        <f t="shared" si="126"/>
        <v>10.199999999999999</v>
      </c>
      <c r="U248" s="18">
        <f>C248</f>
        <v>3.6</v>
      </c>
      <c r="V248" s="18">
        <f t="shared" si="127"/>
        <v>8.07</v>
      </c>
      <c r="W248" s="18">
        <f>F248</f>
        <v>1.0900000000000001</v>
      </c>
      <c r="Y248" s="89">
        <f>V248/W248</f>
        <v>7.4036697247706416</v>
      </c>
      <c r="Z248" s="18">
        <f>T248/U248</f>
        <v>2.833333333333333</v>
      </c>
    </row>
    <row r="250" spans="2:26" ht="14.25" thickBot="1">
      <c r="B250" s="73"/>
      <c r="C250" s="105"/>
      <c r="D250" s="62"/>
      <c r="E250" s="73"/>
      <c r="F250" s="62"/>
      <c r="G250" s="73"/>
      <c r="H250" s="73"/>
      <c r="I250" s="73"/>
      <c r="J250" s="73"/>
      <c r="K250" s="73"/>
      <c r="L250" s="73"/>
      <c r="M250" s="73"/>
      <c r="N250" s="106"/>
      <c r="O250" s="73"/>
    </row>
    <row r="251" spans="2:26" ht="14.25" thickBot="1">
      <c r="B251" s="73"/>
      <c r="C251" s="105"/>
      <c r="D251" s="62"/>
      <c r="E251" s="73"/>
      <c r="F251" s="62"/>
      <c r="G251" s="73"/>
      <c r="H251" s="73"/>
      <c r="I251" s="73"/>
      <c r="J251" s="73"/>
      <c r="K251" s="73"/>
      <c r="L251" s="73"/>
      <c r="M251" s="73"/>
      <c r="N251" s="106"/>
      <c r="O251" s="73"/>
      <c r="Y251" s="169" t="s">
        <v>248</v>
      </c>
      <c r="Z251" s="170"/>
    </row>
    <row r="252" spans="2:26" ht="14.25" thickBot="1">
      <c r="B252" s="73"/>
      <c r="C252" s="105"/>
      <c r="D252" s="62"/>
      <c r="E252" s="73"/>
      <c r="F252" s="62"/>
      <c r="G252" s="73"/>
      <c r="H252" s="73"/>
      <c r="I252" s="73"/>
      <c r="J252" s="73"/>
      <c r="K252" s="73"/>
      <c r="L252" s="73"/>
      <c r="M252" s="73"/>
      <c r="N252" s="106"/>
      <c r="O252" s="73"/>
      <c r="X252" s="83"/>
      <c r="Y252" s="83" t="s">
        <v>182</v>
      </c>
      <c r="Z252" s="83" t="s">
        <v>183</v>
      </c>
    </row>
    <row r="253" spans="2:26" ht="14.25" thickBot="1">
      <c r="B253" s="73" t="s">
        <v>245</v>
      </c>
      <c r="C253" s="73"/>
      <c r="D253" s="73"/>
      <c r="E253" s="73"/>
      <c r="F253" s="62"/>
      <c r="G253" s="73"/>
      <c r="H253" s="73"/>
      <c r="I253" s="73"/>
      <c r="J253" s="73"/>
      <c r="K253" s="73"/>
      <c r="L253" s="73"/>
      <c r="M253" s="73"/>
      <c r="N253" s="73"/>
      <c r="O253" s="73"/>
      <c r="X253" s="83" t="s">
        <v>249</v>
      </c>
      <c r="Y253" s="89">
        <f>Y175</f>
        <v>1.071578947368421</v>
      </c>
      <c r="Z253" s="18">
        <f>Z175</f>
        <v>0.98898071625344353</v>
      </c>
    </row>
    <row r="254" spans="2:26" ht="14.25" thickBot="1">
      <c r="B254" s="64" t="s">
        <v>240</v>
      </c>
      <c r="C254" s="105">
        <v>3.88</v>
      </c>
      <c r="D254" s="62"/>
      <c r="E254" s="73"/>
      <c r="F254" s="62">
        <v>1.48</v>
      </c>
      <c r="G254" s="73"/>
      <c r="H254" s="73"/>
      <c r="I254" s="73"/>
      <c r="J254" s="73"/>
      <c r="K254" s="73"/>
      <c r="L254" s="73"/>
      <c r="M254" s="73"/>
      <c r="N254" s="106"/>
      <c r="O254" s="73"/>
      <c r="X254" s="83" t="s">
        <v>250</v>
      </c>
      <c r="Y254" s="89">
        <f>Y202</f>
        <v>3.439189189189189</v>
      </c>
      <c r="Z254" s="18">
        <f>Z202</f>
        <v>1.7994987468671677</v>
      </c>
    </row>
    <row r="255" spans="2:26" ht="14.25" thickBot="1">
      <c r="B255" s="73" t="s">
        <v>239</v>
      </c>
      <c r="C255" s="105">
        <v>3.74</v>
      </c>
      <c r="D255" s="106">
        <f>C254/C255-1</f>
        <v>3.7433155080213831E-2</v>
      </c>
      <c r="E255" s="73"/>
      <c r="F255" s="62">
        <v>1.36</v>
      </c>
      <c r="G255" s="106">
        <f>F254/F255-1</f>
        <v>8.8235294117646967E-2</v>
      </c>
      <c r="H255" s="73"/>
      <c r="I255" s="73"/>
      <c r="J255" s="73"/>
      <c r="K255" s="73"/>
      <c r="L255" s="73"/>
      <c r="M255" s="73"/>
      <c r="N255" s="106"/>
      <c r="O255" s="73"/>
      <c r="X255" s="83" t="s">
        <v>251</v>
      </c>
      <c r="Y255" s="89">
        <f>Y225</f>
        <v>1.0993520518358531</v>
      </c>
      <c r="Z255" s="18">
        <f>Z225</f>
        <v>1.0070126227208975</v>
      </c>
    </row>
    <row r="256" spans="2:26" ht="14.25" thickBot="1">
      <c r="B256" s="64" t="s">
        <v>241</v>
      </c>
      <c r="C256" s="105">
        <v>5.2</v>
      </c>
      <c r="D256" s="62"/>
      <c r="E256" s="73"/>
      <c r="F256" s="62"/>
      <c r="G256" s="73"/>
      <c r="H256" s="73"/>
      <c r="I256" s="73"/>
      <c r="J256" s="73"/>
      <c r="K256" s="73"/>
      <c r="L256" s="73"/>
      <c r="M256" s="73"/>
      <c r="N256" s="106"/>
      <c r="O256" s="73"/>
      <c r="X256" s="83" t="s">
        <v>252</v>
      </c>
      <c r="Y256" s="89">
        <f>Y246</f>
        <v>5.7840909090909092</v>
      </c>
      <c r="Z256" s="18">
        <f>Z246</f>
        <v>2.2024539877300615</v>
      </c>
    </row>
    <row r="257" spans="2:26">
      <c r="B257" s="73"/>
      <c r="C257" s="105"/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106"/>
      <c r="O257" s="73"/>
    </row>
    <row r="258" spans="2:26">
      <c r="B258" s="73"/>
      <c r="C258" s="73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</row>
    <row r="259" spans="2:26">
      <c r="G259" s="73"/>
      <c r="H259" s="73"/>
      <c r="I259" s="73"/>
      <c r="J259" s="73"/>
      <c r="K259" s="73"/>
      <c r="L259" s="73"/>
      <c r="M259" s="73"/>
      <c r="N259" s="106"/>
      <c r="O259" s="73"/>
    </row>
    <row r="260" spans="2:26">
      <c r="G260" s="73"/>
      <c r="H260" s="73"/>
      <c r="I260" s="73"/>
      <c r="J260" s="73"/>
      <c r="K260" s="73"/>
      <c r="L260" s="73"/>
      <c r="M260" s="73"/>
      <c r="N260" s="106"/>
      <c r="O260" s="73"/>
    </row>
    <row r="261" spans="2:26">
      <c r="G261" s="73"/>
      <c r="H261" s="73"/>
      <c r="I261" s="73"/>
      <c r="J261" s="73"/>
      <c r="K261" s="73"/>
      <c r="L261" s="73"/>
      <c r="M261" s="73"/>
      <c r="N261" s="106"/>
      <c r="O261" s="73"/>
    </row>
    <row r="265" spans="2:26" ht="14.25" thickBot="1">
      <c r="J265" t="s">
        <v>161</v>
      </c>
      <c r="K265" t="s">
        <v>169</v>
      </c>
      <c r="L265" t="s">
        <v>229</v>
      </c>
      <c r="M265" t="s">
        <v>247</v>
      </c>
      <c r="O265" t="s">
        <v>225</v>
      </c>
      <c r="P265" t="s">
        <v>227</v>
      </c>
    </row>
    <row r="266" spans="2:26" ht="14.25" thickBot="1">
      <c r="B266" s="171" t="s">
        <v>162</v>
      </c>
      <c r="C266" s="171" t="s">
        <v>163</v>
      </c>
      <c r="D266" s="169" t="s">
        <v>187</v>
      </c>
      <c r="E266" s="170"/>
      <c r="F266" s="169" t="s">
        <v>185</v>
      </c>
      <c r="G266" s="170"/>
      <c r="H266" s="169" t="s">
        <v>186</v>
      </c>
      <c r="I266" s="170"/>
      <c r="J266" s="169" t="s">
        <v>228</v>
      </c>
      <c r="K266" s="170"/>
      <c r="L266" s="169" t="s">
        <v>184</v>
      </c>
      <c r="M266" s="170"/>
      <c r="N266" s="169" t="s">
        <v>231</v>
      </c>
      <c r="O266" s="170"/>
      <c r="T266" t="s">
        <v>163</v>
      </c>
      <c r="U266" t="s">
        <v>163</v>
      </c>
      <c r="V266" t="s">
        <v>165</v>
      </c>
      <c r="W266" t="s">
        <v>165</v>
      </c>
      <c r="Y266" s="169" t="s">
        <v>184</v>
      </c>
      <c r="Z266" s="170"/>
    </row>
    <row r="267" spans="2:26" ht="14.25" thickBot="1">
      <c r="B267" s="172"/>
      <c r="C267" s="172"/>
      <c r="D267" s="83" t="s">
        <v>167</v>
      </c>
      <c r="E267" s="83" t="s">
        <v>168</v>
      </c>
      <c r="F267" s="83" t="s">
        <v>167</v>
      </c>
      <c r="G267" s="83" t="s">
        <v>168</v>
      </c>
      <c r="H267" s="83" t="s">
        <v>167</v>
      </c>
      <c r="I267" s="83" t="s">
        <v>168</v>
      </c>
      <c r="J267" s="83" t="s">
        <v>167</v>
      </c>
      <c r="K267" s="83" t="s">
        <v>168</v>
      </c>
      <c r="L267" s="83" t="s">
        <v>182</v>
      </c>
      <c r="M267" s="18" t="s">
        <v>183</v>
      </c>
      <c r="N267" s="83" t="s">
        <v>167</v>
      </c>
      <c r="O267" s="83" t="s">
        <v>168</v>
      </c>
      <c r="S267" s="83" t="s">
        <v>162</v>
      </c>
      <c r="T267" s="83" t="s">
        <v>192</v>
      </c>
      <c r="U267" s="83" t="s">
        <v>229</v>
      </c>
      <c r="V267" s="83" t="s">
        <v>192</v>
      </c>
      <c r="W267" s="83" t="s">
        <v>229</v>
      </c>
      <c r="Y267" s="83" t="s">
        <v>182</v>
      </c>
      <c r="Z267" s="83" t="s">
        <v>183</v>
      </c>
    </row>
    <row r="268" spans="2:26" ht="14.25" thickBot="1">
      <c r="B268" s="82">
        <v>1</v>
      </c>
      <c r="C268" s="17">
        <v>3.5</v>
      </c>
      <c r="D268" s="17">
        <v>0.32</v>
      </c>
      <c r="E268" s="31">
        <f>D268/C268</f>
        <v>9.1428571428571428E-2</v>
      </c>
      <c r="F268" s="17">
        <v>0.95</v>
      </c>
      <c r="G268" s="31">
        <f>F268/C268</f>
        <v>0.27142857142857141</v>
      </c>
      <c r="H268" s="18">
        <v>0.34</v>
      </c>
      <c r="I268" s="31">
        <f>H268/C268</f>
        <v>9.7142857142857156E-2</v>
      </c>
      <c r="J268" s="18">
        <f>C268-D268-F268-H268-N268</f>
        <v>1.0300000000000002</v>
      </c>
      <c r="K268" s="31">
        <f t="shared" ref="K268" si="130">J268/C268</f>
        <v>0.29428571428571437</v>
      </c>
      <c r="L268" s="18">
        <f>F19/F268</f>
        <v>0.86315789473684201</v>
      </c>
      <c r="M268" s="18">
        <f>C19/C268</f>
        <v>0.76</v>
      </c>
      <c r="N268" s="17">
        <v>0.86</v>
      </c>
      <c r="O268" s="31">
        <f>N268/C268</f>
        <v>0.24571428571428572</v>
      </c>
      <c r="P268">
        <v>0.69</v>
      </c>
      <c r="Q268" s="43">
        <f>0.15/C268</f>
        <v>4.2857142857142858E-2</v>
      </c>
      <c r="S268" s="82">
        <v>1</v>
      </c>
      <c r="T268" s="18">
        <f>C19</f>
        <v>2.66</v>
      </c>
      <c r="U268" s="18">
        <f>C268</f>
        <v>3.5</v>
      </c>
      <c r="V268" s="18">
        <f>F19</f>
        <v>0.81999999999999984</v>
      </c>
      <c r="W268" s="18">
        <f>F268</f>
        <v>0.95</v>
      </c>
      <c r="Y268" s="89">
        <f>V268/W268</f>
        <v>0.86315789473684201</v>
      </c>
      <c r="Z268" s="18">
        <f>T268/U268</f>
        <v>0.76</v>
      </c>
    </row>
    <row r="269" spans="2:26" ht="14.25" thickBot="1">
      <c r="B269" s="82">
        <v>2</v>
      </c>
      <c r="C269" s="17">
        <v>3.74</v>
      </c>
      <c r="D269" s="17">
        <v>0.32</v>
      </c>
      <c r="E269" s="31">
        <f t="shared" ref="E269:E271" si="131">D269/C269</f>
        <v>8.5561497326203204E-2</v>
      </c>
      <c r="F269" s="17">
        <v>1.19</v>
      </c>
      <c r="G269" s="31">
        <f t="shared" ref="G269:G271" si="132">F269/C269</f>
        <v>0.31818181818181818</v>
      </c>
      <c r="H269" s="18">
        <v>0.34</v>
      </c>
      <c r="I269" s="31">
        <f t="shared" ref="I269:I271" si="133">H269/C269</f>
        <v>9.0909090909090912E-2</v>
      </c>
      <c r="J269" s="18">
        <f>C269-D269-F269-H269-N269</f>
        <v>1.0300000000000002</v>
      </c>
      <c r="K269" s="31">
        <f>J269/C269</f>
        <v>0.27540106951871662</v>
      </c>
      <c r="L269" s="18">
        <f t="shared" ref="L269:L270" si="134">F20/F269</f>
        <v>4.2773109243697478</v>
      </c>
      <c r="M269" s="18">
        <f t="shared" ref="M269:M271" si="135">C20/C269</f>
        <v>1.9197860962566844</v>
      </c>
      <c r="N269" s="17">
        <v>0.86</v>
      </c>
      <c r="O269" s="31">
        <f>N269/C269</f>
        <v>0.2299465240641711</v>
      </c>
      <c r="P269">
        <v>0.54</v>
      </c>
      <c r="Q269" s="43">
        <f>0.1/C269</f>
        <v>2.6737967914438502E-2</v>
      </c>
      <c r="S269" s="82">
        <v>2</v>
      </c>
      <c r="T269" s="18">
        <f t="shared" ref="T269:T271" si="136">C20</f>
        <v>7.18</v>
      </c>
      <c r="U269" s="18">
        <f>C269</f>
        <v>3.74</v>
      </c>
      <c r="V269" s="18">
        <f t="shared" ref="V269:V271" si="137">F20</f>
        <v>5.09</v>
      </c>
      <c r="W269" s="18">
        <f>F269</f>
        <v>1.19</v>
      </c>
      <c r="Y269" s="89">
        <f>V269/W269</f>
        <v>4.2773109243697478</v>
      </c>
      <c r="Z269" s="18">
        <f>T269/U269</f>
        <v>1.9197860962566844</v>
      </c>
    </row>
    <row r="270" spans="2:26" ht="14.25" thickBot="1">
      <c r="B270" s="82">
        <v>3</v>
      </c>
      <c r="C270" s="17">
        <v>3.77</v>
      </c>
      <c r="D270" s="17">
        <v>0.32</v>
      </c>
      <c r="E270" s="31">
        <f t="shared" si="131"/>
        <v>8.4880636604774531E-2</v>
      </c>
      <c r="F270" s="17">
        <v>1.32</v>
      </c>
      <c r="G270" s="31">
        <f t="shared" si="132"/>
        <v>0.35013262599469497</v>
      </c>
      <c r="H270" s="18">
        <v>0.34</v>
      </c>
      <c r="I270" s="31">
        <f t="shared" si="133"/>
        <v>9.0185676392572953E-2</v>
      </c>
      <c r="J270" s="18">
        <f t="shared" ref="J270:J271" si="138">C270-D270-F270-H270-N270</f>
        <v>0.92999999999999983</v>
      </c>
      <c r="K270" s="31">
        <f t="shared" ref="K270" si="139">J270/C270</f>
        <v>0.24668435013262593</v>
      </c>
      <c r="L270" s="18">
        <f t="shared" si="134"/>
        <v>4.9545454545454541</v>
      </c>
      <c r="M270" s="18">
        <f t="shared" si="135"/>
        <v>2.3209549071618039</v>
      </c>
      <c r="N270" s="17">
        <v>0.86</v>
      </c>
      <c r="O270" s="31">
        <f>N270/C270</f>
        <v>0.22811671087533156</v>
      </c>
      <c r="P270">
        <v>0.72</v>
      </c>
      <c r="Q270" s="43">
        <f>0.19/C270</f>
        <v>5.0397877984084884E-2</v>
      </c>
      <c r="S270" s="82">
        <v>3</v>
      </c>
      <c r="T270" s="18">
        <f t="shared" si="136"/>
        <v>8.75</v>
      </c>
      <c r="U270" s="18">
        <f>C270</f>
        <v>3.77</v>
      </c>
      <c r="V270" s="18">
        <f t="shared" si="137"/>
        <v>6.54</v>
      </c>
      <c r="W270" s="18">
        <f>F270</f>
        <v>1.32</v>
      </c>
      <c r="Y270" s="89">
        <f>V270/W270</f>
        <v>4.9545454545454541</v>
      </c>
      <c r="Z270" s="18">
        <f>T270/U270</f>
        <v>2.3209549071618039</v>
      </c>
    </row>
    <row r="271" spans="2:26" ht="14.25" thickBot="1">
      <c r="B271" s="82">
        <v>4</v>
      </c>
      <c r="C271" s="17">
        <v>3.96</v>
      </c>
      <c r="D271" s="17">
        <v>0.32</v>
      </c>
      <c r="E271" s="31">
        <f t="shared" si="131"/>
        <v>8.0808080808080815E-2</v>
      </c>
      <c r="F271" s="17">
        <v>1.43</v>
      </c>
      <c r="G271" s="31">
        <f t="shared" si="132"/>
        <v>0.3611111111111111</v>
      </c>
      <c r="H271" s="18">
        <v>0.34</v>
      </c>
      <c r="I271" s="31">
        <f t="shared" si="133"/>
        <v>8.585858585858587E-2</v>
      </c>
      <c r="J271" s="18">
        <f t="shared" si="138"/>
        <v>1.0099999999999998</v>
      </c>
      <c r="K271" s="31">
        <f>J271/C271</f>
        <v>0.25505050505050497</v>
      </c>
      <c r="L271" s="18">
        <f t="shared" ref="L271" si="140">F66/F271</f>
        <v>0.965034965034965</v>
      </c>
      <c r="M271" s="18">
        <f t="shared" si="135"/>
        <v>2.5757575757575757</v>
      </c>
      <c r="N271" s="17">
        <v>0.86</v>
      </c>
      <c r="O271" s="31">
        <f>N271/C271</f>
        <v>0.21717171717171718</v>
      </c>
      <c r="P271">
        <v>0.72</v>
      </c>
      <c r="Q271" s="43">
        <f>0.15/C271</f>
        <v>3.787878787878788E-2</v>
      </c>
      <c r="S271" s="82">
        <v>4</v>
      </c>
      <c r="T271" s="18">
        <f t="shared" si="136"/>
        <v>10.199999999999999</v>
      </c>
      <c r="U271" s="18">
        <f>C271</f>
        <v>3.96</v>
      </c>
      <c r="V271" s="18">
        <f t="shared" si="137"/>
        <v>8.07</v>
      </c>
      <c r="W271" s="18">
        <f>F271</f>
        <v>1.43</v>
      </c>
      <c r="Y271" s="89">
        <f>V271/W271</f>
        <v>5.6433566433566442</v>
      </c>
      <c r="Z271" s="18">
        <f>T271/U271</f>
        <v>2.5757575757575757</v>
      </c>
    </row>
    <row r="273" spans="2:26" ht="14.25" thickBot="1">
      <c r="B273" s="73"/>
      <c r="C273" s="105"/>
      <c r="D273" s="62"/>
      <c r="E273" s="73"/>
      <c r="F273" s="62"/>
      <c r="G273" s="73"/>
      <c r="H273" s="73"/>
      <c r="I273" s="73"/>
      <c r="J273" s="73"/>
      <c r="K273" s="73"/>
      <c r="L273" s="73"/>
      <c r="M273" s="73"/>
      <c r="N273" s="106"/>
      <c r="O273" s="73"/>
    </row>
    <row r="274" spans="2:26" ht="14.25" thickBot="1">
      <c r="B274" s="73"/>
      <c r="C274" s="105"/>
      <c r="D274" s="62"/>
      <c r="E274" s="73"/>
      <c r="F274" s="62"/>
      <c r="G274" s="73"/>
      <c r="H274" s="73"/>
      <c r="I274" s="73"/>
      <c r="J274" s="73"/>
      <c r="K274" s="73"/>
      <c r="L274" s="73"/>
      <c r="M274" s="73"/>
      <c r="N274" s="106"/>
      <c r="O274" s="73"/>
      <c r="Y274" s="169" t="s">
        <v>248</v>
      </c>
      <c r="Z274" s="170"/>
    </row>
    <row r="275" spans="2:26" ht="14.25" thickBot="1">
      <c r="B275" s="73"/>
      <c r="C275" s="105"/>
      <c r="D275" s="62"/>
      <c r="E275" s="73"/>
      <c r="F275" s="62"/>
      <c r="G275" s="73"/>
      <c r="H275" s="73"/>
      <c r="I275" s="73"/>
      <c r="J275" s="73"/>
      <c r="K275" s="73"/>
      <c r="L275" s="73"/>
      <c r="M275" s="73"/>
      <c r="N275" s="106"/>
      <c r="O275" s="73"/>
      <c r="X275" s="83"/>
      <c r="Y275" s="83" t="s">
        <v>182</v>
      </c>
      <c r="Z275" s="83" t="s">
        <v>183</v>
      </c>
    </row>
    <row r="276" spans="2:26" ht="14.25" thickBot="1">
      <c r="B276" s="73" t="s">
        <v>245</v>
      </c>
      <c r="C276" s="73"/>
      <c r="D276" s="73"/>
      <c r="E276" s="73"/>
      <c r="F276" s="62"/>
      <c r="G276" s="73"/>
      <c r="H276" s="73"/>
      <c r="I276" s="73"/>
      <c r="J276" s="73"/>
      <c r="K276" s="73"/>
      <c r="L276" s="73"/>
      <c r="M276" s="73"/>
      <c r="N276" s="73"/>
      <c r="O276" s="73"/>
      <c r="X276" s="83" t="s">
        <v>249</v>
      </c>
      <c r="Y276" s="89">
        <f>Y175</f>
        <v>1.071578947368421</v>
      </c>
      <c r="Z276" s="18">
        <f>Z175</f>
        <v>0.98898071625344353</v>
      </c>
    </row>
    <row r="277" spans="2:26" ht="14.25" thickBot="1">
      <c r="B277" s="64" t="s">
        <v>240</v>
      </c>
      <c r="C277" s="105">
        <v>3.88</v>
      </c>
      <c r="D277" s="62"/>
      <c r="E277" s="73"/>
      <c r="F277" s="62">
        <v>1.48</v>
      </c>
      <c r="G277" s="73"/>
      <c r="H277" s="73"/>
      <c r="I277" s="73"/>
      <c r="J277" s="73"/>
      <c r="K277" s="73"/>
      <c r="L277" s="73"/>
      <c r="M277" s="73"/>
      <c r="N277" s="106"/>
      <c r="O277" s="73"/>
      <c r="X277" s="83" t="s">
        <v>250</v>
      </c>
      <c r="Y277" s="89">
        <f>Y202</f>
        <v>3.439189189189189</v>
      </c>
      <c r="Z277" s="18">
        <f>Z202</f>
        <v>1.7994987468671677</v>
      </c>
    </row>
    <row r="278" spans="2:26" ht="14.25" thickBot="1">
      <c r="B278" s="73" t="s">
        <v>239</v>
      </c>
      <c r="C278" s="105">
        <v>3.74</v>
      </c>
      <c r="D278" s="106">
        <f>C277/C278-1</f>
        <v>3.7433155080213831E-2</v>
      </c>
      <c r="E278" s="73"/>
      <c r="F278" s="62">
        <v>1.36</v>
      </c>
      <c r="G278" s="106">
        <f>F277/F278-1</f>
        <v>8.8235294117646967E-2</v>
      </c>
      <c r="H278" s="73"/>
      <c r="I278" s="73"/>
      <c r="J278" s="73"/>
      <c r="K278" s="73"/>
      <c r="L278" s="73"/>
      <c r="M278" s="73"/>
      <c r="N278" s="106"/>
      <c r="O278" s="73"/>
      <c r="X278" s="83" t="s">
        <v>251</v>
      </c>
      <c r="Y278" s="89">
        <f>Y225</f>
        <v>1.0993520518358531</v>
      </c>
      <c r="Z278" s="18">
        <f>Z225</f>
        <v>1.0070126227208975</v>
      </c>
    </row>
    <row r="279" spans="2:26" ht="14.25" thickBot="1">
      <c r="B279" s="64" t="s">
        <v>241</v>
      </c>
      <c r="C279" s="105">
        <v>5.2</v>
      </c>
      <c r="D279" s="62"/>
      <c r="E279" s="73"/>
      <c r="F279" s="62"/>
      <c r="G279" s="73"/>
      <c r="H279" s="73"/>
      <c r="I279" s="73"/>
      <c r="J279" s="73"/>
      <c r="K279" s="73"/>
      <c r="L279" s="73"/>
      <c r="M279" s="73"/>
      <c r="N279" s="106"/>
      <c r="O279" s="73"/>
      <c r="X279" s="83" t="s">
        <v>252</v>
      </c>
      <c r="Y279" s="89">
        <f>Y246</f>
        <v>5.7840909090909092</v>
      </c>
      <c r="Z279" s="18">
        <f>Z246</f>
        <v>2.2024539877300615</v>
      </c>
    </row>
    <row r="280" spans="2:26" ht="14.25" thickBot="1">
      <c r="B280" s="73"/>
      <c r="C280" s="105"/>
      <c r="D280" s="73"/>
      <c r="E280" s="73"/>
      <c r="F280" s="73"/>
      <c r="G280" s="73"/>
      <c r="H280" s="73"/>
      <c r="I280" s="73"/>
      <c r="J280" s="73"/>
      <c r="K280" s="73"/>
      <c r="L280" s="73"/>
      <c r="M280" s="73"/>
      <c r="N280" s="106"/>
      <c r="O280" s="73"/>
      <c r="X280" s="83" t="s">
        <v>253</v>
      </c>
      <c r="Y280" s="89">
        <f>Y269</f>
        <v>4.2773109243697478</v>
      </c>
      <c r="Z280" s="18">
        <f>Z269</f>
        <v>1.9197860962566844</v>
      </c>
    </row>
    <row r="281" spans="2:26">
      <c r="B281" s="73"/>
      <c r="C281" s="73"/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</row>
    <row r="282" spans="2:26">
      <c r="G282" s="73"/>
      <c r="H282" s="73"/>
      <c r="I282" s="73"/>
      <c r="J282" s="73"/>
      <c r="K282" s="73"/>
      <c r="L282" s="73"/>
      <c r="M282" s="73"/>
      <c r="N282" s="106"/>
      <c r="O282" s="73"/>
    </row>
    <row r="283" spans="2:26">
      <c r="G283" s="73"/>
      <c r="H283" s="73"/>
      <c r="I283" s="73"/>
      <c r="J283" s="73"/>
      <c r="K283" s="73"/>
      <c r="L283" s="73"/>
      <c r="M283" s="73"/>
      <c r="N283" s="106"/>
      <c r="O283" s="73"/>
    </row>
    <row r="288" spans="2:26" ht="14.25" thickBot="1">
      <c r="J288" t="s">
        <v>161</v>
      </c>
      <c r="K288" t="s">
        <v>169</v>
      </c>
      <c r="L288" t="s">
        <v>229</v>
      </c>
      <c r="M288" t="s">
        <v>255</v>
      </c>
      <c r="O288" t="s">
        <v>225</v>
      </c>
      <c r="P288" t="s">
        <v>227</v>
      </c>
    </row>
    <row r="289" spans="2:26" ht="14.25" thickBot="1">
      <c r="B289" s="171" t="s">
        <v>162</v>
      </c>
      <c r="C289" s="171" t="s">
        <v>163</v>
      </c>
      <c r="D289" s="169" t="s">
        <v>187</v>
      </c>
      <c r="E289" s="170"/>
      <c r="F289" s="169" t="s">
        <v>185</v>
      </c>
      <c r="G289" s="170"/>
      <c r="H289" s="169" t="s">
        <v>186</v>
      </c>
      <c r="I289" s="170"/>
      <c r="J289" s="169" t="s">
        <v>228</v>
      </c>
      <c r="K289" s="170"/>
      <c r="L289" s="169" t="s">
        <v>184</v>
      </c>
      <c r="M289" s="170"/>
      <c r="N289" s="169" t="s">
        <v>231</v>
      </c>
      <c r="O289" s="170"/>
      <c r="T289" t="s">
        <v>163</v>
      </c>
      <c r="U289" t="s">
        <v>163</v>
      </c>
      <c r="V289" t="s">
        <v>165</v>
      </c>
      <c r="W289" t="s">
        <v>165</v>
      </c>
      <c r="Y289" s="169" t="s">
        <v>184</v>
      </c>
      <c r="Z289" s="170"/>
    </row>
    <row r="290" spans="2:26" ht="14.25" thickBot="1">
      <c r="B290" s="172"/>
      <c r="C290" s="172"/>
      <c r="D290" s="83" t="s">
        <v>167</v>
      </c>
      <c r="E290" s="83" t="s">
        <v>168</v>
      </c>
      <c r="F290" s="83" t="s">
        <v>167</v>
      </c>
      <c r="G290" s="83" t="s">
        <v>168</v>
      </c>
      <c r="H290" s="83" t="s">
        <v>167</v>
      </c>
      <c r="I290" s="83" t="s">
        <v>168</v>
      </c>
      <c r="J290" s="83" t="s">
        <v>167</v>
      </c>
      <c r="K290" s="83" t="s">
        <v>168</v>
      </c>
      <c r="L290" s="83" t="s">
        <v>182</v>
      </c>
      <c r="M290" s="18" t="s">
        <v>183</v>
      </c>
      <c r="N290" s="83" t="s">
        <v>167</v>
      </c>
      <c r="O290" s="83" t="s">
        <v>168</v>
      </c>
      <c r="S290" s="83" t="s">
        <v>162</v>
      </c>
      <c r="T290" s="83" t="s">
        <v>192</v>
      </c>
      <c r="U290" s="83" t="s">
        <v>229</v>
      </c>
      <c r="V290" s="83" t="s">
        <v>192</v>
      </c>
      <c r="W290" s="83" t="s">
        <v>229</v>
      </c>
      <c r="Y290" s="83" t="s">
        <v>182</v>
      </c>
      <c r="Z290" s="83" t="s">
        <v>183</v>
      </c>
    </row>
    <row r="291" spans="2:26" ht="14.25" thickBot="1">
      <c r="B291" s="82">
        <v>1</v>
      </c>
      <c r="C291" s="17">
        <v>2.66</v>
      </c>
      <c r="D291" s="17">
        <v>0.32</v>
      </c>
      <c r="E291" s="31">
        <f>D291/C291</f>
        <v>0.12030075187969924</v>
      </c>
      <c r="F291" s="17">
        <v>0.18</v>
      </c>
      <c r="G291" s="31">
        <f>F291/C291</f>
        <v>6.7669172932330823E-2</v>
      </c>
      <c r="H291" s="18">
        <v>0.34</v>
      </c>
      <c r="I291" s="31">
        <f>H291/C291</f>
        <v>0.12781954887218044</v>
      </c>
      <c r="J291" s="18">
        <f>C291-D291-F291-H291-N291</f>
        <v>0.96000000000000008</v>
      </c>
      <c r="K291" s="31">
        <f t="shared" ref="K291" si="141">J291/C291</f>
        <v>0.36090225563909778</v>
      </c>
      <c r="L291" s="18">
        <f>F19/F291</f>
        <v>4.5555555555555545</v>
      </c>
      <c r="M291" s="18">
        <f>C19/C291</f>
        <v>1</v>
      </c>
      <c r="N291" s="17">
        <v>0.86</v>
      </c>
      <c r="O291" s="31">
        <f>N291/C291</f>
        <v>0.32330827067669171</v>
      </c>
      <c r="P291">
        <v>0.69</v>
      </c>
      <c r="Q291" s="43">
        <f>0.16/C291</f>
        <v>6.0150375939849621E-2</v>
      </c>
      <c r="S291" s="82">
        <v>1</v>
      </c>
      <c r="T291" s="18">
        <f>C19</f>
        <v>2.66</v>
      </c>
      <c r="U291" s="18">
        <f>C291</f>
        <v>2.66</v>
      </c>
      <c r="V291" s="18">
        <f>F19</f>
        <v>0.81999999999999984</v>
      </c>
      <c r="W291" s="18">
        <f>F291</f>
        <v>0.18</v>
      </c>
      <c r="Y291" s="89">
        <f>V291/W291</f>
        <v>4.5555555555555545</v>
      </c>
      <c r="Z291" s="18">
        <f>T291/U291</f>
        <v>1</v>
      </c>
    </row>
    <row r="292" spans="2:26" ht="14.25" thickBot="1">
      <c r="B292" s="82">
        <v>2</v>
      </c>
      <c r="C292" s="17">
        <v>2.81</v>
      </c>
      <c r="D292" s="17">
        <v>0.32</v>
      </c>
      <c r="E292" s="31">
        <f t="shared" ref="E292:E294" si="142">D292/C292</f>
        <v>0.11387900355871886</v>
      </c>
      <c r="F292" s="17">
        <v>0.31</v>
      </c>
      <c r="G292" s="31">
        <f t="shared" ref="G292:G294" si="143">F292/C292</f>
        <v>0.11032028469750889</v>
      </c>
      <c r="H292" s="18">
        <v>0.34</v>
      </c>
      <c r="I292" s="31">
        <f t="shared" ref="I292:I294" si="144">H292/C292</f>
        <v>0.1209964412811388</v>
      </c>
      <c r="J292" s="18">
        <f>C292-D292-F292-H292-N292</f>
        <v>0.98000000000000009</v>
      </c>
      <c r="K292" s="31">
        <f>J292/C292</f>
        <v>0.34875444839857656</v>
      </c>
      <c r="L292" s="18">
        <f t="shared" ref="L292:L294" si="145">F20/F292</f>
        <v>16.419354838709676</v>
      </c>
      <c r="M292" s="18">
        <f t="shared" ref="M292:M294" si="146">C20/C292</f>
        <v>2.5551601423487544</v>
      </c>
      <c r="N292" s="17">
        <v>0.86</v>
      </c>
      <c r="O292" s="31">
        <f>N292/C292</f>
        <v>0.30604982206405695</v>
      </c>
      <c r="P292">
        <v>0.54</v>
      </c>
      <c r="Q292" s="43">
        <f>0.15/C292</f>
        <v>5.3380782918149461E-2</v>
      </c>
      <c r="S292" s="82">
        <v>2</v>
      </c>
      <c r="T292" s="18">
        <f t="shared" ref="T292:T294" si="147">C20</f>
        <v>7.18</v>
      </c>
      <c r="U292" s="18">
        <f>C292</f>
        <v>2.81</v>
      </c>
      <c r="V292" s="18">
        <f t="shared" ref="V292:V294" si="148">F20</f>
        <v>5.09</v>
      </c>
      <c r="W292" s="18">
        <f>F292</f>
        <v>0.31</v>
      </c>
      <c r="Y292" s="83">
        <f>V292/W292</f>
        <v>16.419354838709676</v>
      </c>
      <c r="Z292" s="18">
        <f>T292/U292</f>
        <v>2.5551601423487544</v>
      </c>
    </row>
    <row r="293" spans="2:26" ht="14.25" thickBot="1">
      <c r="B293" s="82">
        <v>3</v>
      </c>
      <c r="C293" s="17">
        <v>2.83</v>
      </c>
      <c r="D293" s="17">
        <v>0.32</v>
      </c>
      <c r="E293" s="31">
        <f t="shared" si="142"/>
        <v>0.11307420494699646</v>
      </c>
      <c r="F293" s="17">
        <v>0.35</v>
      </c>
      <c r="G293" s="31">
        <f t="shared" si="143"/>
        <v>0.12367491166077738</v>
      </c>
      <c r="H293" s="18">
        <v>0.34</v>
      </c>
      <c r="I293" s="31">
        <f t="shared" si="144"/>
        <v>0.12014134275618375</v>
      </c>
      <c r="J293" s="18">
        <f t="shared" ref="J293:J294" si="149">C293-D293-F293-H293-N293</f>
        <v>0.96000000000000008</v>
      </c>
      <c r="K293" s="31">
        <f t="shared" ref="K293" si="150">J293/C293</f>
        <v>0.33922261484098942</v>
      </c>
      <c r="L293" s="18">
        <f t="shared" si="145"/>
        <v>18.685714285714287</v>
      </c>
      <c r="M293" s="18">
        <f t="shared" si="146"/>
        <v>3.0918727915194344</v>
      </c>
      <c r="N293" s="17">
        <v>0.86</v>
      </c>
      <c r="O293" s="31">
        <f>N293/C293</f>
        <v>0.303886925795053</v>
      </c>
      <c r="P293">
        <v>0.72</v>
      </c>
      <c r="Q293" s="43">
        <f>0.1/C293</f>
        <v>3.5335689045936397E-2</v>
      </c>
      <c r="S293" s="82">
        <v>3</v>
      </c>
      <c r="T293" s="18">
        <f t="shared" si="147"/>
        <v>8.75</v>
      </c>
      <c r="U293" s="18">
        <f>C293</f>
        <v>2.83</v>
      </c>
      <c r="V293" s="18">
        <f t="shared" si="148"/>
        <v>6.54</v>
      </c>
      <c r="W293" s="18">
        <f>F293</f>
        <v>0.35</v>
      </c>
      <c r="Y293" s="83">
        <f>V293/W293</f>
        <v>18.685714285714287</v>
      </c>
      <c r="Z293" s="18">
        <f>T293/U293</f>
        <v>3.0918727915194344</v>
      </c>
    </row>
    <row r="294" spans="2:26" ht="14.25" thickBot="1">
      <c r="B294" s="82">
        <v>4</v>
      </c>
      <c r="C294" s="17">
        <v>2.98</v>
      </c>
      <c r="D294" s="17">
        <v>0.32</v>
      </c>
      <c r="E294" s="31">
        <f t="shared" si="142"/>
        <v>0.10738255033557047</v>
      </c>
      <c r="F294" s="17">
        <v>0.53</v>
      </c>
      <c r="G294" s="31">
        <f t="shared" si="143"/>
        <v>0.17785234899328861</v>
      </c>
      <c r="H294" s="18">
        <v>0.34</v>
      </c>
      <c r="I294" s="31">
        <f t="shared" si="144"/>
        <v>0.11409395973154364</v>
      </c>
      <c r="J294" s="18">
        <f t="shared" si="149"/>
        <v>0.92999999999999983</v>
      </c>
      <c r="K294" s="31">
        <f>J294/C294</f>
        <v>0.31208053691275162</v>
      </c>
      <c r="L294" s="18">
        <f t="shared" si="145"/>
        <v>15.226415094339622</v>
      </c>
      <c r="M294" s="18">
        <f t="shared" si="146"/>
        <v>3.4228187919463084</v>
      </c>
      <c r="N294" s="17">
        <v>0.86</v>
      </c>
      <c r="O294" s="31">
        <f>N294/C294</f>
        <v>0.28859060402684561</v>
      </c>
      <c r="P294">
        <v>0.72</v>
      </c>
      <c r="Q294" s="43">
        <f>0.15/C294</f>
        <v>5.0335570469798654E-2</v>
      </c>
      <c r="S294" s="82">
        <v>4</v>
      </c>
      <c r="T294" s="18">
        <f t="shared" si="147"/>
        <v>10.199999999999999</v>
      </c>
      <c r="U294" s="18">
        <f>C294</f>
        <v>2.98</v>
      </c>
      <c r="V294" s="18">
        <f t="shared" si="148"/>
        <v>8.07</v>
      </c>
      <c r="W294" s="18">
        <f>F294</f>
        <v>0.53</v>
      </c>
      <c r="Y294" s="83">
        <f>V294/W294</f>
        <v>15.226415094339622</v>
      </c>
      <c r="Z294" s="18">
        <f>T294/U294</f>
        <v>3.4228187919463084</v>
      </c>
    </row>
    <row r="296" spans="2:26" ht="14.25" thickBot="1">
      <c r="B296" s="73"/>
      <c r="C296" s="105"/>
      <c r="D296" s="62"/>
      <c r="E296" s="73"/>
      <c r="F296" s="62"/>
      <c r="G296" s="73"/>
      <c r="H296" s="73"/>
      <c r="I296" s="73"/>
      <c r="J296" s="73"/>
      <c r="K296" s="73"/>
      <c r="L296" s="73"/>
      <c r="M296" s="73"/>
      <c r="N296" s="106"/>
      <c r="O296" s="73"/>
    </row>
    <row r="297" spans="2:26" ht="14.25" thickBot="1">
      <c r="B297" s="73"/>
      <c r="C297" s="105"/>
      <c r="D297" s="62"/>
      <c r="E297" s="73"/>
      <c r="F297" s="62"/>
      <c r="G297" s="73"/>
      <c r="H297" s="73"/>
      <c r="I297" s="73"/>
      <c r="J297" s="73"/>
      <c r="K297" s="73"/>
      <c r="L297" s="73"/>
      <c r="M297" s="73"/>
      <c r="N297" s="106"/>
      <c r="O297" s="73"/>
      <c r="Y297" s="169" t="s">
        <v>248</v>
      </c>
      <c r="Z297" s="170"/>
    </row>
    <row r="298" spans="2:26" ht="14.25" thickBot="1">
      <c r="B298" s="73"/>
      <c r="C298" s="105"/>
      <c r="D298" s="62"/>
      <c r="E298" s="73"/>
      <c r="F298" s="62"/>
      <c r="G298" s="73"/>
      <c r="H298" s="73"/>
      <c r="I298" s="73"/>
      <c r="J298" s="73"/>
      <c r="K298" s="73"/>
      <c r="L298" s="73"/>
      <c r="M298" s="73"/>
      <c r="N298" s="106"/>
      <c r="O298" s="73"/>
      <c r="X298" s="83"/>
      <c r="Y298" s="83" t="s">
        <v>182</v>
      </c>
      <c r="Z298" s="83" t="s">
        <v>183</v>
      </c>
    </row>
    <row r="299" spans="2:26" ht="14.25" thickBot="1">
      <c r="B299" s="73" t="s">
        <v>245</v>
      </c>
      <c r="C299" s="73"/>
      <c r="D299" s="73"/>
      <c r="E299" s="73"/>
      <c r="F299" s="62"/>
      <c r="G299" s="73"/>
      <c r="H299" s="73"/>
      <c r="I299" s="73"/>
      <c r="J299" s="73"/>
      <c r="K299" s="73"/>
      <c r="L299" s="73"/>
      <c r="M299" s="73"/>
      <c r="N299" s="73"/>
      <c r="O299" s="73"/>
      <c r="X299" s="83" t="s">
        <v>172</v>
      </c>
      <c r="Y299" s="89">
        <f>Y175</f>
        <v>1.071578947368421</v>
      </c>
      <c r="Z299" s="18">
        <f>Z175</f>
        <v>0.98898071625344353</v>
      </c>
    </row>
    <row r="300" spans="2:26" ht="14.25" thickBot="1">
      <c r="B300" s="64" t="s">
        <v>172</v>
      </c>
      <c r="C300" s="105">
        <v>7.26</v>
      </c>
      <c r="D300" s="62"/>
      <c r="E300" s="73"/>
      <c r="F300" s="62">
        <v>4.75</v>
      </c>
      <c r="G300" s="73"/>
      <c r="H300" s="73"/>
      <c r="I300" s="73"/>
      <c r="J300" s="73"/>
      <c r="K300" s="73"/>
      <c r="L300" s="73"/>
      <c r="M300" s="73"/>
      <c r="N300" s="106"/>
      <c r="O300" s="73"/>
      <c r="X300" s="83" t="s">
        <v>250</v>
      </c>
      <c r="Y300" s="89">
        <f>F20/F301</f>
        <v>3.439189189189189</v>
      </c>
      <c r="Z300" s="18">
        <f>C20/C301</f>
        <v>1.7994987468671677</v>
      </c>
    </row>
    <row r="301" spans="2:26" ht="14.25" thickBot="1">
      <c r="B301" s="73" t="s">
        <v>250</v>
      </c>
      <c r="C301" s="105">
        <v>3.99</v>
      </c>
      <c r="D301" s="106"/>
      <c r="E301" s="73"/>
      <c r="F301" s="62">
        <v>1.48</v>
      </c>
      <c r="G301" s="106"/>
      <c r="H301" s="73"/>
      <c r="I301" s="73"/>
      <c r="J301" s="73"/>
      <c r="K301" s="73"/>
      <c r="L301" s="73"/>
      <c r="M301" s="73"/>
      <c r="N301" s="106"/>
      <c r="O301" s="73"/>
      <c r="X301" s="83" t="s">
        <v>251</v>
      </c>
      <c r="Y301" s="89">
        <f>F20/F302</f>
        <v>3.7153284671532845</v>
      </c>
      <c r="Z301" s="18">
        <f>C20/C302</f>
        <v>1.9045092838196285</v>
      </c>
    </row>
    <row r="302" spans="2:26" ht="14.25" thickBot="1">
      <c r="B302" s="64" t="s">
        <v>251</v>
      </c>
      <c r="C302" s="105">
        <v>3.77</v>
      </c>
      <c r="D302" s="62"/>
      <c r="E302" s="73"/>
      <c r="F302" s="62">
        <v>1.37</v>
      </c>
      <c r="G302" s="73"/>
      <c r="H302" s="73"/>
      <c r="I302" s="73"/>
      <c r="J302" s="73"/>
      <c r="K302" s="73"/>
      <c r="L302" s="73"/>
      <c r="M302" s="73"/>
      <c r="N302" s="106"/>
      <c r="O302" s="73"/>
      <c r="X302" s="83" t="s">
        <v>252</v>
      </c>
      <c r="Y302" s="83">
        <f>F20/F303</f>
        <v>16.419354838709676</v>
      </c>
      <c r="Z302" s="18">
        <f>C20/C303</f>
        <v>2.5551601423487544</v>
      </c>
    </row>
    <row r="303" spans="2:26" ht="14.25" thickBot="1">
      <c r="B303" s="64" t="s">
        <v>252</v>
      </c>
      <c r="C303" s="105">
        <v>2.81</v>
      </c>
      <c r="D303" s="73"/>
      <c r="E303" s="73"/>
      <c r="F303" s="113">
        <v>0.31</v>
      </c>
      <c r="G303" s="73"/>
      <c r="H303" s="73"/>
      <c r="I303" s="73"/>
      <c r="J303" s="73"/>
      <c r="K303" s="73"/>
      <c r="L303" s="73"/>
      <c r="M303" s="73"/>
      <c r="N303" s="106"/>
      <c r="O303" s="73"/>
      <c r="X303" s="83" t="s">
        <v>253</v>
      </c>
      <c r="Y303" s="83">
        <f>F20/F304</f>
        <v>12.414634146341465</v>
      </c>
      <c r="Z303" s="18">
        <f>C20/C304</f>
        <v>2.4844290657439445</v>
      </c>
    </row>
    <row r="304" spans="2:26" ht="14.25" thickBot="1">
      <c r="B304" s="64" t="s">
        <v>253</v>
      </c>
      <c r="C304" s="105">
        <v>2.89</v>
      </c>
      <c r="D304" s="73"/>
      <c r="E304" s="73"/>
      <c r="F304" s="105">
        <v>0.41</v>
      </c>
      <c r="G304" s="73"/>
      <c r="H304" s="73"/>
      <c r="I304" s="73"/>
      <c r="J304" s="73"/>
      <c r="K304" s="73"/>
      <c r="L304" s="73"/>
      <c r="M304" s="73"/>
      <c r="N304" s="73"/>
      <c r="O304" s="73"/>
      <c r="X304" s="83"/>
      <c r="Y304" s="89"/>
      <c r="Z304" s="18"/>
    </row>
    <row r="305" spans="2:26">
      <c r="G305" s="73"/>
      <c r="H305" s="73"/>
      <c r="I305" s="73"/>
      <c r="J305" s="73"/>
      <c r="K305" s="73"/>
      <c r="L305" s="73"/>
      <c r="M305" s="73"/>
      <c r="N305" s="106"/>
      <c r="O305" s="73"/>
    </row>
    <row r="306" spans="2:26">
      <c r="G306" s="73"/>
      <c r="H306" s="73"/>
      <c r="I306" s="73"/>
      <c r="J306" s="73"/>
      <c r="K306" s="73"/>
      <c r="L306" s="73"/>
      <c r="M306" s="73"/>
      <c r="N306" s="106"/>
      <c r="O306" s="73"/>
    </row>
    <row r="309" spans="2:26" ht="14.25" thickBot="1">
      <c r="J309" t="s">
        <v>161</v>
      </c>
      <c r="K309" t="s">
        <v>169</v>
      </c>
      <c r="L309" t="s">
        <v>256</v>
      </c>
      <c r="O309" t="s">
        <v>225</v>
      </c>
      <c r="P309" t="s">
        <v>227</v>
      </c>
    </row>
    <row r="310" spans="2:26" ht="14.25" thickBot="1">
      <c r="B310" s="171" t="s">
        <v>162</v>
      </c>
      <c r="C310" s="171" t="s">
        <v>163</v>
      </c>
      <c r="D310" s="169" t="s">
        <v>187</v>
      </c>
      <c r="E310" s="170"/>
      <c r="F310" s="169" t="s">
        <v>185</v>
      </c>
      <c r="G310" s="170"/>
      <c r="H310" s="169" t="s">
        <v>186</v>
      </c>
      <c r="I310" s="170"/>
      <c r="J310" s="169" t="s">
        <v>228</v>
      </c>
      <c r="K310" s="170"/>
      <c r="L310" s="169" t="s">
        <v>184</v>
      </c>
      <c r="M310" s="170"/>
      <c r="N310" s="169" t="s">
        <v>258</v>
      </c>
      <c r="O310" s="170"/>
      <c r="T310" t="s">
        <v>163</v>
      </c>
      <c r="U310" t="s">
        <v>163</v>
      </c>
      <c r="V310" t="s">
        <v>165</v>
      </c>
      <c r="W310" t="s">
        <v>165</v>
      </c>
      <c r="Y310" s="169" t="s">
        <v>184</v>
      </c>
      <c r="Z310" s="170"/>
    </row>
    <row r="311" spans="2:26" ht="14.25" thickBot="1">
      <c r="B311" s="172"/>
      <c r="C311" s="172"/>
      <c r="D311" s="83" t="s">
        <v>167</v>
      </c>
      <c r="E311" s="83" t="s">
        <v>168</v>
      </c>
      <c r="F311" s="83" t="s">
        <v>167</v>
      </c>
      <c r="G311" s="83" t="s">
        <v>168</v>
      </c>
      <c r="H311" s="83" t="s">
        <v>167</v>
      </c>
      <c r="I311" s="83" t="s">
        <v>168</v>
      </c>
      <c r="J311" s="83" t="s">
        <v>167</v>
      </c>
      <c r="K311" s="83" t="s">
        <v>168</v>
      </c>
      <c r="L311" s="83" t="s">
        <v>182</v>
      </c>
      <c r="M311" s="18" t="s">
        <v>183</v>
      </c>
      <c r="N311" s="83" t="s">
        <v>167</v>
      </c>
      <c r="O311" s="83" t="s">
        <v>168</v>
      </c>
      <c r="S311" s="83" t="s">
        <v>162</v>
      </c>
      <c r="T311" s="83" t="s">
        <v>192</v>
      </c>
      <c r="U311" s="83" t="s">
        <v>229</v>
      </c>
      <c r="V311" s="83" t="s">
        <v>192</v>
      </c>
      <c r="W311" s="83" t="s">
        <v>256</v>
      </c>
      <c r="Y311" s="83" t="s">
        <v>182</v>
      </c>
      <c r="Z311" s="83" t="s">
        <v>183</v>
      </c>
    </row>
    <row r="312" spans="2:26" ht="14.25" thickBot="1">
      <c r="B312" s="82">
        <v>1</v>
      </c>
      <c r="C312" s="105">
        <v>0.54</v>
      </c>
      <c r="D312" s="17">
        <v>0.32</v>
      </c>
      <c r="E312" s="31">
        <f>D312/C312</f>
        <v>0.59259259259259256</v>
      </c>
      <c r="F312" s="17">
        <v>0.02</v>
      </c>
      <c r="G312" s="31">
        <f>F312/C312</f>
        <v>3.7037037037037035E-2</v>
      </c>
      <c r="H312" s="18">
        <v>0.34799999999999998</v>
      </c>
      <c r="I312" s="31">
        <f>H312/C312</f>
        <v>0.64444444444444438</v>
      </c>
      <c r="J312" s="18">
        <f>C312-D312-F312-H312-N312</f>
        <v>-0.17799999999999994</v>
      </c>
      <c r="K312" s="31">
        <f t="shared" ref="K312" si="151">J312/C312</f>
        <v>-0.32962962962962949</v>
      </c>
      <c r="L312" s="18">
        <f>F19/F312</f>
        <v>40.999999999999993</v>
      </c>
      <c r="M312" s="18">
        <f>C19/C312</f>
        <v>4.9259259259259256</v>
      </c>
      <c r="N312" s="17">
        <v>0.03</v>
      </c>
      <c r="O312" s="31">
        <f>N312/C312</f>
        <v>5.5555555555555552E-2</v>
      </c>
      <c r="P312">
        <v>0.69</v>
      </c>
      <c r="Q312" s="43">
        <f>0.03/C312</f>
        <v>5.5555555555555552E-2</v>
      </c>
      <c r="S312" s="82">
        <v>1</v>
      </c>
      <c r="T312" s="18">
        <f>C19</f>
        <v>2.66</v>
      </c>
      <c r="U312" s="18">
        <f>C312</f>
        <v>0.54</v>
      </c>
      <c r="V312" s="18">
        <f>F19</f>
        <v>0.81999999999999984</v>
      </c>
      <c r="W312" s="18">
        <f>F312</f>
        <v>0.02</v>
      </c>
      <c r="Y312" s="89">
        <f>V312/W312</f>
        <v>40.999999999999993</v>
      </c>
      <c r="Z312" s="18">
        <f>T312/U312</f>
        <v>4.9259259259259256</v>
      </c>
    </row>
    <row r="313" spans="2:26" ht="14.25" thickBot="1">
      <c r="B313" s="82">
        <v>2</v>
      </c>
      <c r="C313" s="105">
        <v>1.1599999999999999</v>
      </c>
      <c r="D313" s="17">
        <v>0.32</v>
      </c>
      <c r="E313" s="31">
        <f t="shared" ref="E313:E315" si="152">D313/C313</f>
        <v>0.27586206896551729</v>
      </c>
      <c r="F313" s="17">
        <v>0.02</v>
      </c>
      <c r="G313" s="31">
        <f t="shared" ref="G313:G315" si="153">F313/C313</f>
        <v>1.7241379310344831E-2</v>
      </c>
      <c r="H313" s="18">
        <v>0.34799999999999998</v>
      </c>
      <c r="I313" s="31">
        <f t="shared" ref="I313:I315" si="154">H313/C313</f>
        <v>0.3</v>
      </c>
      <c r="J313" s="18">
        <f>C313-D313-F313-H313-N313</f>
        <v>-0.80800000000000016</v>
      </c>
      <c r="K313" s="31">
        <f>J313/C313</f>
        <v>-0.69655172413793121</v>
      </c>
      <c r="L313" s="18">
        <f t="shared" ref="L313:L315" si="155">F20/F313</f>
        <v>254.5</v>
      </c>
      <c r="M313" s="18">
        <f t="shared" ref="M313:M315" si="156">C20/C313</f>
        <v>6.1896551724137936</v>
      </c>
      <c r="N313" s="17">
        <v>1.28</v>
      </c>
      <c r="O313" s="31">
        <f>N313/C313</f>
        <v>1.1034482758620692</v>
      </c>
      <c r="P313">
        <v>0.54</v>
      </c>
      <c r="Q313" s="43">
        <f>0.09/C313</f>
        <v>7.7586206896551727E-2</v>
      </c>
      <c r="S313" s="82">
        <v>2</v>
      </c>
      <c r="T313" s="18">
        <f t="shared" ref="T313:T315" si="157">C20</f>
        <v>7.18</v>
      </c>
      <c r="U313" s="18">
        <f>C313</f>
        <v>1.1599999999999999</v>
      </c>
      <c r="V313" s="18">
        <f t="shared" ref="V313:V315" si="158">F20</f>
        <v>5.09</v>
      </c>
      <c r="W313" s="18">
        <f>F313</f>
        <v>0.02</v>
      </c>
      <c r="Y313" s="83">
        <f>V313/W313</f>
        <v>254.5</v>
      </c>
      <c r="Z313" s="18">
        <f>T313/U313</f>
        <v>6.1896551724137936</v>
      </c>
    </row>
    <row r="314" spans="2:26" ht="14.25" thickBot="1">
      <c r="B314" s="82">
        <v>3</v>
      </c>
      <c r="C314" s="105">
        <v>1.31</v>
      </c>
      <c r="D314" s="17">
        <v>0.32</v>
      </c>
      <c r="E314" s="31">
        <f t="shared" si="152"/>
        <v>0.24427480916030533</v>
      </c>
      <c r="F314" s="17">
        <v>0.02</v>
      </c>
      <c r="G314" s="31">
        <f t="shared" si="153"/>
        <v>1.5267175572519083E-2</v>
      </c>
      <c r="H314" s="18">
        <v>0.34799999999999998</v>
      </c>
      <c r="I314" s="31">
        <f t="shared" si="154"/>
        <v>0.26564885496183205</v>
      </c>
      <c r="J314" s="18">
        <f t="shared" ref="J314:J315" si="159">C314-D314-F314-H314-N314</f>
        <v>-0.71800000000000008</v>
      </c>
      <c r="K314" s="31">
        <f t="shared" ref="K314" si="160">J314/C314</f>
        <v>-0.54809160305343518</v>
      </c>
      <c r="L314" s="18">
        <f t="shared" si="155"/>
        <v>327</v>
      </c>
      <c r="M314" s="18">
        <f t="shared" si="156"/>
        <v>6.6793893129770989</v>
      </c>
      <c r="N314" s="17">
        <v>1.34</v>
      </c>
      <c r="O314" s="31">
        <f>N314/C314</f>
        <v>1.0229007633587786</v>
      </c>
      <c r="P314">
        <v>0.72</v>
      </c>
      <c r="Q314" s="43">
        <f>0.1/C314</f>
        <v>7.6335877862595422E-2</v>
      </c>
      <c r="S314" s="82">
        <v>3</v>
      </c>
      <c r="T314" s="18">
        <f t="shared" si="157"/>
        <v>8.75</v>
      </c>
      <c r="U314" s="18">
        <f>C314</f>
        <v>1.31</v>
      </c>
      <c r="V314" s="18">
        <f t="shared" si="158"/>
        <v>6.54</v>
      </c>
      <c r="W314" s="18">
        <f>F314</f>
        <v>0.02</v>
      </c>
      <c r="Y314" s="83">
        <f>V314/W314</f>
        <v>327</v>
      </c>
      <c r="Z314" s="18">
        <f>T314/U314</f>
        <v>6.6793893129770989</v>
      </c>
    </row>
    <row r="315" spans="2:26" ht="14.25" thickBot="1">
      <c r="B315" s="82">
        <v>4</v>
      </c>
      <c r="C315" s="105">
        <v>3.62</v>
      </c>
      <c r="D315" s="17">
        <v>0.32</v>
      </c>
      <c r="E315" s="31">
        <f t="shared" si="152"/>
        <v>8.8397790055248615E-2</v>
      </c>
      <c r="F315" s="17">
        <v>0.02</v>
      </c>
      <c r="G315" s="31">
        <f t="shared" si="153"/>
        <v>5.5248618784530384E-3</v>
      </c>
      <c r="H315" s="18">
        <v>0.34799999999999998</v>
      </c>
      <c r="I315" s="31">
        <f t="shared" si="154"/>
        <v>9.6132596685082866E-2</v>
      </c>
      <c r="J315" s="18">
        <f t="shared" si="159"/>
        <v>1.2120000000000004</v>
      </c>
      <c r="K315" s="31">
        <f>J315/C315</f>
        <v>0.33480662983425424</v>
      </c>
      <c r="L315" s="18">
        <f t="shared" si="155"/>
        <v>403.5</v>
      </c>
      <c r="M315" s="18">
        <f t="shared" si="156"/>
        <v>2.8176795580110494</v>
      </c>
      <c r="N315" s="17">
        <v>1.72</v>
      </c>
      <c r="O315" s="31">
        <f>N315/C315</f>
        <v>0.47513812154696128</v>
      </c>
      <c r="P315">
        <v>0.72</v>
      </c>
      <c r="Q315" s="43">
        <f>0.24/C315</f>
        <v>6.6298342541436461E-2</v>
      </c>
      <c r="S315" s="82">
        <v>4</v>
      </c>
      <c r="T315" s="18">
        <f t="shared" si="157"/>
        <v>10.199999999999999</v>
      </c>
      <c r="U315" s="18">
        <f>C315</f>
        <v>3.62</v>
      </c>
      <c r="V315" s="18">
        <f t="shared" si="158"/>
        <v>8.07</v>
      </c>
      <c r="W315" s="18">
        <f>F315</f>
        <v>0.02</v>
      </c>
      <c r="Y315" s="83">
        <f>V315/W315</f>
        <v>403.5</v>
      </c>
      <c r="Z315" s="18">
        <f>T315/U315</f>
        <v>2.8176795580110494</v>
      </c>
    </row>
    <row r="318" spans="2:26">
      <c r="B318" s="115">
        <v>1</v>
      </c>
      <c r="C318" s="105">
        <v>0.64</v>
      </c>
      <c r="Q318" s="43">
        <f>0.1/C318</f>
        <v>0.15625</v>
      </c>
    </row>
    <row r="319" spans="2:26">
      <c r="B319" s="115">
        <v>2</v>
      </c>
      <c r="C319" s="105">
        <v>0.78</v>
      </c>
      <c r="Q319" s="43">
        <f>0.09/C319</f>
        <v>0.11538461538461538</v>
      </c>
    </row>
    <row r="320" spans="2:26">
      <c r="B320" s="115">
        <v>3</v>
      </c>
      <c r="C320" s="105">
        <v>0.82</v>
      </c>
      <c r="Q320" s="43">
        <f>0.11/C320</f>
        <v>0.13414634146341464</v>
      </c>
    </row>
    <row r="321" spans="2:26">
      <c r="B321" s="115">
        <v>4</v>
      </c>
      <c r="C321" s="105">
        <v>0.88</v>
      </c>
      <c r="Q321" s="43">
        <f>0.11/C321</f>
        <v>0.125</v>
      </c>
    </row>
    <row r="322" spans="2:26">
      <c r="B322" s="115"/>
      <c r="C322" s="105"/>
    </row>
    <row r="332" spans="2:26" ht="14.25" thickBot="1">
      <c r="J332" t="s">
        <v>161</v>
      </c>
      <c r="K332" t="s">
        <v>169</v>
      </c>
      <c r="L332" t="s">
        <v>256</v>
      </c>
      <c r="M332" t="s">
        <v>257</v>
      </c>
      <c r="O332" t="s">
        <v>225</v>
      </c>
      <c r="P332" t="s">
        <v>227</v>
      </c>
    </row>
    <row r="333" spans="2:26" ht="14.25" thickBot="1">
      <c r="B333" s="171" t="s">
        <v>162</v>
      </c>
      <c r="C333" s="171" t="s">
        <v>163</v>
      </c>
      <c r="D333" s="169" t="s">
        <v>187</v>
      </c>
      <c r="E333" s="170"/>
      <c r="F333" s="169" t="s">
        <v>185</v>
      </c>
      <c r="G333" s="170"/>
      <c r="H333" s="169" t="s">
        <v>186</v>
      </c>
      <c r="I333" s="170"/>
      <c r="J333" s="169" t="s">
        <v>228</v>
      </c>
      <c r="K333" s="170"/>
      <c r="L333" s="169" t="s">
        <v>184</v>
      </c>
      <c r="M333" s="170"/>
      <c r="N333" s="169" t="s">
        <v>258</v>
      </c>
      <c r="O333" s="170"/>
      <c r="T333" t="s">
        <v>163</v>
      </c>
      <c r="U333" t="s">
        <v>163</v>
      </c>
      <c r="V333" t="s">
        <v>165</v>
      </c>
      <c r="W333" t="s">
        <v>165</v>
      </c>
      <c r="Y333" s="169" t="s">
        <v>184</v>
      </c>
      <c r="Z333" s="170"/>
    </row>
    <row r="334" spans="2:26" ht="14.25" thickBot="1">
      <c r="B334" s="172"/>
      <c r="C334" s="172"/>
      <c r="D334" s="83" t="s">
        <v>167</v>
      </c>
      <c r="E334" s="83" t="s">
        <v>168</v>
      </c>
      <c r="F334" s="83" t="s">
        <v>167</v>
      </c>
      <c r="G334" s="83" t="s">
        <v>168</v>
      </c>
      <c r="H334" s="83" t="s">
        <v>167</v>
      </c>
      <c r="I334" s="83" t="s">
        <v>168</v>
      </c>
      <c r="J334" s="83" t="s">
        <v>167</v>
      </c>
      <c r="K334" s="83" t="s">
        <v>168</v>
      </c>
      <c r="L334" s="83" t="s">
        <v>182</v>
      </c>
      <c r="M334" s="18" t="s">
        <v>183</v>
      </c>
      <c r="N334" s="83" t="s">
        <v>167</v>
      </c>
      <c r="O334" s="83" t="s">
        <v>168</v>
      </c>
      <c r="S334" s="83" t="s">
        <v>162</v>
      </c>
      <c r="T334" s="83" t="s">
        <v>192</v>
      </c>
      <c r="U334" s="83" t="s">
        <v>229</v>
      </c>
      <c r="V334" s="83" t="s">
        <v>192</v>
      </c>
      <c r="W334" s="83" t="s">
        <v>256</v>
      </c>
      <c r="Y334" s="83" t="s">
        <v>259</v>
      </c>
      <c r="Z334" s="83" t="s">
        <v>260</v>
      </c>
    </row>
    <row r="335" spans="2:26" ht="14.25" thickBot="1">
      <c r="B335" s="82">
        <v>1</v>
      </c>
      <c r="C335" s="105">
        <v>0.55000000000000004</v>
      </c>
      <c r="D335" s="17">
        <v>0.32</v>
      </c>
      <c r="E335" s="31">
        <f>D335/C335</f>
        <v>0.58181818181818179</v>
      </c>
      <c r="F335" s="17">
        <v>0.02</v>
      </c>
      <c r="G335" s="31">
        <f>F335/C335</f>
        <v>3.6363636363636362E-2</v>
      </c>
      <c r="H335" s="18">
        <v>0.34</v>
      </c>
      <c r="I335" s="31">
        <f>H335/C335</f>
        <v>0.61818181818181817</v>
      </c>
      <c r="J335" s="18">
        <f>C335-D335-F335-H335-N335</f>
        <v>-0.15999999999999998</v>
      </c>
      <c r="K335" s="31">
        <f t="shared" ref="K335" si="161">J335/C335</f>
        <v>-0.29090909090909084</v>
      </c>
      <c r="L335" s="18">
        <f>F19/F335</f>
        <v>40.999999999999993</v>
      </c>
      <c r="M335" s="18">
        <f>C19/C335</f>
        <v>4.836363636363636</v>
      </c>
      <c r="N335" s="17">
        <v>0.03</v>
      </c>
      <c r="O335" s="31">
        <f>N335/C335</f>
        <v>5.4545454545454536E-2</v>
      </c>
      <c r="P335">
        <v>0.69</v>
      </c>
      <c r="Q335" s="43">
        <f>0.04/C335</f>
        <v>7.2727272727272724E-2</v>
      </c>
      <c r="S335" s="82">
        <v>1</v>
      </c>
      <c r="T335" s="18">
        <f>C19</f>
        <v>2.66</v>
      </c>
      <c r="U335" s="18">
        <f>C335</f>
        <v>0.55000000000000004</v>
      </c>
      <c r="V335" s="18">
        <f>F19</f>
        <v>0.81999999999999984</v>
      </c>
      <c r="W335" s="18">
        <f>F335</f>
        <v>0.02</v>
      </c>
      <c r="Y335" s="18">
        <f>Z312</f>
        <v>4.9259259259259256</v>
      </c>
      <c r="Z335" s="18">
        <f>T335/U335</f>
        <v>4.836363636363636</v>
      </c>
    </row>
    <row r="336" spans="2:26" ht="14.25" thickBot="1">
      <c r="B336" s="82">
        <v>2</v>
      </c>
      <c r="C336" s="105">
        <v>0.57999999999999996</v>
      </c>
      <c r="D336" s="17">
        <v>0.32</v>
      </c>
      <c r="E336" s="31">
        <f t="shared" ref="E336:E338" si="162">D336/C336</f>
        <v>0.55172413793103459</v>
      </c>
      <c r="F336" s="17">
        <v>0.02</v>
      </c>
      <c r="G336" s="31">
        <f t="shared" ref="G336:G338" si="163">F336/C336</f>
        <v>3.4482758620689662E-2</v>
      </c>
      <c r="H336" s="18">
        <v>0.34</v>
      </c>
      <c r="I336" s="31">
        <f t="shared" ref="I336:I338" si="164">H336/C336</f>
        <v>0.5862068965517242</v>
      </c>
      <c r="J336" s="18">
        <f>C336-D336-F336-H336-N336</f>
        <v>-0.20000000000000007</v>
      </c>
      <c r="K336" s="31">
        <f>J336/C336</f>
        <v>-0.34482758620689669</v>
      </c>
      <c r="L336" s="18">
        <f t="shared" ref="L336:L338" si="165">F20/F336</f>
        <v>254.5</v>
      </c>
      <c r="M336" s="18">
        <f t="shared" ref="M336:M338" si="166">C20/C336</f>
        <v>12.379310344827587</v>
      </c>
      <c r="N336" s="17">
        <v>0.1</v>
      </c>
      <c r="O336" s="31">
        <f>N336/C336</f>
        <v>0.17241379310344829</v>
      </c>
      <c r="P336">
        <v>0.54</v>
      </c>
      <c r="Q336" s="43">
        <f>0.04/C336</f>
        <v>6.8965517241379323E-2</v>
      </c>
      <c r="S336" s="82">
        <v>2</v>
      </c>
      <c r="T336" s="18">
        <f t="shared" ref="T336:T338" si="167">C20</f>
        <v>7.18</v>
      </c>
      <c r="U336" s="18">
        <f>C336</f>
        <v>0.57999999999999996</v>
      </c>
      <c r="V336" s="18">
        <f t="shared" ref="V336:V338" si="168">F20</f>
        <v>5.09</v>
      </c>
      <c r="W336" s="18">
        <f>F336</f>
        <v>0.02</v>
      </c>
      <c r="Y336" s="18">
        <f t="shared" ref="Y336:Y338" si="169">Z313</f>
        <v>6.1896551724137936</v>
      </c>
      <c r="Z336" s="18">
        <f>T336/U336</f>
        <v>12.379310344827587</v>
      </c>
    </row>
    <row r="337" spans="2:26" ht="14.25" thickBot="1">
      <c r="B337" s="82">
        <v>3</v>
      </c>
      <c r="C337" s="105">
        <v>0.61</v>
      </c>
      <c r="D337" s="17">
        <v>0.32</v>
      </c>
      <c r="E337" s="31">
        <f t="shared" si="162"/>
        <v>0.52459016393442626</v>
      </c>
      <c r="F337" s="17">
        <v>0.02</v>
      </c>
      <c r="G337" s="31">
        <f t="shared" si="163"/>
        <v>3.2786885245901641E-2</v>
      </c>
      <c r="H337" s="18">
        <v>0.34</v>
      </c>
      <c r="I337" s="31">
        <f t="shared" si="164"/>
        <v>0.55737704918032793</v>
      </c>
      <c r="J337" s="18">
        <f t="shared" ref="J337:J338" si="170">C337-D337-F337-H337-N337</f>
        <v>-0.15000000000000008</v>
      </c>
      <c r="K337" s="31">
        <f t="shared" ref="K337" si="171">J337/C337</f>
        <v>-0.24590163934426243</v>
      </c>
      <c r="L337" s="18">
        <f t="shared" si="165"/>
        <v>327</v>
      </c>
      <c r="M337" s="18">
        <f t="shared" si="166"/>
        <v>14.344262295081968</v>
      </c>
      <c r="N337" s="17">
        <v>0.08</v>
      </c>
      <c r="O337" s="31">
        <f>N337/C337</f>
        <v>0.13114754098360656</v>
      </c>
      <c r="P337">
        <v>0.72</v>
      </c>
      <c r="Q337" s="43">
        <f>0.04/C337</f>
        <v>6.5573770491803282E-2</v>
      </c>
      <c r="S337" s="82">
        <v>3</v>
      </c>
      <c r="T337" s="18">
        <f t="shared" si="167"/>
        <v>8.75</v>
      </c>
      <c r="U337" s="18">
        <f>C337</f>
        <v>0.61</v>
      </c>
      <c r="V337" s="18">
        <f t="shared" si="168"/>
        <v>6.54</v>
      </c>
      <c r="W337" s="18">
        <f>F337</f>
        <v>0.02</v>
      </c>
      <c r="Y337" s="18">
        <f t="shared" si="169"/>
        <v>6.6793893129770989</v>
      </c>
      <c r="Z337" s="82">
        <f>T337/U337</f>
        <v>14.344262295081968</v>
      </c>
    </row>
    <row r="338" spans="2:26" ht="14.25" thickBot="1">
      <c r="B338" s="82">
        <v>4</v>
      </c>
      <c r="C338" s="105">
        <v>0.88</v>
      </c>
      <c r="D338" s="17">
        <v>0.32</v>
      </c>
      <c r="E338" s="31">
        <f t="shared" si="162"/>
        <v>0.36363636363636365</v>
      </c>
      <c r="F338" s="17">
        <v>0.02</v>
      </c>
      <c r="G338" s="31">
        <f t="shared" si="163"/>
        <v>2.2727272727272728E-2</v>
      </c>
      <c r="H338" s="18">
        <v>0.34</v>
      </c>
      <c r="I338" s="31">
        <f t="shared" si="164"/>
        <v>0.38636363636363641</v>
      </c>
      <c r="J338" s="18">
        <f t="shared" si="170"/>
        <v>5.0000000000000017E-2</v>
      </c>
      <c r="K338" s="31">
        <f>J338/C338</f>
        <v>5.6818181818181837E-2</v>
      </c>
      <c r="L338" s="18">
        <f t="shared" si="165"/>
        <v>403.5</v>
      </c>
      <c r="M338" s="18">
        <f t="shared" si="166"/>
        <v>11.59090909090909</v>
      </c>
      <c r="N338" s="17">
        <v>0.15</v>
      </c>
      <c r="O338" s="31">
        <f>N338/C338</f>
        <v>0.17045454545454544</v>
      </c>
      <c r="P338">
        <v>0.72</v>
      </c>
      <c r="Q338" s="43">
        <f>0.04/C338</f>
        <v>4.5454545454545456E-2</v>
      </c>
      <c r="S338" s="82">
        <v>4</v>
      </c>
      <c r="T338" s="18">
        <f t="shared" si="167"/>
        <v>10.199999999999999</v>
      </c>
      <c r="U338" s="18">
        <f>C338</f>
        <v>0.88</v>
      </c>
      <c r="V338" s="18">
        <f t="shared" si="168"/>
        <v>8.07</v>
      </c>
      <c r="W338" s="18">
        <f>F338</f>
        <v>0.02</v>
      </c>
      <c r="Y338" s="18">
        <f t="shared" si="169"/>
        <v>2.8176795580110494</v>
      </c>
      <c r="Z338" s="82">
        <f>T338/U338</f>
        <v>11.59090909090909</v>
      </c>
    </row>
    <row r="341" spans="2:26">
      <c r="B341" s="115">
        <v>1</v>
      </c>
      <c r="C341" s="105">
        <v>0.64</v>
      </c>
      <c r="Q341" s="43">
        <f>0.1/C341</f>
        <v>0.15625</v>
      </c>
    </row>
    <row r="342" spans="2:26">
      <c r="B342" s="115">
        <v>2</v>
      </c>
      <c r="C342" s="105">
        <v>0.78</v>
      </c>
      <c r="Q342" s="43">
        <f>0.09/C342</f>
        <v>0.11538461538461538</v>
      </c>
    </row>
    <row r="343" spans="2:26">
      <c r="B343" s="115">
        <v>3</v>
      </c>
      <c r="C343" s="105">
        <v>0.82</v>
      </c>
      <c r="Q343" s="43">
        <f>0.11/C343</f>
        <v>0.13414634146341464</v>
      </c>
    </row>
    <row r="344" spans="2:26">
      <c r="B344" s="115">
        <v>4</v>
      </c>
      <c r="C344" s="105">
        <v>0.88</v>
      </c>
      <c r="Q344" s="43">
        <f>0.11/C344</f>
        <v>0.125</v>
      </c>
    </row>
    <row r="368" spans="9:9">
      <c r="I368" s="38"/>
    </row>
    <row r="387" spans="2:33" ht="27">
      <c r="C387" t="s">
        <v>437</v>
      </c>
      <c r="D387" t="s">
        <v>438</v>
      </c>
      <c r="F387" s="38" t="s">
        <v>295</v>
      </c>
      <c r="G387" t="s">
        <v>288</v>
      </c>
      <c r="H387" s="38" t="s">
        <v>46</v>
      </c>
      <c r="I387" s="38" t="s">
        <v>290</v>
      </c>
      <c r="J387" t="s">
        <v>291</v>
      </c>
      <c r="K387" t="s">
        <v>292</v>
      </c>
      <c r="T387" t="s">
        <v>437</v>
      </c>
      <c r="U387" t="s">
        <v>245</v>
      </c>
      <c r="W387" s="145" t="s">
        <v>295</v>
      </c>
      <c r="X387" s="145" t="s">
        <v>289</v>
      </c>
      <c r="Y387" s="145" t="s">
        <v>290</v>
      </c>
      <c r="Z387" t="s">
        <v>256</v>
      </c>
      <c r="AA387" t="s">
        <v>229</v>
      </c>
    </row>
    <row r="388" spans="2:33" ht="54">
      <c r="B388">
        <v>1</v>
      </c>
      <c r="C388" s="38" t="s">
        <v>397</v>
      </c>
      <c r="E388" t="s">
        <v>293</v>
      </c>
      <c r="F388" s="61">
        <f>'骨骼动画时间分布-503'!C20</f>
        <v>4.97</v>
      </c>
      <c r="G388" s="61">
        <v>1.5</v>
      </c>
      <c r="H388" s="61">
        <v>0.8</v>
      </c>
      <c r="I388" s="61">
        <f>'骨骼动画时间分布-503'!C144</f>
        <v>1</v>
      </c>
      <c r="J388" s="92">
        <f>'骨骼动画时间分布-503'!C335</f>
        <v>0.78</v>
      </c>
      <c r="K388" s="61">
        <f>'骨骼动画时间分布-503'!C291</f>
        <v>1.1399999999999999</v>
      </c>
      <c r="T388" s="149" t="s">
        <v>454</v>
      </c>
      <c r="V388" t="s">
        <v>293</v>
      </c>
      <c r="W388" s="61">
        <v>5</v>
      </c>
      <c r="X388" s="61">
        <v>0.8</v>
      </c>
      <c r="Y388" s="61">
        <v>0.55000000000000004</v>
      </c>
      <c r="Z388" s="61">
        <v>0.78</v>
      </c>
      <c r="AA388" s="92">
        <v>1.1000000000000001</v>
      </c>
    </row>
    <row r="389" spans="2:33">
      <c r="E389" t="s">
        <v>294</v>
      </c>
      <c r="F389">
        <v>1</v>
      </c>
      <c r="G389" s="61">
        <f>F388/G388</f>
        <v>3.313333333333333</v>
      </c>
      <c r="H389" s="61">
        <f>F388/H388</f>
        <v>6.2124999999999995</v>
      </c>
      <c r="I389" s="92">
        <f>F388/I388</f>
        <v>4.97</v>
      </c>
      <c r="J389" s="92">
        <f>F388/J388</f>
        <v>6.3717948717948714</v>
      </c>
      <c r="K389" s="92">
        <f>F388/K388</f>
        <v>4.359649122807018</v>
      </c>
      <c r="V389" t="s">
        <v>294</v>
      </c>
      <c r="W389">
        <v>1</v>
      </c>
      <c r="X389" s="61">
        <f>W388/X388</f>
        <v>6.25</v>
      </c>
      <c r="Y389" s="61">
        <f>W388/Y388</f>
        <v>9.0909090909090899</v>
      </c>
      <c r="Z389" s="61">
        <f>W388/Z388</f>
        <v>6.4102564102564097</v>
      </c>
      <c r="AA389" s="61">
        <f>W388/AA388</f>
        <v>4.545454545454545</v>
      </c>
    </row>
    <row r="390" spans="2:33" ht="54">
      <c r="B390">
        <v>2</v>
      </c>
      <c r="C390" s="38" t="s">
        <v>398</v>
      </c>
      <c r="E390" t="s">
        <v>293</v>
      </c>
      <c r="F390" s="92">
        <f>C20</f>
        <v>7.18</v>
      </c>
      <c r="G390" s="92">
        <v>2</v>
      </c>
      <c r="H390" s="92">
        <f>C112</f>
        <v>1.59</v>
      </c>
      <c r="I390" s="61">
        <f>C145</f>
        <v>2.14</v>
      </c>
      <c r="J390" s="92">
        <f>C336</f>
        <v>0.57999999999999996</v>
      </c>
      <c r="K390" s="61">
        <f>C292</f>
        <v>2.81</v>
      </c>
      <c r="T390" s="149" t="s">
        <v>455</v>
      </c>
      <c r="V390" t="s">
        <v>293</v>
      </c>
      <c r="W390" s="92">
        <v>7.18</v>
      </c>
      <c r="X390" s="92">
        <v>1.59</v>
      </c>
      <c r="Y390" s="92">
        <v>2.1</v>
      </c>
      <c r="Z390" s="61">
        <v>0.57999999999999996</v>
      </c>
      <c r="AA390" s="92">
        <v>2.8</v>
      </c>
    </row>
    <row r="391" spans="2:33">
      <c r="E391" t="s">
        <v>294</v>
      </c>
      <c r="F391">
        <v>1</v>
      </c>
      <c r="G391" s="61">
        <f>C20/G390</f>
        <v>3.59</v>
      </c>
      <c r="H391" s="61">
        <f>C20/H390</f>
        <v>4.515723270440251</v>
      </c>
      <c r="I391" s="92">
        <f>C20/I390</f>
        <v>3.3551401869158877</v>
      </c>
      <c r="J391" s="61">
        <f>C20/J390</f>
        <v>12.379310344827587</v>
      </c>
      <c r="K391" s="92">
        <f>C20/K390</f>
        <v>2.5551601423487544</v>
      </c>
      <c r="N391" s="175" t="s">
        <v>431</v>
      </c>
      <c r="O391" s="175"/>
      <c r="P391" s="175"/>
      <c r="Q391" s="175"/>
      <c r="V391" t="s">
        <v>294</v>
      </c>
      <c r="W391">
        <v>1</v>
      </c>
      <c r="X391" s="61">
        <f>W390/X390</f>
        <v>4.515723270440251</v>
      </c>
      <c r="Y391" s="61">
        <f>W390/Y390</f>
        <v>3.4190476190476189</v>
      </c>
      <c r="Z391" s="61">
        <f>W390/Z390</f>
        <v>12.379310344827587</v>
      </c>
      <c r="AA391" s="61">
        <f>W390/AA390</f>
        <v>2.5642857142857145</v>
      </c>
      <c r="AD391" s="175" t="s">
        <v>431</v>
      </c>
      <c r="AE391" s="175"/>
      <c r="AF391" s="175"/>
      <c r="AG391" s="175"/>
    </row>
    <row r="392" spans="2:33" ht="40.5">
      <c r="B392">
        <v>3</v>
      </c>
      <c r="C392" s="38" t="s">
        <v>399</v>
      </c>
      <c r="E392" t="s">
        <v>293</v>
      </c>
      <c r="F392" s="92">
        <v>6.13</v>
      </c>
      <c r="G392" s="92">
        <v>1.43</v>
      </c>
      <c r="H392" s="92">
        <v>2.2799999999999998</v>
      </c>
      <c r="I392" s="61">
        <f>C147</f>
        <v>2.36</v>
      </c>
      <c r="J392" s="92" t="s">
        <v>441</v>
      </c>
      <c r="K392" s="61" t="s">
        <v>441</v>
      </c>
      <c r="L392" t="s">
        <v>396</v>
      </c>
      <c r="N392" t="s">
        <v>429</v>
      </c>
      <c r="T392" s="149" t="s">
        <v>456</v>
      </c>
      <c r="V392" t="s">
        <v>293</v>
      </c>
      <c r="W392" s="92">
        <v>6.13</v>
      </c>
      <c r="X392" s="92">
        <v>2.2799999999999998</v>
      </c>
      <c r="Y392" s="92">
        <v>0.79</v>
      </c>
      <c r="Z392" s="61">
        <v>0.88</v>
      </c>
      <c r="AA392" s="92" t="s">
        <v>441</v>
      </c>
      <c r="AB392" s="92">
        <v>0.79</v>
      </c>
      <c r="AD392" t="s">
        <v>444</v>
      </c>
    </row>
    <row r="393" spans="2:33">
      <c r="E393" t="s">
        <v>294</v>
      </c>
      <c r="F393">
        <v>1</v>
      </c>
      <c r="G393" s="61">
        <f>F392/G392</f>
        <v>4.2867132867132867</v>
      </c>
      <c r="H393" s="61">
        <f>F392/H392</f>
        <v>2.6885964912280702</v>
      </c>
      <c r="I393" s="92">
        <f>C22/I392</f>
        <v>4.3220338983050848</v>
      </c>
      <c r="J393" s="61" t="s">
        <v>441</v>
      </c>
      <c r="K393" s="92" t="s">
        <v>441</v>
      </c>
      <c r="L393" t="s">
        <v>396</v>
      </c>
      <c r="V393" t="s">
        <v>294</v>
      </c>
      <c r="W393">
        <v>1</v>
      </c>
      <c r="X393" s="61">
        <f>W392/X392</f>
        <v>2.6885964912280702</v>
      </c>
      <c r="Y393" s="61">
        <f>W392/Y392</f>
        <v>7.7594936708860756</v>
      </c>
      <c r="Z393" s="61">
        <f>W392/Z392</f>
        <v>6.9659090909090908</v>
      </c>
      <c r="AA393" s="61" t="s">
        <v>441</v>
      </c>
    </row>
    <row r="394" spans="2:33">
      <c r="G394" s="92"/>
      <c r="H394" s="92"/>
      <c r="I394" s="92"/>
      <c r="J394" s="61"/>
      <c r="K394" s="92"/>
    </row>
    <row r="395" spans="2:33">
      <c r="C395" t="s">
        <v>437</v>
      </c>
      <c r="D395" t="s">
        <v>439</v>
      </c>
      <c r="F395" t="s">
        <v>403</v>
      </c>
      <c r="G395" s="92" t="s">
        <v>401</v>
      </c>
      <c r="H395" s="92" t="s">
        <v>400</v>
      </c>
      <c r="I395" s="92" t="s">
        <v>402</v>
      </c>
      <c r="J395" s="61"/>
      <c r="K395" s="92"/>
      <c r="X395" t="s">
        <v>443</v>
      </c>
      <c r="Y395" t="s">
        <v>442</v>
      </c>
    </row>
    <row r="396" spans="2:33">
      <c r="C396" t="s">
        <v>404</v>
      </c>
      <c r="D396">
        <v>1</v>
      </c>
      <c r="F396" s="92">
        <v>1</v>
      </c>
      <c r="G396" s="92">
        <v>1</v>
      </c>
      <c r="H396" s="92">
        <v>1.22</v>
      </c>
      <c r="I396" s="92">
        <v>1.46</v>
      </c>
      <c r="J396" s="61"/>
      <c r="K396" s="92"/>
    </row>
    <row r="397" spans="2:33">
      <c r="D397">
        <v>2</v>
      </c>
      <c r="F397" s="92">
        <v>6.13</v>
      </c>
      <c r="G397" s="92">
        <v>1.43</v>
      </c>
      <c r="H397" s="92">
        <v>2.2799999999999998</v>
      </c>
      <c r="I397" s="92">
        <v>2.5</v>
      </c>
    </row>
    <row r="398" spans="2:33">
      <c r="D398">
        <v>3</v>
      </c>
    </row>
    <row r="399" spans="2:33">
      <c r="D399">
        <v>4</v>
      </c>
    </row>
  </sheetData>
  <mergeCells count="165">
    <mergeCell ref="AD391:AG391"/>
    <mergeCell ref="N391:Q391"/>
    <mergeCell ref="B333:B334"/>
    <mergeCell ref="C333:C334"/>
    <mergeCell ref="D333:E333"/>
    <mergeCell ref="F333:G333"/>
    <mergeCell ref="H333:I333"/>
    <mergeCell ref="J333:K333"/>
    <mergeCell ref="L333:M333"/>
    <mergeCell ref="N333:O333"/>
    <mergeCell ref="Y333:Z333"/>
    <mergeCell ref="B310:B311"/>
    <mergeCell ref="C310:C311"/>
    <mergeCell ref="D310:E310"/>
    <mergeCell ref="F310:G310"/>
    <mergeCell ref="H310:I310"/>
    <mergeCell ref="J310:K310"/>
    <mergeCell ref="L310:M310"/>
    <mergeCell ref="N310:O310"/>
    <mergeCell ref="Y310:Z310"/>
    <mergeCell ref="Y297:Z297"/>
    <mergeCell ref="D266:E266"/>
    <mergeCell ref="F266:G266"/>
    <mergeCell ref="H266:I266"/>
    <mergeCell ref="J266:K266"/>
    <mergeCell ref="L266:M266"/>
    <mergeCell ref="N266:O266"/>
    <mergeCell ref="Y266:Z266"/>
    <mergeCell ref="B289:B290"/>
    <mergeCell ref="C289:C290"/>
    <mergeCell ref="D289:E289"/>
    <mergeCell ref="F289:G289"/>
    <mergeCell ref="H289:I289"/>
    <mergeCell ref="J289:K289"/>
    <mergeCell ref="L289:M289"/>
    <mergeCell ref="N289:O289"/>
    <mergeCell ref="Y289:Z289"/>
    <mergeCell ref="J142:K142"/>
    <mergeCell ref="L142:M142"/>
    <mergeCell ref="N142:O142"/>
    <mergeCell ref="Y142:Z142"/>
    <mergeCell ref="B142:B143"/>
    <mergeCell ref="C142:C143"/>
    <mergeCell ref="D142:E142"/>
    <mergeCell ref="F142:G142"/>
    <mergeCell ref="H142:I142"/>
    <mergeCell ref="B28:B29"/>
    <mergeCell ref="C28:C29"/>
    <mergeCell ref="D28:E28"/>
    <mergeCell ref="B37:B38"/>
    <mergeCell ref="C37:C38"/>
    <mergeCell ref="D37:E37"/>
    <mergeCell ref="F37:G37"/>
    <mergeCell ref="L63:M63"/>
    <mergeCell ref="C63:C64"/>
    <mergeCell ref="D63:E63"/>
    <mergeCell ref="F63:G63"/>
    <mergeCell ref="H63:I63"/>
    <mergeCell ref="J63:K63"/>
    <mergeCell ref="H37:I37"/>
    <mergeCell ref="F49:G49"/>
    <mergeCell ref="H49:I49"/>
    <mergeCell ref="Y73:Z73"/>
    <mergeCell ref="J72:K72"/>
    <mergeCell ref="L72:M72"/>
    <mergeCell ref="B72:B73"/>
    <mergeCell ref="C72:C73"/>
    <mergeCell ref="D72:E72"/>
    <mergeCell ref="F72:G72"/>
    <mergeCell ref="H72:I72"/>
    <mergeCell ref="B49:B50"/>
    <mergeCell ref="C49:C50"/>
    <mergeCell ref="D49:E49"/>
    <mergeCell ref="B63:B64"/>
    <mergeCell ref="Y59:Z59"/>
    <mergeCell ref="J49:K49"/>
    <mergeCell ref="L49:M49"/>
    <mergeCell ref="B17:B18"/>
    <mergeCell ref="C17:C18"/>
    <mergeCell ref="D17:E17"/>
    <mergeCell ref="F17:G17"/>
    <mergeCell ref="B5:B6"/>
    <mergeCell ref="C5:C6"/>
    <mergeCell ref="D5:E5"/>
    <mergeCell ref="F5:G5"/>
    <mergeCell ref="H5:I5"/>
    <mergeCell ref="U26:U27"/>
    <mergeCell ref="V26:V27"/>
    <mergeCell ref="W26:W27"/>
    <mergeCell ref="Y29:Z29"/>
    <mergeCell ref="Y41:Z41"/>
    <mergeCell ref="F28:G28"/>
    <mergeCell ref="J5:K5"/>
    <mergeCell ref="H17:I17"/>
    <mergeCell ref="H28:I28"/>
    <mergeCell ref="S26:S27"/>
    <mergeCell ref="T26:T27"/>
    <mergeCell ref="L17:M17"/>
    <mergeCell ref="T38:T39"/>
    <mergeCell ref="J17:K17"/>
    <mergeCell ref="J37:K37"/>
    <mergeCell ref="L37:M37"/>
    <mergeCell ref="J28:K28"/>
    <mergeCell ref="M28:N28"/>
    <mergeCell ref="J83:K83"/>
    <mergeCell ref="L83:M83"/>
    <mergeCell ref="Y83:Z83"/>
    <mergeCell ref="B83:B84"/>
    <mergeCell ref="C83:C84"/>
    <mergeCell ref="D83:E83"/>
    <mergeCell ref="F83:G83"/>
    <mergeCell ref="H83:I83"/>
    <mergeCell ref="N83:O83"/>
    <mergeCell ref="J109:K109"/>
    <mergeCell ref="L109:M109"/>
    <mergeCell ref="N109:O109"/>
    <mergeCell ref="Y109:Z109"/>
    <mergeCell ref="B109:B110"/>
    <mergeCell ref="C109:C110"/>
    <mergeCell ref="D109:E109"/>
    <mergeCell ref="F109:G109"/>
    <mergeCell ref="H109:I109"/>
    <mergeCell ref="J172:K172"/>
    <mergeCell ref="L172:M172"/>
    <mergeCell ref="N172:O172"/>
    <mergeCell ref="Y172:Z172"/>
    <mergeCell ref="B199:B200"/>
    <mergeCell ref="C199:C200"/>
    <mergeCell ref="D199:E199"/>
    <mergeCell ref="F199:G199"/>
    <mergeCell ref="H199:I199"/>
    <mergeCell ref="J199:K199"/>
    <mergeCell ref="L199:M199"/>
    <mergeCell ref="N199:O199"/>
    <mergeCell ref="Y199:Z199"/>
    <mergeCell ref="B172:B173"/>
    <mergeCell ref="C172:C173"/>
    <mergeCell ref="D172:E172"/>
    <mergeCell ref="F172:G172"/>
    <mergeCell ref="H172:I172"/>
    <mergeCell ref="Y180:Z180"/>
    <mergeCell ref="Y207:Z207"/>
    <mergeCell ref="Y230:Z230"/>
    <mergeCell ref="Y251:Z251"/>
    <mergeCell ref="Y274:Z274"/>
    <mergeCell ref="B243:B244"/>
    <mergeCell ref="C243:C244"/>
    <mergeCell ref="D243:E243"/>
    <mergeCell ref="F243:G243"/>
    <mergeCell ref="H243:I243"/>
    <mergeCell ref="J243:K243"/>
    <mergeCell ref="L243:M243"/>
    <mergeCell ref="N243:O243"/>
    <mergeCell ref="Y243:Z243"/>
    <mergeCell ref="B222:B223"/>
    <mergeCell ref="C222:C223"/>
    <mergeCell ref="D222:E222"/>
    <mergeCell ref="F222:G222"/>
    <mergeCell ref="H222:I222"/>
    <mergeCell ref="J222:K222"/>
    <mergeCell ref="L222:M222"/>
    <mergeCell ref="N222:O222"/>
    <mergeCell ref="Y222:Z222"/>
    <mergeCell ref="B266:B267"/>
    <mergeCell ref="C266:C267"/>
  </mergeCells>
  <phoneticPr fontId="3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B3:AO20"/>
  <sheetViews>
    <sheetView workbookViewId="0">
      <selection activeCell="H17" sqref="H17"/>
    </sheetView>
  </sheetViews>
  <sheetFormatPr defaultRowHeight="13.5"/>
  <cols>
    <col min="4" max="4" width="5.375" customWidth="1"/>
    <col min="5" max="5" width="5.125" customWidth="1"/>
    <col min="6" max="6" width="5.375" customWidth="1"/>
    <col min="7" max="7" width="4.5" customWidth="1"/>
    <col min="8" max="8" width="4.125" customWidth="1"/>
    <col min="9" max="9" width="4.625" customWidth="1"/>
    <col min="10" max="10" width="5.5" customWidth="1"/>
    <col min="11" max="11" width="6.875" customWidth="1"/>
    <col min="12" max="12" width="6" customWidth="1"/>
    <col min="13" max="13" width="7.375" customWidth="1"/>
    <col min="18" max="18" width="5.875" bestFit="1" customWidth="1"/>
    <col min="19" max="19" width="5" bestFit="1" customWidth="1"/>
    <col min="20" max="20" width="5.875" bestFit="1" customWidth="1"/>
    <col min="21" max="23" width="5" bestFit="1" customWidth="1"/>
    <col min="24" max="24" width="5.5" bestFit="1" customWidth="1"/>
    <col min="25" max="25" width="6.875" customWidth="1"/>
    <col min="26" max="26" width="6.5" customWidth="1"/>
    <col min="27" max="27" width="3.875" customWidth="1"/>
  </cols>
  <sheetData>
    <row r="3" spans="2:41">
      <c r="Y3" t="s">
        <v>175</v>
      </c>
      <c r="AM3" t="s">
        <v>175</v>
      </c>
    </row>
    <row r="4" spans="2:41" ht="14.25" thickBot="1">
      <c r="J4" t="s">
        <v>161</v>
      </c>
      <c r="K4" t="s">
        <v>169</v>
      </c>
      <c r="L4" t="s">
        <v>172</v>
      </c>
      <c r="X4" t="s">
        <v>161</v>
      </c>
      <c r="Y4" t="s">
        <v>174</v>
      </c>
      <c r="Z4" t="s">
        <v>172</v>
      </c>
      <c r="AL4" t="s">
        <v>161</v>
      </c>
      <c r="AM4" t="s">
        <v>180</v>
      </c>
      <c r="AN4" t="s">
        <v>172</v>
      </c>
    </row>
    <row r="5" spans="2:41" ht="14.25" thickBot="1">
      <c r="B5" s="171" t="s">
        <v>162</v>
      </c>
      <c r="C5" s="171" t="s">
        <v>163</v>
      </c>
      <c r="D5" s="169" t="s">
        <v>164</v>
      </c>
      <c r="E5" s="170"/>
      <c r="F5" s="169" t="s">
        <v>165</v>
      </c>
      <c r="G5" s="170"/>
      <c r="H5" s="169" t="s">
        <v>166</v>
      </c>
      <c r="I5" s="170"/>
      <c r="J5" s="169" t="s">
        <v>170</v>
      </c>
      <c r="K5" s="170"/>
      <c r="L5" s="169" t="s">
        <v>173</v>
      </c>
      <c r="M5" s="170"/>
      <c r="N5" s="84"/>
      <c r="O5" s="84"/>
      <c r="P5" s="171" t="s">
        <v>162</v>
      </c>
      <c r="Q5" s="171" t="s">
        <v>163</v>
      </c>
      <c r="R5" s="169" t="s">
        <v>164</v>
      </c>
      <c r="S5" s="170"/>
      <c r="T5" s="169" t="s">
        <v>165</v>
      </c>
      <c r="U5" s="170"/>
      <c r="V5" s="169" t="s">
        <v>166</v>
      </c>
      <c r="W5" s="170"/>
      <c r="X5" s="169" t="s">
        <v>170</v>
      </c>
      <c r="Y5" s="170"/>
      <c r="Z5" s="169" t="s">
        <v>173</v>
      </c>
      <c r="AA5" s="170"/>
      <c r="AD5" s="171" t="s">
        <v>162</v>
      </c>
      <c r="AE5" s="171" t="s">
        <v>163</v>
      </c>
      <c r="AF5" s="169" t="s">
        <v>164</v>
      </c>
      <c r="AG5" s="170"/>
      <c r="AH5" s="169" t="s">
        <v>165</v>
      </c>
      <c r="AI5" s="170"/>
      <c r="AJ5" s="169" t="s">
        <v>166</v>
      </c>
      <c r="AK5" s="170"/>
      <c r="AL5" s="169" t="s">
        <v>170</v>
      </c>
      <c r="AM5" s="170"/>
      <c r="AN5" s="169" t="s">
        <v>173</v>
      </c>
      <c r="AO5" s="170"/>
    </row>
    <row r="6" spans="2:41" ht="26.25" thickBot="1">
      <c r="B6" s="172"/>
      <c r="C6" s="172"/>
      <c r="D6" s="83" t="s">
        <v>167</v>
      </c>
      <c r="E6" s="83" t="s">
        <v>168</v>
      </c>
      <c r="F6" s="83" t="s">
        <v>167</v>
      </c>
      <c r="G6" s="83" t="s">
        <v>168</v>
      </c>
      <c r="H6" s="83" t="s">
        <v>167</v>
      </c>
      <c r="I6" s="83" t="s">
        <v>168</v>
      </c>
      <c r="J6" s="83" t="s">
        <v>167</v>
      </c>
      <c r="K6" s="83" t="s">
        <v>168</v>
      </c>
      <c r="L6" s="83" t="s">
        <v>167</v>
      </c>
      <c r="M6" s="83" t="s">
        <v>168</v>
      </c>
      <c r="P6" s="172"/>
      <c r="Q6" s="172"/>
      <c r="R6" s="83" t="s">
        <v>167</v>
      </c>
      <c r="S6" s="83" t="s">
        <v>168</v>
      </c>
      <c r="T6" s="83" t="s">
        <v>167</v>
      </c>
      <c r="U6" s="83" t="s">
        <v>168</v>
      </c>
      <c r="V6" s="83" t="s">
        <v>167</v>
      </c>
      <c r="W6" s="83" t="s">
        <v>168</v>
      </c>
      <c r="X6" s="83" t="s">
        <v>167</v>
      </c>
      <c r="Y6" s="83" t="s">
        <v>168</v>
      </c>
      <c r="Z6" s="83" t="s">
        <v>167</v>
      </c>
      <c r="AA6" s="83" t="s">
        <v>168</v>
      </c>
      <c r="AD6" s="172"/>
      <c r="AE6" s="172"/>
      <c r="AF6" s="83" t="s">
        <v>167</v>
      </c>
      <c r="AG6" s="83" t="s">
        <v>168</v>
      </c>
      <c r="AH6" s="83" t="s">
        <v>167</v>
      </c>
      <c r="AI6" s="83" t="s">
        <v>168</v>
      </c>
      <c r="AJ6" s="83" t="s">
        <v>167</v>
      </c>
      <c r="AK6" s="83" t="s">
        <v>168</v>
      </c>
      <c r="AL6" s="83" t="s">
        <v>167</v>
      </c>
      <c r="AM6" s="83" t="s">
        <v>168</v>
      </c>
      <c r="AN6" s="83" t="s">
        <v>167</v>
      </c>
      <c r="AO6" s="83" t="s">
        <v>168</v>
      </c>
    </row>
    <row r="7" spans="2:41" ht="14.25" thickBot="1">
      <c r="B7" s="82">
        <v>1</v>
      </c>
      <c r="C7" s="82">
        <v>10.1</v>
      </c>
      <c r="D7" s="17">
        <v>0.32</v>
      </c>
      <c r="E7" s="31">
        <f>D7/C7</f>
        <v>3.1683168316831684E-2</v>
      </c>
      <c r="F7" s="18">
        <f>3-D7</f>
        <v>2.68</v>
      </c>
      <c r="G7" s="31">
        <f>F7/C7</f>
        <v>0.26534653465346536</v>
      </c>
      <c r="H7" s="18">
        <v>5.16</v>
      </c>
      <c r="I7" s="31">
        <f>H7/C7</f>
        <v>0.5108910891089109</v>
      </c>
      <c r="J7" s="18"/>
      <c r="K7" s="17"/>
      <c r="L7" s="18">
        <f>C7-D7-F7-H7</f>
        <v>1.9399999999999995</v>
      </c>
      <c r="M7" s="31">
        <f>L7/C7</f>
        <v>0.19207920792079203</v>
      </c>
      <c r="P7" s="82">
        <v>1</v>
      </c>
      <c r="Q7" s="82">
        <v>10.1</v>
      </c>
      <c r="R7" s="17">
        <v>0.32</v>
      </c>
      <c r="S7" s="31">
        <f>R7/Q7</f>
        <v>3.1683168316831684E-2</v>
      </c>
      <c r="T7" s="18">
        <f>3-R7</f>
        <v>2.68</v>
      </c>
      <c r="U7" s="31">
        <f>T7/Q7</f>
        <v>0.26534653465346536</v>
      </c>
      <c r="V7" s="18">
        <v>5.16</v>
      </c>
      <c r="W7" s="31">
        <f>V7/Q7</f>
        <v>0.5108910891089109</v>
      </c>
      <c r="X7" s="18"/>
      <c r="Y7" s="17"/>
      <c r="Z7" s="18">
        <f>Q7-R7-T7-V7</f>
        <v>1.9399999999999995</v>
      </c>
      <c r="AA7" s="31">
        <f>Z7/Q7</f>
        <v>0.19207920792079203</v>
      </c>
      <c r="AD7" s="82">
        <v>1</v>
      </c>
      <c r="AE7" s="82">
        <v>10.1</v>
      </c>
      <c r="AF7" s="17">
        <v>0.32</v>
      </c>
      <c r="AG7" s="31">
        <f>AF7/AE7</f>
        <v>3.1683168316831684E-2</v>
      </c>
      <c r="AH7" s="18">
        <f>3-AF7</f>
        <v>2.68</v>
      </c>
      <c r="AI7" s="31">
        <f>AH7/AE7</f>
        <v>0.26534653465346536</v>
      </c>
      <c r="AJ7" s="18">
        <v>5.16</v>
      </c>
      <c r="AK7" s="31">
        <f>AJ7/AE7</f>
        <v>0.5108910891089109</v>
      </c>
      <c r="AL7" s="18"/>
      <c r="AM7" s="17"/>
      <c r="AN7" s="18">
        <f>AE7-AF7-AH7-AJ7</f>
        <v>1.9399999999999995</v>
      </c>
      <c r="AO7" s="31">
        <f>AN7/AE7</f>
        <v>0.19207920792079203</v>
      </c>
    </row>
    <row r="8" spans="2:41" ht="14.25" thickBot="1">
      <c r="B8" s="82">
        <v>2</v>
      </c>
      <c r="C8" s="82">
        <v>11.7</v>
      </c>
      <c r="D8" s="17">
        <v>0.32</v>
      </c>
      <c r="E8" s="31">
        <f t="shared" ref="E8:E10" si="0">D8/C8</f>
        <v>2.7350427350427354E-2</v>
      </c>
      <c r="F8" s="18">
        <f>5.26-D8</f>
        <v>4.9399999999999995</v>
      </c>
      <c r="G8" s="31">
        <f t="shared" ref="G8:G10" si="1">F8/C8</f>
        <v>0.42222222222222222</v>
      </c>
      <c r="H8" s="18">
        <v>5.16</v>
      </c>
      <c r="I8" s="31">
        <f t="shared" ref="I8:I10" si="2">H8/C8</f>
        <v>0.44102564102564107</v>
      </c>
      <c r="J8" s="18"/>
      <c r="K8" s="17"/>
      <c r="L8" s="18">
        <f t="shared" ref="L8:L10" si="3">C8-D8-F8-H8</f>
        <v>1.2799999999999994</v>
      </c>
      <c r="M8" s="31">
        <f t="shared" ref="M8:M10" si="4">L8/C8</f>
        <v>0.10940170940170936</v>
      </c>
      <c r="P8" s="82">
        <v>2</v>
      </c>
      <c r="Q8" s="82">
        <v>11.7</v>
      </c>
      <c r="R8" s="17">
        <v>0.32</v>
      </c>
      <c r="S8" s="31">
        <f t="shared" ref="S8:S10" si="5">R8/Q8</f>
        <v>2.7350427350427354E-2</v>
      </c>
      <c r="T8" s="18">
        <f>5.26-R8</f>
        <v>4.9399999999999995</v>
      </c>
      <c r="U8" s="31">
        <f t="shared" ref="U8:U10" si="6">T8/Q8</f>
        <v>0.42222222222222222</v>
      </c>
      <c r="V8" s="18">
        <v>5.16</v>
      </c>
      <c r="W8" s="31">
        <f t="shared" ref="W8:W10" si="7">V8/Q8</f>
        <v>0.44102564102564107</v>
      </c>
      <c r="X8" s="18"/>
      <c r="Y8" s="17"/>
      <c r="Z8" s="18">
        <f t="shared" ref="Z8:Z10" si="8">Q8-R8-T8-V8</f>
        <v>1.2799999999999994</v>
      </c>
      <c r="AA8" s="31">
        <f t="shared" ref="AA8:AA10" si="9">Z8/Q8</f>
        <v>0.10940170940170936</v>
      </c>
      <c r="AD8" s="82">
        <v>2</v>
      </c>
      <c r="AE8" s="82">
        <v>11.7</v>
      </c>
      <c r="AF8" s="17">
        <v>0.32</v>
      </c>
      <c r="AG8" s="31">
        <f t="shared" ref="AG8:AG10" si="10">AF8/AE8</f>
        <v>2.7350427350427354E-2</v>
      </c>
      <c r="AH8" s="18">
        <f>5.26-AF8</f>
        <v>4.9399999999999995</v>
      </c>
      <c r="AI8" s="31">
        <f t="shared" ref="AI8:AI10" si="11">AH8/AE8</f>
        <v>0.42222222222222222</v>
      </c>
      <c r="AJ8" s="18">
        <v>5.16</v>
      </c>
      <c r="AK8" s="31">
        <f t="shared" ref="AK8:AK10" si="12">AJ8/AE8</f>
        <v>0.44102564102564107</v>
      </c>
      <c r="AL8" s="18"/>
      <c r="AM8" s="17"/>
      <c r="AN8" s="18">
        <f t="shared" ref="AN8:AN10" si="13">AE8-AF8-AH8-AJ8</f>
        <v>1.2799999999999994</v>
      </c>
      <c r="AO8" s="31">
        <f t="shared" ref="AO8:AO10" si="14">AN8/AE8</f>
        <v>0.10940170940170936</v>
      </c>
    </row>
    <row r="9" spans="2:41" ht="14.25" thickBot="1">
      <c r="B9" s="82">
        <v>3</v>
      </c>
      <c r="C9" s="82">
        <v>23.4</v>
      </c>
      <c r="D9" s="17">
        <v>0.32</v>
      </c>
      <c r="E9" s="31">
        <f t="shared" si="0"/>
        <v>1.3675213675213677E-2</v>
      </c>
      <c r="F9" s="18">
        <f>7-D9</f>
        <v>6.68</v>
      </c>
      <c r="G9" s="31">
        <f t="shared" si="1"/>
        <v>0.28547008547008546</v>
      </c>
      <c r="H9" s="18">
        <v>5.16</v>
      </c>
      <c r="I9" s="31">
        <f t="shared" si="2"/>
        <v>0.22051282051282053</v>
      </c>
      <c r="J9" s="18"/>
      <c r="K9" s="17"/>
      <c r="L9" s="18">
        <f t="shared" si="3"/>
        <v>11.239999999999998</v>
      </c>
      <c r="M9" s="31">
        <f t="shared" si="4"/>
        <v>0.4803418803418803</v>
      </c>
      <c r="P9" s="82">
        <v>3</v>
      </c>
      <c r="Q9" s="82">
        <v>23.4</v>
      </c>
      <c r="R9" s="17">
        <v>0.32</v>
      </c>
      <c r="S9" s="31">
        <f t="shared" si="5"/>
        <v>1.3675213675213677E-2</v>
      </c>
      <c r="T9" s="18">
        <f>7-R9</f>
        <v>6.68</v>
      </c>
      <c r="U9" s="31">
        <f t="shared" si="6"/>
        <v>0.28547008547008546</v>
      </c>
      <c r="V9" s="18">
        <v>5.16</v>
      </c>
      <c r="W9" s="31">
        <f t="shared" si="7"/>
        <v>0.22051282051282053</v>
      </c>
      <c r="X9" s="18"/>
      <c r="Y9" s="17"/>
      <c r="Z9" s="18">
        <f t="shared" si="8"/>
        <v>11.239999999999998</v>
      </c>
      <c r="AA9" s="31">
        <f t="shared" si="9"/>
        <v>0.4803418803418803</v>
      </c>
      <c r="AD9" s="82">
        <v>3</v>
      </c>
      <c r="AE9" s="82">
        <v>23.4</v>
      </c>
      <c r="AF9" s="17">
        <v>0.32</v>
      </c>
      <c r="AG9" s="31">
        <f t="shared" si="10"/>
        <v>1.3675213675213677E-2</v>
      </c>
      <c r="AH9" s="18">
        <f>7-AF9</f>
        <v>6.68</v>
      </c>
      <c r="AI9" s="31">
        <f t="shared" si="11"/>
        <v>0.28547008547008546</v>
      </c>
      <c r="AJ9" s="18">
        <v>5.16</v>
      </c>
      <c r="AK9" s="31">
        <f t="shared" si="12"/>
        <v>0.22051282051282053</v>
      </c>
      <c r="AL9" s="18"/>
      <c r="AM9" s="17"/>
      <c r="AN9" s="18">
        <f t="shared" si="13"/>
        <v>11.239999999999998</v>
      </c>
      <c r="AO9" s="31">
        <f t="shared" si="14"/>
        <v>0.4803418803418803</v>
      </c>
    </row>
    <row r="10" spans="2:41" ht="14.25" thickBot="1">
      <c r="B10" s="82">
        <v>4</v>
      </c>
      <c r="C10" s="82">
        <v>24.3</v>
      </c>
      <c r="D10" s="17">
        <v>0.32</v>
      </c>
      <c r="E10" s="31">
        <f t="shared" si="0"/>
        <v>1.3168724279835391E-2</v>
      </c>
      <c r="F10" s="18">
        <f>8.7-D10</f>
        <v>8.379999999999999</v>
      </c>
      <c r="G10" s="31">
        <f t="shared" si="1"/>
        <v>0.34485596707818927</v>
      </c>
      <c r="H10" s="18">
        <v>5.16</v>
      </c>
      <c r="I10" s="31">
        <f t="shared" si="2"/>
        <v>0.21234567901234569</v>
      </c>
      <c r="J10" s="18"/>
      <c r="K10" s="17"/>
      <c r="L10" s="18">
        <f t="shared" si="3"/>
        <v>10.440000000000001</v>
      </c>
      <c r="M10" s="31">
        <f t="shared" si="4"/>
        <v>0.42962962962962969</v>
      </c>
      <c r="P10" s="82">
        <v>4</v>
      </c>
      <c r="Q10" s="82">
        <v>24.3</v>
      </c>
      <c r="R10" s="17">
        <v>0.32</v>
      </c>
      <c r="S10" s="31">
        <f t="shared" si="5"/>
        <v>1.3168724279835391E-2</v>
      </c>
      <c r="T10" s="18">
        <f>8.7-R10</f>
        <v>8.379999999999999</v>
      </c>
      <c r="U10" s="31">
        <f t="shared" si="6"/>
        <v>0.34485596707818927</v>
      </c>
      <c r="V10" s="18">
        <v>5.16</v>
      </c>
      <c r="W10" s="31">
        <f t="shared" si="7"/>
        <v>0.21234567901234569</v>
      </c>
      <c r="X10" s="18"/>
      <c r="Y10" s="17"/>
      <c r="Z10" s="18">
        <f t="shared" si="8"/>
        <v>10.440000000000001</v>
      </c>
      <c r="AA10" s="31">
        <f t="shared" si="9"/>
        <v>0.42962962962962969</v>
      </c>
      <c r="AD10" s="82">
        <v>4</v>
      </c>
      <c r="AE10" s="82">
        <v>24.3</v>
      </c>
      <c r="AF10" s="17">
        <v>0.32</v>
      </c>
      <c r="AG10" s="31">
        <f t="shared" si="10"/>
        <v>1.3168724279835391E-2</v>
      </c>
      <c r="AH10" s="18">
        <f>8.7-AF10</f>
        <v>8.379999999999999</v>
      </c>
      <c r="AI10" s="31">
        <f t="shared" si="11"/>
        <v>0.34485596707818927</v>
      </c>
      <c r="AJ10" s="18">
        <v>5.16</v>
      </c>
      <c r="AK10" s="31">
        <f t="shared" si="12"/>
        <v>0.21234567901234569</v>
      </c>
      <c r="AL10" s="18"/>
      <c r="AM10" s="17"/>
      <c r="AN10" s="18">
        <f t="shared" si="13"/>
        <v>10.440000000000001</v>
      </c>
      <c r="AO10" s="31">
        <f t="shared" si="14"/>
        <v>0.42962962962962969</v>
      </c>
    </row>
    <row r="11" spans="2:41">
      <c r="B11" s="84"/>
      <c r="C11" s="84"/>
      <c r="D11" s="85"/>
      <c r="E11" s="62"/>
      <c r="F11" s="85"/>
      <c r="G11" s="62"/>
      <c r="H11" s="85"/>
      <c r="I11" s="62"/>
      <c r="J11" s="85"/>
      <c r="K11" s="62"/>
      <c r="P11" s="84"/>
      <c r="Q11" s="84"/>
      <c r="R11" s="85"/>
      <c r="S11" s="62"/>
      <c r="T11" s="85"/>
      <c r="U11" s="62"/>
      <c r="V11" s="85"/>
      <c r="W11" s="62"/>
      <c r="X11" s="85"/>
      <c r="Y11" s="62"/>
      <c r="AD11" s="84"/>
      <c r="AE11" s="84"/>
      <c r="AF11" s="85"/>
      <c r="AG11" s="62"/>
      <c r="AH11" s="85"/>
      <c r="AI11" s="62"/>
      <c r="AJ11" s="85"/>
      <c r="AK11" s="62"/>
      <c r="AL11" s="85"/>
      <c r="AM11" s="62"/>
    </row>
    <row r="12" spans="2:41">
      <c r="B12" s="84"/>
      <c r="C12" s="84"/>
      <c r="D12" s="85"/>
      <c r="E12" s="62"/>
      <c r="F12" s="85"/>
      <c r="G12" s="62"/>
      <c r="H12" s="85"/>
      <c r="I12" s="62"/>
      <c r="J12" s="85"/>
      <c r="K12" s="62"/>
      <c r="P12" s="84"/>
      <c r="Q12" s="84"/>
      <c r="R12" s="85"/>
      <c r="S12" s="62"/>
      <c r="T12" s="85"/>
      <c r="U12" s="62"/>
      <c r="V12" s="85"/>
      <c r="W12" s="62"/>
      <c r="X12" s="85"/>
      <c r="Y12" s="62"/>
      <c r="AD12" s="84"/>
      <c r="AE12" s="84"/>
      <c r="AF12" s="85"/>
      <c r="AG12" s="62"/>
      <c r="AH12" s="85"/>
      <c r="AI12" s="62"/>
      <c r="AJ12" s="85"/>
      <c r="AK12" s="62"/>
      <c r="AL12" s="85"/>
      <c r="AM12" s="62"/>
    </row>
    <row r="13" spans="2:41">
      <c r="Y13" t="s">
        <v>176</v>
      </c>
      <c r="AM13" t="s">
        <v>176</v>
      </c>
    </row>
    <row r="14" spans="2:41" ht="14.25" thickBot="1">
      <c r="J14" t="s">
        <v>161</v>
      </c>
      <c r="K14" t="s">
        <v>169</v>
      </c>
      <c r="L14" t="s">
        <v>171</v>
      </c>
      <c r="X14" t="s">
        <v>161</v>
      </c>
      <c r="Y14" t="s">
        <v>174</v>
      </c>
      <c r="Z14" t="s">
        <v>171</v>
      </c>
      <c r="AL14" t="s">
        <v>161</v>
      </c>
      <c r="AM14" t="s">
        <v>181</v>
      </c>
      <c r="AN14" t="s">
        <v>171</v>
      </c>
    </row>
    <row r="15" spans="2:41" ht="14.25" thickBot="1">
      <c r="B15" s="171" t="s">
        <v>162</v>
      </c>
      <c r="C15" s="171" t="s">
        <v>163</v>
      </c>
      <c r="D15" s="169" t="s">
        <v>164</v>
      </c>
      <c r="E15" s="170"/>
      <c r="F15" s="169" t="s">
        <v>165</v>
      </c>
      <c r="G15" s="170"/>
      <c r="H15" s="169" t="s">
        <v>166</v>
      </c>
      <c r="I15" s="170"/>
      <c r="J15" s="169" t="s">
        <v>170</v>
      </c>
      <c r="K15" s="170"/>
      <c r="L15" s="169" t="s">
        <v>173</v>
      </c>
      <c r="M15" s="170"/>
      <c r="P15" s="171" t="s">
        <v>162</v>
      </c>
      <c r="Q15" s="171" t="s">
        <v>163</v>
      </c>
      <c r="R15" s="169" t="s">
        <v>164</v>
      </c>
      <c r="S15" s="170"/>
      <c r="T15" s="169" t="s">
        <v>165</v>
      </c>
      <c r="U15" s="170"/>
      <c r="V15" s="169" t="s">
        <v>166</v>
      </c>
      <c r="W15" s="170"/>
      <c r="X15" s="169" t="s">
        <v>170</v>
      </c>
      <c r="Y15" s="170"/>
      <c r="Z15" s="169" t="s">
        <v>173</v>
      </c>
      <c r="AA15" s="170"/>
      <c r="AD15" s="171" t="s">
        <v>162</v>
      </c>
      <c r="AE15" s="171" t="s">
        <v>163</v>
      </c>
      <c r="AF15" s="169" t="s">
        <v>164</v>
      </c>
      <c r="AG15" s="170"/>
      <c r="AH15" s="169" t="s">
        <v>165</v>
      </c>
      <c r="AI15" s="170"/>
      <c r="AJ15" s="169" t="s">
        <v>166</v>
      </c>
      <c r="AK15" s="170"/>
      <c r="AL15" s="169" t="s">
        <v>170</v>
      </c>
      <c r="AM15" s="170"/>
      <c r="AN15" s="169" t="s">
        <v>173</v>
      </c>
      <c r="AO15" s="170"/>
    </row>
    <row r="16" spans="2:41" ht="26.25" thickBot="1">
      <c r="B16" s="172"/>
      <c r="C16" s="172"/>
      <c r="D16" s="83" t="s">
        <v>167</v>
      </c>
      <c r="E16" s="83" t="s">
        <v>168</v>
      </c>
      <c r="F16" s="83" t="s">
        <v>167</v>
      </c>
      <c r="G16" s="83" t="s">
        <v>168</v>
      </c>
      <c r="H16" s="83" t="s">
        <v>167</v>
      </c>
      <c r="I16" s="83" t="s">
        <v>168</v>
      </c>
      <c r="J16" s="83" t="s">
        <v>167</v>
      </c>
      <c r="K16" s="83" t="s">
        <v>168</v>
      </c>
      <c r="L16" s="83" t="s">
        <v>167</v>
      </c>
      <c r="M16" s="83" t="s">
        <v>168</v>
      </c>
      <c r="P16" s="172"/>
      <c r="Q16" s="172"/>
      <c r="R16" s="83" t="s">
        <v>167</v>
      </c>
      <c r="S16" s="83" t="s">
        <v>168</v>
      </c>
      <c r="T16" s="83" t="s">
        <v>167</v>
      </c>
      <c r="U16" s="83" t="s">
        <v>168</v>
      </c>
      <c r="V16" s="83" t="s">
        <v>167</v>
      </c>
      <c r="W16" s="83" t="s">
        <v>168</v>
      </c>
      <c r="X16" s="83" t="s">
        <v>167</v>
      </c>
      <c r="Y16" s="83" t="s">
        <v>168</v>
      </c>
      <c r="Z16" s="83" t="s">
        <v>167</v>
      </c>
      <c r="AA16" s="83" t="s">
        <v>168</v>
      </c>
      <c r="AD16" s="172"/>
      <c r="AE16" s="172"/>
      <c r="AF16" s="83" t="s">
        <v>167</v>
      </c>
      <c r="AG16" s="83" t="s">
        <v>168</v>
      </c>
      <c r="AH16" s="83" t="s">
        <v>167</v>
      </c>
      <c r="AI16" s="83" t="s">
        <v>168</v>
      </c>
      <c r="AJ16" s="83" t="s">
        <v>167</v>
      </c>
      <c r="AK16" s="83" t="s">
        <v>168</v>
      </c>
      <c r="AL16" s="83" t="s">
        <v>167</v>
      </c>
      <c r="AM16" s="83" t="s">
        <v>168</v>
      </c>
      <c r="AN16" s="83" t="s">
        <v>167</v>
      </c>
      <c r="AO16" s="83" t="s">
        <v>168</v>
      </c>
    </row>
    <row r="17" spans="2:41" ht="14.25" thickBot="1">
      <c r="B17" s="82">
        <v>1</v>
      </c>
      <c r="C17" s="17">
        <v>3.18</v>
      </c>
      <c r="D17" s="17">
        <v>0.32</v>
      </c>
      <c r="E17" s="31">
        <f>D17/C17</f>
        <v>0.10062893081761005</v>
      </c>
      <c r="F17" s="18">
        <f>1.59-D17</f>
        <v>1.27</v>
      </c>
      <c r="G17" s="31">
        <f>F17/C17</f>
        <v>0.3993710691823899</v>
      </c>
      <c r="H17" s="18">
        <v>5.16</v>
      </c>
      <c r="I17" s="31">
        <f>H17/C17</f>
        <v>1.6226415094339621</v>
      </c>
      <c r="J17" s="18">
        <f t="shared" ref="J17:J19" si="15">-(C17-D17-F17-H17)</f>
        <v>3.57</v>
      </c>
      <c r="K17" s="31">
        <f t="shared" ref="K17:K19" si="16">J17/C17</f>
        <v>1.1226415094339621</v>
      </c>
      <c r="L17" s="18"/>
      <c r="M17" s="31"/>
      <c r="P17" s="82">
        <v>1</v>
      </c>
      <c r="Q17" s="17">
        <v>3.18</v>
      </c>
      <c r="R17" s="17">
        <v>0.32</v>
      </c>
      <c r="S17" s="31">
        <f>R17/Q17</f>
        <v>0.10062893081761005</v>
      </c>
      <c r="T17" s="18">
        <f>1.59-R17</f>
        <v>1.27</v>
      </c>
      <c r="U17" s="31">
        <f>T17/Q17</f>
        <v>0.3993710691823899</v>
      </c>
      <c r="V17" s="18">
        <v>5.16</v>
      </c>
      <c r="W17" s="31">
        <f>V17/Q17</f>
        <v>1.6226415094339621</v>
      </c>
      <c r="X17" s="18">
        <f t="shared" ref="X17:X19" si="17">-(Q17-R17-T17-V17)</f>
        <v>3.57</v>
      </c>
      <c r="Y17" s="31">
        <f t="shared" ref="Y17:Y19" si="18">X17/Q17</f>
        <v>1.1226415094339621</v>
      </c>
      <c r="Z17" s="18"/>
      <c r="AA17" s="31"/>
      <c r="AD17" s="82">
        <v>1</v>
      </c>
      <c r="AE17" s="17">
        <v>3.18</v>
      </c>
      <c r="AF17" s="17">
        <v>0.32</v>
      </c>
      <c r="AG17" s="31">
        <f>AF17/AE17</f>
        <v>0.10062893081761005</v>
      </c>
      <c r="AH17" s="18">
        <f>1.59-AF17</f>
        <v>1.27</v>
      </c>
      <c r="AI17" s="31">
        <f>AH17/AE17</f>
        <v>0.3993710691823899</v>
      </c>
      <c r="AJ17" s="18">
        <v>5.16</v>
      </c>
      <c r="AK17" s="31">
        <f>AJ17/AE17</f>
        <v>1.6226415094339621</v>
      </c>
      <c r="AL17" s="18">
        <f t="shared" ref="AL17:AL19" si="19">-(AE17-AF17-AH17-AJ17)</f>
        <v>3.57</v>
      </c>
      <c r="AM17" s="31">
        <f t="shared" ref="AM17:AM19" si="20">AL17/AE17</f>
        <v>1.1226415094339621</v>
      </c>
      <c r="AN17" s="18"/>
      <c r="AO17" s="31"/>
    </row>
    <row r="18" spans="2:41" ht="14.25" thickBot="1">
      <c r="B18" s="82">
        <v>2</v>
      </c>
      <c r="C18" s="17">
        <v>9.68</v>
      </c>
      <c r="D18" s="17">
        <v>0.32</v>
      </c>
      <c r="E18" s="31">
        <f t="shared" ref="E18:E20" si="21">D18/C18</f>
        <v>3.3057851239669422E-2</v>
      </c>
      <c r="F18" s="18">
        <f>8.06-D18</f>
        <v>7.74</v>
      </c>
      <c r="G18" s="31">
        <f t="shared" ref="G18:G20" si="22">F18/C18</f>
        <v>0.79958677685950419</v>
      </c>
      <c r="H18" s="18">
        <v>5.16</v>
      </c>
      <c r="I18" s="31">
        <f t="shared" ref="I18:I20" si="23">H18/C18</f>
        <v>0.53305785123966942</v>
      </c>
      <c r="J18" s="18">
        <f t="shared" si="15"/>
        <v>3.5400000000000009</v>
      </c>
      <c r="K18" s="31">
        <f t="shared" si="16"/>
        <v>0.36570247933884309</v>
      </c>
      <c r="L18" s="18"/>
      <c r="M18" s="31"/>
      <c r="P18" s="82">
        <v>2</v>
      </c>
      <c r="Q18" s="17">
        <v>9.68</v>
      </c>
      <c r="R18" s="17">
        <v>0.32</v>
      </c>
      <c r="S18" s="31">
        <f t="shared" ref="S18:S20" si="24">R18/Q18</f>
        <v>3.3057851239669422E-2</v>
      </c>
      <c r="T18" s="18">
        <f>8.06-R18</f>
        <v>7.74</v>
      </c>
      <c r="U18" s="31">
        <f t="shared" ref="U18:U20" si="25">T18/Q18</f>
        <v>0.79958677685950419</v>
      </c>
      <c r="V18" s="18">
        <v>5.16</v>
      </c>
      <c r="W18" s="31">
        <f t="shared" ref="W18:W20" si="26">V18/Q18</f>
        <v>0.53305785123966942</v>
      </c>
      <c r="X18" s="18">
        <f t="shared" si="17"/>
        <v>3.5400000000000009</v>
      </c>
      <c r="Y18" s="31">
        <f t="shared" si="18"/>
        <v>0.36570247933884309</v>
      </c>
      <c r="Z18" s="18"/>
      <c r="AA18" s="31"/>
      <c r="AD18" s="82">
        <v>2</v>
      </c>
      <c r="AE18" s="17">
        <v>9.68</v>
      </c>
      <c r="AF18" s="17">
        <v>0.32</v>
      </c>
      <c r="AG18" s="31">
        <f t="shared" ref="AG18:AG20" si="27">AF18/AE18</f>
        <v>3.3057851239669422E-2</v>
      </c>
      <c r="AH18" s="18">
        <f>8.06-AF18</f>
        <v>7.74</v>
      </c>
      <c r="AI18" s="31">
        <f t="shared" ref="AI18:AI20" si="28">AH18/AE18</f>
        <v>0.79958677685950419</v>
      </c>
      <c r="AJ18" s="18">
        <v>5.16</v>
      </c>
      <c r="AK18" s="31">
        <f t="shared" ref="AK18:AK20" si="29">AJ18/AE18</f>
        <v>0.53305785123966942</v>
      </c>
      <c r="AL18" s="18">
        <f t="shared" si="19"/>
        <v>3.5400000000000009</v>
      </c>
      <c r="AM18" s="31">
        <f t="shared" si="20"/>
        <v>0.36570247933884309</v>
      </c>
      <c r="AN18" s="18"/>
      <c r="AO18" s="31"/>
    </row>
    <row r="19" spans="2:41" ht="14.25" thickBot="1">
      <c r="B19" s="82">
        <v>3</v>
      </c>
      <c r="C19" s="18">
        <v>12</v>
      </c>
      <c r="D19" s="17">
        <v>0.32</v>
      </c>
      <c r="E19" s="31">
        <f t="shared" si="21"/>
        <v>2.6666666666666668E-2</v>
      </c>
      <c r="F19" s="18">
        <f>10.3-D19</f>
        <v>9.98</v>
      </c>
      <c r="G19" s="31">
        <f t="shared" si="22"/>
        <v>0.83166666666666667</v>
      </c>
      <c r="H19" s="18">
        <v>5.16</v>
      </c>
      <c r="I19" s="31">
        <f t="shared" si="23"/>
        <v>0.43</v>
      </c>
      <c r="J19" s="18">
        <f t="shared" si="15"/>
        <v>3.4600000000000009</v>
      </c>
      <c r="K19" s="31">
        <f t="shared" si="16"/>
        <v>0.28833333333333339</v>
      </c>
      <c r="L19" s="18"/>
      <c r="M19" s="31"/>
      <c r="P19" s="82">
        <v>3</v>
      </c>
      <c r="Q19" s="18">
        <v>12</v>
      </c>
      <c r="R19" s="17">
        <v>0.32</v>
      </c>
      <c r="S19" s="31">
        <f t="shared" si="24"/>
        <v>2.6666666666666668E-2</v>
      </c>
      <c r="T19" s="18">
        <f>10.3-R19</f>
        <v>9.98</v>
      </c>
      <c r="U19" s="31">
        <f t="shared" si="25"/>
        <v>0.83166666666666667</v>
      </c>
      <c r="V19" s="18">
        <v>5.16</v>
      </c>
      <c r="W19" s="31">
        <f t="shared" si="26"/>
        <v>0.43</v>
      </c>
      <c r="X19" s="18">
        <f t="shared" si="17"/>
        <v>3.4600000000000009</v>
      </c>
      <c r="Y19" s="31">
        <f t="shared" si="18"/>
        <v>0.28833333333333339</v>
      </c>
      <c r="Z19" s="18"/>
      <c r="AA19" s="31"/>
      <c r="AD19" s="82">
        <v>3</v>
      </c>
      <c r="AE19" s="18">
        <v>12</v>
      </c>
      <c r="AF19" s="17">
        <v>0.32</v>
      </c>
      <c r="AG19" s="31">
        <f t="shared" si="27"/>
        <v>2.6666666666666668E-2</v>
      </c>
      <c r="AH19" s="18">
        <f>10.3-AF19</f>
        <v>9.98</v>
      </c>
      <c r="AI19" s="31">
        <f t="shared" si="28"/>
        <v>0.83166666666666667</v>
      </c>
      <c r="AJ19" s="18">
        <v>5.16</v>
      </c>
      <c r="AK19" s="31">
        <f t="shared" si="29"/>
        <v>0.43</v>
      </c>
      <c r="AL19" s="18">
        <f t="shared" si="19"/>
        <v>3.4600000000000009</v>
      </c>
      <c r="AM19" s="31">
        <f t="shared" si="20"/>
        <v>0.28833333333333339</v>
      </c>
      <c r="AN19" s="18"/>
      <c r="AO19" s="31"/>
    </row>
    <row r="20" spans="2:41" ht="14.25" thickBot="1">
      <c r="B20" s="82">
        <v>4</v>
      </c>
      <c r="C20" s="18">
        <v>14.5</v>
      </c>
      <c r="D20" s="17">
        <v>0.32</v>
      </c>
      <c r="E20" s="31">
        <f t="shared" si="21"/>
        <v>2.2068965517241381E-2</v>
      </c>
      <c r="F20" s="18">
        <f>12.8-D20</f>
        <v>12.48</v>
      </c>
      <c r="G20" s="31">
        <f t="shared" si="22"/>
        <v>0.8606896551724138</v>
      </c>
      <c r="H20" s="18">
        <v>5.16</v>
      </c>
      <c r="I20" s="31">
        <f t="shared" si="23"/>
        <v>0.35586206896551725</v>
      </c>
      <c r="J20" s="18">
        <f>-(C20-D20-F20-H20)</f>
        <v>3.4600000000000009</v>
      </c>
      <c r="K20" s="31">
        <f>J20/C20</f>
        <v>0.23862068965517247</v>
      </c>
      <c r="L20" s="18"/>
      <c r="M20" s="31"/>
      <c r="P20" s="82">
        <v>4</v>
      </c>
      <c r="Q20" s="18">
        <v>14.5</v>
      </c>
      <c r="R20" s="17">
        <v>0.32</v>
      </c>
      <c r="S20" s="31">
        <f t="shared" si="24"/>
        <v>2.2068965517241381E-2</v>
      </c>
      <c r="T20" s="18">
        <f>12.8-R20</f>
        <v>12.48</v>
      </c>
      <c r="U20" s="31">
        <f t="shared" si="25"/>
        <v>0.8606896551724138</v>
      </c>
      <c r="V20" s="18">
        <v>5.16</v>
      </c>
      <c r="W20" s="31">
        <f t="shared" si="26"/>
        <v>0.35586206896551725</v>
      </c>
      <c r="X20" s="18">
        <f>-(Q20-R20-T20-V20)</f>
        <v>3.4600000000000009</v>
      </c>
      <c r="Y20" s="31">
        <f>X20/Q20</f>
        <v>0.23862068965517247</v>
      </c>
      <c r="Z20" s="18"/>
      <c r="AA20" s="31"/>
      <c r="AD20" s="82">
        <v>4</v>
      </c>
      <c r="AE20" s="18">
        <v>14.5</v>
      </c>
      <c r="AF20" s="17">
        <v>0.32</v>
      </c>
      <c r="AG20" s="31">
        <f t="shared" si="27"/>
        <v>2.2068965517241381E-2</v>
      </c>
      <c r="AH20" s="18">
        <f>12.8-AF20</f>
        <v>12.48</v>
      </c>
      <c r="AI20" s="31">
        <f t="shared" si="28"/>
        <v>0.8606896551724138</v>
      </c>
      <c r="AJ20" s="18">
        <v>5.16</v>
      </c>
      <c r="AK20" s="31">
        <f t="shared" si="29"/>
        <v>0.35586206896551725</v>
      </c>
      <c r="AL20" s="18">
        <f>-(AE20-AF20-AH20-AJ20)</f>
        <v>3.4600000000000009</v>
      </c>
      <c r="AM20" s="31">
        <f>AL20/AE20</f>
        <v>0.23862068965517247</v>
      </c>
      <c r="AN20" s="18"/>
      <c r="AO20" s="31"/>
    </row>
  </sheetData>
  <mergeCells count="42">
    <mergeCell ref="AL5:AM5"/>
    <mergeCell ref="AN5:AO5"/>
    <mergeCell ref="AD15:AD16"/>
    <mergeCell ref="AE15:AE16"/>
    <mergeCell ref="AF15:AG15"/>
    <mergeCell ref="AH15:AI15"/>
    <mergeCell ref="AJ15:AK15"/>
    <mergeCell ref="AL15:AM15"/>
    <mergeCell ref="AN15:AO15"/>
    <mergeCell ref="AD5:AD6"/>
    <mergeCell ref="AE5:AE6"/>
    <mergeCell ref="AF5:AG5"/>
    <mergeCell ref="AH5:AI5"/>
    <mergeCell ref="AJ5:AK5"/>
    <mergeCell ref="X5:Y5"/>
    <mergeCell ref="Z5:AA5"/>
    <mergeCell ref="P15:P16"/>
    <mergeCell ref="Q15:Q16"/>
    <mergeCell ref="R15:S15"/>
    <mergeCell ref="T15:U15"/>
    <mergeCell ref="V15:W15"/>
    <mergeCell ref="X15:Y15"/>
    <mergeCell ref="Z15:AA15"/>
    <mergeCell ref="P5:P6"/>
    <mergeCell ref="Q5:Q6"/>
    <mergeCell ref="R5:S5"/>
    <mergeCell ref="T5:U5"/>
    <mergeCell ref="V5:W5"/>
    <mergeCell ref="L5:M5"/>
    <mergeCell ref="B15:B16"/>
    <mergeCell ref="C15:C16"/>
    <mergeCell ref="D15:E15"/>
    <mergeCell ref="F15:G15"/>
    <mergeCell ref="H15:I15"/>
    <mergeCell ref="J15:K15"/>
    <mergeCell ref="L15:M15"/>
    <mergeCell ref="B5:B6"/>
    <mergeCell ref="C5:C6"/>
    <mergeCell ref="D5:E5"/>
    <mergeCell ref="F5:G5"/>
    <mergeCell ref="H5:I5"/>
    <mergeCell ref="J5:K5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4:AI435"/>
  <sheetViews>
    <sheetView topLeftCell="A422" workbookViewId="0">
      <selection activeCell="G428" sqref="G428"/>
    </sheetView>
  </sheetViews>
  <sheetFormatPr defaultRowHeight="13.5"/>
  <cols>
    <col min="4" max="5" width="8" customWidth="1"/>
    <col min="6" max="6" width="5.75" customWidth="1"/>
    <col min="7" max="7" width="7.375" customWidth="1"/>
    <col min="8" max="8" width="9.25" customWidth="1"/>
    <col min="9" max="9" width="7.125" customWidth="1"/>
    <col min="10" max="10" width="7.25" customWidth="1"/>
    <col min="11" max="12" width="6.625" customWidth="1"/>
    <col min="13" max="13" width="7.375" customWidth="1"/>
    <col min="14" max="17" width="6.125" customWidth="1"/>
    <col min="18" max="18" width="10.375" customWidth="1"/>
    <col min="22" max="22" width="12.75" bestFit="1" customWidth="1"/>
  </cols>
  <sheetData>
    <row r="4" spans="2:22" ht="14.25" thickBot="1">
      <c r="J4" t="s">
        <v>261</v>
      </c>
      <c r="K4" t="s">
        <v>169</v>
      </c>
      <c r="L4" t="s">
        <v>172</v>
      </c>
    </row>
    <row r="5" spans="2:22" ht="14.25" thickBot="1">
      <c r="B5" s="171" t="s">
        <v>162</v>
      </c>
      <c r="C5" s="171" t="s">
        <v>163</v>
      </c>
      <c r="D5" s="169" t="s">
        <v>328</v>
      </c>
      <c r="E5" s="170"/>
      <c r="F5" s="169" t="s">
        <v>329</v>
      </c>
      <c r="G5" s="170"/>
      <c r="H5" s="169" t="s">
        <v>331</v>
      </c>
      <c r="I5" s="170"/>
      <c r="J5" s="169" t="s">
        <v>333</v>
      </c>
      <c r="K5" s="170"/>
      <c r="L5" s="85"/>
      <c r="M5" s="85"/>
      <c r="N5" s="84"/>
      <c r="O5" s="84"/>
      <c r="P5" s="84"/>
      <c r="Q5" s="84"/>
      <c r="R5" s="84"/>
      <c r="S5" s="84"/>
      <c r="T5" s="84"/>
      <c r="U5" s="84"/>
      <c r="V5" s="84"/>
    </row>
    <row r="6" spans="2:22" ht="14.25" thickBot="1">
      <c r="B6" s="172"/>
      <c r="C6" s="172"/>
      <c r="D6" s="83" t="s">
        <v>167</v>
      </c>
      <c r="E6" s="83" t="s">
        <v>168</v>
      </c>
      <c r="F6" s="83" t="s">
        <v>167</v>
      </c>
      <c r="G6" s="83" t="s">
        <v>168</v>
      </c>
      <c r="H6" s="83" t="s">
        <v>167</v>
      </c>
      <c r="I6" s="83" t="s">
        <v>168</v>
      </c>
      <c r="J6" s="83" t="s">
        <v>167</v>
      </c>
      <c r="K6" s="31" t="s">
        <v>168</v>
      </c>
      <c r="L6" s="84" t="s">
        <v>203</v>
      </c>
      <c r="M6" s="84"/>
    </row>
    <row r="7" spans="2:22" ht="14.25" thickBot="1">
      <c r="B7" s="82">
        <v>1</v>
      </c>
      <c r="C7" s="17">
        <v>4.3099999999999996</v>
      </c>
      <c r="D7" s="17">
        <v>0.18</v>
      </c>
      <c r="E7" s="31">
        <f>D7/C7</f>
        <v>4.1763341067285388E-2</v>
      </c>
      <c r="F7" s="17">
        <v>3.28</v>
      </c>
      <c r="G7" s="31">
        <f>F7/C7</f>
        <v>0.76102088167053361</v>
      </c>
      <c r="H7" s="17">
        <v>0.75</v>
      </c>
      <c r="I7" s="31">
        <f>H7/C7</f>
        <v>0.1740139211136891</v>
      </c>
      <c r="J7" s="18">
        <f>C7-D7-F7-H7</f>
        <v>0.10000000000000009</v>
      </c>
      <c r="K7" s="31">
        <f>J7/C7</f>
        <v>2.3201856148491903E-2</v>
      </c>
      <c r="L7" s="63">
        <f>0.31/C7</f>
        <v>7.1925754060324837E-2</v>
      </c>
      <c r="M7" s="63"/>
    </row>
    <row r="8" spans="2:22" ht="14.25" thickBot="1">
      <c r="B8" s="82">
        <v>2</v>
      </c>
      <c r="C8" s="17">
        <v>5.73</v>
      </c>
      <c r="D8" s="17">
        <v>0.18</v>
      </c>
      <c r="E8" s="31">
        <f t="shared" ref="E8:E10" si="0">D8/C8</f>
        <v>3.1413612565445025E-2</v>
      </c>
      <c r="F8" s="17">
        <v>4.6900000000000004</v>
      </c>
      <c r="G8" s="31">
        <f t="shared" ref="G8:G10" si="1">F8/C8</f>
        <v>0.81849912739965092</v>
      </c>
      <c r="H8" s="17">
        <v>0.75</v>
      </c>
      <c r="I8" s="31">
        <f t="shared" ref="I8:I10" si="2">H8/C8</f>
        <v>0.13089005235602094</v>
      </c>
      <c r="J8" s="18">
        <f t="shared" ref="J8:J10" si="3">C8-D8-F8-H8</f>
        <v>0.11000000000000032</v>
      </c>
      <c r="K8" s="31">
        <f>J8/C8</f>
        <v>1.9197207678883128E-2</v>
      </c>
      <c r="L8" s="63">
        <f>0.18/C8</f>
        <v>3.1413612565445025E-2</v>
      </c>
      <c r="M8" s="63"/>
    </row>
    <row r="9" spans="2:22" ht="14.25" thickBot="1">
      <c r="B9" s="82">
        <v>3</v>
      </c>
      <c r="C9" s="17">
        <v>6.94</v>
      </c>
      <c r="D9" s="17">
        <v>0.18</v>
      </c>
      <c r="E9" s="31">
        <f t="shared" si="0"/>
        <v>2.5936599423631121E-2</v>
      </c>
      <c r="F9" s="17">
        <v>5.92</v>
      </c>
      <c r="G9" s="31">
        <f t="shared" si="1"/>
        <v>0.85302593659942361</v>
      </c>
      <c r="H9" s="17">
        <v>0.75</v>
      </c>
      <c r="I9" s="31">
        <f t="shared" si="2"/>
        <v>0.10806916426512968</v>
      </c>
      <c r="J9" s="18">
        <f t="shared" si="3"/>
        <v>9.0000000000000746E-2</v>
      </c>
      <c r="K9" s="31">
        <f t="shared" ref="K9:K10" si="4">J9/C9</f>
        <v>1.2968299711815668E-2</v>
      </c>
      <c r="L9" s="90">
        <f>0.39/C9</f>
        <v>5.6195965417867436E-2</v>
      </c>
      <c r="M9" s="63"/>
    </row>
    <row r="10" spans="2:22" ht="14.25" thickBot="1">
      <c r="B10" s="82">
        <v>4</v>
      </c>
      <c r="C10" s="17">
        <v>8.1</v>
      </c>
      <c r="D10" s="17">
        <v>0.18</v>
      </c>
      <c r="E10" s="31">
        <f t="shared" si="0"/>
        <v>2.2222222222222223E-2</v>
      </c>
      <c r="F10" s="17">
        <v>7.15</v>
      </c>
      <c r="G10" s="31">
        <f t="shared" si="1"/>
        <v>0.88271604938271608</v>
      </c>
      <c r="H10" s="17">
        <v>0.75</v>
      </c>
      <c r="I10" s="31">
        <f t="shared" si="2"/>
        <v>9.2592592592592601E-2</v>
      </c>
      <c r="J10" s="18">
        <f t="shared" si="3"/>
        <v>1.9999999999999574E-2</v>
      </c>
      <c r="K10" s="31">
        <f t="shared" si="4"/>
        <v>2.4691358024690833E-3</v>
      </c>
      <c r="L10" s="90">
        <f>0.18/C10</f>
        <v>2.2222222222222223E-2</v>
      </c>
      <c r="M10" s="63"/>
    </row>
    <row r="11" spans="2:22" ht="25.5">
      <c r="B11" s="84"/>
      <c r="C11" s="85"/>
      <c r="D11" s="85"/>
      <c r="E11" s="62" t="s">
        <v>310</v>
      </c>
      <c r="F11" s="85"/>
      <c r="G11" s="62" t="s">
        <v>330</v>
      </c>
      <c r="H11" s="85"/>
      <c r="I11" s="62" t="s">
        <v>332</v>
      </c>
      <c r="J11" s="85"/>
      <c r="K11" s="62" t="s">
        <v>334</v>
      </c>
      <c r="T11" s="175" t="s">
        <v>433</v>
      </c>
      <c r="U11" s="175"/>
      <c r="V11" s="175"/>
    </row>
    <row r="12" spans="2:22">
      <c r="B12" s="84"/>
      <c r="C12" s="84"/>
      <c r="D12" s="85"/>
      <c r="E12" s="62"/>
      <c r="F12" s="85"/>
      <c r="G12" s="62"/>
      <c r="H12" s="85"/>
      <c r="I12" s="62"/>
      <c r="J12" s="85"/>
      <c r="K12" s="62"/>
    </row>
    <row r="13" spans="2:22" ht="14.25" thickBot="1">
      <c r="B13" s="84" t="s">
        <v>432</v>
      </c>
      <c r="C13" s="17">
        <v>5.6</v>
      </c>
      <c r="D13" s="17">
        <v>0.14000000000000001</v>
      </c>
      <c r="E13" s="31">
        <f t="shared" ref="E13" si="5">D13/C13</f>
        <v>2.5000000000000005E-2</v>
      </c>
      <c r="F13" s="17">
        <v>4.7</v>
      </c>
      <c r="G13" s="31">
        <f t="shared" ref="G13" si="6">F13/C13</f>
        <v>0.83928571428571441</v>
      </c>
      <c r="H13" s="17">
        <v>0.66</v>
      </c>
      <c r="I13" s="31">
        <f t="shared" ref="I13" si="7">H13/C13</f>
        <v>0.11785714285714287</v>
      </c>
      <c r="J13" s="18">
        <f t="shared" ref="J13" si="8">C13-D13-F13-H13</f>
        <v>9.9999999999999756E-2</v>
      </c>
      <c r="K13" s="31">
        <f>J13/C13</f>
        <v>1.7857142857142815E-2</v>
      </c>
      <c r="U13" t="s">
        <v>434</v>
      </c>
    </row>
    <row r="14" spans="2:22">
      <c r="B14" s="84"/>
      <c r="C14" s="84"/>
      <c r="D14" s="85"/>
      <c r="E14" s="62"/>
      <c r="F14" s="85"/>
      <c r="G14" s="62"/>
      <c r="H14" s="85"/>
      <c r="I14" s="62"/>
      <c r="J14" s="85"/>
      <c r="K14" s="62"/>
    </row>
    <row r="15" spans="2:22">
      <c r="L15" t="s">
        <v>199</v>
      </c>
    </row>
    <row r="16" spans="2:22" ht="14.25" thickBot="1">
      <c r="J16" t="s">
        <v>261</v>
      </c>
      <c r="K16" t="s">
        <v>169</v>
      </c>
      <c r="L16" t="s">
        <v>171</v>
      </c>
    </row>
    <row r="17" spans="2:25" ht="14.25" thickBot="1">
      <c r="B17" s="171" t="s">
        <v>162</v>
      </c>
      <c r="C17" s="171" t="s">
        <v>163</v>
      </c>
      <c r="D17" s="169" t="s">
        <v>187</v>
      </c>
      <c r="E17" s="170"/>
      <c r="F17" s="169" t="s">
        <v>185</v>
      </c>
      <c r="G17" s="170"/>
      <c r="H17" s="169" t="s">
        <v>186</v>
      </c>
      <c r="I17" s="170"/>
      <c r="J17" s="169" t="s">
        <v>204</v>
      </c>
      <c r="K17" s="170"/>
      <c r="L17" s="174"/>
      <c r="M17" s="174"/>
    </row>
    <row r="18" spans="2:25" ht="14.25" thickBot="1">
      <c r="B18" s="172"/>
      <c r="C18" s="172"/>
      <c r="D18" s="83" t="s">
        <v>167</v>
      </c>
      <c r="E18" s="83" t="s">
        <v>168</v>
      </c>
      <c r="F18" s="83" t="s">
        <v>167</v>
      </c>
      <c r="G18" s="83" t="s">
        <v>168</v>
      </c>
      <c r="H18" s="83" t="s">
        <v>167</v>
      </c>
      <c r="I18" s="83" t="s">
        <v>168</v>
      </c>
      <c r="J18" s="83" t="s">
        <v>167</v>
      </c>
      <c r="K18" s="83" t="s">
        <v>168</v>
      </c>
      <c r="L18" s="84"/>
      <c r="M18" s="84"/>
    </row>
    <row r="19" spans="2:25" ht="14.25" thickBot="1">
      <c r="B19" s="82">
        <v>1</v>
      </c>
      <c r="C19" s="17">
        <v>1.48</v>
      </c>
      <c r="D19" s="17">
        <v>0.18</v>
      </c>
      <c r="E19" s="31">
        <f>D19/C19</f>
        <v>0.12162162162162161</v>
      </c>
      <c r="F19" s="17">
        <v>0.55000000000000004</v>
      </c>
      <c r="G19" s="31">
        <f>F19/C19</f>
        <v>0.37162162162162166</v>
      </c>
      <c r="H19" s="17">
        <v>0.75</v>
      </c>
      <c r="I19" s="31">
        <f>H19/C19</f>
        <v>0.5067567567567568</v>
      </c>
      <c r="J19" s="18">
        <f>C19-D19-F19-H19</f>
        <v>0</v>
      </c>
      <c r="K19" s="31">
        <f t="shared" ref="K19:K21" si="9">J19/C19</f>
        <v>0</v>
      </c>
      <c r="L19" s="90">
        <f>0.11/C19</f>
        <v>7.4324324324324328E-2</v>
      </c>
      <c r="M19" s="63"/>
    </row>
    <row r="20" spans="2:25" ht="14.25" thickBot="1">
      <c r="B20" s="82">
        <v>2</v>
      </c>
      <c r="C20" s="17">
        <v>4.97</v>
      </c>
      <c r="D20" s="17">
        <v>0.18</v>
      </c>
      <c r="E20" s="31">
        <f t="shared" ref="E20:E24" si="10">D20/C20</f>
        <v>3.6217303822937627E-2</v>
      </c>
      <c r="F20" s="17">
        <v>3.93</v>
      </c>
      <c r="G20" s="31">
        <f t="shared" ref="G20:G24" si="11">F20/C20</f>
        <v>0.7907444668008049</v>
      </c>
      <c r="H20" s="17">
        <v>0.75</v>
      </c>
      <c r="I20" s="31">
        <f t="shared" ref="I20:I24" si="12">H20/C20</f>
        <v>0.15090543259557346</v>
      </c>
      <c r="J20" s="18">
        <f t="shared" ref="J20:J24" si="13">C20-D20-F20-H20</f>
        <v>0.10999999999999988</v>
      </c>
      <c r="K20" s="31">
        <f>J20/C20</f>
        <v>2.213279678068408E-2</v>
      </c>
      <c r="L20" s="90">
        <f>0.18/C20</f>
        <v>3.6217303822937627E-2</v>
      </c>
      <c r="M20" s="63"/>
    </row>
    <row r="21" spans="2:25" ht="14.25" thickBot="1">
      <c r="B21" s="82">
        <v>3</v>
      </c>
      <c r="C21" s="17">
        <v>6.07</v>
      </c>
      <c r="D21" s="17">
        <v>0.18</v>
      </c>
      <c r="E21" s="31">
        <f t="shared" si="10"/>
        <v>2.9654036243822072E-2</v>
      </c>
      <c r="F21" s="17">
        <v>5.07</v>
      </c>
      <c r="G21" s="31">
        <f t="shared" si="11"/>
        <v>0.83525535420098851</v>
      </c>
      <c r="H21" s="17">
        <v>0.75</v>
      </c>
      <c r="I21" s="31">
        <f t="shared" si="12"/>
        <v>0.12355848434925865</v>
      </c>
      <c r="J21" s="18">
        <f t="shared" si="13"/>
        <v>7.0000000000000284E-2</v>
      </c>
      <c r="K21" s="31">
        <f t="shared" si="9"/>
        <v>1.1532125205930853E-2</v>
      </c>
      <c r="L21" s="90">
        <f>0.15/C21</f>
        <v>2.4711696869851727E-2</v>
      </c>
      <c r="M21" s="63"/>
    </row>
    <row r="22" spans="2:25" ht="14.25" thickBot="1">
      <c r="B22" s="82">
        <v>4</v>
      </c>
      <c r="C22" s="17">
        <v>7.32</v>
      </c>
      <c r="D22" s="17">
        <v>0.18</v>
      </c>
      <c r="E22" s="31">
        <f t="shared" si="10"/>
        <v>2.4590163934426229E-2</v>
      </c>
      <c r="F22" s="17">
        <v>6.27</v>
      </c>
      <c r="G22" s="31">
        <f t="shared" si="11"/>
        <v>0.85655737704918022</v>
      </c>
      <c r="H22" s="17">
        <v>0.75</v>
      </c>
      <c r="I22" s="31">
        <f t="shared" si="12"/>
        <v>0.10245901639344263</v>
      </c>
      <c r="J22" s="18">
        <f t="shared" si="13"/>
        <v>0.12000000000000099</v>
      </c>
      <c r="K22" s="31">
        <f>J22/C22</f>
        <v>1.6393442622950956E-2</v>
      </c>
      <c r="L22" s="90">
        <f>0.15/C22</f>
        <v>2.0491803278688523E-2</v>
      </c>
      <c r="M22" s="63"/>
    </row>
    <row r="23" spans="2:25">
      <c r="S23" s="178" t="s">
        <v>339</v>
      </c>
      <c r="T23" s="177" t="s">
        <v>335</v>
      </c>
      <c r="U23" s="177"/>
      <c r="V23" s="177" t="s">
        <v>184</v>
      </c>
      <c r="W23" s="177"/>
    </row>
    <row r="24" spans="2:25" ht="27.75" thickBot="1">
      <c r="B24" t="s">
        <v>432</v>
      </c>
      <c r="C24" s="105">
        <v>4.8899999999999997</v>
      </c>
      <c r="D24" s="105">
        <v>0.14000000000000001</v>
      </c>
      <c r="E24" s="31">
        <f t="shared" si="10"/>
        <v>2.862985685071575E-2</v>
      </c>
      <c r="F24" s="105">
        <v>3.97</v>
      </c>
      <c r="G24" s="31">
        <f t="shared" si="11"/>
        <v>0.81186094069529657</v>
      </c>
      <c r="H24" s="105">
        <v>0.66</v>
      </c>
      <c r="I24" s="31">
        <f t="shared" si="12"/>
        <v>0.13496932515337426</v>
      </c>
      <c r="J24" s="18">
        <f t="shared" si="13"/>
        <v>0.11999999999999977</v>
      </c>
      <c r="K24" s="31">
        <f>J24/C24</f>
        <v>2.4539877300613452E-2</v>
      </c>
      <c r="S24" s="178"/>
      <c r="T24" s="126" t="s">
        <v>336</v>
      </c>
      <c r="U24" s="126" t="s">
        <v>337</v>
      </c>
      <c r="V24" s="126" t="s">
        <v>183</v>
      </c>
      <c r="W24" s="126" t="s">
        <v>182</v>
      </c>
    </row>
    <row r="25" spans="2:25" ht="25.5">
      <c r="S25" s="127" t="s">
        <v>340</v>
      </c>
      <c r="T25" s="57">
        <f>C8</f>
        <v>5.73</v>
      </c>
      <c r="U25" s="57">
        <f>F8</f>
        <v>4.6900000000000004</v>
      </c>
      <c r="V25" s="44">
        <v>1</v>
      </c>
      <c r="W25" s="44">
        <v>1</v>
      </c>
    </row>
    <row r="26" spans="2:25" ht="27">
      <c r="S26" s="46" t="s">
        <v>341</v>
      </c>
      <c r="T26" s="57">
        <f>C20</f>
        <v>4.97</v>
      </c>
      <c r="U26" s="57">
        <f>F20</f>
        <v>3.93</v>
      </c>
      <c r="V26" s="128">
        <f>T25/T26</f>
        <v>1.1529175050301812</v>
      </c>
      <c r="W26" s="128">
        <f>U25/U26</f>
        <v>1.193384223918575</v>
      </c>
    </row>
    <row r="28" spans="2:25">
      <c r="P28" s="114"/>
      <c r="Q28" s="114"/>
    </row>
    <row r="29" spans="2:25" ht="18" customHeight="1">
      <c r="P29" s="84"/>
      <c r="Q29" s="84"/>
      <c r="S29" s="179" t="s">
        <v>364</v>
      </c>
      <c r="T29" s="177" t="s">
        <v>335</v>
      </c>
      <c r="U29" s="177"/>
      <c r="V29" s="177" t="s">
        <v>184</v>
      </c>
      <c r="W29" s="177"/>
      <c r="X29" s="177" t="s">
        <v>344</v>
      </c>
      <c r="Y29" s="177"/>
    </row>
    <row r="30" spans="2:25" ht="27">
      <c r="P30" s="108"/>
      <c r="Q30" s="108"/>
      <c r="R30" s="84"/>
      <c r="S30" s="178"/>
      <c r="T30" s="126" t="s">
        <v>336</v>
      </c>
      <c r="U30" s="126" t="s">
        <v>337</v>
      </c>
      <c r="V30" s="126" t="s">
        <v>183</v>
      </c>
      <c r="W30" s="126" t="s">
        <v>338</v>
      </c>
      <c r="X30" s="126" t="s">
        <v>345</v>
      </c>
      <c r="Y30" s="126" t="s">
        <v>346</v>
      </c>
    </row>
    <row r="31" spans="2:25" ht="27">
      <c r="P31" s="108"/>
      <c r="Q31" s="108"/>
      <c r="R31" s="85"/>
      <c r="S31" s="46" t="s">
        <v>341</v>
      </c>
      <c r="T31" s="57">
        <f>C20</f>
        <v>4.97</v>
      </c>
      <c r="U31" s="57">
        <f>F20</f>
        <v>3.93</v>
      </c>
      <c r="V31" s="130">
        <v>1</v>
      </c>
      <c r="W31" s="130">
        <v>1</v>
      </c>
      <c r="X31" s="44">
        <v>14</v>
      </c>
      <c r="Y31" s="44">
        <v>12</v>
      </c>
    </row>
    <row r="32" spans="2:25" ht="40.5">
      <c r="P32" s="85"/>
      <c r="Q32" s="85"/>
      <c r="R32" s="85"/>
      <c r="S32" s="137" t="s">
        <v>392</v>
      </c>
      <c r="T32" s="129">
        <v>2.1</v>
      </c>
      <c r="U32" s="129">
        <v>0.98</v>
      </c>
      <c r="V32" s="129">
        <f>T31/T32</f>
        <v>2.3666666666666663</v>
      </c>
      <c r="W32" s="129">
        <f>U31/U32</f>
        <v>4.0102040816326534</v>
      </c>
      <c r="X32" s="44">
        <v>99</v>
      </c>
      <c r="Y32" s="44">
        <v>12</v>
      </c>
    </row>
    <row r="33" spans="1:25" ht="40.5">
      <c r="N33" s="85"/>
      <c r="O33" s="85"/>
      <c r="P33" s="85"/>
      <c r="Q33" s="85"/>
      <c r="R33" s="85"/>
      <c r="S33" s="137" t="s">
        <v>393</v>
      </c>
      <c r="T33" s="129">
        <v>1.95</v>
      </c>
      <c r="U33" s="129">
        <v>0.96</v>
      </c>
      <c r="V33" s="129">
        <f>T31/T33</f>
        <v>2.5487179487179485</v>
      </c>
      <c r="W33" s="129">
        <f>U31/U33</f>
        <v>4.09375</v>
      </c>
      <c r="X33" s="44">
        <v>14</v>
      </c>
      <c r="Y33" s="44">
        <v>12</v>
      </c>
    </row>
    <row r="34" spans="1:25" ht="27">
      <c r="S34" s="137" t="s">
        <v>394</v>
      </c>
      <c r="T34" s="129">
        <v>1.5</v>
      </c>
      <c r="U34" s="57">
        <v>0.36</v>
      </c>
      <c r="V34" s="129">
        <f>T31/T34</f>
        <v>3.313333333333333</v>
      </c>
      <c r="W34" s="130">
        <f>U31/U34</f>
        <v>10.916666666666668</v>
      </c>
      <c r="X34" s="44">
        <v>99</v>
      </c>
      <c r="Y34" s="44">
        <v>12</v>
      </c>
    </row>
    <row r="35" spans="1:25" ht="14.25" thickBot="1">
      <c r="J35" t="s">
        <v>261</v>
      </c>
      <c r="K35" t="s">
        <v>169</v>
      </c>
      <c r="L35" t="s">
        <v>177</v>
      </c>
      <c r="S35" s="56" t="s">
        <v>46</v>
      </c>
      <c r="T35" s="131">
        <v>1.43</v>
      </c>
      <c r="U35" s="61">
        <v>0.32</v>
      </c>
      <c r="V35" s="129">
        <f>T31/T35</f>
        <v>3.4755244755244754</v>
      </c>
      <c r="W35" s="130">
        <f>U31/U35</f>
        <v>12.28125</v>
      </c>
      <c r="X35" s="44">
        <v>14</v>
      </c>
      <c r="Y35" s="44">
        <v>12</v>
      </c>
    </row>
    <row r="36" spans="1:25" ht="27.75" thickBot="1">
      <c r="B36" s="171" t="s">
        <v>162</v>
      </c>
      <c r="C36" s="171" t="s">
        <v>163</v>
      </c>
      <c r="D36" s="169" t="s">
        <v>187</v>
      </c>
      <c r="E36" s="170"/>
      <c r="F36" s="169" t="s">
        <v>185</v>
      </c>
      <c r="G36" s="170"/>
      <c r="H36" s="169" t="s">
        <v>186</v>
      </c>
      <c r="I36" s="170"/>
      <c r="J36" s="169" t="s">
        <v>204</v>
      </c>
      <c r="K36" s="170"/>
      <c r="L36" s="169" t="s">
        <v>184</v>
      </c>
      <c r="M36" s="170"/>
      <c r="S36" s="38" t="s">
        <v>391</v>
      </c>
      <c r="T36" s="142">
        <v>0.8</v>
      </c>
      <c r="U36" s="61">
        <v>0.32</v>
      </c>
      <c r="V36" s="129">
        <f>T31/T36</f>
        <v>6.2124999999999995</v>
      </c>
      <c r="W36" s="130">
        <f>U31/U36</f>
        <v>12.28125</v>
      </c>
      <c r="X36" s="44">
        <v>25</v>
      </c>
      <c r="Y36" s="44">
        <v>12</v>
      </c>
    </row>
    <row r="37" spans="1:25" ht="13.5" customHeight="1" thickBot="1">
      <c r="B37" s="172"/>
      <c r="C37" s="172"/>
      <c r="D37" s="83" t="s">
        <v>167</v>
      </c>
      <c r="E37" s="83" t="s">
        <v>168</v>
      </c>
      <c r="F37" s="83" t="s">
        <v>167</v>
      </c>
      <c r="G37" s="83" t="s">
        <v>168</v>
      </c>
      <c r="H37" s="83" t="s">
        <v>167</v>
      </c>
      <c r="I37" s="83" t="s">
        <v>168</v>
      </c>
      <c r="J37" s="83" t="s">
        <v>167</v>
      </c>
      <c r="K37" s="83" t="s">
        <v>168</v>
      </c>
      <c r="L37" s="83" t="s">
        <v>182</v>
      </c>
      <c r="M37" s="83" t="s">
        <v>183</v>
      </c>
    </row>
    <row r="38" spans="1:25" ht="14.25" thickBot="1">
      <c r="B38" s="82">
        <v>1</v>
      </c>
      <c r="C38" s="17">
        <v>2.98</v>
      </c>
      <c r="D38" s="17">
        <v>0.18</v>
      </c>
      <c r="E38" s="31">
        <f>D38/C38</f>
        <v>6.0402684563758385E-2</v>
      </c>
      <c r="F38" s="17">
        <f>0.67-D38</f>
        <v>0.49000000000000005</v>
      </c>
      <c r="G38" s="31">
        <f>F38/C38</f>
        <v>0.16442953020134229</v>
      </c>
      <c r="H38" s="17">
        <v>0.75</v>
      </c>
      <c r="I38" s="31">
        <f>H38/C38</f>
        <v>0.25167785234899331</v>
      </c>
      <c r="J38" s="18">
        <f>C38-D38-F38-H38</f>
        <v>1.5599999999999996</v>
      </c>
      <c r="K38" s="31">
        <f t="shared" ref="K38:K40" si="14">J38/C38</f>
        <v>0.52348993288590595</v>
      </c>
      <c r="L38" s="18">
        <f>F19/F38</f>
        <v>1.1224489795918366</v>
      </c>
      <c r="M38" s="18">
        <f>C19/C38</f>
        <v>0.49664429530201343</v>
      </c>
      <c r="N38" s="43">
        <f>0.3/C38</f>
        <v>0.10067114093959731</v>
      </c>
      <c r="O38" s="43"/>
      <c r="P38" s="43"/>
      <c r="Q38" s="43"/>
    </row>
    <row r="39" spans="1:25" ht="14.25" thickBot="1">
      <c r="A39" t="s">
        <v>342</v>
      </c>
      <c r="B39" s="82">
        <v>2</v>
      </c>
      <c r="C39" s="17">
        <v>3.28</v>
      </c>
      <c r="D39" s="17">
        <v>0.18</v>
      </c>
      <c r="E39" s="31">
        <f t="shared" ref="E39:E41" si="15">D39/C39</f>
        <v>5.4878048780487805E-2</v>
      </c>
      <c r="F39" s="17">
        <v>0.98</v>
      </c>
      <c r="G39" s="31">
        <f t="shared" ref="G39:G41" si="16">F39/C39</f>
        <v>0.29878048780487804</v>
      </c>
      <c r="H39" s="17">
        <v>0.75</v>
      </c>
      <c r="I39" s="31">
        <f t="shared" ref="I39:I41" si="17">H39/C39</f>
        <v>0.22865853658536586</v>
      </c>
      <c r="J39" s="18">
        <f t="shared" ref="J39:J41" si="18">C39-D39-F39-H39</f>
        <v>1.3699999999999997</v>
      </c>
      <c r="K39" s="31">
        <f>J39/C39</f>
        <v>0.41768292682926822</v>
      </c>
      <c r="L39" s="18">
        <f>F20/F39</f>
        <v>4.0102040816326534</v>
      </c>
      <c r="M39" s="18">
        <f>C20/C39</f>
        <v>1.5152439024390245</v>
      </c>
      <c r="N39" s="43">
        <f>0.3/C39</f>
        <v>9.1463414634146339E-2</v>
      </c>
      <c r="O39" s="43"/>
      <c r="P39" s="43"/>
      <c r="Q39" s="43"/>
    </row>
    <row r="40" spans="1:25" ht="14.25" customHeight="1" thickBot="1">
      <c r="B40" s="82">
        <v>3</v>
      </c>
      <c r="C40" s="17">
        <v>4.22</v>
      </c>
      <c r="D40" s="17">
        <v>0.18</v>
      </c>
      <c r="E40" s="31">
        <f t="shared" si="15"/>
        <v>4.2654028436018961E-2</v>
      </c>
      <c r="F40" s="17">
        <f>1.98-D40</f>
        <v>1.8</v>
      </c>
      <c r="G40" s="31">
        <f t="shared" si="16"/>
        <v>0.42654028436018959</v>
      </c>
      <c r="H40" s="17">
        <v>0.75</v>
      </c>
      <c r="I40" s="31">
        <f t="shared" si="17"/>
        <v>0.17772511848341233</v>
      </c>
      <c r="J40" s="18">
        <f t="shared" si="18"/>
        <v>1.4900000000000002</v>
      </c>
      <c r="K40" s="31">
        <f t="shared" si="14"/>
        <v>0.35308056872037924</v>
      </c>
      <c r="L40" s="18">
        <f>F21/F40</f>
        <v>2.8166666666666669</v>
      </c>
      <c r="M40" s="18">
        <f>C21/C40</f>
        <v>1.4383886255924172</v>
      </c>
      <c r="N40" s="43">
        <f t="shared" ref="N40:N41" si="19">0.3/C40</f>
        <v>7.1090047393364927E-2</v>
      </c>
      <c r="O40" s="43"/>
      <c r="P40" s="43"/>
      <c r="Q40" s="43"/>
      <c r="R40" s="84"/>
    </row>
    <row r="41" spans="1:25" ht="14.25" thickBot="1">
      <c r="B41" s="82">
        <v>4</v>
      </c>
      <c r="C41" s="17">
        <v>4.67</v>
      </c>
      <c r="D41" s="17">
        <v>0.18</v>
      </c>
      <c r="E41" s="31">
        <f t="shared" si="15"/>
        <v>3.8543897216274089E-2</v>
      </c>
      <c r="F41" s="17">
        <f>2.38-D41</f>
        <v>2.1999999999999997</v>
      </c>
      <c r="G41" s="31">
        <f t="shared" si="16"/>
        <v>0.47109207708779438</v>
      </c>
      <c r="H41" s="17">
        <v>0.75</v>
      </c>
      <c r="I41" s="31">
        <f t="shared" si="17"/>
        <v>0.16059957173447537</v>
      </c>
      <c r="J41" s="18">
        <f t="shared" si="18"/>
        <v>1.5400000000000005</v>
      </c>
      <c r="K41" s="31">
        <f>J41/C41</f>
        <v>0.32976445396145621</v>
      </c>
      <c r="L41" s="18">
        <f>F22/F41</f>
        <v>2.85</v>
      </c>
      <c r="M41" s="18">
        <f>C22/C41</f>
        <v>1.5674518201284797</v>
      </c>
      <c r="N41" s="43">
        <f t="shared" si="19"/>
        <v>6.4239828693790149E-2</v>
      </c>
      <c r="O41" s="43"/>
      <c r="P41" s="43"/>
      <c r="Q41" s="43"/>
      <c r="R41" s="84"/>
    </row>
    <row r="42" spans="1:25" ht="14.25" thickBot="1">
      <c r="B42" t="s">
        <v>205</v>
      </c>
      <c r="C42" s="91">
        <v>4.1100000000000003</v>
      </c>
      <c r="D42" s="17">
        <v>0.32</v>
      </c>
      <c r="F42" s="17">
        <f>1.8-D42</f>
        <v>1.48</v>
      </c>
      <c r="H42" s="94">
        <v>2.2000000000000002</v>
      </c>
      <c r="I42" s="95"/>
      <c r="L42" s="18">
        <f>F20/F42</f>
        <v>2.6554054054054057</v>
      </c>
      <c r="M42" s="18">
        <f>C20/C42</f>
        <v>1.2092457420924572</v>
      </c>
      <c r="N42" s="85"/>
      <c r="O42" s="85"/>
      <c r="P42" s="85"/>
      <c r="Q42" s="85"/>
      <c r="R42" s="85"/>
    </row>
    <row r="43" spans="1:25" ht="14.25" thickBot="1">
      <c r="B43" s="144">
        <v>2</v>
      </c>
      <c r="C43" s="91">
        <v>2.1</v>
      </c>
      <c r="D43" s="17">
        <v>0.2</v>
      </c>
      <c r="F43" s="17">
        <v>1</v>
      </c>
      <c r="H43" s="93">
        <v>0.9</v>
      </c>
      <c r="J43" s="61">
        <f>C43-D43-F43-H43</f>
        <v>0</v>
      </c>
      <c r="L43" s="18">
        <v>0</v>
      </c>
      <c r="M43" s="18">
        <v>0</v>
      </c>
      <c r="N43" s="85"/>
      <c r="O43" s="85"/>
      <c r="P43" s="85"/>
      <c r="Q43" s="85"/>
      <c r="R43" s="85"/>
    </row>
    <row r="44" spans="1:25" ht="14.25" thickBot="1">
      <c r="C44" s="91">
        <v>3.79</v>
      </c>
      <c r="D44" s="17">
        <v>0.32</v>
      </c>
      <c r="F44" s="92">
        <f>1.53-D44</f>
        <v>1.21</v>
      </c>
      <c r="H44" s="93">
        <v>2.2999999999999998</v>
      </c>
      <c r="L44" s="18">
        <f>F20/F44</f>
        <v>3.2479338842975207</v>
      </c>
      <c r="M44" s="18">
        <f>C20/C44</f>
        <v>1.3113456464379947</v>
      </c>
      <c r="N44" s="85"/>
      <c r="O44" s="85"/>
      <c r="P44" s="85"/>
      <c r="Q44" s="85"/>
      <c r="R44" s="85"/>
    </row>
    <row r="45" spans="1:25">
      <c r="C45" s="91">
        <v>3.61</v>
      </c>
      <c r="N45" s="85"/>
      <c r="O45" s="85"/>
      <c r="P45" s="85"/>
      <c r="Q45" s="85"/>
      <c r="R45" s="85"/>
    </row>
    <row r="46" spans="1:25">
      <c r="N46" s="85"/>
      <c r="O46" s="85"/>
      <c r="P46" s="85"/>
      <c r="Q46" s="85"/>
      <c r="R46" s="85"/>
    </row>
    <row r="47" spans="1:25" ht="14.25" thickBot="1">
      <c r="J47" t="s">
        <v>261</v>
      </c>
      <c r="K47" t="s">
        <v>169</v>
      </c>
      <c r="L47" t="s">
        <v>178</v>
      </c>
      <c r="N47" t="s">
        <v>213</v>
      </c>
    </row>
    <row r="48" spans="1:25" ht="14.25" thickBot="1">
      <c r="B48" s="171" t="s">
        <v>162</v>
      </c>
      <c r="C48" s="171" t="s">
        <v>163</v>
      </c>
      <c r="D48" s="169" t="s">
        <v>187</v>
      </c>
      <c r="E48" s="170"/>
      <c r="F48" s="169" t="s">
        <v>185</v>
      </c>
      <c r="G48" s="170"/>
      <c r="H48" s="169" t="s">
        <v>186</v>
      </c>
      <c r="I48" s="170"/>
      <c r="J48" s="169" t="s">
        <v>170</v>
      </c>
      <c r="K48" s="170"/>
      <c r="L48" s="169" t="s">
        <v>184</v>
      </c>
      <c r="M48" s="170"/>
    </row>
    <row r="49" spans="1:26" ht="14.25" thickBot="1">
      <c r="B49" s="172"/>
      <c r="C49" s="172"/>
      <c r="D49" s="83" t="s">
        <v>167</v>
      </c>
      <c r="E49" s="83" t="s">
        <v>168</v>
      </c>
      <c r="F49" s="83" t="s">
        <v>167</v>
      </c>
      <c r="G49" s="83" t="s">
        <v>168</v>
      </c>
      <c r="H49" s="83" t="s">
        <v>167</v>
      </c>
      <c r="I49" s="83" t="s">
        <v>168</v>
      </c>
      <c r="J49" s="83" t="s">
        <v>167</v>
      </c>
      <c r="K49" s="83" t="s">
        <v>168</v>
      </c>
      <c r="L49" s="83" t="s">
        <v>182</v>
      </c>
      <c r="M49" s="18" t="s">
        <v>183</v>
      </c>
    </row>
    <row r="50" spans="1:26" ht="14.25" thickBot="1">
      <c r="B50" s="82">
        <v>1</v>
      </c>
      <c r="C50" s="17">
        <v>2.2999999999999998</v>
      </c>
      <c r="D50" s="17">
        <v>0.32</v>
      </c>
      <c r="E50" s="31">
        <f>D50/C50</f>
        <v>0.1391304347826087</v>
      </c>
      <c r="F50" s="17">
        <f>0.63-D50</f>
        <v>0.31</v>
      </c>
      <c r="G50" s="31">
        <f>F50/C50</f>
        <v>0.13478260869565217</v>
      </c>
      <c r="H50" s="18">
        <v>2.61</v>
      </c>
      <c r="I50" s="31">
        <f>H50/C50</f>
        <v>1.1347826086956523</v>
      </c>
      <c r="J50" s="18">
        <f>C50-D50-F50-H50</f>
        <v>-0.94000000000000017</v>
      </c>
      <c r="K50" s="31">
        <f t="shared" ref="K50:K52" si="20">J50/C50</f>
        <v>-0.40869565217391313</v>
      </c>
      <c r="L50" s="18">
        <f>F19/F50</f>
        <v>1.774193548387097</v>
      </c>
      <c r="M50" s="18">
        <f>C19/C50</f>
        <v>0.64347826086956528</v>
      </c>
      <c r="N50" s="43">
        <f>0.21/C50</f>
        <v>9.1304347826086957E-2</v>
      </c>
      <c r="O50" s="43"/>
      <c r="P50" s="43"/>
      <c r="Q50" s="43"/>
    </row>
    <row r="51" spans="1:26" ht="14.25" thickBot="1">
      <c r="A51" t="s">
        <v>343</v>
      </c>
      <c r="B51" s="82">
        <v>2</v>
      </c>
      <c r="C51" s="105">
        <v>1.95</v>
      </c>
      <c r="D51" s="17">
        <v>0.18</v>
      </c>
      <c r="E51" s="31">
        <f t="shared" ref="E51:E53" si="21">D51/C51</f>
        <v>9.2307692307692313E-2</v>
      </c>
      <c r="F51" s="17">
        <v>0.96</v>
      </c>
      <c r="G51" s="31">
        <f t="shared" ref="G51:G53" si="22">F51/C51</f>
        <v>0.49230769230769228</v>
      </c>
      <c r="H51" s="17">
        <v>0.75</v>
      </c>
      <c r="I51" s="31">
        <f t="shared" ref="I51:I53" si="23">H51/C51</f>
        <v>0.38461538461538464</v>
      </c>
      <c r="J51" s="18">
        <f t="shared" ref="J51:J53" si="24">C51-D51-F51-H51</f>
        <v>6.0000000000000053E-2</v>
      </c>
      <c r="K51" s="31">
        <f t="shared" si="20"/>
        <v>3.0769230769230799E-2</v>
      </c>
      <c r="L51" s="18">
        <f>F20/F51</f>
        <v>4.09375</v>
      </c>
      <c r="M51" s="18">
        <f>C20/C51</f>
        <v>2.5487179487179485</v>
      </c>
      <c r="N51" s="43">
        <f>0.39/C51</f>
        <v>0.2</v>
      </c>
      <c r="O51" s="43"/>
      <c r="P51" s="43"/>
      <c r="Q51" s="43"/>
    </row>
    <row r="52" spans="1:26" ht="14.25" thickBot="1">
      <c r="B52" s="82">
        <v>3</v>
      </c>
      <c r="C52" s="17">
        <v>3.85</v>
      </c>
      <c r="D52" s="17">
        <v>0.32</v>
      </c>
      <c r="E52" s="31">
        <f t="shared" si="21"/>
        <v>8.3116883116883117E-2</v>
      </c>
      <c r="F52" s="17">
        <f>2.13-D52</f>
        <v>1.8099999999999998</v>
      </c>
      <c r="G52" s="31">
        <f t="shared" si="22"/>
        <v>0.47012987012987006</v>
      </c>
      <c r="H52" s="18">
        <v>2.61</v>
      </c>
      <c r="I52" s="31">
        <f t="shared" si="23"/>
        <v>0.67792207792207793</v>
      </c>
      <c r="J52" s="18">
        <f t="shared" si="24"/>
        <v>-0.88999999999999946</v>
      </c>
      <c r="K52" s="31">
        <f t="shared" si="20"/>
        <v>-0.23116883116883102</v>
      </c>
      <c r="L52" s="18">
        <f>F21/F52</f>
        <v>2.8011049723756911</v>
      </c>
      <c r="M52" s="18">
        <f>C21/C52</f>
        <v>1.5766233766233766</v>
      </c>
      <c r="N52" s="43">
        <f>0.16/C52</f>
        <v>4.1558441558441558E-2</v>
      </c>
      <c r="O52" s="43"/>
      <c r="P52" s="43"/>
      <c r="Q52" s="43"/>
    </row>
    <row r="53" spans="1:26" ht="14.25" thickBot="1">
      <c r="B53" s="82">
        <v>4</v>
      </c>
      <c r="C53" s="17">
        <v>4.54</v>
      </c>
      <c r="D53" s="17">
        <v>0.32</v>
      </c>
      <c r="E53" s="31">
        <f t="shared" si="21"/>
        <v>7.0484581497797363E-2</v>
      </c>
      <c r="F53" s="17">
        <f>2.78-D53</f>
        <v>2.46</v>
      </c>
      <c r="G53" s="31">
        <f t="shared" si="22"/>
        <v>0.54185022026431717</v>
      </c>
      <c r="H53" s="18">
        <v>2.61</v>
      </c>
      <c r="I53" s="31">
        <f t="shared" si="23"/>
        <v>0.57488986784140961</v>
      </c>
      <c r="J53" s="18">
        <f t="shared" si="24"/>
        <v>-0.85000000000000009</v>
      </c>
      <c r="K53" s="31">
        <f>J53/C53</f>
        <v>-0.18722466960352424</v>
      </c>
      <c r="L53" s="18">
        <f>F22/F53</f>
        <v>2.5487804878048781</v>
      </c>
      <c r="M53" s="18">
        <f>C22/C53</f>
        <v>1.6123348017621146</v>
      </c>
      <c r="N53" s="43">
        <f>0.19/C53</f>
        <v>4.185022026431718E-2</v>
      </c>
      <c r="O53" s="43"/>
      <c r="P53" s="43"/>
      <c r="Q53" s="43"/>
      <c r="R53" s="84"/>
    </row>
    <row r="54" spans="1:26">
      <c r="B54" s="84"/>
      <c r="C54" s="62"/>
      <c r="D54" s="62"/>
      <c r="E54" s="63"/>
      <c r="F54" s="85"/>
      <c r="G54" s="63"/>
      <c r="H54" s="85"/>
      <c r="I54" s="63"/>
      <c r="J54" s="85"/>
      <c r="K54" s="63"/>
      <c r="L54" s="85"/>
      <c r="M54" s="85"/>
      <c r="N54" s="85"/>
      <c r="O54" s="85"/>
      <c r="P54" s="85"/>
      <c r="Q54" s="85"/>
    </row>
    <row r="55" spans="1:26">
      <c r="B55" s="73"/>
      <c r="C55" s="105"/>
      <c r="D55" s="62"/>
      <c r="E55" s="63"/>
      <c r="F55" s="85"/>
      <c r="G55" s="63"/>
      <c r="H55" s="85"/>
      <c r="I55" s="63"/>
      <c r="J55" s="85"/>
      <c r="K55" s="63"/>
      <c r="L55" s="85"/>
      <c r="M55" s="85"/>
      <c r="N55" s="106"/>
      <c r="O55" s="106"/>
      <c r="P55" s="106"/>
      <c r="Q55" s="106"/>
    </row>
    <row r="56" spans="1:26">
      <c r="B56" s="115"/>
      <c r="N56" s="85"/>
      <c r="O56" s="85"/>
      <c r="P56" s="85"/>
      <c r="Q56" s="85"/>
    </row>
    <row r="57" spans="1:26">
      <c r="N57" s="85"/>
      <c r="O57" s="85"/>
      <c r="P57" s="85"/>
      <c r="Q57" s="85"/>
    </row>
    <row r="58" spans="1:26">
      <c r="N58" s="85"/>
      <c r="O58" s="85"/>
      <c r="P58" s="85"/>
      <c r="Q58" s="85"/>
    </row>
    <row r="59" spans="1:26">
      <c r="N59" s="85"/>
      <c r="O59" s="85"/>
      <c r="P59" s="85"/>
      <c r="Q59" s="85"/>
    </row>
    <row r="60" spans="1:26">
      <c r="N60" s="85"/>
      <c r="O60" s="85"/>
      <c r="P60" s="85"/>
      <c r="Q60" s="85"/>
    </row>
    <row r="61" spans="1:26" ht="14.25" thickBot="1">
      <c r="J61" t="s">
        <v>261</v>
      </c>
      <c r="K61" t="s">
        <v>169</v>
      </c>
      <c r="L61" t="s">
        <v>178</v>
      </c>
      <c r="N61" t="s">
        <v>214</v>
      </c>
    </row>
    <row r="62" spans="1:26" ht="14.25" thickBot="1">
      <c r="B62" s="171" t="s">
        <v>162</v>
      </c>
      <c r="C62" s="171" t="s">
        <v>163</v>
      </c>
      <c r="D62" s="169" t="s">
        <v>187</v>
      </c>
      <c r="E62" s="170"/>
      <c r="F62" s="169" t="s">
        <v>185</v>
      </c>
      <c r="G62" s="170"/>
      <c r="H62" s="169" t="s">
        <v>186</v>
      </c>
      <c r="I62" s="170"/>
      <c r="J62" s="169" t="s">
        <v>170</v>
      </c>
      <c r="K62" s="170"/>
      <c r="L62" s="169" t="s">
        <v>184</v>
      </c>
      <c r="M62" s="170"/>
    </row>
    <row r="63" spans="1:26" ht="14.25" thickBot="1">
      <c r="B63" s="172"/>
      <c r="C63" s="172"/>
      <c r="D63" s="83" t="s">
        <v>167</v>
      </c>
      <c r="E63" s="83" t="s">
        <v>168</v>
      </c>
      <c r="F63" s="83" t="s">
        <v>167</v>
      </c>
      <c r="G63" s="83" t="s">
        <v>168</v>
      </c>
      <c r="H63" s="83" t="s">
        <v>167</v>
      </c>
      <c r="I63" s="83" t="s">
        <v>168</v>
      </c>
      <c r="J63" s="83" t="s">
        <v>167</v>
      </c>
      <c r="K63" s="83" t="s">
        <v>168</v>
      </c>
      <c r="L63" s="83" t="s">
        <v>182</v>
      </c>
      <c r="M63" s="18" t="s">
        <v>183</v>
      </c>
    </row>
    <row r="64" spans="1:26" ht="14.25" thickBot="1">
      <c r="B64" s="82">
        <v>1</v>
      </c>
      <c r="C64" s="17">
        <v>2.36</v>
      </c>
      <c r="D64" s="17">
        <v>0.32</v>
      </c>
      <c r="E64" s="31">
        <f>D64/C64</f>
        <v>0.13559322033898305</v>
      </c>
      <c r="F64" s="17">
        <f>0.79-D64</f>
        <v>0.47000000000000003</v>
      </c>
      <c r="G64" s="31">
        <f>F64/C64</f>
        <v>0.19915254237288138</v>
      </c>
      <c r="H64" s="18">
        <v>2.59</v>
      </c>
      <c r="I64" s="31">
        <f>H64/C64</f>
        <v>1.097457627118644</v>
      </c>
      <c r="J64" s="18">
        <f>C64-D64-F64-H64</f>
        <v>-1.0199999999999998</v>
      </c>
      <c r="K64" s="31">
        <f t="shared" ref="K64:K66" si="25">J64/C64</f>
        <v>-0.43220338983050843</v>
      </c>
      <c r="L64" s="18">
        <f>F19/F64</f>
        <v>1.1702127659574468</v>
      </c>
      <c r="M64" s="18">
        <f>C19/C64</f>
        <v>0.6271186440677966</v>
      </c>
      <c r="N64" s="43">
        <f>0.28/C64</f>
        <v>0.11864406779661019</v>
      </c>
      <c r="O64" s="43"/>
      <c r="P64" s="43"/>
      <c r="Q64" s="43"/>
      <c r="S64" s="84"/>
      <c r="T64" s="85"/>
      <c r="U64" s="62"/>
      <c r="V64" s="85"/>
      <c r="W64" s="62"/>
      <c r="Y64" s="85"/>
      <c r="Z64" s="85"/>
    </row>
    <row r="65" spans="1:26" ht="14.25" thickBot="1">
      <c r="A65" t="s">
        <v>342</v>
      </c>
      <c r="B65" s="82">
        <v>2</v>
      </c>
      <c r="C65" s="105">
        <v>2.08</v>
      </c>
      <c r="D65" s="17">
        <v>0.18</v>
      </c>
      <c r="E65" s="31">
        <f t="shared" ref="E65:E67" si="26">D65/C65</f>
        <v>8.6538461538461536E-2</v>
      </c>
      <c r="F65" s="17">
        <v>1.0900000000000001</v>
      </c>
      <c r="G65" s="31">
        <f t="shared" ref="G65:G67" si="27">F65/C65</f>
        <v>0.52403846153846156</v>
      </c>
      <c r="H65" s="17">
        <v>0.75</v>
      </c>
      <c r="I65" s="31">
        <f t="shared" ref="I65:I67" si="28">H65/C65</f>
        <v>0.36057692307692307</v>
      </c>
      <c r="J65" s="18">
        <f t="shared" ref="J65:J67" si="29">C65-D65-F65-H65</f>
        <v>6.0000000000000053E-2</v>
      </c>
      <c r="K65" s="31">
        <f t="shared" si="25"/>
        <v>2.8846153846153872E-2</v>
      </c>
      <c r="L65" s="18">
        <f>F20/F65</f>
        <v>3.6055045871559632</v>
      </c>
      <c r="M65" s="18">
        <f>C20/C65</f>
        <v>2.3894230769230766</v>
      </c>
      <c r="N65" s="43">
        <f>0.18/C65</f>
        <v>8.6538461538461536E-2</v>
      </c>
      <c r="O65" s="43"/>
      <c r="P65" s="43"/>
      <c r="Q65" s="43"/>
      <c r="S65" s="84"/>
      <c r="T65" s="85"/>
      <c r="U65" s="62"/>
      <c r="V65" s="85"/>
      <c r="W65" s="62"/>
      <c r="Y65" s="85"/>
      <c r="Z65" s="85"/>
    </row>
    <row r="66" spans="1:26" ht="14.25" thickBot="1">
      <c r="B66" s="82">
        <v>3</v>
      </c>
      <c r="C66" s="17">
        <v>3.91</v>
      </c>
      <c r="D66" s="17">
        <v>0.32</v>
      </c>
      <c r="E66" s="31">
        <f t="shared" si="26"/>
        <v>8.1841432225063931E-2</v>
      </c>
      <c r="F66" s="17">
        <f>2.3-D66</f>
        <v>1.9799999999999998</v>
      </c>
      <c r="G66" s="31">
        <f t="shared" si="27"/>
        <v>0.50639386189258306</v>
      </c>
      <c r="H66" s="18">
        <v>2.59</v>
      </c>
      <c r="I66" s="31">
        <f t="shared" si="28"/>
        <v>0.66240409207161122</v>
      </c>
      <c r="J66" s="18">
        <f t="shared" si="29"/>
        <v>-0.97999999999999932</v>
      </c>
      <c r="K66" s="31">
        <f t="shared" si="25"/>
        <v>-0.25063938618925813</v>
      </c>
      <c r="L66" s="18">
        <f>F21/F66</f>
        <v>2.560606060606061</v>
      </c>
      <c r="M66" s="18">
        <f>C21/C66</f>
        <v>1.5524296675191815</v>
      </c>
      <c r="N66" s="43">
        <f>0.18/C66</f>
        <v>4.603580562659846E-2</v>
      </c>
      <c r="O66" s="43"/>
      <c r="P66" s="43"/>
      <c r="Q66" s="43"/>
      <c r="Y66" s="85"/>
      <c r="Z66" s="85"/>
    </row>
    <row r="67" spans="1:26" ht="14.25" thickBot="1">
      <c r="B67" s="82">
        <v>4</v>
      </c>
      <c r="C67" s="17">
        <v>4.71</v>
      </c>
      <c r="D67" s="17">
        <v>0.32</v>
      </c>
      <c r="E67" s="31">
        <f t="shared" si="26"/>
        <v>6.7940552016985137E-2</v>
      </c>
      <c r="F67" s="17">
        <f>2.93-D67</f>
        <v>2.6100000000000003</v>
      </c>
      <c r="G67" s="31">
        <f t="shared" si="27"/>
        <v>0.55414012738853513</v>
      </c>
      <c r="H67" s="18">
        <v>2.59</v>
      </c>
      <c r="I67" s="31">
        <f t="shared" si="28"/>
        <v>0.54989384288747345</v>
      </c>
      <c r="J67" s="18">
        <f t="shared" si="29"/>
        <v>-0.8100000000000005</v>
      </c>
      <c r="K67" s="31">
        <f>J67/C67</f>
        <v>-0.17197452229299373</v>
      </c>
      <c r="L67" s="18">
        <f>F22/F67</f>
        <v>2.402298850574712</v>
      </c>
      <c r="M67" s="18">
        <f>C22/C67</f>
        <v>1.5541401273885351</v>
      </c>
      <c r="N67" s="43">
        <f>0.18/C67</f>
        <v>3.8216560509554139E-2</v>
      </c>
      <c r="O67" s="43"/>
      <c r="P67" s="43"/>
      <c r="Q67" s="43"/>
      <c r="R67" s="84"/>
    </row>
    <row r="68" spans="1:26">
      <c r="B68" s="84"/>
      <c r="C68" s="62"/>
      <c r="D68" s="62"/>
      <c r="E68" s="63"/>
      <c r="F68" s="85"/>
      <c r="G68" s="63"/>
      <c r="H68" s="85"/>
      <c r="I68" s="63"/>
      <c r="J68" s="85"/>
      <c r="K68" s="63"/>
      <c r="L68" s="85"/>
      <c r="M68" s="85"/>
      <c r="N68" s="85"/>
      <c r="O68" s="85"/>
      <c r="P68" s="85"/>
      <c r="Q68" s="85"/>
      <c r="X68" s="85"/>
      <c r="Y68" s="85"/>
      <c r="Z68" s="85"/>
    </row>
    <row r="69" spans="1:26">
      <c r="B69" s="73"/>
      <c r="C69" s="105"/>
      <c r="D69" s="62"/>
      <c r="E69" s="63"/>
      <c r="F69" s="85"/>
      <c r="G69" s="63"/>
      <c r="H69" s="85"/>
      <c r="I69" s="63"/>
      <c r="J69" s="85"/>
      <c r="K69" s="63"/>
      <c r="L69" s="85"/>
      <c r="M69" s="85"/>
      <c r="N69" s="106"/>
      <c r="O69" s="106"/>
      <c r="P69" s="106"/>
      <c r="Q69" s="106"/>
      <c r="X69" s="85"/>
      <c r="Y69" s="85"/>
      <c r="Z69" s="85"/>
    </row>
    <row r="70" spans="1:26" ht="14.25" thickBot="1">
      <c r="J70" t="s">
        <v>261</v>
      </c>
      <c r="K70" t="s">
        <v>169</v>
      </c>
      <c r="L70" t="s">
        <v>179</v>
      </c>
      <c r="X70" s="85"/>
      <c r="Y70" s="85"/>
      <c r="Z70" s="85"/>
    </row>
    <row r="71" spans="1:26" ht="14.25" thickBot="1">
      <c r="B71" s="171" t="s">
        <v>162</v>
      </c>
      <c r="C71" s="171" t="s">
        <v>163</v>
      </c>
      <c r="D71" s="169" t="s">
        <v>187</v>
      </c>
      <c r="E71" s="170"/>
      <c r="F71" s="169" t="s">
        <v>185</v>
      </c>
      <c r="G71" s="170"/>
      <c r="H71" s="169" t="s">
        <v>186</v>
      </c>
      <c r="I71" s="170"/>
      <c r="J71" s="169" t="s">
        <v>170</v>
      </c>
      <c r="K71" s="170"/>
      <c r="L71" s="169" t="s">
        <v>184</v>
      </c>
      <c r="M71" s="170"/>
      <c r="X71" s="85"/>
      <c r="Y71" s="85"/>
      <c r="Z71" s="85"/>
    </row>
    <row r="72" spans="1:26" ht="14.25" thickBot="1">
      <c r="B72" s="172"/>
      <c r="C72" s="172"/>
      <c r="D72" s="83" t="s">
        <v>167</v>
      </c>
      <c r="E72" s="83" t="s">
        <v>168</v>
      </c>
      <c r="F72" s="83" t="s">
        <v>167</v>
      </c>
      <c r="G72" s="83" t="s">
        <v>168</v>
      </c>
      <c r="H72" s="83" t="s">
        <v>167</v>
      </c>
      <c r="I72" s="83" t="s">
        <v>168</v>
      </c>
      <c r="J72" s="83" t="s">
        <v>167</v>
      </c>
      <c r="K72" s="83" t="s">
        <v>168</v>
      </c>
      <c r="L72" s="83" t="s">
        <v>182</v>
      </c>
      <c r="M72" s="18" t="s">
        <v>183</v>
      </c>
      <c r="X72" s="85"/>
      <c r="Y72" s="85"/>
      <c r="Z72" s="85"/>
    </row>
    <row r="73" spans="1:26" ht="14.25" thickBot="1">
      <c r="B73" s="82">
        <v>1</v>
      </c>
      <c r="C73" s="17">
        <v>2.69</v>
      </c>
      <c r="D73" s="17">
        <v>0.32</v>
      </c>
      <c r="E73" s="31">
        <f>D73/C73</f>
        <v>0.11895910780669146</v>
      </c>
      <c r="F73" s="17">
        <f>0.42-D73</f>
        <v>9.9999999999999978E-2</v>
      </c>
      <c r="G73" s="31">
        <f>F73/C73</f>
        <v>3.7174721189591073E-2</v>
      </c>
      <c r="H73" s="18">
        <v>2.2000000000000002</v>
      </c>
      <c r="I73" s="31">
        <f>H73/C73</f>
        <v>0.8178438661710038</v>
      </c>
      <c r="J73" s="18">
        <f>C73-D73-F73-H73</f>
        <v>6.999999999999984E-2</v>
      </c>
      <c r="K73" s="31">
        <f t="shared" ref="K73:K75" si="30">J73/C73</f>
        <v>2.6022304832713696E-2</v>
      </c>
      <c r="L73" s="18">
        <f>F19/F73</f>
        <v>5.5000000000000018</v>
      </c>
      <c r="M73" s="18">
        <f>C19/C73</f>
        <v>0.55018587360594795</v>
      </c>
      <c r="N73" s="43">
        <f>0.41/C73</f>
        <v>0.15241635687732341</v>
      </c>
      <c r="O73" s="43"/>
      <c r="P73" s="43"/>
      <c r="Q73" s="43"/>
      <c r="X73" s="85"/>
      <c r="Y73" s="85"/>
      <c r="Z73" s="85"/>
    </row>
    <row r="74" spans="1:26" ht="14.25" thickBot="1">
      <c r="A74" t="s">
        <v>342</v>
      </c>
      <c r="B74" s="82">
        <v>2</v>
      </c>
      <c r="C74" s="17">
        <v>3.04</v>
      </c>
      <c r="D74" s="17">
        <v>0.18</v>
      </c>
      <c r="E74" s="31">
        <f t="shared" ref="E74:E76" si="31">D74/C74</f>
        <v>5.921052631578947E-2</v>
      </c>
      <c r="F74" s="17">
        <v>0.52</v>
      </c>
      <c r="G74" s="31">
        <f t="shared" ref="G74:G76" si="32">F74/C74</f>
        <v>0.17105263157894737</v>
      </c>
      <c r="H74" s="17">
        <v>0.75</v>
      </c>
      <c r="I74" s="31">
        <f t="shared" ref="I74:I76" si="33">H74/C74</f>
        <v>0.24671052631578946</v>
      </c>
      <c r="J74" s="18">
        <f t="shared" ref="J74:J76" si="34">C74-D74-F74-H74</f>
        <v>1.5899999999999999</v>
      </c>
      <c r="K74" s="31">
        <f t="shared" si="30"/>
        <v>0.52302631578947367</v>
      </c>
      <c r="L74" s="18">
        <f>F20/F74</f>
        <v>7.5576923076923075</v>
      </c>
      <c r="M74" s="18">
        <f>C20/C74</f>
        <v>1.6348684210526314</v>
      </c>
      <c r="N74" s="43">
        <f>0.39/C74</f>
        <v>0.12828947368421054</v>
      </c>
      <c r="O74" s="43"/>
      <c r="P74" s="43"/>
      <c r="Q74" s="43"/>
      <c r="X74" s="85"/>
      <c r="Y74" s="85"/>
      <c r="Z74" s="85"/>
    </row>
    <row r="75" spans="1:26" ht="14.25" thickBot="1">
      <c r="B75" s="82">
        <v>3</v>
      </c>
      <c r="C75" s="17">
        <v>2.95</v>
      </c>
      <c r="D75" s="17">
        <v>0.32</v>
      </c>
      <c r="E75" s="31">
        <f t="shared" si="31"/>
        <v>0.10847457627118644</v>
      </c>
      <c r="F75" s="17">
        <f>0.77-D75</f>
        <v>0.45</v>
      </c>
      <c r="G75" s="31">
        <f t="shared" si="32"/>
        <v>0.15254237288135591</v>
      </c>
      <c r="H75" s="18">
        <v>2.2000000000000002</v>
      </c>
      <c r="I75" s="31">
        <f t="shared" si="33"/>
        <v>0.74576271186440679</v>
      </c>
      <c r="J75" s="18">
        <f t="shared" si="34"/>
        <v>-2.0000000000000018E-2</v>
      </c>
      <c r="K75" s="31">
        <f t="shared" si="30"/>
        <v>-6.7796610169491584E-3</v>
      </c>
      <c r="L75" s="18">
        <f>F21/F75</f>
        <v>11.266666666666667</v>
      </c>
      <c r="M75" s="18">
        <f>C21/C75</f>
        <v>2.0576271186440676</v>
      </c>
      <c r="N75" s="43">
        <f>0.48/C75</f>
        <v>0.16271186440677965</v>
      </c>
      <c r="O75" s="43"/>
      <c r="P75" s="43"/>
      <c r="Q75" s="43"/>
      <c r="X75" s="85"/>
      <c r="Y75" s="85"/>
      <c r="Z75" s="85"/>
    </row>
    <row r="76" spans="1:26" ht="14.25" thickBot="1">
      <c r="B76" s="82">
        <v>4</v>
      </c>
      <c r="C76" s="17">
        <v>2.89</v>
      </c>
      <c r="D76" s="17">
        <v>0.32</v>
      </c>
      <c r="E76" s="31">
        <f t="shared" si="31"/>
        <v>0.11072664359861592</v>
      </c>
      <c r="F76" s="17">
        <f>0.91-D76</f>
        <v>0.59000000000000008</v>
      </c>
      <c r="G76" s="31">
        <f t="shared" si="32"/>
        <v>0.20415224913494812</v>
      </c>
      <c r="H76" s="18">
        <v>2.2000000000000002</v>
      </c>
      <c r="I76" s="31">
        <f t="shared" si="33"/>
        <v>0.76124567474048443</v>
      </c>
      <c r="J76" s="18">
        <f t="shared" si="34"/>
        <v>-0.21999999999999997</v>
      </c>
      <c r="K76" s="31">
        <f>J76/C76</f>
        <v>-7.612456747404843E-2</v>
      </c>
      <c r="L76" s="18">
        <f>F22/F76</f>
        <v>10.627118644067794</v>
      </c>
      <c r="M76" s="18">
        <f>C22/C76</f>
        <v>2.5328719723183393</v>
      </c>
      <c r="N76" s="43">
        <f>0.19/C76</f>
        <v>6.5743944636678195E-2</v>
      </c>
      <c r="O76" s="43"/>
      <c r="P76" s="43"/>
      <c r="Q76" s="43"/>
    </row>
    <row r="78" spans="1:26">
      <c r="B78" s="115">
        <v>2</v>
      </c>
      <c r="C78" s="105">
        <v>1.5</v>
      </c>
      <c r="D78" s="105">
        <v>0.2</v>
      </c>
      <c r="F78">
        <v>0.36</v>
      </c>
      <c r="H78" s="93">
        <v>0.9</v>
      </c>
      <c r="J78" s="61">
        <f>C78-D78-F78-H78</f>
        <v>4.0000000000000036E-2</v>
      </c>
    </row>
    <row r="81" spans="2:17" ht="14.25" thickBot="1">
      <c r="J81" t="s">
        <v>261</v>
      </c>
      <c r="K81" t="s">
        <v>169</v>
      </c>
      <c r="L81" t="s">
        <v>46</v>
      </c>
    </row>
    <row r="82" spans="2:17" ht="14.25" thickBot="1">
      <c r="B82" s="171" t="s">
        <v>162</v>
      </c>
      <c r="C82" s="171" t="s">
        <v>163</v>
      </c>
      <c r="D82" s="169" t="s">
        <v>187</v>
      </c>
      <c r="E82" s="170"/>
      <c r="F82" s="169" t="s">
        <v>185</v>
      </c>
      <c r="G82" s="170"/>
      <c r="H82" s="169" t="s">
        <v>186</v>
      </c>
      <c r="I82" s="170"/>
      <c r="J82" s="169" t="s">
        <v>228</v>
      </c>
      <c r="K82" s="170"/>
      <c r="L82" s="169" t="s">
        <v>184</v>
      </c>
      <c r="M82" s="170"/>
      <c r="N82" s="169" t="s">
        <v>347</v>
      </c>
      <c r="O82" s="170"/>
    </row>
    <row r="83" spans="2:17" ht="14.25" thickBot="1">
      <c r="B83" s="172"/>
      <c r="C83" s="172"/>
      <c r="D83" s="83" t="s">
        <v>167</v>
      </c>
      <c r="E83" s="83" t="s">
        <v>168</v>
      </c>
      <c r="F83" s="83" t="s">
        <v>167</v>
      </c>
      <c r="G83" s="83" t="s">
        <v>168</v>
      </c>
      <c r="H83" s="83" t="s">
        <v>167</v>
      </c>
      <c r="I83" s="83" t="s">
        <v>168</v>
      </c>
      <c r="J83" s="83" t="s">
        <v>167</v>
      </c>
      <c r="K83" s="83" t="s">
        <v>168</v>
      </c>
      <c r="L83" s="83" t="s">
        <v>182</v>
      </c>
      <c r="M83" s="18" t="s">
        <v>183</v>
      </c>
      <c r="N83" s="83"/>
      <c r="O83" s="83"/>
    </row>
    <row r="84" spans="2:17" ht="14.25" thickBot="1">
      <c r="B84" s="82">
        <v>1</v>
      </c>
      <c r="C84" s="17">
        <v>1.72</v>
      </c>
      <c r="D84" s="17">
        <v>0.18</v>
      </c>
      <c r="E84" s="31">
        <f>D84/C84</f>
        <v>0.10465116279069767</v>
      </c>
      <c r="F84" s="17">
        <f>0.13</f>
        <v>0.13</v>
      </c>
      <c r="G84" s="31">
        <f>F84/C84</f>
        <v>7.5581395348837219E-2</v>
      </c>
      <c r="H84" s="18">
        <v>1</v>
      </c>
      <c r="I84" s="31">
        <f>H84/C84</f>
        <v>0.58139534883720934</v>
      </c>
      <c r="J84" s="18">
        <f>C84-D84-F84-H84-N84</f>
        <v>0.22000000000000014</v>
      </c>
      <c r="K84" s="31">
        <f t="shared" ref="K84:K86" si="35">J84/C84</f>
        <v>0.12790697674418613</v>
      </c>
      <c r="L84" s="18">
        <f>F19/F84</f>
        <v>4.2307692307692308</v>
      </c>
      <c r="M84" s="18">
        <f>C19/C84</f>
        <v>0.86046511627906974</v>
      </c>
      <c r="N84" s="17">
        <v>0.19</v>
      </c>
      <c r="O84" s="31">
        <f>N84/C84</f>
        <v>0.11046511627906977</v>
      </c>
      <c r="P84">
        <v>0.69</v>
      </c>
      <c r="Q84" s="43">
        <f>0.16/C84</f>
        <v>9.3023255813953487E-2</v>
      </c>
    </row>
    <row r="85" spans="2:17" ht="14.25" thickBot="1">
      <c r="B85" s="82">
        <v>2</v>
      </c>
      <c r="C85" s="17">
        <v>1.86</v>
      </c>
      <c r="D85" s="17">
        <v>0.18</v>
      </c>
      <c r="E85" s="31">
        <f t="shared" ref="E85:E87" si="36">D85/C85</f>
        <v>9.6774193548387094E-2</v>
      </c>
      <c r="F85" s="17">
        <v>0.22</v>
      </c>
      <c r="G85" s="31">
        <f t="shared" ref="G85:G87" si="37">F85/C85</f>
        <v>0.11827956989247311</v>
      </c>
      <c r="H85" s="18">
        <v>1</v>
      </c>
      <c r="I85" s="31">
        <f t="shared" ref="I85:I87" si="38">H85/C85</f>
        <v>0.5376344086021505</v>
      </c>
      <c r="J85" s="18">
        <f>C85-D85-F85-H85-N85</f>
        <v>0.27000000000000018</v>
      </c>
      <c r="K85" s="31">
        <f>J85/C85</f>
        <v>0.14516129032258074</v>
      </c>
      <c r="L85" s="18">
        <f>F20/F85</f>
        <v>17.863636363636363</v>
      </c>
      <c r="M85" s="18">
        <f>C20/C85</f>
        <v>2.672043010752688</v>
      </c>
      <c r="N85" s="17">
        <v>0.19</v>
      </c>
      <c r="O85" s="31">
        <f>N85/C85</f>
        <v>0.10215053763440859</v>
      </c>
      <c r="P85">
        <v>0.54</v>
      </c>
      <c r="Q85" s="43">
        <f>0.16/C85</f>
        <v>8.6021505376344079E-2</v>
      </c>
    </row>
    <row r="86" spans="2:17" ht="14.25" thickBot="1">
      <c r="B86" s="82">
        <v>3</v>
      </c>
      <c r="C86" s="17">
        <v>2.0099999999999998</v>
      </c>
      <c r="D86" s="17">
        <v>0.18</v>
      </c>
      <c r="E86" s="31">
        <f t="shared" si="36"/>
        <v>8.9552238805970158E-2</v>
      </c>
      <c r="F86" s="17">
        <f>0.35</f>
        <v>0.35</v>
      </c>
      <c r="G86" s="31">
        <f t="shared" si="37"/>
        <v>0.17412935323383086</v>
      </c>
      <c r="H86" s="18">
        <v>1</v>
      </c>
      <c r="I86" s="31">
        <f t="shared" si="38"/>
        <v>0.49751243781094534</v>
      </c>
      <c r="J86" s="18">
        <f t="shared" ref="J86:J87" si="39">C86-D86-F86-H86-N86</f>
        <v>0.28999999999999998</v>
      </c>
      <c r="K86" s="31">
        <f t="shared" si="35"/>
        <v>0.14427860696517414</v>
      </c>
      <c r="L86" s="18">
        <f>F21/F86</f>
        <v>14.485714285714288</v>
      </c>
      <c r="M86" s="18">
        <f>C21/C86</f>
        <v>3.0199004975124382</v>
      </c>
      <c r="N86" s="17">
        <v>0.19</v>
      </c>
      <c r="O86" s="31">
        <f>N86/C86</f>
        <v>9.4527363184079616E-2</v>
      </c>
      <c r="P86">
        <v>0.72</v>
      </c>
      <c r="Q86" s="43">
        <f>0.15/C86</f>
        <v>7.4626865671641798E-2</v>
      </c>
    </row>
    <row r="87" spans="2:17" ht="14.25" thickBot="1">
      <c r="B87" s="82">
        <v>4</v>
      </c>
      <c r="C87" s="17">
        <v>2.0499999999999998</v>
      </c>
      <c r="D87" s="17">
        <v>0.18</v>
      </c>
      <c r="E87" s="31">
        <f t="shared" si="36"/>
        <v>8.7804878048780496E-2</v>
      </c>
      <c r="F87" s="17">
        <f>0.37</f>
        <v>0.37</v>
      </c>
      <c r="G87" s="31">
        <f t="shared" si="37"/>
        <v>0.1804878048780488</v>
      </c>
      <c r="H87" s="18">
        <v>1</v>
      </c>
      <c r="I87" s="31">
        <f t="shared" si="38"/>
        <v>0.48780487804878053</v>
      </c>
      <c r="J87" s="18">
        <f t="shared" si="39"/>
        <v>0.31</v>
      </c>
      <c r="K87" s="31">
        <f>J87/C87</f>
        <v>0.15121951219512197</v>
      </c>
      <c r="L87" s="18">
        <f>F22/F87</f>
        <v>16.945945945945944</v>
      </c>
      <c r="M87" s="18">
        <f>C22/C87</f>
        <v>3.5707317073170737</v>
      </c>
      <c r="N87" s="17">
        <v>0.19</v>
      </c>
      <c r="O87" s="31">
        <f>N87/C87</f>
        <v>9.2682926829268306E-2</v>
      </c>
      <c r="Q87" s="43">
        <f>0.19/C87</f>
        <v>9.2682926829268306E-2</v>
      </c>
    </row>
    <row r="88" spans="2:17" ht="25.5">
      <c r="E88" s="62" t="s">
        <v>310</v>
      </c>
      <c r="F88" s="85"/>
      <c r="G88" s="62" t="s">
        <v>185</v>
      </c>
      <c r="H88" s="85"/>
      <c r="I88" s="62" t="s">
        <v>186</v>
      </c>
      <c r="J88" s="85"/>
      <c r="K88" s="62" t="s">
        <v>204</v>
      </c>
      <c r="O88" t="s">
        <v>348</v>
      </c>
    </row>
    <row r="89" spans="2:17" ht="14.25" thickBot="1">
      <c r="B89" t="s">
        <v>218</v>
      </c>
      <c r="C89" s="105">
        <v>2.4300000000000002</v>
      </c>
      <c r="D89" s="17">
        <v>0.32</v>
      </c>
      <c r="F89" s="17">
        <f>0.71-D89</f>
        <v>0.38999999999999996</v>
      </c>
      <c r="N89" s="43">
        <f>0.16/C89</f>
        <v>6.5843621399176946E-2</v>
      </c>
      <c r="O89" s="43"/>
      <c r="P89" s="43"/>
      <c r="Q89" s="43"/>
    </row>
    <row r="90" spans="2:17" ht="14.25" thickBot="1">
      <c r="C90" s="105">
        <v>2.58</v>
      </c>
      <c r="D90" s="17">
        <v>0.32</v>
      </c>
      <c r="F90" s="17">
        <f>0.72-D90</f>
        <v>0.39999999999999997</v>
      </c>
      <c r="N90" s="43">
        <f>0.16/C90</f>
        <v>6.2015503875968991E-2</v>
      </c>
      <c r="O90" s="43"/>
      <c r="P90" s="43"/>
      <c r="Q90" s="43"/>
    </row>
    <row r="91" spans="2:17" ht="14.25" thickBot="1">
      <c r="C91" s="105">
        <v>2.46</v>
      </c>
      <c r="D91" s="17">
        <v>0.32</v>
      </c>
      <c r="F91" s="17">
        <f>0.72-D91</f>
        <v>0.39999999999999997</v>
      </c>
      <c r="N91" s="43">
        <f>0.25/C91</f>
        <v>0.1016260162601626</v>
      </c>
      <c r="O91" s="43"/>
      <c r="P91" s="43"/>
      <c r="Q91" s="43"/>
    </row>
    <row r="93" spans="2:17" ht="14.25" thickBot="1">
      <c r="B93" t="s">
        <v>215</v>
      </c>
      <c r="C93" s="105">
        <v>3.26</v>
      </c>
      <c r="D93" s="17">
        <v>0.32</v>
      </c>
      <c r="F93" s="17">
        <f>0.84-D93</f>
        <v>0.52</v>
      </c>
      <c r="N93" s="43">
        <f>0.32/C93</f>
        <v>9.815950920245399E-2</v>
      </c>
      <c r="O93" s="43"/>
      <c r="P93" s="43"/>
      <c r="Q93" s="43"/>
    </row>
    <row r="94" spans="2:17" ht="14.25" thickBot="1">
      <c r="C94" s="105">
        <v>3</v>
      </c>
      <c r="D94" s="17">
        <v>0.32</v>
      </c>
      <c r="F94" s="17">
        <f>0.83-D94</f>
        <v>0.51</v>
      </c>
      <c r="N94" s="43">
        <f>0.27/C94</f>
        <v>9.0000000000000011E-2</v>
      </c>
      <c r="O94" s="43"/>
      <c r="P94" s="43"/>
      <c r="Q94" s="43"/>
    </row>
    <row r="95" spans="2:17" ht="14.25" thickBot="1">
      <c r="C95" s="105">
        <v>2.84</v>
      </c>
      <c r="D95" s="17">
        <v>0.32</v>
      </c>
      <c r="F95" s="17">
        <f>0.83-D95</f>
        <v>0.51</v>
      </c>
      <c r="N95" s="43">
        <f>0.31/C95</f>
        <v>0.1091549295774648</v>
      </c>
      <c r="O95" s="43"/>
      <c r="P95" s="43"/>
      <c r="Q95" s="43"/>
    </row>
    <row r="96" spans="2:17">
      <c r="C96" s="105">
        <v>1.76</v>
      </c>
      <c r="N96" s="43">
        <f>0.26/C96</f>
        <v>0.14772727272727273</v>
      </c>
      <c r="O96" s="43"/>
      <c r="P96" s="43"/>
      <c r="Q96" s="43"/>
    </row>
    <row r="98" spans="2:17" ht="14.25" thickBot="1">
      <c r="B98" t="s">
        <v>216</v>
      </c>
      <c r="C98" s="105">
        <v>3.05</v>
      </c>
      <c r="D98" s="17">
        <v>0.32</v>
      </c>
      <c r="F98" s="17">
        <f>1.02-D98</f>
        <v>0.7</v>
      </c>
      <c r="N98" s="43">
        <f>0.24/C98</f>
        <v>7.8688524590163941E-2</v>
      </c>
      <c r="O98" s="43"/>
      <c r="P98" s="43"/>
      <c r="Q98" s="43"/>
    </row>
    <row r="99" spans="2:17" ht="14.25" thickBot="1">
      <c r="C99" s="105">
        <v>2.82</v>
      </c>
      <c r="D99" s="17">
        <v>0.32</v>
      </c>
      <c r="F99" s="17">
        <f>0.99-D99</f>
        <v>0.66999999999999993</v>
      </c>
      <c r="N99" s="43">
        <f>0.23/C99</f>
        <v>8.1560283687943269E-2</v>
      </c>
      <c r="O99" s="43"/>
      <c r="P99" s="43"/>
      <c r="Q99" s="43"/>
    </row>
    <row r="100" spans="2:17" ht="14.25" thickBot="1">
      <c r="C100" s="105">
        <v>3.04</v>
      </c>
      <c r="D100" s="17">
        <v>0.32</v>
      </c>
      <c r="F100" s="17">
        <f>0.99-D100</f>
        <v>0.66999999999999993</v>
      </c>
      <c r="N100" s="43">
        <f>0.21/C100</f>
        <v>6.9078947368421045E-2</v>
      </c>
      <c r="O100" s="43"/>
      <c r="P100" s="43"/>
      <c r="Q100" s="43"/>
    </row>
    <row r="102" spans="2:17" ht="14.25" thickBot="1">
      <c r="B102" t="s">
        <v>217</v>
      </c>
      <c r="C102" s="105">
        <v>2.94</v>
      </c>
      <c r="D102" s="17">
        <v>0.32</v>
      </c>
      <c r="F102" s="17">
        <f>1.08-D102</f>
        <v>0.76</v>
      </c>
      <c r="N102" s="43">
        <f>0.28/C102</f>
        <v>9.5238095238095247E-2</v>
      </c>
      <c r="O102" s="43"/>
      <c r="P102" s="43"/>
      <c r="Q102" s="43"/>
    </row>
    <row r="103" spans="2:17" ht="14.25" thickBot="1">
      <c r="C103" s="105">
        <v>3.05</v>
      </c>
      <c r="D103" s="17">
        <v>0.32</v>
      </c>
      <c r="F103" s="17">
        <f>1.09-D103</f>
        <v>0.77</v>
      </c>
      <c r="N103" s="43">
        <f>0.23/C103</f>
        <v>7.5409836065573776E-2</v>
      </c>
      <c r="O103" s="43"/>
      <c r="P103" s="43"/>
      <c r="Q103" s="43"/>
    </row>
    <row r="104" spans="2:17" ht="14.25" thickBot="1">
      <c r="C104" s="105">
        <v>3.01</v>
      </c>
      <c r="D104" s="17">
        <v>0.32</v>
      </c>
      <c r="F104" s="17">
        <f>1.12-D104</f>
        <v>0.8</v>
      </c>
      <c r="N104" s="43">
        <f>0.27/C104</f>
        <v>8.9700996677740882E-2</v>
      </c>
      <c r="O104" s="43"/>
      <c r="P104" s="43"/>
      <c r="Q104" s="43"/>
    </row>
    <row r="106" spans="2:17">
      <c r="H106" t="s">
        <v>223</v>
      </c>
    </row>
    <row r="107" spans="2:17" ht="14.25" thickBot="1">
      <c r="H107" t="s">
        <v>93</v>
      </c>
      <c r="J107" t="s">
        <v>261</v>
      </c>
      <c r="K107" t="s">
        <v>169</v>
      </c>
      <c r="L107" t="s">
        <v>46</v>
      </c>
      <c r="M107" t="s">
        <v>221</v>
      </c>
      <c r="O107" t="s">
        <v>224</v>
      </c>
      <c r="P107" t="s">
        <v>261</v>
      </c>
    </row>
    <row r="108" spans="2:17" ht="14.25" thickBot="1">
      <c r="B108" s="171" t="s">
        <v>162</v>
      </c>
      <c r="C108" s="171" t="s">
        <v>163</v>
      </c>
      <c r="D108" s="169" t="s">
        <v>187</v>
      </c>
      <c r="E108" s="170"/>
      <c r="F108" s="169" t="s">
        <v>185</v>
      </c>
      <c r="G108" s="170"/>
      <c r="H108" s="169" t="s">
        <v>186</v>
      </c>
      <c r="I108" s="170"/>
      <c r="J108" s="169" t="s">
        <v>220</v>
      </c>
      <c r="K108" s="170"/>
      <c r="L108" s="169" t="s">
        <v>184</v>
      </c>
      <c r="M108" s="170"/>
      <c r="N108" s="169" t="s">
        <v>219</v>
      </c>
      <c r="O108" s="170"/>
    </row>
    <row r="109" spans="2:17" ht="14.25" thickBot="1">
      <c r="B109" s="172"/>
      <c r="C109" s="172"/>
      <c r="D109" s="83" t="s">
        <v>167</v>
      </c>
      <c r="E109" s="83" t="s">
        <v>168</v>
      </c>
      <c r="F109" s="83" t="s">
        <v>167</v>
      </c>
      <c r="G109" s="83" t="s">
        <v>168</v>
      </c>
      <c r="H109" s="83" t="s">
        <v>167</v>
      </c>
      <c r="I109" s="83" t="s">
        <v>168</v>
      </c>
      <c r="J109" s="83" t="s">
        <v>167</v>
      </c>
      <c r="K109" s="83" t="s">
        <v>168</v>
      </c>
      <c r="L109" s="83" t="s">
        <v>182</v>
      </c>
      <c r="M109" s="18" t="s">
        <v>183</v>
      </c>
      <c r="N109" s="83"/>
      <c r="O109" s="83"/>
    </row>
    <row r="110" spans="2:17" ht="14.25" thickBot="1">
      <c r="B110" s="82">
        <v>1</v>
      </c>
      <c r="C110" s="17">
        <v>1.24</v>
      </c>
      <c r="D110" s="17">
        <v>0.18</v>
      </c>
      <c r="E110" s="31">
        <f>D110/C110</f>
        <v>0.14516129032258063</v>
      </c>
      <c r="F110" s="17">
        <f>0.13</f>
        <v>0.13</v>
      </c>
      <c r="G110" s="31">
        <f>F110/C110</f>
        <v>0.10483870967741936</v>
      </c>
      <c r="H110" s="18">
        <v>0.34499999999999997</v>
      </c>
      <c r="I110" s="31">
        <f>H110/C110</f>
        <v>0.27822580645161288</v>
      </c>
      <c r="J110" s="18">
        <f>C110-D110-F110-H110-N110</f>
        <v>-2.4999999999999911E-2</v>
      </c>
      <c r="K110" s="31">
        <f t="shared" ref="K110" si="40">J110/C110</f>
        <v>-2.0161290322580575E-2</v>
      </c>
      <c r="L110" s="18">
        <f>F19/F110</f>
        <v>4.2307692307692308</v>
      </c>
      <c r="M110" s="18">
        <f>C19/C110</f>
        <v>1.1935483870967742</v>
      </c>
      <c r="N110" s="17">
        <v>0.61</v>
      </c>
      <c r="O110" s="31">
        <f>N110/C110</f>
        <v>0.49193548387096775</v>
      </c>
      <c r="P110">
        <v>0.69</v>
      </c>
      <c r="Q110" s="43">
        <f>0.06/C110</f>
        <v>4.8387096774193547E-2</v>
      </c>
    </row>
    <row r="111" spans="2:17" ht="14.25" thickBot="1">
      <c r="B111" s="82">
        <v>2</v>
      </c>
      <c r="C111" s="17">
        <v>1.28</v>
      </c>
      <c r="D111" s="17">
        <v>0.18</v>
      </c>
      <c r="E111" s="31">
        <f t="shared" ref="E111:E113" si="41">D111/C111</f>
        <v>0.140625</v>
      </c>
      <c r="F111" s="17">
        <v>0.22</v>
      </c>
      <c r="G111" s="31">
        <f t="shared" ref="G111:G113" si="42">F111/C111</f>
        <v>0.171875</v>
      </c>
      <c r="H111" s="18">
        <v>0.34499999999999997</v>
      </c>
      <c r="I111" s="31">
        <f t="shared" ref="I111:I113" si="43">H111/C111</f>
        <v>0.26953125</v>
      </c>
      <c r="J111" s="18">
        <f>C111-D111-F111-H111-N111</f>
        <v>-7.4999999999999845E-2</v>
      </c>
      <c r="K111" s="31">
        <f>-J111/C111</f>
        <v>5.8593749999999875E-2</v>
      </c>
      <c r="L111" s="18">
        <f>F20/F111</f>
        <v>17.863636363636363</v>
      </c>
      <c r="M111" s="18">
        <f>C20/C111</f>
        <v>3.8828124999999996</v>
      </c>
      <c r="N111" s="17">
        <v>0.61</v>
      </c>
      <c r="O111" s="31">
        <f>N111/C111</f>
        <v>0.4765625</v>
      </c>
      <c r="P111">
        <v>0.54</v>
      </c>
      <c r="Q111" s="43">
        <f>0.12/C111</f>
        <v>9.375E-2</v>
      </c>
    </row>
    <row r="112" spans="2:17" ht="14.25" thickBot="1">
      <c r="B112" s="82">
        <v>3</v>
      </c>
      <c r="C112" s="17">
        <v>1.31</v>
      </c>
      <c r="D112" s="17">
        <v>0.18</v>
      </c>
      <c r="E112" s="31">
        <f t="shared" si="41"/>
        <v>0.13740458015267173</v>
      </c>
      <c r="F112" s="17">
        <f>0.35</f>
        <v>0.35</v>
      </c>
      <c r="G112" s="31">
        <f t="shared" si="42"/>
        <v>0.26717557251908391</v>
      </c>
      <c r="H112" s="18">
        <v>0.34499999999999997</v>
      </c>
      <c r="I112" s="31">
        <f t="shared" si="43"/>
        <v>0.26335877862595419</v>
      </c>
      <c r="J112" s="18">
        <f t="shared" ref="J112:J113" si="44">C112-D112-F112-H112-N112</f>
        <v>-0.17499999999999982</v>
      </c>
      <c r="K112" s="31">
        <f t="shared" ref="K112" si="45">J112/C112</f>
        <v>-0.13358778625954185</v>
      </c>
      <c r="L112" s="18">
        <f>F21/F112</f>
        <v>14.485714285714288</v>
      </c>
      <c r="M112" s="18">
        <f>C21/C112</f>
        <v>4.6335877862595423</v>
      </c>
      <c r="N112" s="17">
        <v>0.61</v>
      </c>
      <c r="O112" s="31">
        <f>N112/C112</f>
        <v>0.46564885496183206</v>
      </c>
      <c r="P112">
        <v>0.72</v>
      </c>
      <c r="Q112" s="43">
        <f>0.14/C112</f>
        <v>0.1068702290076336</v>
      </c>
    </row>
    <row r="113" spans="2:27" ht="14.25" thickBot="1">
      <c r="B113" s="82">
        <v>4</v>
      </c>
      <c r="C113" s="17">
        <v>1.34</v>
      </c>
      <c r="D113" s="17">
        <v>0.18</v>
      </c>
      <c r="E113" s="31">
        <f t="shared" si="41"/>
        <v>0.13432835820895522</v>
      </c>
      <c r="F113" s="17">
        <f>0.37</f>
        <v>0.37</v>
      </c>
      <c r="G113" s="31">
        <f t="shared" si="42"/>
        <v>0.27611940298507459</v>
      </c>
      <c r="H113" s="18">
        <v>0.34499999999999997</v>
      </c>
      <c r="I113" s="31">
        <f t="shared" si="43"/>
        <v>0.25746268656716415</v>
      </c>
      <c r="J113" s="18">
        <f t="shared" si="44"/>
        <v>-0.16499999999999981</v>
      </c>
      <c r="K113" s="31">
        <f>J113/C113</f>
        <v>-0.12313432835820881</v>
      </c>
      <c r="L113" s="18">
        <f>F22/F113</f>
        <v>16.945945945945944</v>
      </c>
      <c r="M113" s="18">
        <f>C22/C113</f>
        <v>5.4626865671641793</v>
      </c>
      <c r="N113" s="17">
        <v>0.61</v>
      </c>
      <c r="O113" s="31">
        <f>N113/C113</f>
        <v>0.45522388059701491</v>
      </c>
      <c r="P113">
        <v>0.72</v>
      </c>
      <c r="Q113" s="43">
        <f>0.15/C113</f>
        <v>0.11194029850746268</v>
      </c>
    </row>
    <row r="115" spans="2:27" ht="14.25" thickBot="1">
      <c r="B115" t="s">
        <v>218</v>
      </c>
      <c r="C115" s="105">
        <v>1.53</v>
      </c>
      <c r="D115" s="17">
        <v>0.32</v>
      </c>
      <c r="F115" s="17">
        <f>0.71-D115</f>
        <v>0.38999999999999996</v>
      </c>
      <c r="N115" s="43">
        <f>0.18/C115</f>
        <v>0.11764705882352941</v>
      </c>
    </row>
    <row r="116" spans="2:27" ht="14.25" thickBot="1">
      <c r="C116" s="105">
        <v>1.49</v>
      </c>
      <c r="D116" s="17">
        <v>0.32</v>
      </c>
      <c r="F116" s="17">
        <f>0.72-D116</f>
        <v>0.39999999999999997</v>
      </c>
      <c r="N116" s="43">
        <f>0.18/C116</f>
        <v>0.12080536912751677</v>
      </c>
    </row>
    <row r="117" spans="2:27" ht="14.25" thickBot="1">
      <c r="C117" s="105">
        <v>1.49</v>
      </c>
      <c r="D117" s="17">
        <v>0.32</v>
      </c>
      <c r="F117" s="17">
        <f>0.72-D117</f>
        <v>0.39999999999999997</v>
      </c>
      <c r="N117" s="43">
        <f>0.17/C117</f>
        <v>0.11409395973154364</v>
      </c>
    </row>
    <row r="119" spans="2:27" ht="14.25" thickBot="1">
      <c r="B119" t="s">
        <v>215</v>
      </c>
      <c r="C119" s="105">
        <v>0.75</v>
      </c>
      <c r="D119" s="17">
        <v>0.08</v>
      </c>
      <c r="F119" s="17">
        <v>0.3</v>
      </c>
      <c r="H119">
        <v>0.17</v>
      </c>
      <c r="J119" s="92">
        <f>C119-D119-F119-N119</f>
        <v>0.10000000000000003</v>
      </c>
      <c r="N119">
        <v>0.27</v>
      </c>
    </row>
    <row r="120" spans="2:27" ht="14.25" thickBot="1">
      <c r="C120" s="105">
        <v>1.59</v>
      </c>
      <c r="D120" s="17">
        <v>0.32</v>
      </c>
      <c r="F120" s="17">
        <f>0.83-D120</f>
        <v>0.51</v>
      </c>
      <c r="N120" s="43">
        <f>0.19/C120</f>
        <v>0.11949685534591195</v>
      </c>
    </row>
    <row r="121" spans="2:27" ht="14.25" thickBot="1">
      <c r="C121" s="105">
        <v>1.59</v>
      </c>
      <c r="D121" s="17">
        <v>0.32</v>
      </c>
      <c r="F121" s="17">
        <f>0.83-D121</f>
        <v>0.51</v>
      </c>
      <c r="N121" s="43">
        <f>0.13/C121</f>
        <v>8.1761006289308172E-2</v>
      </c>
    </row>
    <row r="122" spans="2:27">
      <c r="C122" s="105">
        <v>1.1100000000000001</v>
      </c>
      <c r="N122" s="43">
        <f>0.06/C122</f>
        <v>5.405405405405405E-2</v>
      </c>
      <c r="X122" s="175" t="s">
        <v>427</v>
      </c>
      <c r="Y122" s="175"/>
      <c r="Z122" s="175"/>
      <c r="AA122" s="175"/>
    </row>
    <row r="125" spans="2:27">
      <c r="Y125" t="s">
        <v>395</v>
      </c>
    </row>
    <row r="130" spans="2:32">
      <c r="AC130" s="175" t="s">
        <v>426</v>
      </c>
      <c r="AD130" s="175"/>
      <c r="AE130" s="175"/>
      <c r="AF130" s="175"/>
    </row>
    <row r="132" spans="2:32">
      <c r="AE132" t="s">
        <v>395</v>
      </c>
    </row>
    <row r="140" spans="2:32" ht="14.25" thickBot="1">
      <c r="J140" t="s">
        <v>261</v>
      </c>
      <c r="K140" t="s">
        <v>169</v>
      </c>
      <c r="L140" t="s">
        <v>46</v>
      </c>
      <c r="M140" t="s">
        <v>221</v>
      </c>
      <c r="O140" t="s">
        <v>225</v>
      </c>
      <c r="P140" t="s">
        <v>262</v>
      </c>
    </row>
    <row r="141" spans="2:32" ht="14.25" thickBot="1">
      <c r="B141" s="171" t="s">
        <v>162</v>
      </c>
      <c r="C141" s="171" t="s">
        <v>163</v>
      </c>
      <c r="D141" s="169" t="s">
        <v>187</v>
      </c>
      <c r="E141" s="170"/>
      <c r="F141" s="169" t="s">
        <v>185</v>
      </c>
      <c r="G141" s="170"/>
      <c r="H141" s="169" t="s">
        <v>186</v>
      </c>
      <c r="I141" s="170"/>
      <c r="J141" s="169" t="s">
        <v>220</v>
      </c>
      <c r="K141" s="170"/>
      <c r="L141" s="169" t="s">
        <v>184</v>
      </c>
      <c r="M141" s="170"/>
      <c r="N141" s="169" t="s">
        <v>219</v>
      </c>
      <c r="O141" s="170"/>
    </row>
    <row r="142" spans="2:32" ht="14.25" thickBot="1">
      <c r="B142" s="172"/>
      <c r="C142" s="172"/>
      <c r="D142" s="83" t="s">
        <v>167</v>
      </c>
      <c r="E142" s="83" t="s">
        <v>168</v>
      </c>
      <c r="F142" s="83" t="s">
        <v>167</v>
      </c>
      <c r="G142" s="83" t="s">
        <v>168</v>
      </c>
      <c r="H142" s="83" t="s">
        <v>167</v>
      </c>
      <c r="I142" s="83" t="s">
        <v>168</v>
      </c>
      <c r="J142" s="83" t="s">
        <v>167</v>
      </c>
      <c r="K142" s="83" t="s">
        <v>168</v>
      </c>
      <c r="L142" s="83" t="s">
        <v>182</v>
      </c>
      <c r="M142" s="18" t="s">
        <v>183</v>
      </c>
      <c r="N142" s="83"/>
      <c r="O142" s="83"/>
    </row>
    <row r="143" spans="2:32" ht="14.25" thickBot="1">
      <c r="B143" s="82">
        <v>1</v>
      </c>
      <c r="C143" s="17">
        <v>0.93</v>
      </c>
      <c r="D143" s="17">
        <v>0.18</v>
      </c>
      <c r="E143" s="31">
        <f>D143/C143</f>
        <v>0.19354838709677419</v>
      </c>
      <c r="F143" s="17">
        <v>0.11</v>
      </c>
      <c r="G143" s="31">
        <f>F143/C143</f>
        <v>0.11827956989247311</v>
      </c>
      <c r="H143" s="18">
        <v>0.34499999999999997</v>
      </c>
      <c r="I143" s="31">
        <f>H143/C143</f>
        <v>0.37096774193548382</v>
      </c>
      <c r="J143" s="18">
        <f>C143-D143-F143-H143-N143</f>
        <v>-0.18499999999999994</v>
      </c>
      <c r="K143" s="31">
        <f t="shared" ref="K143" si="46">J143/C143</f>
        <v>-0.19892473118279563</v>
      </c>
      <c r="L143" s="18">
        <f>F19/F143</f>
        <v>5</v>
      </c>
      <c r="M143" s="18">
        <f>C19/C143</f>
        <v>1.5913978494623655</v>
      </c>
      <c r="N143" s="17">
        <v>0.48</v>
      </c>
      <c r="O143" s="31">
        <f>N143/C143</f>
        <v>0.5161290322580645</v>
      </c>
      <c r="P143">
        <v>0.69</v>
      </c>
      <c r="Q143" s="43">
        <f>0.07/C143</f>
        <v>7.5268817204301078E-2</v>
      </c>
    </row>
    <row r="144" spans="2:32" ht="14.25" thickBot="1">
      <c r="B144" s="82">
        <v>2</v>
      </c>
      <c r="C144" s="17">
        <v>1</v>
      </c>
      <c r="D144" s="17">
        <v>0.18</v>
      </c>
      <c r="E144" s="31">
        <f t="shared" ref="E144:E146" si="47">D144/C144</f>
        <v>0.18</v>
      </c>
      <c r="F144" s="17">
        <v>0.17</v>
      </c>
      <c r="G144" s="31">
        <f t="shared" ref="G144:G146" si="48">F144/C144</f>
        <v>0.17</v>
      </c>
      <c r="H144" s="18">
        <v>0.34499999999999997</v>
      </c>
      <c r="I144" s="31">
        <f t="shared" ref="I144:I146" si="49">H144/C144</f>
        <v>0.34499999999999997</v>
      </c>
      <c r="J144" s="18">
        <f>C144-D144-F144-H144-N144</f>
        <v>-0.17499999999999993</v>
      </c>
      <c r="K144" s="31">
        <f>-J144/C144</f>
        <v>0.17499999999999993</v>
      </c>
      <c r="L144" s="18">
        <f>F20/F144</f>
        <v>23.117647058823529</v>
      </c>
      <c r="M144" s="18">
        <f>C20/C144</f>
        <v>4.97</v>
      </c>
      <c r="N144" s="17">
        <v>0.48</v>
      </c>
      <c r="O144" s="31">
        <f>N144/C144</f>
        <v>0.48</v>
      </c>
      <c r="P144">
        <v>0.54</v>
      </c>
      <c r="Q144" s="43">
        <f>0.07/C144</f>
        <v>7.0000000000000007E-2</v>
      </c>
    </row>
    <row r="145" spans="1:17" ht="14.25" thickBot="1">
      <c r="B145" s="82">
        <v>3</v>
      </c>
      <c r="C145" s="17">
        <v>1.03</v>
      </c>
      <c r="D145" s="17">
        <v>0.18</v>
      </c>
      <c r="E145" s="31">
        <f t="shared" si="47"/>
        <v>0.17475728155339804</v>
      </c>
      <c r="F145" s="17">
        <f>0.19</f>
        <v>0.19</v>
      </c>
      <c r="G145" s="31">
        <f t="shared" si="48"/>
        <v>0.18446601941747573</v>
      </c>
      <c r="H145" s="18">
        <v>0.34499999999999997</v>
      </c>
      <c r="I145" s="31">
        <f t="shared" si="49"/>
        <v>0.33495145631067957</v>
      </c>
      <c r="J145" s="18">
        <f t="shared" ref="J145:J146" si="50">C145-D145-F145-H145-N145</f>
        <v>-0.16499999999999981</v>
      </c>
      <c r="K145" s="31">
        <f t="shared" ref="K145" si="51">J145/C145</f>
        <v>-0.16019417475728137</v>
      </c>
      <c r="L145" s="18">
        <f>F21/F145</f>
        <v>26.684210526315791</v>
      </c>
      <c r="M145" s="18">
        <f>C21/C145</f>
        <v>5.8932038834951461</v>
      </c>
      <c r="N145" s="17">
        <v>0.48</v>
      </c>
      <c r="O145" s="31">
        <f>N145/C145</f>
        <v>0.46601941747572811</v>
      </c>
      <c r="P145">
        <v>0.72</v>
      </c>
      <c r="Q145" s="43">
        <f>0.05/C145</f>
        <v>4.8543689320388349E-2</v>
      </c>
    </row>
    <row r="146" spans="1:17" ht="14.25" thickBot="1">
      <c r="B146" s="82">
        <v>4</v>
      </c>
      <c r="C146" s="17">
        <v>1.06</v>
      </c>
      <c r="D146" s="17">
        <v>0.18</v>
      </c>
      <c r="E146" s="31">
        <f t="shared" si="47"/>
        <v>0.16981132075471697</v>
      </c>
      <c r="F146" s="17">
        <f>0.23</f>
        <v>0.23</v>
      </c>
      <c r="G146" s="31">
        <f t="shared" si="48"/>
        <v>0.21698113207547171</v>
      </c>
      <c r="H146" s="18">
        <v>0.34499999999999997</v>
      </c>
      <c r="I146" s="31">
        <f t="shared" si="49"/>
        <v>0.32547169811320753</v>
      </c>
      <c r="J146" s="18">
        <f t="shared" si="50"/>
        <v>-0.17499999999999982</v>
      </c>
      <c r="K146" s="31">
        <f>J146/C146</f>
        <v>-0.16509433962264133</v>
      </c>
      <c r="L146" s="18">
        <f>F22/F146</f>
        <v>27.260869565217387</v>
      </c>
      <c r="M146" s="18">
        <f>C22/C146</f>
        <v>6.9056603773584904</v>
      </c>
      <c r="N146" s="17">
        <v>0.48</v>
      </c>
      <c r="O146" s="31">
        <f>N146/C146</f>
        <v>0.45283018867924524</v>
      </c>
      <c r="P146">
        <v>0.72</v>
      </c>
      <c r="Q146" s="43">
        <f>0.09/C146</f>
        <v>8.4905660377358486E-2</v>
      </c>
    </row>
    <row r="148" spans="1:17" ht="14.25" thickBot="1">
      <c r="A148" t="s">
        <v>263</v>
      </c>
      <c r="B148" t="s">
        <v>218</v>
      </c>
      <c r="C148" s="105">
        <v>1.99</v>
      </c>
      <c r="D148" s="17">
        <v>0.32</v>
      </c>
      <c r="F148" s="17">
        <v>0.15</v>
      </c>
      <c r="N148" s="43">
        <f>0.05/C148</f>
        <v>2.5125628140703519E-2</v>
      </c>
    </row>
    <row r="149" spans="1:17" ht="14.25" thickBot="1">
      <c r="C149" s="105">
        <v>1.92</v>
      </c>
      <c r="D149" s="17">
        <v>0.32</v>
      </c>
      <c r="F149" s="17">
        <v>0.19</v>
      </c>
      <c r="N149" s="43">
        <f>0.1/C149</f>
        <v>5.2083333333333336E-2</v>
      </c>
    </row>
    <row r="150" spans="1:17" ht="14.25" thickBot="1">
      <c r="C150" s="105">
        <v>1.94</v>
      </c>
      <c r="D150" s="17">
        <v>0.32</v>
      </c>
      <c r="F150" s="17">
        <v>0.19</v>
      </c>
      <c r="N150" s="43">
        <f>0.08/C150</f>
        <v>4.1237113402061855E-2</v>
      </c>
    </row>
    <row r="152" spans="1:17" ht="14.25" thickBot="1">
      <c r="B152" t="s">
        <v>215</v>
      </c>
      <c r="C152" s="105">
        <v>2.2400000000000002</v>
      </c>
      <c r="D152" s="17">
        <v>0.32</v>
      </c>
      <c r="F152" s="17">
        <v>0.45</v>
      </c>
      <c r="N152" s="43">
        <f>0.06/C152</f>
        <v>2.6785714285714281E-2</v>
      </c>
    </row>
    <row r="153" spans="1:17" ht="14.25" thickBot="1">
      <c r="C153" s="105">
        <v>2.14</v>
      </c>
      <c r="D153" s="17">
        <v>0.32</v>
      </c>
      <c r="F153" s="17">
        <v>0.41</v>
      </c>
      <c r="N153" s="43">
        <f>0.19/C153</f>
        <v>8.8785046728971959E-2</v>
      </c>
    </row>
    <row r="154" spans="1:17" ht="14.25" thickBot="1">
      <c r="C154" s="105">
        <v>2.14</v>
      </c>
      <c r="D154" s="17">
        <v>0.32</v>
      </c>
      <c r="F154" s="17">
        <v>0.42</v>
      </c>
      <c r="N154" s="43">
        <f>0.07/C154</f>
        <v>3.2710280373831779E-2</v>
      </c>
    </row>
    <row r="155" spans="1:17">
      <c r="C155" s="105">
        <v>0.81</v>
      </c>
      <c r="N155" s="43"/>
    </row>
    <row r="157" spans="1:17" ht="14.25" thickBot="1">
      <c r="B157" t="s">
        <v>216</v>
      </c>
      <c r="C157" s="105">
        <v>2.27</v>
      </c>
      <c r="D157" s="17">
        <v>2.36</v>
      </c>
      <c r="F157" s="17">
        <v>0.56000000000000005</v>
      </c>
      <c r="N157" s="43">
        <f>0.07/C157</f>
        <v>3.0837004405286347E-2</v>
      </c>
    </row>
    <row r="158" spans="1:17" ht="14.25" thickBot="1">
      <c r="C158" s="105">
        <v>2.2599999999999998</v>
      </c>
      <c r="D158" s="17">
        <v>0.32</v>
      </c>
      <c r="F158" s="17">
        <v>0.6</v>
      </c>
      <c r="N158" s="43">
        <f>0.19/C158</f>
        <v>8.4070796460176997E-2</v>
      </c>
    </row>
    <row r="159" spans="1:17" ht="14.25" thickBot="1">
      <c r="C159" s="105">
        <v>2.2599999999999998</v>
      </c>
      <c r="D159" s="17">
        <v>0.32</v>
      </c>
      <c r="F159" s="17">
        <v>0.55000000000000004</v>
      </c>
      <c r="N159" s="43">
        <f>0.07/C159</f>
        <v>3.0973451327433635E-2</v>
      </c>
    </row>
    <row r="161" spans="2:17" ht="14.25" thickBot="1">
      <c r="B161" t="s">
        <v>217</v>
      </c>
      <c r="C161" s="105">
        <v>2.37</v>
      </c>
      <c r="D161" s="17">
        <v>0.32</v>
      </c>
      <c r="F161" s="17">
        <v>0.67</v>
      </c>
      <c r="N161" s="43">
        <f>0.08/C161</f>
        <v>3.3755274261603373E-2</v>
      </c>
    </row>
    <row r="162" spans="2:17" ht="14.25" thickBot="1">
      <c r="C162" s="105">
        <v>2.36</v>
      </c>
      <c r="D162" s="17">
        <v>0.32</v>
      </c>
      <c r="F162" s="17">
        <v>0.66</v>
      </c>
      <c r="N162" s="43">
        <f>0.11/C162</f>
        <v>4.6610169491525424E-2</v>
      </c>
    </row>
    <row r="163" spans="2:17" ht="14.25" thickBot="1">
      <c r="C163" s="105">
        <v>2.36</v>
      </c>
      <c r="D163" s="17">
        <v>0.32</v>
      </c>
      <c r="F163" s="17">
        <v>0.68</v>
      </c>
      <c r="N163" s="43">
        <f>0.1/C163</f>
        <v>4.2372881355932208E-2</v>
      </c>
    </row>
    <row r="170" spans="2:17" ht="14.25" thickBot="1">
      <c r="J170" t="s">
        <v>261</v>
      </c>
      <c r="K170" t="s">
        <v>169</v>
      </c>
      <c r="L170" t="s">
        <v>229</v>
      </c>
      <c r="M170" t="s">
        <v>172</v>
      </c>
      <c r="O170" t="s">
        <v>225</v>
      </c>
      <c r="P170" t="s">
        <v>262</v>
      </c>
    </row>
    <row r="171" spans="2:17" ht="14.25" thickBot="1">
      <c r="B171" s="171" t="s">
        <v>162</v>
      </c>
      <c r="C171" s="171" t="s">
        <v>163</v>
      </c>
      <c r="D171" s="169" t="s">
        <v>187</v>
      </c>
      <c r="E171" s="170"/>
      <c r="F171" s="169" t="s">
        <v>185</v>
      </c>
      <c r="G171" s="170"/>
      <c r="H171" s="169" t="s">
        <v>186</v>
      </c>
      <c r="I171" s="170"/>
      <c r="J171" s="169" t="s">
        <v>228</v>
      </c>
      <c r="K171" s="170"/>
      <c r="L171" s="169" t="s">
        <v>184</v>
      </c>
      <c r="M171" s="170"/>
      <c r="N171" s="169" t="s">
        <v>231</v>
      </c>
      <c r="O171" s="170"/>
    </row>
    <row r="172" spans="2:17" ht="14.25" thickBot="1">
      <c r="B172" s="172"/>
      <c r="C172" s="172"/>
      <c r="D172" s="83" t="s">
        <v>167</v>
      </c>
      <c r="E172" s="83" t="s">
        <v>168</v>
      </c>
      <c r="F172" s="83" t="s">
        <v>167</v>
      </c>
      <c r="G172" s="83" t="s">
        <v>168</v>
      </c>
      <c r="H172" s="83" t="s">
        <v>167</v>
      </c>
      <c r="I172" s="83" t="s">
        <v>168</v>
      </c>
      <c r="J172" s="83" t="s">
        <v>167</v>
      </c>
      <c r="K172" s="83" t="s">
        <v>168</v>
      </c>
      <c r="L172" s="83" t="s">
        <v>182</v>
      </c>
      <c r="M172" s="18" t="s">
        <v>183</v>
      </c>
      <c r="N172" s="83" t="s">
        <v>167</v>
      </c>
      <c r="O172" s="83" t="s">
        <v>168</v>
      </c>
    </row>
    <row r="173" spans="2:17" ht="14.25" thickBot="1">
      <c r="B173" s="82">
        <v>1</v>
      </c>
      <c r="C173" s="17">
        <v>1.21</v>
      </c>
      <c r="D173" s="17">
        <v>0.18</v>
      </c>
      <c r="E173" s="31">
        <f>D173/C173</f>
        <v>0.1487603305785124</v>
      </c>
      <c r="F173" s="17">
        <v>0.16</v>
      </c>
      <c r="G173" s="31">
        <f>F173/C173</f>
        <v>0.13223140495867769</v>
      </c>
      <c r="H173" s="17">
        <v>0.34</v>
      </c>
      <c r="I173" s="31">
        <f>H173/C173</f>
        <v>0.28099173553719009</v>
      </c>
      <c r="J173" s="18">
        <f>C173-D173-F173-H173-N173</f>
        <v>0.27</v>
      </c>
      <c r="K173" s="31">
        <f t="shared" ref="K173" si="52">J173/C173</f>
        <v>0.22314049586776863</v>
      </c>
      <c r="L173" s="18">
        <f>F19/F173</f>
        <v>3.4375</v>
      </c>
      <c r="M173" s="18">
        <f>C19/C173</f>
        <v>1.2231404958677685</v>
      </c>
      <c r="N173" s="17">
        <v>0.26</v>
      </c>
      <c r="O173" s="31">
        <f>N173/C173</f>
        <v>0.21487603305785125</v>
      </c>
      <c r="P173">
        <v>0.69</v>
      </c>
      <c r="Q173" s="43">
        <f>0.1/C173</f>
        <v>8.2644628099173556E-2</v>
      </c>
    </row>
    <row r="174" spans="2:17" ht="14.25" thickBot="1">
      <c r="B174" s="82">
        <v>2</v>
      </c>
      <c r="C174" s="17">
        <v>1.22</v>
      </c>
      <c r="D174" s="17">
        <v>0.18</v>
      </c>
      <c r="E174" s="31">
        <f t="shared" ref="E174:E176" si="53">D174/C174</f>
        <v>0.14754098360655737</v>
      </c>
      <c r="F174" s="17">
        <v>0.17</v>
      </c>
      <c r="G174" s="31">
        <f t="shared" ref="G174:G176" si="54">F174/C174</f>
        <v>0.13934426229508198</v>
      </c>
      <c r="H174" s="17">
        <v>0.34</v>
      </c>
      <c r="I174" s="31">
        <f t="shared" ref="I174:I176" si="55">H174/C174</f>
        <v>0.27868852459016397</v>
      </c>
      <c r="J174" s="18">
        <f t="shared" ref="J174:J176" si="56">C174-D174-F174-H174-N174</f>
        <v>0.27</v>
      </c>
      <c r="K174" s="31">
        <f>J174/C174</f>
        <v>0.22131147540983609</v>
      </c>
      <c r="L174" s="18">
        <f>F20/F174</f>
        <v>23.117647058823529</v>
      </c>
      <c r="M174" s="18">
        <f>C20/C174</f>
        <v>4.0737704918032787</v>
      </c>
      <c r="N174" s="17">
        <v>0.26</v>
      </c>
      <c r="O174" s="31">
        <f>N174/C174</f>
        <v>0.21311475409836067</v>
      </c>
      <c r="P174">
        <v>0.54</v>
      </c>
      <c r="Q174" s="43">
        <f>0.08/C174</f>
        <v>6.5573770491803282E-2</v>
      </c>
    </row>
    <row r="175" spans="2:17" ht="14.25" thickBot="1">
      <c r="B175" s="82">
        <v>3</v>
      </c>
      <c r="C175" s="17">
        <v>1.27</v>
      </c>
      <c r="D175" s="17">
        <v>0.18</v>
      </c>
      <c r="E175" s="31">
        <f t="shared" si="53"/>
        <v>0.14173228346456693</v>
      </c>
      <c r="F175" s="17">
        <v>0.22</v>
      </c>
      <c r="G175" s="31">
        <f t="shared" si="54"/>
        <v>0.17322834645669291</v>
      </c>
      <c r="H175" s="17">
        <v>0.34</v>
      </c>
      <c r="I175" s="31">
        <f t="shared" si="55"/>
        <v>0.26771653543307089</v>
      </c>
      <c r="J175" s="18">
        <f t="shared" si="56"/>
        <v>0.27</v>
      </c>
      <c r="K175" s="31">
        <f t="shared" ref="K175" si="57">J175/C175</f>
        <v>0.2125984251968504</v>
      </c>
      <c r="L175" s="18">
        <f>F21/F175</f>
        <v>23.045454545454547</v>
      </c>
      <c r="M175" s="18">
        <f>C21/C175</f>
        <v>4.7795275590551185</v>
      </c>
      <c r="N175" s="17">
        <v>0.26</v>
      </c>
      <c r="O175" s="31">
        <f>N175/C175</f>
        <v>0.20472440944881889</v>
      </c>
      <c r="P175">
        <v>0.72</v>
      </c>
      <c r="Q175" s="43">
        <f>0.07/C175</f>
        <v>5.5118110236220479E-2</v>
      </c>
    </row>
    <row r="176" spans="2:17" ht="14.25" thickBot="1">
      <c r="B176" s="82">
        <v>4</v>
      </c>
      <c r="C176" s="17">
        <v>1.3</v>
      </c>
      <c r="D176" s="17">
        <v>0.18</v>
      </c>
      <c r="E176" s="31">
        <f t="shared" si="53"/>
        <v>0.13846153846153844</v>
      </c>
      <c r="F176" s="17">
        <v>0.27</v>
      </c>
      <c r="G176" s="31">
        <f t="shared" si="54"/>
        <v>0.2076923076923077</v>
      </c>
      <c r="H176" s="17">
        <v>0.34</v>
      </c>
      <c r="I176" s="31">
        <f t="shared" si="55"/>
        <v>0.26153846153846155</v>
      </c>
      <c r="J176" s="18">
        <f t="shared" si="56"/>
        <v>0.25</v>
      </c>
      <c r="K176" s="31">
        <f>J176/C176</f>
        <v>0.19230769230769229</v>
      </c>
      <c r="L176" s="18">
        <f>F22/F176</f>
        <v>23.222222222222218</v>
      </c>
      <c r="M176" s="18">
        <f>C22/C176</f>
        <v>5.6307692307692312</v>
      </c>
      <c r="N176" s="17">
        <v>0.26</v>
      </c>
      <c r="O176" s="31">
        <f>N176/C176</f>
        <v>0.2</v>
      </c>
      <c r="P176">
        <v>0.72</v>
      </c>
      <c r="Q176" s="43">
        <f>0.07/C176</f>
        <v>5.3846153846153849E-2</v>
      </c>
    </row>
    <row r="178" spans="2:26">
      <c r="B178" s="73"/>
      <c r="C178" s="105"/>
      <c r="D178" s="62"/>
      <c r="E178" s="73"/>
      <c r="F178" s="62"/>
      <c r="G178" s="73"/>
      <c r="H178" s="73"/>
      <c r="I178" s="73"/>
      <c r="J178" s="73"/>
      <c r="K178" s="73"/>
      <c r="L178" s="73"/>
      <c r="M178" s="73"/>
      <c r="N178" s="106"/>
    </row>
    <row r="179" spans="2:26">
      <c r="B179" s="73"/>
      <c r="C179" s="105"/>
      <c r="D179" s="62"/>
      <c r="E179" s="73"/>
      <c r="F179" s="62"/>
      <c r="G179" s="73"/>
      <c r="H179" s="73"/>
      <c r="I179" s="73"/>
      <c r="J179" s="73"/>
      <c r="K179" s="73"/>
      <c r="L179" s="73"/>
      <c r="M179" s="73"/>
      <c r="N179" s="106"/>
    </row>
    <row r="180" spans="2:26">
      <c r="B180" s="73">
        <v>1</v>
      </c>
      <c r="C180" s="105"/>
      <c r="D180" s="62"/>
      <c r="E180" s="73"/>
      <c r="F180" s="62">
        <v>0.73</v>
      </c>
      <c r="G180" s="73"/>
      <c r="H180" s="73"/>
      <c r="I180" s="73"/>
      <c r="J180" s="73"/>
      <c r="K180" s="73"/>
      <c r="L180" s="73"/>
      <c r="M180" s="73"/>
      <c r="N180" s="106"/>
    </row>
    <row r="181" spans="2:26">
      <c r="B181" s="73">
        <v>2</v>
      </c>
      <c r="C181" s="73"/>
      <c r="D181" s="73"/>
      <c r="E181" s="73"/>
      <c r="F181" s="62">
        <v>1.48</v>
      </c>
      <c r="G181" s="73"/>
      <c r="H181" s="73"/>
      <c r="I181" s="73"/>
      <c r="J181" s="73"/>
      <c r="K181" s="73"/>
      <c r="L181" s="73"/>
      <c r="M181" s="73"/>
      <c r="N181" s="73"/>
    </row>
    <row r="182" spans="2:26">
      <c r="B182" s="73">
        <v>3</v>
      </c>
      <c r="C182" s="105"/>
      <c r="D182" s="62"/>
      <c r="E182" s="73"/>
      <c r="F182" s="62">
        <v>2.1</v>
      </c>
      <c r="G182" s="73"/>
      <c r="H182" s="73"/>
      <c r="I182" s="73"/>
      <c r="J182" s="73"/>
      <c r="K182" s="73"/>
      <c r="L182" s="73"/>
      <c r="M182" s="73"/>
      <c r="N182" s="106"/>
    </row>
    <row r="183" spans="2:26">
      <c r="B183" s="73">
        <v>4</v>
      </c>
      <c r="C183" s="105"/>
      <c r="D183" s="62"/>
      <c r="E183" s="73"/>
      <c r="F183" s="62">
        <v>2.71</v>
      </c>
      <c r="G183" s="73"/>
      <c r="H183" s="73"/>
      <c r="I183" s="73"/>
      <c r="J183" s="73"/>
      <c r="K183" s="73"/>
      <c r="L183" s="73"/>
      <c r="M183" s="73"/>
      <c r="N183" s="106"/>
    </row>
    <row r="184" spans="2:26">
      <c r="B184" s="73"/>
      <c r="C184" s="105"/>
      <c r="D184" s="62"/>
      <c r="E184" s="73"/>
      <c r="F184" s="62"/>
      <c r="G184" s="73"/>
      <c r="H184" s="73"/>
      <c r="I184" s="73"/>
      <c r="J184" s="73"/>
      <c r="K184" s="73"/>
      <c r="L184" s="73"/>
      <c r="M184" s="73"/>
      <c r="N184" s="106"/>
    </row>
    <row r="185" spans="2:26">
      <c r="B185" s="73"/>
      <c r="C185" s="105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106"/>
    </row>
    <row r="186" spans="2:26">
      <c r="B186" s="73"/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T186" s="179" t="s">
        <v>363</v>
      </c>
      <c r="U186" s="177" t="s">
        <v>335</v>
      </c>
      <c r="V186" s="177"/>
      <c r="W186" s="177" t="s">
        <v>184</v>
      </c>
      <c r="X186" s="177"/>
      <c r="Y186" s="177" t="s">
        <v>344</v>
      </c>
      <c r="Z186" s="177"/>
    </row>
    <row r="187" spans="2:26" ht="27">
      <c r="B187" s="73"/>
      <c r="C187" s="105"/>
      <c r="D187" s="62"/>
      <c r="E187" s="73"/>
      <c r="F187" s="62"/>
      <c r="G187" s="73"/>
      <c r="H187" s="73"/>
      <c r="I187" s="73"/>
      <c r="J187" s="73"/>
      <c r="K187" s="73"/>
      <c r="L187" s="73"/>
      <c r="M187" s="73"/>
      <c r="N187" s="106"/>
      <c r="T187" s="178"/>
      <c r="U187" s="126" t="s">
        <v>336</v>
      </c>
      <c r="V187" s="126" t="s">
        <v>337</v>
      </c>
      <c r="W187" s="126" t="s">
        <v>183</v>
      </c>
      <c r="X187" s="126" t="s">
        <v>182</v>
      </c>
      <c r="Y187" s="126" t="s">
        <v>224</v>
      </c>
      <c r="Z187" s="126" t="s">
        <v>225</v>
      </c>
    </row>
    <row r="188" spans="2:26" ht="27">
      <c r="B188" s="73"/>
      <c r="C188" s="105"/>
      <c r="D188" s="62"/>
      <c r="E188" s="73"/>
      <c r="F188" s="62"/>
      <c r="G188" s="73"/>
      <c r="H188" s="73"/>
      <c r="I188" s="73"/>
      <c r="J188" s="73"/>
      <c r="K188" s="73"/>
      <c r="L188" s="73"/>
      <c r="M188" s="73"/>
      <c r="N188" s="106"/>
      <c r="T188" s="46" t="s">
        <v>341</v>
      </c>
      <c r="U188" s="57">
        <f>C20</f>
        <v>4.97</v>
      </c>
      <c r="V188" s="57">
        <f>F20</f>
        <v>3.93</v>
      </c>
      <c r="W188" s="130">
        <v>1</v>
      </c>
      <c r="X188" s="130">
        <v>1</v>
      </c>
      <c r="Y188" s="44">
        <v>14</v>
      </c>
      <c r="Z188" s="44">
        <v>12</v>
      </c>
    </row>
    <row r="189" spans="2:26" ht="27">
      <c r="B189" s="73"/>
      <c r="C189" s="105"/>
      <c r="D189" s="62"/>
      <c r="E189" s="73"/>
      <c r="F189" s="62"/>
      <c r="G189" s="73"/>
      <c r="H189" s="73"/>
      <c r="I189" s="73"/>
      <c r="J189" s="73"/>
      <c r="K189" s="73"/>
      <c r="L189" s="73"/>
      <c r="M189" s="73"/>
      <c r="N189" s="106"/>
      <c r="T189" s="38" t="s">
        <v>349</v>
      </c>
      <c r="U189" s="131">
        <v>1.28</v>
      </c>
      <c r="V189" s="71">
        <v>0.22</v>
      </c>
      <c r="W189" s="128">
        <f>U188/U189</f>
        <v>3.8828124999999996</v>
      </c>
      <c r="X189" s="129">
        <f>V188/V189</f>
        <v>17.863636363636363</v>
      </c>
      <c r="Y189" s="44">
        <v>25</v>
      </c>
      <c r="Z189" s="44">
        <v>12</v>
      </c>
    </row>
    <row r="190" spans="2:26">
      <c r="B190" s="73"/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T190" s="46" t="s">
        <v>377</v>
      </c>
      <c r="U190" s="128">
        <v>0.16</v>
      </c>
      <c r="V190" s="128">
        <v>0.02</v>
      </c>
      <c r="W190" s="130">
        <f>U188/U190</f>
        <v>31.062499999999996</v>
      </c>
      <c r="X190" s="130">
        <v>50</v>
      </c>
      <c r="Y190" s="44">
        <v>13</v>
      </c>
      <c r="Z190" s="44">
        <v>1</v>
      </c>
    </row>
    <row r="191" spans="2:26">
      <c r="B191" s="73"/>
      <c r="C191" s="105"/>
      <c r="D191" s="62"/>
      <c r="E191" s="73"/>
      <c r="F191" s="62"/>
      <c r="G191" s="73"/>
      <c r="H191" s="73"/>
      <c r="I191" s="73"/>
      <c r="J191" s="73"/>
      <c r="K191" s="73"/>
      <c r="L191" s="73"/>
      <c r="M191" s="73"/>
      <c r="N191" s="106"/>
      <c r="T191" s="46" t="s">
        <v>365</v>
      </c>
      <c r="U191" s="129">
        <v>1.1399999999999999</v>
      </c>
      <c r="V191" s="44">
        <v>0.1</v>
      </c>
      <c r="W191" s="129">
        <f>U188/U191</f>
        <v>4.359649122807018</v>
      </c>
      <c r="X191" s="130">
        <f>V188/V191</f>
        <v>39.299999999999997</v>
      </c>
      <c r="Y191" s="44">
        <v>14</v>
      </c>
      <c r="Z191" s="44">
        <v>4</v>
      </c>
    </row>
    <row r="192" spans="2:26" ht="27">
      <c r="B192" s="73"/>
      <c r="C192" s="105"/>
      <c r="D192" s="62"/>
      <c r="E192" s="73"/>
      <c r="F192" s="62"/>
      <c r="G192" s="73"/>
      <c r="H192" s="73"/>
      <c r="I192" s="73"/>
      <c r="J192" s="73"/>
      <c r="K192" s="73"/>
      <c r="L192" s="73"/>
      <c r="M192" s="73"/>
      <c r="N192" s="106"/>
      <c r="T192" s="46" t="s">
        <v>366</v>
      </c>
      <c r="U192" s="134">
        <v>0.54</v>
      </c>
      <c r="V192" s="134">
        <v>0.17</v>
      </c>
      <c r="W192" s="123">
        <f>U188/U192</f>
        <v>9.2037037037037024</v>
      </c>
      <c r="X192" s="148">
        <f>V188/V192</f>
        <v>23.117647058823529</v>
      </c>
      <c r="Y192" s="46">
        <v>2</v>
      </c>
      <c r="Z192" s="46">
        <v>2</v>
      </c>
    </row>
    <row r="193" spans="1:29" ht="27">
      <c r="B193" s="73"/>
      <c r="C193" s="105"/>
      <c r="D193" s="62"/>
      <c r="E193" s="73"/>
      <c r="F193" s="62"/>
      <c r="G193" s="73"/>
      <c r="H193" s="73"/>
      <c r="I193" s="73"/>
      <c r="J193" s="73"/>
      <c r="K193" s="73"/>
      <c r="L193" s="73"/>
      <c r="M193" s="73"/>
      <c r="N193" s="106"/>
      <c r="T193" s="46" t="s">
        <v>367</v>
      </c>
      <c r="U193" s="44">
        <v>1.22</v>
      </c>
      <c r="V193" s="44">
        <v>0.17</v>
      </c>
      <c r="W193" s="134">
        <f>U188/U193</f>
        <v>4.0737704918032787</v>
      </c>
      <c r="X193" s="148">
        <f>V188/V193</f>
        <v>23.117647058823529</v>
      </c>
      <c r="Y193" s="44">
        <v>14</v>
      </c>
      <c r="Z193" s="44">
        <v>4</v>
      </c>
    </row>
    <row r="194" spans="1:29" ht="27">
      <c r="T194" s="46" t="s">
        <v>370</v>
      </c>
      <c r="U194" s="44">
        <v>1.1499999999999999</v>
      </c>
      <c r="V194" s="44">
        <v>0.14000000000000001</v>
      </c>
      <c r="W194" s="133">
        <f>U188/U194</f>
        <v>4.321739130434783</v>
      </c>
      <c r="X194" s="134">
        <f>V188/V194</f>
        <v>28.071428571428569</v>
      </c>
      <c r="Y194" s="44">
        <v>14</v>
      </c>
      <c r="Z194" s="44">
        <v>4</v>
      </c>
    </row>
    <row r="195" spans="1:29" ht="27">
      <c r="T195" s="46" t="s">
        <v>371</v>
      </c>
      <c r="U195" s="44">
        <v>1.22</v>
      </c>
      <c r="V195" s="44">
        <v>0.16</v>
      </c>
      <c r="W195" s="133">
        <f>U188/U195</f>
        <v>4.0737704918032787</v>
      </c>
      <c r="X195" s="134">
        <f>V188/V195</f>
        <v>24.5625</v>
      </c>
      <c r="Y195" s="44">
        <v>14</v>
      </c>
      <c r="Z195" s="44">
        <v>5</v>
      </c>
      <c r="AC195" t="s">
        <v>374</v>
      </c>
    </row>
    <row r="196" spans="1:29" ht="27">
      <c r="T196" s="46" t="s">
        <v>372</v>
      </c>
      <c r="U196" s="44">
        <v>1.1499999999999999</v>
      </c>
      <c r="V196" s="44">
        <v>0.11</v>
      </c>
      <c r="W196" s="133">
        <f>U188/U196</f>
        <v>4.321739130434783</v>
      </c>
      <c r="X196" s="134">
        <f>V188/V196</f>
        <v>35.727272727272727</v>
      </c>
      <c r="Y196" s="44">
        <v>14</v>
      </c>
      <c r="Z196" s="44">
        <v>5</v>
      </c>
    </row>
    <row r="197" spans="1:29" ht="27.75" thickBot="1">
      <c r="J197" t="s">
        <v>261</v>
      </c>
      <c r="K197" t="s">
        <v>169</v>
      </c>
      <c r="L197" t="s">
        <v>229</v>
      </c>
      <c r="M197" t="s">
        <v>232</v>
      </c>
      <c r="O197" t="s">
        <v>225</v>
      </c>
      <c r="P197" t="s">
        <v>262</v>
      </c>
      <c r="T197" s="46" t="s">
        <v>373</v>
      </c>
      <c r="U197" s="128">
        <v>1.2</v>
      </c>
      <c r="V197" s="44">
        <v>0.13</v>
      </c>
      <c r="W197" s="133">
        <f>U188/U197</f>
        <v>4.1416666666666666</v>
      </c>
      <c r="X197" s="134">
        <f>V188/V197</f>
        <v>30.23076923076923</v>
      </c>
      <c r="Y197" s="44">
        <v>14</v>
      </c>
      <c r="Z197" s="44">
        <v>4</v>
      </c>
    </row>
    <row r="198" spans="1:29" ht="27.75" thickBot="1">
      <c r="B198" s="171" t="s">
        <v>162</v>
      </c>
      <c r="C198" s="171" t="s">
        <v>163</v>
      </c>
      <c r="D198" s="169" t="s">
        <v>187</v>
      </c>
      <c r="E198" s="170"/>
      <c r="F198" s="169" t="s">
        <v>185</v>
      </c>
      <c r="G198" s="170"/>
      <c r="H198" s="169" t="s">
        <v>186</v>
      </c>
      <c r="I198" s="170"/>
      <c r="J198" s="169" t="s">
        <v>228</v>
      </c>
      <c r="K198" s="170"/>
      <c r="L198" s="169" t="s">
        <v>184</v>
      </c>
      <c r="M198" s="170"/>
      <c r="N198" s="169" t="s">
        <v>231</v>
      </c>
      <c r="O198" s="170"/>
      <c r="T198" s="38" t="s">
        <v>378</v>
      </c>
      <c r="U198" s="55">
        <v>1.96</v>
      </c>
      <c r="V198" s="55">
        <v>0.02</v>
      </c>
      <c r="W198" s="133">
        <f>C20/U198</f>
        <v>2.5357142857142856</v>
      </c>
      <c r="X198">
        <v>50</v>
      </c>
    </row>
    <row r="199" spans="1:29" ht="41.25" thickBot="1">
      <c r="B199" s="172"/>
      <c r="C199" s="172"/>
      <c r="D199" s="83" t="s">
        <v>167</v>
      </c>
      <c r="E199" s="83" t="s">
        <v>168</v>
      </c>
      <c r="F199" s="83" t="s">
        <v>167</v>
      </c>
      <c r="G199" s="83" t="s">
        <v>168</v>
      </c>
      <c r="H199" s="83" t="s">
        <v>167</v>
      </c>
      <c r="I199" s="83" t="s">
        <v>168</v>
      </c>
      <c r="J199" s="83" t="s">
        <v>167</v>
      </c>
      <c r="K199" s="83" t="s">
        <v>168</v>
      </c>
      <c r="L199" s="83" t="s">
        <v>182</v>
      </c>
      <c r="M199" s="18" t="s">
        <v>183</v>
      </c>
      <c r="N199" s="83" t="s">
        <v>167</v>
      </c>
      <c r="O199" s="83" t="s">
        <v>168</v>
      </c>
      <c r="T199" s="132" t="s">
        <v>379</v>
      </c>
    </row>
    <row r="200" spans="1:29" ht="14.25" thickBot="1">
      <c r="B200" s="82">
        <v>1</v>
      </c>
      <c r="C200" s="17">
        <v>1.1299999999999999</v>
      </c>
      <c r="D200" s="17">
        <v>0.18</v>
      </c>
      <c r="E200" s="31">
        <f>D200/C200</f>
        <v>0.15929203539823009</v>
      </c>
      <c r="F200" s="17">
        <v>0.08</v>
      </c>
      <c r="G200" s="31">
        <f>F200/C200</f>
        <v>7.0796460176991163E-2</v>
      </c>
      <c r="H200" s="18">
        <v>0.34</v>
      </c>
      <c r="I200" s="31">
        <f>H200/C200</f>
        <v>0.30088495575221241</v>
      </c>
      <c r="J200" s="18">
        <f>C200-D200-F200-H200-N200</f>
        <v>0.26</v>
      </c>
      <c r="K200" s="31">
        <f t="shared" ref="K200" si="58">J200/C200</f>
        <v>0.23008849557522126</v>
      </c>
      <c r="L200" s="18">
        <f>F19/F200</f>
        <v>6.875</v>
      </c>
      <c r="M200" s="18">
        <f>C19/C200</f>
        <v>1.3097345132743363</v>
      </c>
      <c r="N200" s="17">
        <v>0.27</v>
      </c>
      <c r="O200" s="31">
        <f>N200/C200</f>
        <v>0.23893805309734517</v>
      </c>
      <c r="P200">
        <v>0.69</v>
      </c>
      <c r="Q200" s="43">
        <f>0.07/C200</f>
        <v>6.194690265486727E-2</v>
      </c>
    </row>
    <row r="201" spans="1:29" ht="14.25" thickBot="1">
      <c r="B201" s="82">
        <v>2</v>
      </c>
      <c r="C201" s="17">
        <v>1.1499999999999999</v>
      </c>
      <c r="D201" s="17">
        <v>0.18</v>
      </c>
      <c r="E201" s="31">
        <f t="shared" ref="E201:E203" si="59">D201/C201</f>
        <v>0.15652173913043479</v>
      </c>
      <c r="F201" s="17">
        <v>0.1</v>
      </c>
      <c r="G201" s="31">
        <f t="shared" ref="G201:G203" si="60">F201/C201</f>
        <v>8.6956521739130446E-2</v>
      </c>
      <c r="H201" s="18">
        <v>0.34</v>
      </c>
      <c r="I201" s="31">
        <f t="shared" ref="I201:I203" si="61">H201/C201</f>
        <v>0.29565217391304355</v>
      </c>
      <c r="J201" s="18">
        <f>C201-D201-F201-H201-N201</f>
        <v>0.26</v>
      </c>
      <c r="K201" s="31">
        <f>J201/C201</f>
        <v>0.22608695652173916</v>
      </c>
      <c r="L201" s="18">
        <f>F20/F201</f>
        <v>39.299999999999997</v>
      </c>
      <c r="M201" s="18">
        <f>C20/C201</f>
        <v>4.321739130434783</v>
      </c>
      <c r="N201" s="17">
        <v>0.27</v>
      </c>
      <c r="O201" s="31">
        <f>N201/C201</f>
        <v>0.23478260869565221</v>
      </c>
      <c r="P201">
        <v>0.54</v>
      </c>
      <c r="Q201" s="43">
        <f>0.06/C201</f>
        <v>5.2173913043478265E-2</v>
      </c>
      <c r="T201" t="s">
        <v>375</v>
      </c>
    </row>
    <row r="202" spans="1:29" ht="27.75" thickBot="1">
      <c r="B202" s="82">
        <v>3</v>
      </c>
      <c r="C202" s="17">
        <v>1.19</v>
      </c>
      <c r="D202" s="17">
        <v>0.18</v>
      </c>
      <c r="E202" s="31">
        <f t="shared" si="59"/>
        <v>0.15126050420168066</v>
      </c>
      <c r="F202" s="17">
        <v>0.14000000000000001</v>
      </c>
      <c r="G202" s="31">
        <f t="shared" si="60"/>
        <v>0.11764705882352942</v>
      </c>
      <c r="H202" s="18">
        <v>0.34</v>
      </c>
      <c r="I202" s="31">
        <f t="shared" si="61"/>
        <v>0.28571428571428575</v>
      </c>
      <c r="J202" s="18">
        <f t="shared" ref="J202:J203" si="62">C202-D202-F202-H202-N202</f>
        <v>0.26</v>
      </c>
      <c r="K202" s="31">
        <f t="shared" ref="K202" si="63">J202/C202</f>
        <v>0.21848739495798322</v>
      </c>
      <c r="L202" s="18">
        <f>F21/F202</f>
        <v>36.214285714285715</v>
      </c>
      <c r="M202" s="18">
        <f>C21/C202</f>
        <v>5.1008403361344543</v>
      </c>
      <c r="N202" s="17">
        <v>0.27</v>
      </c>
      <c r="O202" s="31">
        <f>N202/C202</f>
        <v>0.22689075630252103</v>
      </c>
      <c r="P202">
        <v>0.72</v>
      </c>
      <c r="Q202" s="43">
        <f>0.07/C202</f>
        <v>5.8823529411764712E-2</v>
      </c>
      <c r="T202" s="46" t="s">
        <v>367</v>
      </c>
      <c r="U202" s="44">
        <v>1.22</v>
      </c>
      <c r="V202" s="44">
        <v>0.17</v>
      </c>
      <c r="W202" s="133">
        <f>C20/U202</f>
        <v>4.0737704918032787</v>
      </c>
      <c r="X202" s="134">
        <f>F20/V202</f>
        <v>23.117647058823529</v>
      </c>
    </row>
    <row r="203" spans="1:29" ht="27.75" thickBot="1">
      <c r="B203" s="82">
        <v>4</v>
      </c>
      <c r="C203" s="17">
        <v>1.21</v>
      </c>
      <c r="D203" s="17">
        <v>0.18</v>
      </c>
      <c r="E203" s="31">
        <f t="shared" si="59"/>
        <v>0.1487603305785124</v>
      </c>
      <c r="F203" s="17">
        <v>0.16</v>
      </c>
      <c r="G203" s="31">
        <f t="shared" si="60"/>
        <v>0.13223140495867769</v>
      </c>
      <c r="H203" s="18">
        <v>0.34</v>
      </c>
      <c r="I203" s="31">
        <f t="shared" si="61"/>
        <v>0.28099173553719009</v>
      </c>
      <c r="J203" s="18">
        <f t="shared" si="62"/>
        <v>0.26</v>
      </c>
      <c r="K203" s="31">
        <f>J203/C203</f>
        <v>0.21487603305785125</v>
      </c>
      <c r="L203" s="18">
        <f>F22/F203</f>
        <v>39.1875</v>
      </c>
      <c r="M203" s="18">
        <f>C22/C203</f>
        <v>6.0495867768595044</v>
      </c>
      <c r="N203" s="17">
        <v>0.27</v>
      </c>
      <c r="O203" s="31">
        <f>N203/C203</f>
        <v>0.22314049586776863</v>
      </c>
      <c r="P203">
        <v>0.72</v>
      </c>
      <c r="Q203" s="43">
        <f>0.06/C203</f>
        <v>4.9586776859504134E-2</v>
      </c>
      <c r="T203" s="46" t="s">
        <v>370</v>
      </c>
      <c r="U203" s="44">
        <v>1.1499999999999999</v>
      </c>
      <c r="V203" s="44">
        <v>0.11</v>
      </c>
      <c r="W203" s="133">
        <f>C20/U203</f>
        <v>4.321739130434783</v>
      </c>
      <c r="X203" s="134">
        <f>F20/V203</f>
        <v>35.727272727272727</v>
      </c>
      <c r="AC203" t="s">
        <v>376</v>
      </c>
    </row>
    <row r="204" spans="1:29" ht="27">
      <c r="T204" s="46" t="s">
        <v>371</v>
      </c>
      <c r="U204" s="44">
        <v>1.1599999999999999</v>
      </c>
      <c r="V204" s="44">
        <v>0.12</v>
      </c>
      <c r="W204" s="133">
        <f>C20/U204</f>
        <v>4.2844827586206895</v>
      </c>
      <c r="X204" s="134">
        <f>F20/V204</f>
        <v>32.75</v>
      </c>
    </row>
    <row r="205" spans="1:29" ht="27">
      <c r="B205" s="73"/>
      <c r="C205" s="105"/>
      <c r="D205" s="62"/>
      <c r="E205" s="73"/>
      <c r="F205" s="62"/>
      <c r="G205" s="73"/>
      <c r="H205" s="73"/>
      <c r="I205" s="73"/>
      <c r="J205" s="73"/>
      <c r="K205" s="73"/>
      <c r="L205" s="73"/>
      <c r="M205" s="73"/>
      <c r="N205" s="106"/>
      <c r="O205" s="73"/>
      <c r="T205" s="46" t="s">
        <v>372</v>
      </c>
      <c r="U205" s="44">
        <v>1.1599999999999999</v>
      </c>
      <c r="V205" s="44">
        <v>0.12</v>
      </c>
      <c r="W205" s="133">
        <f>C20/U205</f>
        <v>4.2844827586206895</v>
      </c>
      <c r="X205" s="134">
        <f>F20/V205</f>
        <v>32.75</v>
      </c>
    </row>
    <row r="206" spans="1:29" ht="27">
      <c r="B206" s="73"/>
      <c r="C206" s="105"/>
      <c r="D206" s="62"/>
      <c r="E206" s="73"/>
      <c r="F206" s="62"/>
      <c r="G206" s="73"/>
      <c r="H206" s="73"/>
      <c r="I206" s="73"/>
      <c r="J206" s="73"/>
      <c r="K206" s="73"/>
      <c r="L206" s="73"/>
      <c r="M206" s="73"/>
      <c r="N206" s="106"/>
      <c r="O206" s="73"/>
      <c r="T206" s="46" t="s">
        <v>373</v>
      </c>
      <c r="U206" s="128">
        <v>1.1399999999999999</v>
      </c>
      <c r="V206" s="128">
        <v>0.1</v>
      </c>
      <c r="W206" s="133">
        <f>C20/U206</f>
        <v>4.359649122807018</v>
      </c>
      <c r="X206" s="135">
        <f>F20/V206</f>
        <v>39.299999999999997</v>
      </c>
    </row>
    <row r="207" spans="1:29">
      <c r="B207" s="73"/>
      <c r="C207" s="105"/>
      <c r="D207" s="62"/>
      <c r="E207" s="73"/>
      <c r="F207" s="62"/>
      <c r="G207" s="73"/>
      <c r="H207" s="73"/>
      <c r="I207" s="73"/>
      <c r="J207" s="73"/>
      <c r="K207" s="73"/>
      <c r="L207" s="73"/>
      <c r="M207" s="73"/>
      <c r="N207" s="106"/>
      <c r="O207" s="73"/>
    </row>
    <row r="208" spans="1:29">
      <c r="A208" t="s">
        <v>238</v>
      </c>
      <c r="B208" s="73"/>
      <c r="C208" s="73"/>
      <c r="D208" s="73"/>
      <c r="E208" s="73"/>
      <c r="F208" s="62"/>
      <c r="G208" s="73"/>
      <c r="H208" s="73"/>
      <c r="I208" s="73"/>
      <c r="J208" s="73"/>
      <c r="K208" s="73"/>
      <c r="L208" s="73"/>
      <c r="M208" s="73"/>
      <c r="N208" s="73"/>
      <c r="O208" s="73"/>
    </row>
    <row r="209" spans="1:17">
      <c r="B209" s="73" t="s">
        <v>235</v>
      </c>
      <c r="C209" s="109">
        <v>3.13</v>
      </c>
      <c r="D209" s="62"/>
      <c r="E209" s="73"/>
      <c r="F209" s="62">
        <v>0.73</v>
      </c>
      <c r="G209" s="73"/>
      <c r="H209" s="73"/>
      <c r="I209" s="73"/>
      <c r="J209" s="73"/>
      <c r="K209" s="73"/>
      <c r="L209" s="73"/>
      <c r="M209" s="73"/>
      <c r="N209" s="106"/>
      <c r="O209" s="73"/>
    </row>
    <row r="210" spans="1:17">
      <c r="A210" s="105" t="s">
        <v>236</v>
      </c>
      <c r="B210" s="73" t="s">
        <v>234</v>
      </c>
      <c r="C210" s="110">
        <v>3.36</v>
      </c>
      <c r="D210" s="62">
        <v>3.34</v>
      </c>
      <c r="E210" s="73"/>
      <c r="F210" s="62">
        <v>0.96</v>
      </c>
      <c r="G210" s="112">
        <f>F209/F210-1</f>
        <v>-0.23958333333333337</v>
      </c>
      <c r="H210" s="73"/>
      <c r="I210" s="73"/>
      <c r="J210" s="73"/>
      <c r="K210" s="73"/>
      <c r="L210" s="73"/>
      <c r="M210" s="73"/>
      <c r="N210" s="106"/>
      <c r="O210" s="73"/>
    </row>
    <row r="211" spans="1:17">
      <c r="A211" s="105" t="s">
        <v>237</v>
      </c>
      <c r="B211" s="73" t="s">
        <v>234</v>
      </c>
      <c r="C211" s="111">
        <v>3.15</v>
      </c>
      <c r="D211" s="62"/>
      <c r="E211" s="73"/>
      <c r="F211" s="62">
        <v>0.75</v>
      </c>
      <c r="G211" s="112">
        <f>F210/F211-1</f>
        <v>0.28000000000000003</v>
      </c>
      <c r="H211" s="73"/>
      <c r="I211" s="73"/>
      <c r="J211" s="73"/>
      <c r="K211" s="73"/>
      <c r="L211" s="73"/>
      <c r="M211" s="73"/>
      <c r="N211" s="106"/>
      <c r="O211" s="73"/>
    </row>
    <row r="212" spans="1:17">
      <c r="B212" s="73"/>
      <c r="C212" s="105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106"/>
      <c r="O212" s="73"/>
    </row>
    <row r="213" spans="1:17">
      <c r="B213" s="73"/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</row>
    <row r="214" spans="1:17">
      <c r="B214" s="64"/>
      <c r="C214" s="105"/>
      <c r="D214" s="62"/>
      <c r="E214" s="73"/>
      <c r="F214" s="62"/>
      <c r="G214" s="73"/>
      <c r="H214" s="73"/>
      <c r="I214" s="73"/>
      <c r="J214" s="73"/>
      <c r="K214" s="73"/>
      <c r="L214" s="73"/>
      <c r="M214" s="73"/>
      <c r="N214" s="106"/>
      <c r="O214" s="73"/>
    </row>
    <row r="215" spans="1:17">
      <c r="B215" s="73"/>
      <c r="C215" s="105"/>
      <c r="D215" s="62"/>
      <c r="E215" s="73"/>
      <c r="F215" s="62"/>
      <c r="G215" s="73"/>
      <c r="H215" s="73"/>
      <c r="I215" s="73"/>
      <c r="J215" s="73"/>
      <c r="K215" s="73"/>
      <c r="L215" s="73"/>
      <c r="M215" s="73"/>
      <c r="N215" s="106"/>
      <c r="O215" s="73"/>
    </row>
    <row r="216" spans="1:17">
      <c r="B216" s="64"/>
      <c r="C216" s="105"/>
      <c r="D216" s="62"/>
      <c r="E216" s="73"/>
      <c r="F216" s="62"/>
      <c r="G216" s="73"/>
      <c r="H216" s="73"/>
      <c r="I216" s="73"/>
      <c r="J216" s="73"/>
      <c r="K216" s="73"/>
      <c r="L216" s="73"/>
      <c r="M216" s="73"/>
      <c r="N216" s="106"/>
      <c r="O216" s="73"/>
    </row>
    <row r="217" spans="1:17">
      <c r="B217" s="73"/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</row>
    <row r="218" spans="1:17">
      <c r="B218" s="73"/>
      <c r="C218" s="105"/>
      <c r="D218" s="62"/>
      <c r="E218" s="73"/>
      <c r="F218" s="62"/>
      <c r="G218" s="73"/>
      <c r="H218" s="73"/>
      <c r="I218" s="73"/>
      <c r="J218" s="73"/>
      <c r="K218" s="73"/>
      <c r="L218" s="73"/>
      <c r="M218" s="73"/>
      <c r="N218" s="106"/>
      <c r="O218" s="73"/>
    </row>
    <row r="219" spans="1:17">
      <c r="B219" s="73"/>
      <c r="C219" s="105"/>
      <c r="D219" s="62"/>
      <c r="E219" s="73"/>
      <c r="F219" s="62"/>
      <c r="G219" s="73"/>
      <c r="H219" s="73"/>
      <c r="I219" s="73"/>
      <c r="J219" s="73"/>
      <c r="K219" s="73"/>
      <c r="L219" s="73"/>
      <c r="M219" s="73"/>
      <c r="N219" s="106"/>
      <c r="O219" s="73"/>
    </row>
    <row r="220" spans="1:17" ht="14.25" thickBot="1">
      <c r="J220" t="s">
        <v>261</v>
      </c>
      <c r="K220" t="s">
        <v>169</v>
      </c>
      <c r="L220" t="s">
        <v>229</v>
      </c>
      <c r="M220" t="s">
        <v>242</v>
      </c>
      <c r="O220" t="s">
        <v>225</v>
      </c>
      <c r="P220" t="s">
        <v>262</v>
      </c>
    </row>
    <row r="221" spans="1:17" ht="14.25" thickBot="1">
      <c r="B221" s="171" t="s">
        <v>162</v>
      </c>
      <c r="C221" s="171" t="s">
        <v>163</v>
      </c>
      <c r="D221" s="169" t="s">
        <v>187</v>
      </c>
      <c r="E221" s="170"/>
      <c r="F221" s="169" t="s">
        <v>185</v>
      </c>
      <c r="G221" s="170"/>
      <c r="H221" s="169" t="s">
        <v>186</v>
      </c>
      <c r="I221" s="170"/>
      <c r="J221" s="169" t="s">
        <v>228</v>
      </c>
      <c r="K221" s="170"/>
      <c r="L221" s="169" t="s">
        <v>184</v>
      </c>
      <c r="M221" s="170"/>
      <c r="N221" s="169" t="s">
        <v>231</v>
      </c>
      <c r="O221" s="170"/>
    </row>
    <row r="222" spans="1:17" ht="14.25" thickBot="1">
      <c r="B222" s="172"/>
      <c r="C222" s="172"/>
      <c r="D222" s="83" t="s">
        <v>167</v>
      </c>
      <c r="E222" s="83" t="s">
        <v>168</v>
      </c>
      <c r="F222" s="83" t="s">
        <v>167</v>
      </c>
      <c r="G222" s="83" t="s">
        <v>168</v>
      </c>
      <c r="H222" s="83" t="s">
        <v>167</v>
      </c>
      <c r="I222" s="83" t="s">
        <v>168</v>
      </c>
      <c r="J222" s="83" t="s">
        <v>167</v>
      </c>
      <c r="K222" s="83" t="s">
        <v>168</v>
      </c>
      <c r="L222" s="83" t="s">
        <v>182</v>
      </c>
      <c r="M222" s="18" t="s">
        <v>183</v>
      </c>
      <c r="N222" s="83" t="s">
        <v>167</v>
      </c>
      <c r="O222" s="83" t="s">
        <v>168</v>
      </c>
    </row>
    <row r="223" spans="1:17" ht="14.25" thickBot="1">
      <c r="B223" s="82">
        <v>1</v>
      </c>
      <c r="C223" s="17">
        <v>1.1499999999999999</v>
      </c>
      <c r="D223" s="17">
        <v>0.18</v>
      </c>
      <c r="E223" s="31">
        <f>D223/C223</f>
        <v>0.15652173913043479</v>
      </c>
      <c r="F223" s="17">
        <v>0.09</v>
      </c>
      <c r="G223" s="31">
        <f>F223/C223</f>
        <v>7.8260869565217397E-2</v>
      </c>
      <c r="H223" s="18">
        <v>0.34</v>
      </c>
      <c r="I223" s="31">
        <f>H223/C223</f>
        <v>0.29565217391304355</v>
      </c>
      <c r="J223" s="18">
        <f>C223-D223-F223-H223-N223</f>
        <v>0.28000000000000003</v>
      </c>
      <c r="K223" s="31">
        <f t="shared" ref="K223" si="64">J223/C223</f>
        <v>0.24347826086956526</v>
      </c>
      <c r="L223" s="18">
        <f>F19/F223</f>
        <v>6.1111111111111116</v>
      </c>
      <c r="M223" s="18">
        <f>C19/C223</f>
        <v>1.2869565217391306</v>
      </c>
      <c r="N223" s="17">
        <v>0.26</v>
      </c>
      <c r="O223" s="31">
        <f>N223/C223</f>
        <v>0.22608695652173916</v>
      </c>
      <c r="P223">
        <v>0.69</v>
      </c>
      <c r="Q223" s="43">
        <f>0.03/C223</f>
        <v>2.6086956521739132E-2</v>
      </c>
    </row>
    <row r="224" spans="1:17" ht="14.25" thickBot="1">
      <c r="B224" s="82">
        <v>2</v>
      </c>
      <c r="C224" s="17">
        <v>1.22</v>
      </c>
      <c r="D224" s="17">
        <v>0.18</v>
      </c>
      <c r="E224" s="31">
        <f t="shared" ref="E224:E226" si="65">D224/C224</f>
        <v>0.14754098360655737</v>
      </c>
      <c r="F224" s="17">
        <v>0.16</v>
      </c>
      <c r="G224" s="31">
        <f t="shared" ref="G224:G226" si="66">F224/C224</f>
        <v>0.13114754098360656</v>
      </c>
      <c r="H224" s="18">
        <v>0.34</v>
      </c>
      <c r="I224" s="31">
        <f t="shared" ref="I224:I226" si="67">H224/C224</f>
        <v>0.27868852459016397</v>
      </c>
      <c r="J224" s="18">
        <f>C224-D224-F224-H224-N224</f>
        <v>0.28000000000000003</v>
      </c>
      <c r="K224" s="31">
        <f>J224/C224</f>
        <v>0.22950819672131151</v>
      </c>
      <c r="L224" s="18">
        <f>F20/F224</f>
        <v>24.5625</v>
      </c>
      <c r="M224" s="18">
        <f>C20/C224</f>
        <v>4.0737704918032787</v>
      </c>
      <c r="N224" s="17">
        <v>0.26</v>
      </c>
      <c r="O224" s="31">
        <f>N224/C224</f>
        <v>0.21311475409836067</v>
      </c>
      <c r="P224">
        <v>0.54</v>
      </c>
      <c r="Q224" s="43">
        <f>0.09/C224</f>
        <v>7.3770491803278687E-2</v>
      </c>
    </row>
    <row r="225" spans="2:17" ht="14.25" thickBot="1">
      <c r="B225" s="82">
        <v>3</v>
      </c>
      <c r="C225" s="17">
        <v>1.24</v>
      </c>
      <c r="D225" s="17">
        <v>0.18</v>
      </c>
      <c r="E225" s="31">
        <f t="shared" si="65"/>
        <v>0.14516129032258063</v>
      </c>
      <c r="F225" s="17">
        <v>0.18</v>
      </c>
      <c r="G225" s="31">
        <f t="shared" si="66"/>
        <v>0.14516129032258063</v>
      </c>
      <c r="H225" s="18">
        <v>0.34</v>
      </c>
      <c r="I225" s="31">
        <f t="shared" si="67"/>
        <v>0.27419354838709681</v>
      </c>
      <c r="J225" s="18">
        <f t="shared" ref="J225:J226" si="68">C225-D225-F225-H225-N225</f>
        <v>0.28000000000000003</v>
      </c>
      <c r="K225" s="31">
        <f t="shared" ref="K225" si="69">J225/C225</f>
        <v>0.22580645161290325</v>
      </c>
      <c r="L225" s="18">
        <f>F21/F225</f>
        <v>28.166666666666668</v>
      </c>
      <c r="M225" s="18">
        <f>C21/C225</f>
        <v>4.895161290322581</v>
      </c>
      <c r="N225" s="17">
        <v>0.26</v>
      </c>
      <c r="O225" s="31">
        <f>N225/C225</f>
        <v>0.20967741935483872</v>
      </c>
      <c r="P225">
        <v>0.72</v>
      </c>
      <c r="Q225" s="43">
        <f>0.05/C225</f>
        <v>4.0322580645161296E-2</v>
      </c>
    </row>
    <row r="226" spans="2:17" ht="14.25" thickBot="1">
      <c r="B226" s="82">
        <v>4</v>
      </c>
      <c r="C226" s="17">
        <v>1.29</v>
      </c>
      <c r="D226" s="17">
        <v>0.18</v>
      </c>
      <c r="E226" s="31">
        <f t="shared" si="65"/>
        <v>0.13953488372093023</v>
      </c>
      <c r="F226" s="17">
        <v>0.23</v>
      </c>
      <c r="G226" s="31">
        <f t="shared" si="66"/>
        <v>0.17829457364341086</v>
      </c>
      <c r="H226" s="18">
        <v>0.34</v>
      </c>
      <c r="I226" s="31">
        <f t="shared" si="67"/>
        <v>0.26356589147286824</v>
      </c>
      <c r="J226" s="18">
        <f t="shared" si="68"/>
        <v>0.28000000000000003</v>
      </c>
      <c r="K226" s="31">
        <f>J226/C226</f>
        <v>0.2170542635658915</v>
      </c>
      <c r="L226" s="18">
        <f>F22/F226</f>
        <v>27.260869565217387</v>
      </c>
      <c r="M226" s="18">
        <f>C22/C226</f>
        <v>5.6744186046511631</v>
      </c>
      <c r="N226" s="17">
        <v>0.26</v>
      </c>
      <c r="O226" s="31">
        <f>N226/C226</f>
        <v>0.20155038759689922</v>
      </c>
      <c r="P226">
        <v>0.72</v>
      </c>
      <c r="Q226" s="43">
        <f>0.09/C226</f>
        <v>6.9767441860465115E-2</v>
      </c>
    </row>
    <row r="228" spans="2:17">
      <c r="B228" s="73"/>
      <c r="C228" s="105"/>
      <c r="D228" s="62"/>
      <c r="E228" s="73"/>
      <c r="F228" s="62"/>
      <c r="G228" s="73"/>
      <c r="H228" s="73"/>
      <c r="I228" s="73"/>
      <c r="J228" s="73"/>
      <c r="K228" s="73"/>
      <c r="L228" s="73"/>
      <c r="M228" s="73"/>
      <c r="N228" s="106"/>
      <c r="O228" s="73"/>
    </row>
    <row r="229" spans="2:17">
      <c r="B229" s="73"/>
      <c r="C229" s="105"/>
      <c r="D229" s="62"/>
      <c r="E229" s="73"/>
      <c r="F229" s="62"/>
      <c r="G229" s="73"/>
      <c r="H229" s="73"/>
      <c r="I229" s="73"/>
      <c r="J229" s="73"/>
      <c r="K229" s="73"/>
      <c r="L229" s="73"/>
      <c r="M229" s="73"/>
      <c r="N229" s="106"/>
      <c r="O229" s="73"/>
    </row>
    <row r="230" spans="2:17">
      <c r="B230" s="73"/>
      <c r="C230" s="105"/>
      <c r="D230" s="62"/>
      <c r="E230" s="73"/>
      <c r="F230" s="62"/>
      <c r="G230" s="73"/>
      <c r="H230" s="73"/>
      <c r="I230" s="73"/>
      <c r="J230" s="73"/>
      <c r="K230" s="73"/>
      <c r="L230" s="73"/>
      <c r="M230" s="73"/>
      <c r="N230" s="106"/>
      <c r="O230" s="73"/>
    </row>
    <row r="231" spans="2:17">
      <c r="B231" s="73" t="s">
        <v>245</v>
      </c>
      <c r="C231" s="73"/>
      <c r="D231" s="73"/>
      <c r="E231" s="73"/>
      <c r="F231" s="62"/>
      <c r="G231" s="73"/>
      <c r="H231" s="73"/>
      <c r="I231" s="73"/>
      <c r="J231" s="73"/>
      <c r="K231" s="73"/>
      <c r="L231" s="73"/>
      <c r="M231" s="73"/>
      <c r="N231" s="73"/>
      <c r="O231" s="73"/>
    </row>
    <row r="232" spans="2:17">
      <c r="B232" s="64" t="s">
        <v>240</v>
      </c>
      <c r="C232" s="105">
        <v>3.88</v>
      </c>
      <c r="D232" s="62"/>
      <c r="E232" s="73"/>
      <c r="F232" s="62">
        <v>1.48</v>
      </c>
      <c r="G232" s="73"/>
      <c r="H232" s="73"/>
      <c r="I232" s="73"/>
      <c r="J232" s="73"/>
      <c r="K232" s="73"/>
      <c r="L232" s="73"/>
      <c r="M232" s="73"/>
      <c r="N232" s="106"/>
      <c r="O232" s="73"/>
    </row>
    <row r="233" spans="2:17">
      <c r="B233" s="73" t="s">
        <v>239</v>
      </c>
      <c r="C233" s="105">
        <v>3.74</v>
      </c>
      <c r="D233" s="106">
        <f>C232/C233-1</f>
        <v>3.7433155080213831E-2</v>
      </c>
      <c r="E233" s="73"/>
      <c r="F233" s="62">
        <v>1.36</v>
      </c>
      <c r="G233" s="106">
        <f>F232/F233-1</f>
        <v>8.8235294117646967E-2</v>
      </c>
      <c r="H233" s="73"/>
      <c r="I233" s="73"/>
      <c r="J233" s="73"/>
      <c r="K233" s="73"/>
      <c r="L233" s="73"/>
      <c r="M233" s="73"/>
      <c r="N233" s="106"/>
      <c r="O233" s="73"/>
    </row>
    <row r="234" spans="2:17">
      <c r="B234" s="64" t="s">
        <v>241</v>
      </c>
      <c r="C234" s="105">
        <v>5.2</v>
      </c>
      <c r="D234" s="62"/>
      <c r="E234" s="73"/>
      <c r="F234" s="62"/>
      <c r="G234" s="73"/>
      <c r="H234" s="73"/>
      <c r="I234" s="73"/>
      <c r="J234" s="73"/>
      <c r="K234" s="73"/>
      <c r="L234" s="73"/>
      <c r="M234" s="73"/>
      <c r="N234" s="106"/>
      <c r="O234" s="73"/>
    </row>
    <row r="235" spans="2:17">
      <c r="B235" s="73"/>
      <c r="C235" s="105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106"/>
      <c r="O235" s="73"/>
    </row>
    <row r="236" spans="2:17">
      <c r="B236" s="73"/>
      <c r="C236" s="73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</row>
    <row r="237" spans="2:17">
      <c r="G237" s="73"/>
      <c r="H237" s="73"/>
      <c r="I237" s="73"/>
      <c r="J237" s="73"/>
      <c r="K237" s="73"/>
      <c r="L237" s="73"/>
      <c r="M237" s="73"/>
      <c r="N237" s="106"/>
      <c r="O237" s="73"/>
    </row>
    <row r="238" spans="2:17">
      <c r="G238" s="73"/>
      <c r="H238" s="73"/>
      <c r="I238" s="73"/>
      <c r="J238" s="73"/>
      <c r="K238" s="73"/>
      <c r="L238" s="73"/>
      <c r="M238" s="73"/>
      <c r="N238" s="106"/>
      <c r="O238" s="73"/>
    </row>
    <row r="239" spans="2:17">
      <c r="G239" s="73"/>
      <c r="H239" s="73"/>
      <c r="I239" s="73"/>
      <c r="J239" s="73"/>
      <c r="K239" s="73"/>
      <c r="L239" s="73"/>
      <c r="M239" s="73"/>
      <c r="N239" s="106"/>
      <c r="O239" s="73"/>
    </row>
    <row r="241" spans="2:17" ht="14.25" thickBot="1">
      <c r="J241" t="s">
        <v>261</v>
      </c>
      <c r="K241" t="s">
        <v>169</v>
      </c>
      <c r="L241" t="s">
        <v>229</v>
      </c>
      <c r="M241" t="s">
        <v>246</v>
      </c>
      <c r="O241" t="s">
        <v>225</v>
      </c>
      <c r="P241" t="s">
        <v>262</v>
      </c>
    </row>
    <row r="242" spans="2:17" ht="14.25" thickBot="1">
      <c r="B242" s="171" t="s">
        <v>162</v>
      </c>
      <c r="C242" s="171" t="s">
        <v>163</v>
      </c>
      <c r="D242" s="169" t="s">
        <v>187</v>
      </c>
      <c r="E242" s="170"/>
      <c r="F242" s="169" t="s">
        <v>185</v>
      </c>
      <c r="G242" s="170"/>
      <c r="H242" s="169" t="s">
        <v>186</v>
      </c>
      <c r="I242" s="170"/>
      <c r="J242" s="169" t="s">
        <v>228</v>
      </c>
      <c r="K242" s="170"/>
      <c r="L242" s="169" t="s">
        <v>184</v>
      </c>
      <c r="M242" s="170"/>
      <c r="N242" s="169" t="s">
        <v>231</v>
      </c>
      <c r="O242" s="170"/>
    </row>
    <row r="243" spans="2:17" ht="14.25" thickBot="1">
      <c r="B243" s="172"/>
      <c r="C243" s="172"/>
      <c r="D243" s="83" t="s">
        <v>167</v>
      </c>
      <c r="E243" s="83" t="s">
        <v>168</v>
      </c>
      <c r="F243" s="83" t="s">
        <v>167</v>
      </c>
      <c r="G243" s="83" t="s">
        <v>168</v>
      </c>
      <c r="H243" s="83" t="s">
        <v>167</v>
      </c>
      <c r="I243" s="83" t="s">
        <v>168</v>
      </c>
      <c r="J243" s="83" t="s">
        <v>167</v>
      </c>
      <c r="K243" s="83" t="s">
        <v>168</v>
      </c>
      <c r="L243" s="83" t="s">
        <v>182</v>
      </c>
      <c r="M243" s="18" t="s">
        <v>183</v>
      </c>
      <c r="N243" s="83" t="s">
        <v>167</v>
      </c>
      <c r="O243" s="83" t="s">
        <v>168</v>
      </c>
    </row>
    <row r="244" spans="2:17" ht="14.25" thickBot="1">
      <c r="B244" s="82">
        <v>1</v>
      </c>
      <c r="C244" s="17">
        <v>1.1399999999999999</v>
      </c>
      <c r="D244" s="17">
        <v>0.18</v>
      </c>
      <c r="E244" s="31">
        <f>D244/C244</f>
        <v>0.15789473684210528</v>
      </c>
      <c r="F244" s="17">
        <v>0.1</v>
      </c>
      <c r="G244" s="31">
        <f>F244/C244</f>
        <v>8.7719298245614044E-2</v>
      </c>
      <c r="H244" s="18">
        <v>0.34</v>
      </c>
      <c r="I244" s="31">
        <f>H244/C244</f>
        <v>0.29824561403508776</v>
      </c>
      <c r="J244" s="18">
        <f>C244-D244-F244-H244-N244</f>
        <v>0.26</v>
      </c>
      <c r="K244" s="31">
        <f t="shared" ref="K244" si="70">J244/C244</f>
        <v>0.22807017543859651</v>
      </c>
      <c r="L244" s="18">
        <f>F39/F244</f>
        <v>9.7999999999999989</v>
      </c>
      <c r="M244" s="18">
        <f>C19/C244</f>
        <v>1.2982456140350878</v>
      </c>
      <c r="N244" s="17">
        <v>0.26</v>
      </c>
      <c r="O244" s="31">
        <f>N244/C244</f>
        <v>0.22807017543859651</v>
      </c>
      <c r="P244">
        <v>0.69</v>
      </c>
      <c r="Q244" s="43">
        <f>0.04/C244</f>
        <v>3.5087719298245619E-2</v>
      </c>
    </row>
    <row r="245" spans="2:17" ht="14.25" thickBot="1">
      <c r="B245" s="82">
        <v>2</v>
      </c>
      <c r="C245" s="17">
        <v>1.1499999999999999</v>
      </c>
      <c r="D245" s="17">
        <v>0.18</v>
      </c>
      <c r="E245" s="31">
        <f t="shared" ref="E245:E247" si="71">D245/C245</f>
        <v>0.15652173913043479</v>
      </c>
      <c r="F245" s="17">
        <v>0.11</v>
      </c>
      <c r="G245" s="31">
        <f t="shared" ref="G245:G247" si="72">F245/C245</f>
        <v>9.5652173913043481E-2</v>
      </c>
      <c r="H245" s="18">
        <v>0.34</v>
      </c>
      <c r="I245" s="31">
        <f t="shared" ref="I245:I247" si="73">H245/C245</f>
        <v>0.29565217391304355</v>
      </c>
      <c r="J245" s="18">
        <f>C245-D245-F245-H245-N245</f>
        <v>0.26</v>
      </c>
      <c r="K245" s="31">
        <f>J245/C245</f>
        <v>0.22608695652173916</v>
      </c>
      <c r="L245" s="18">
        <f t="shared" ref="L245:L247" si="74">F40/F245</f>
        <v>16.363636363636363</v>
      </c>
      <c r="M245" s="18">
        <f>C20/C245</f>
        <v>4.321739130434783</v>
      </c>
      <c r="N245" s="17">
        <v>0.26</v>
      </c>
      <c r="O245" s="31">
        <f>N245/C245</f>
        <v>0.22608695652173916</v>
      </c>
      <c r="P245">
        <v>0.54</v>
      </c>
      <c r="Q245" s="43">
        <f>0.04/C245</f>
        <v>3.4782608695652174E-2</v>
      </c>
    </row>
    <row r="246" spans="2:17" ht="14.25" thickBot="1">
      <c r="B246" s="82">
        <v>3</v>
      </c>
      <c r="C246" s="17">
        <v>1.18</v>
      </c>
      <c r="D246" s="17">
        <v>0.18</v>
      </c>
      <c r="E246" s="31">
        <f t="shared" si="71"/>
        <v>0.15254237288135594</v>
      </c>
      <c r="F246" s="17">
        <v>0.14000000000000001</v>
      </c>
      <c r="G246" s="31">
        <f t="shared" si="72"/>
        <v>0.11864406779661019</v>
      </c>
      <c r="H246" s="18">
        <v>0.34</v>
      </c>
      <c r="I246" s="31">
        <f t="shared" si="73"/>
        <v>0.28813559322033899</v>
      </c>
      <c r="J246" s="18">
        <f t="shared" ref="J246:J247" si="75">C246-D246-F246-H246-N246</f>
        <v>0.26</v>
      </c>
      <c r="K246" s="31">
        <f t="shared" ref="K246" si="76">J246/C246</f>
        <v>0.22033898305084748</v>
      </c>
      <c r="L246" s="18">
        <f t="shared" si="74"/>
        <v>15.714285714285712</v>
      </c>
      <c r="M246" s="18">
        <f>C21/C246</f>
        <v>5.1440677966101704</v>
      </c>
      <c r="N246" s="17">
        <v>0.26</v>
      </c>
      <c r="O246" s="31">
        <f>N246/C246</f>
        <v>0.22033898305084748</v>
      </c>
      <c r="P246">
        <v>0.72</v>
      </c>
      <c r="Q246" s="43">
        <f>0.06/C246</f>
        <v>5.0847457627118647E-2</v>
      </c>
    </row>
    <row r="247" spans="2:17" ht="14.25" thickBot="1">
      <c r="B247" s="82">
        <v>4</v>
      </c>
      <c r="C247" s="17">
        <v>1.19</v>
      </c>
      <c r="D247" s="17">
        <v>0.18</v>
      </c>
      <c r="E247" s="31">
        <f t="shared" si="71"/>
        <v>0.15126050420168066</v>
      </c>
      <c r="F247" s="17">
        <v>0.15</v>
      </c>
      <c r="G247" s="31">
        <f t="shared" si="72"/>
        <v>0.12605042016806722</v>
      </c>
      <c r="H247" s="18">
        <v>0.34</v>
      </c>
      <c r="I247" s="31">
        <f t="shared" si="73"/>
        <v>0.28571428571428575</v>
      </c>
      <c r="J247" s="18">
        <f t="shared" si="75"/>
        <v>0.26</v>
      </c>
      <c r="K247" s="31">
        <f>J247/C247</f>
        <v>0.21848739495798322</v>
      </c>
      <c r="L247" s="18">
        <f t="shared" si="74"/>
        <v>9.8666666666666671</v>
      </c>
      <c r="M247" s="18">
        <f>C22/C247</f>
        <v>6.151260504201681</v>
      </c>
      <c r="N247" s="17">
        <v>0.26</v>
      </c>
      <c r="O247" s="31">
        <f>N247/C247</f>
        <v>0.21848739495798322</v>
      </c>
      <c r="P247">
        <v>0.72</v>
      </c>
      <c r="Q247" s="43">
        <f>0.08/C247</f>
        <v>6.7226890756302532E-2</v>
      </c>
    </row>
    <row r="249" spans="2:17">
      <c r="B249" s="73"/>
      <c r="C249" s="105"/>
      <c r="D249" s="62"/>
      <c r="E249" s="73"/>
      <c r="F249" s="62"/>
      <c r="G249" s="73"/>
      <c r="H249" s="73"/>
      <c r="I249" s="73"/>
      <c r="J249" s="73"/>
      <c r="K249" s="73"/>
      <c r="L249" s="73"/>
      <c r="M249" s="73"/>
      <c r="N249" s="106"/>
      <c r="O249" s="73"/>
    </row>
    <row r="250" spans="2:17">
      <c r="B250" s="73"/>
      <c r="C250" s="105"/>
      <c r="D250" s="62"/>
      <c r="E250" s="73"/>
      <c r="F250" s="62"/>
      <c r="G250" s="73"/>
      <c r="H250" s="73"/>
      <c r="I250" s="73"/>
      <c r="J250" s="73"/>
      <c r="K250" s="73"/>
      <c r="L250" s="73"/>
      <c r="M250" s="73"/>
      <c r="N250" s="106"/>
      <c r="O250" s="73"/>
    </row>
    <row r="251" spans="2:17">
      <c r="B251" s="73"/>
      <c r="C251" s="105"/>
      <c r="D251" s="62"/>
      <c r="E251" s="73"/>
      <c r="F251" s="62"/>
      <c r="G251" s="73"/>
      <c r="H251" s="73"/>
      <c r="I251" s="73"/>
      <c r="J251" s="73"/>
      <c r="K251" s="73"/>
      <c r="L251" s="73"/>
      <c r="M251" s="73"/>
      <c r="N251" s="106"/>
      <c r="O251" s="73"/>
    </row>
    <row r="252" spans="2:17">
      <c r="B252" s="73" t="s">
        <v>245</v>
      </c>
      <c r="C252" s="73"/>
      <c r="D252" s="73"/>
      <c r="E252" s="73"/>
      <c r="F252" s="62"/>
      <c r="G252" s="73"/>
      <c r="H252" s="73"/>
      <c r="I252" s="73"/>
      <c r="J252" s="73"/>
      <c r="K252" s="73"/>
      <c r="L252" s="73"/>
      <c r="M252" s="73"/>
      <c r="N252" s="73"/>
      <c r="O252" s="73"/>
    </row>
    <row r="253" spans="2:17">
      <c r="B253" s="64" t="s">
        <v>240</v>
      </c>
      <c r="C253" s="105">
        <v>3.88</v>
      </c>
      <c r="D253" s="62"/>
      <c r="E253" s="73"/>
      <c r="F253" s="62">
        <v>1.48</v>
      </c>
      <c r="G253" s="73"/>
      <c r="H253" s="73"/>
      <c r="I253" s="73"/>
      <c r="J253" s="73"/>
      <c r="K253" s="73"/>
      <c r="L253" s="73"/>
      <c r="M253" s="73"/>
      <c r="N253" s="106"/>
      <c r="O253" s="73"/>
    </row>
    <row r="254" spans="2:17">
      <c r="B254" s="73" t="s">
        <v>239</v>
      </c>
      <c r="C254" s="105">
        <v>3.74</v>
      </c>
      <c r="D254" s="106">
        <f>C253/C254-1</f>
        <v>3.7433155080213831E-2</v>
      </c>
      <c r="E254" s="73"/>
      <c r="F254" s="62">
        <v>1.36</v>
      </c>
      <c r="G254" s="106">
        <f>F253/F254-1</f>
        <v>8.8235294117646967E-2</v>
      </c>
      <c r="H254" s="73"/>
      <c r="I254" s="73"/>
      <c r="J254" s="73"/>
      <c r="K254" s="73"/>
      <c r="L254" s="73"/>
      <c r="M254" s="73"/>
      <c r="N254" s="106"/>
      <c r="O254" s="73"/>
    </row>
    <row r="255" spans="2:17">
      <c r="B255" s="64" t="s">
        <v>241</v>
      </c>
      <c r="C255" s="105">
        <v>5.2</v>
      </c>
      <c r="D255" s="62"/>
      <c r="E255" s="73"/>
      <c r="F255" s="62"/>
      <c r="G255" s="73"/>
      <c r="H255" s="73"/>
      <c r="I255" s="73"/>
      <c r="J255" s="73"/>
      <c r="K255" s="73"/>
      <c r="L255" s="73"/>
      <c r="M255" s="73"/>
      <c r="N255" s="106"/>
      <c r="O255" s="73"/>
    </row>
    <row r="256" spans="2:17">
      <c r="B256" s="73"/>
      <c r="C256" s="105"/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106"/>
      <c r="O256" s="73"/>
    </row>
    <row r="257" spans="2:17">
      <c r="B257" s="73"/>
      <c r="C257" s="73"/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</row>
    <row r="258" spans="2:17">
      <c r="G258" s="73"/>
      <c r="H258" s="73"/>
      <c r="I258" s="73"/>
      <c r="J258" s="73"/>
      <c r="K258" s="73"/>
      <c r="L258" s="73"/>
      <c r="M258" s="73"/>
      <c r="N258" s="106"/>
      <c r="O258" s="73"/>
    </row>
    <row r="259" spans="2:17">
      <c r="G259" s="73"/>
      <c r="H259" s="73"/>
      <c r="I259" s="73"/>
      <c r="J259" s="73"/>
      <c r="K259" s="73"/>
      <c r="L259" s="73"/>
      <c r="M259" s="73"/>
      <c r="N259" s="106"/>
      <c r="O259" s="73"/>
    </row>
    <row r="260" spans="2:17">
      <c r="G260" s="73"/>
      <c r="H260" s="73"/>
      <c r="I260" s="73"/>
      <c r="J260" s="73"/>
      <c r="K260" s="73"/>
      <c r="L260" s="73"/>
      <c r="M260" s="73"/>
      <c r="N260" s="106"/>
      <c r="O260" s="73"/>
    </row>
    <row r="264" spans="2:17" ht="14.25" thickBot="1">
      <c r="J264" t="s">
        <v>261</v>
      </c>
      <c r="K264" t="s">
        <v>169</v>
      </c>
      <c r="L264" t="s">
        <v>229</v>
      </c>
      <c r="M264" t="s">
        <v>247</v>
      </c>
      <c r="O264" t="s">
        <v>225</v>
      </c>
      <c r="P264" t="s">
        <v>262</v>
      </c>
    </row>
    <row r="265" spans="2:17" ht="14.25" thickBot="1">
      <c r="B265" s="171" t="s">
        <v>162</v>
      </c>
      <c r="C265" s="171" t="s">
        <v>163</v>
      </c>
      <c r="D265" s="169" t="s">
        <v>187</v>
      </c>
      <c r="E265" s="170"/>
      <c r="F265" s="169" t="s">
        <v>185</v>
      </c>
      <c r="G265" s="170"/>
      <c r="H265" s="169" t="s">
        <v>186</v>
      </c>
      <c r="I265" s="170"/>
      <c r="J265" s="169" t="s">
        <v>228</v>
      </c>
      <c r="K265" s="170"/>
      <c r="L265" s="169" t="s">
        <v>184</v>
      </c>
      <c r="M265" s="170"/>
      <c r="N265" s="169" t="s">
        <v>231</v>
      </c>
      <c r="O265" s="170"/>
    </row>
    <row r="266" spans="2:17" ht="14.25" thickBot="1">
      <c r="B266" s="172"/>
      <c r="C266" s="172"/>
      <c r="D266" s="83" t="s">
        <v>167</v>
      </c>
      <c r="E266" s="83" t="s">
        <v>168</v>
      </c>
      <c r="F266" s="83" t="s">
        <v>167</v>
      </c>
      <c r="G266" s="83" t="s">
        <v>168</v>
      </c>
      <c r="H266" s="83" t="s">
        <v>167</v>
      </c>
      <c r="I266" s="83" t="s">
        <v>168</v>
      </c>
      <c r="J266" s="83" t="s">
        <v>167</v>
      </c>
      <c r="K266" s="83" t="s">
        <v>168</v>
      </c>
      <c r="L266" s="83" t="s">
        <v>182</v>
      </c>
      <c r="M266" s="18" t="s">
        <v>183</v>
      </c>
      <c r="N266" s="83" t="s">
        <v>167</v>
      </c>
      <c r="O266" s="83" t="s">
        <v>168</v>
      </c>
    </row>
    <row r="267" spans="2:17" ht="14.25" thickBot="1">
      <c r="B267" s="82">
        <v>1</v>
      </c>
      <c r="C267" s="17">
        <v>1.18</v>
      </c>
      <c r="D267" s="17">
        <v>0.18</v>
      </c>
      <c r="E267" s="31">
        <f>D267/C267</f>
        <v>0.15254237288135594</v>
      </c>
      <c r="F267" s="17">
        <v>0.14000000000000001</v>
      </c>
      <c r="G267" s="31">
        <f>F267/C267</f>
        <v>0.11864406779661019</v>
      </c>
      <c r="H267" s="18">
        <v>0.34</v>
      </c>
      <c r="I267" s="31">
        <f>H267/C267</f>
        <v>0.28813559322033899</v>
      </c>
      <c r="J267" s="18">
        <f>C267-D267-F267-H267-N267</f>
        <v>0.26</v>
      </c>
      <c r="K267" s="31">
        <f t="shared" ref="K267" si="77">J267/C267</f>
        <v>0.22033898305084748</v>
      </c>
      <c r="L267" s="18">
        <f>F19/F267</f>
        <v>3.9285714285714284</v>
      </c>
      <c r="M267" s="18">
        <f>C19/C267</f>
        <v>1.2542372881355932</v>
      </c>
      <c r="N267" s="17">
        <v>0.26</v>
      </c>
      <c r="O267" s="31">
        <f>N267/C267</f>
        <v>0.22033898305084748</v>
      </c>
      <c r="P267">
        <v>0.69</v>
      </c>
      <c r="Q267" s="43">
        <f>0.07/C267</f>
        <v>5.9322033898305093E-2</v>
      </c>
    </row>
    <row r="268" spans="2:17" ht="14.25" thickBot="1">
      <c r="B268" s="82">
        <v>2</v>
      </c>
      <c r="C268" s="17">
        <v>1.2</v>
      </c>
      <c r="D268" s="17">
        <v>0.18</v>
      </c>
      <c r="E268" s="31">
        <f t="shared" ref="E268:E270" si="78">D268/C268</f>
        <v>0.15</v>
      </c>
      <c r="F268" s="17">
        <v>0.15</v>
      </c>
      <c r="G268" s="31">
        <f t="shared" ref="G268:G270" si="79">F268/C268</f>
        <v>0.125</v>
      </c>
      <c r="H268" s="18">
        <v>0.34</v>
      </c>
      <c r="I268" s="31">
        <f t="shared" ref="I268:I270" si="80">H268/C268</f>
        <v>0.28333333333333338</v>
      </c>
      <c r="J268" s="18">
        <f>C268-D268-F268-H268-N268</f>
        <v>0.27</v>
      </c>
      <c r="K268" s="31">
        <f>J268/C268</f>
        <v>0.22500000000000003</v>
      </c>
      <c r="L268" s="18">
        <f>F20/F268</f>
        <v>26.200000000000003</v>
      </c>
      <c r="M268" s="18">
        <f>C20/C268</f>
        <v>4.1416666666666666</v>
      </c>
      <c r="N268" s="17">
        <v>0.26</v>
      </c>
      <c r="O268" s="31">
        <f>N268/C268</f>
        <v>0.21666666666666667</v>
      </c>
      <c r="P268">
        <v>0.54</v>
      </c>
      <c r="Q268" s="43">
        <f>0.07/C268</f>
        <v>5.8333333333333341E-2</v>
      </c>
    </row>
    <row r="269" spans="2:17" ht="14.25" thickBot="1">
      <c r="B269" s="82">
        <v>3</v>
      </c>
      <c r="C269" s="17">
        <v>1.2</v>
      </c>
      <c r="D269" s="17">
        <v>0.18</v>
      </c>
      <c r="E269" s="31">
        <f t="shared" si="78"/>
        <v>0.15</v>
      </c>
      <c r="F269" s="17">
        <v>0.16</v>
      </c>
      <c r="G269" s="31">
        <f t="shared" si="79"/>
        <v>0.13333333333333333</v>
      </c>
      <c r="H269" s="18">
        <v>0.34</v>
      </c>
      <c r="I269" s="31">
        <f t="shared" si="80"/>
        <v>0.28333333333333338</v>
      </c>
      <c r="J269" s="18">
        <f t="shared" ref="J269:J270" si="81">C269-D269-F269-H269-N269</f>
        <v>0.26</v>
      </c>
      <c r="K269" s="31">
        <f t="shared" ref="K269" si="82">J269/C269</f>
        <v>0.21666666666666667</v>
      </c>
      <c r="L269" s="18">
        <f>F21/F269</f>
        <v>31.6875</v>
      </c>
      <c r="M269" s="18">
        <f>C21/C269</f>
        <v>5.0583333333333336</v>
      </c>
      <c r="N269" s="17">
        <v>0.26</v>
      </c>
      <c r="O269" s="31">
        <f>N269/C269</f>
        <v>0.21666666666666667</v>
      </c>
      <c r="P269">
        <v>0.72</v>
      </c>
      <c r="Q269" s="43">
        <f>0.04/C269</f>
        <v>3.3333333333333333E-2</v>
      </c>
    </row>
    <row r="270" spans="2:17" ht="14.25" thickBot="1">
      <c r="B270" s="82">
        <v>4</v>
      </c>
      <c r="C270" s="17">
        <v>1.23</v>
      </c>
      <c r="D270" s="17">
        <v>0.18</v>
      </c>
      <c r="E270" s="31">
        <f t="shared" si="78"/>
        <v>0.14634146341463414</v>
      </c>
      <c r="F270" s="17">
        <v>0.19</v>
      </c>
      <c r="G270" s="31">
        <f t="shared" si="79"/>
        <v>0.15447154471544716</v>
      </c>
      <c r="H270" s="18">
        <v>0.34</v>
      </c>
      <c r="I270" s="31">
        <f t="shared" si="80"/>
        <v>0.27642276422764228</v>
      </c>
      <c r="J270" s="18">
        <f t="shared" si="81"/>
        <v>0.26</v>
      </c>
      <c r="K270" s="31">
        <f>J270/C270</f>
        <v>0.21138211382113822</v>
      </c>
      <c r="L270" s="18">
        <f t="shared" ref="L270" si="83">F65/F270</f>
        <v>5.7368421052631584</v>
      </c>
      <c r="M270" s="18">
        <f>C22/C270</f>
        <v>5.9512195121951219</v>
      </c>
      <c r="N270" s="17">
        <v>0.26</v>
      </c>
      <c r="O270" s="31">
        <f>N270/C270</f>
        <v>0.21138211382113822</v>
      </c>
      <c r="P270">
        <v>0.72</v>
      </c>
      <c r="Q270" s="43">
        <f>0.05/C270</f>
        <v>4.0650406504065047E-2</v>
      </c>
    </row>
    <row r="272" spans="2:17">
      <c r="B272" s="73"/>
      <c r="C272" s="105"/>
      <c r="D272" s="62"/>
      <c r="E272" s="73"/>
      <c r="F272" s="62"/>
      <c r="G272" s="73"/>
      <c r="H272" s="73"/>
      <c r="I272" s="73"/>
      <c r="J272" s="73"/>
      <c r="K272" s="73"/>
      <c r="L272" s="73"/>
      <c r="M272" s="73"/>
      <c r="N272" s="106"/>
      <c r="O272" s="73"/>
    </row>
    <row r="273" spans="2:16">
      <c r="B273" s="73"/>
      <c r="C273" s="105"/>
      <c r="D273" s="62"/>
      <c r="E273" s="73"/>
      <c r="F273" s="62"/>
      <c r="G273" s="73"/>
      <c r="H273" s="73"/>
      <c r="I273" s="73"/>
      <c r="J273" s="73"/>
      <c r="K273" s="73"/>
      <c r="L273" s="73"/>
      <c r="M273" s="73"/>
      <c r="N273" s="106"/>
      <c r="O273" s="73"/>
    </row>
    <row r="274" spans="2:16">
      <c r="B274" s="73"/>
      <c r="C274" s="105"/>
      <c r="D274" s="62"/>
      <c r="E274" s="73"/>
      <c r="F274" s="62"/>
      <c r="G274" s="73"/>
      <c r="H274" s="73"/>
      <c r="I274" s="73"/>
      <c r="J274" s="73"/>
      <c r="K274" s="73"/>
      <c r="L274" s="73"/>
      <c r="M274" s="73"/>
      <c r="N274" s="106"/>
      <c r="O274" s="73"/>
    </row>
    <row r="275" spans="2:16">
      <c r="B275" s="73" t="s">
        <v>245</v>
      </c>
      <c r="C275" s="73"/>
      <c r="D275" s="73"/>
      <c r="E275" s="73"/>
      <c r="F275" s="62"/>
      <c r="G275" s="73"/>
      <c r="H275" s="73"/>
      <c r="I275" s="73"/>
      <c r="J275" s="73"/>
      <c r="K275" s="73"/>
      <c r="L275" s="73"/>
      <c r="M275" s="73"/>
      <c r="N275" s="73"/>
      <c r="O275" s="73"/>
    </row>
    <row r="276" spans="2:16">
      <c r="B276" s="64" t="s">
        <v>240</v>
      </c>
      <c r="C276" s="105">
        <v>3.88</v>
      </c>
      <c r="D276" s="62"/>
      <c r="E276" s="73"/>
      <c r="F276" s="62">
        <v>1.48</v>
      </c>
      <c r="G276" s="73"/>
      <c r="H276" s="73"/>
      <c r="I276" s="73"/>
      <c r="J276" s="73"/>
      <c r="K276" s="73"/>
      <c r="L276" s="73"/>
      <c r="M276" s="73"/>
      <c r="N276" s="106"/>
      <c r="O276" s="73"/>
    </row>
    <row r="277" spans="2:16">
      <c r="B277" s="73" t="s">
        <v>239</v>
      </c>
      <c r="C277" s="105">
        <v>3.74</v>
      </c>
      <c r="D277" s="106">
        <f>C276/C277-1</f>
        <v>3.7433155080213831E-2</v>
      </c>
      <c r="E277" s="73"/>
      <c r="F277" s="62">
        <v>1.36</v>
      </c>
      <c r="G277" s="106">
        <f>F276/F277-1</f>
        <v>8.8235294117646967E-2</v>
      </c>
      <c r="H277" s="73"/>
      <c r="I277" s="73"/>
      <c r="J277" s="73"/>
      <c r="K277" s="73"/>
      <c r="L277" s="73"/>
      <c r="M277" s="73"/>
      <c r="N277" s="106"/>
      <c r="O277" s="73"/>
    </row>
    <row r="278" spans="2:16">
      <c r="B278" s="64" t="s">
        <v>241</v>
      </c>
      <c r="C278" s="105">
        <v>5.2</v>
      </c>
      <c r="D278" s="62"/>
      <c r="E278" s="73"/>
      <c r="F278" s="62"/>
      <c r="G278" s="73"/>
      <c r="H278" s="73"/>
      <c r="I278" s="73"/>
      <c r="J278" s="73"/>
      <c r="K278" s="73"/>
      <c r="L278" s="73"/>
      <c r="M278" s="73"/>
      <c r="N278" s="106"/>
      <c r="O278" s="73"/>
    </row>
    <row r="279" spans="2:16">
      <c r="B279" s="73"/>
      <c r="C279" s="105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106"/>
      <c r="O279" s="73"/>
    </row>
    <row r="280" spans="2:16">
      <c r="B280" s="73"/>
      <c r="C280" s="73"/>
      <c r="D280" s="73"/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</row>
    <row r="281" spans="2:16">
      <c r="G281" s="73"/>
      <c r="H281" s="73"/>
      <c r="I281" s="73"/>
      <c r="J281" s="73"/>
      <c r="K281" s="73"/>
      <c r="L281" s="73"/>
      <c r="M281" s="73"/>
      <c r="N281" s="106"/>
      <c r="O281" s="73"/>
    </row>
    <row r="282" spans="2:16">
      <c r="G282" s="73"/>
      <c r="H282" s="73"/>
      <c r="I282" s="73"/>
      <c r="J282" s="73"/>
      <c r="K282" s="73"/>
      <c r="L282" s="73"/>
      <c r="M282" s="73"/>
      <c r="N282" s="106"/>
      <c r="O282" s="73"/>
    </row>
    <row r="287" spans="2:16" ht="14.25" thickBot="1">
      <c r="J287" t="s">
        <v>261</v>
      </c>
      <c r="K287" t="s">
        <v>169</v>
      </c>
      <c r="L287" t="s">
        <v>229</v>
      </c>
      <c r="M287" t="s">
        <v>255</v>
      </c>
      <c r="O287" t="s">
        <v>225</v>
      </c>
      <c r="P287" t="s">
        <v>262</v>
      </c>
    </row>
    <row r="288" spans="2:16" ht="14.25" thickBot="1">
      <c r="B288" s="171" t="s">
        <v>162</v>
      </c>
      <c r="C288" s="171" t="s">
        <v>163</v>
      </c>
      <c r="D288" s="169" t="s">
        <v>187</v>
      </c>
      <c r="E288" s="170"/>
      <c r="F288" s="169" t="s">
        <v>185</v>
      </c>
      <c r="G288" s="170"/>
      <c r="H288" s="169" t="s">
        <v>186</v>
      </c>
      <c r="I288" s="170"/>
      <c r="J288" s="169" t="s">
        <v>228</v>
      </c>
      <c r="K288" s="170"/>
      <c r="L288" s="169" t="s">
        <v>184</v>
      </c>
      <c r="M288" s="170"/>
      <c r="N288" s="169" t="s">
        <v>231</v>
      </c>
      <c r="O288" s="170"/>
    </row>
    <row r="289" spans="1:21" ht="14.25" thickBot="1">
      <c r="B289" s="172"/>
      <c r="C289" s="172"/>
      <c r="D289" s="83" t="s">
        <v>167</v>
      </c>
      <c r="E289" s="83" t="s">
        <v>168</v>
      </c>
      <c r="F289" s="83" t="s">
        <v>167</v>
      </c>
      <c r="G289" s="83" t="s">
        <v>168</v>
      </c>
      <c r="H289" s="83" t="s">
        <v>167</v>
      </c>
      <c r="I289" s="83" t="s">
        <v>168</v>
      </c>
      <c r="J289" s="83" t="s">
        <v>167</v>
      </c>
      <c r="K289" s="83" t="s">
        <v>168</v>
      </c>
      <c r="L289" s="83" t="s">
        <v>182</v>
      </c>
      <c r="M289" s="18" t="s">
        <v>183</v>
      </c>
      <c r="N289" s="83" t="s">
        <v>167</v>
      </c>
      <c r="O289" s="83" t="s">
        <v>168</v>
      </c>
    </row>
    <row r="290" spans="1:21" ht="14.25" thickBot="1">
      <c r="B290" s="82">
        <v>1</v>
      </c>
      <c r="C290" s="17">
        <v>1.18</v>
      </c>
      <c r="D290" s="17">
        <v>0.18</v>
      </c>
      <c r="E290" s="31">
        <f>D290/C290</f>
        <v>0.15254237288135594</v>
      </c>
      <c r="F290" s="17">
        <v>0.09</v>
      </c>
      <c r="G290" s="31">
        <f>F290/C290</f>
        <v>7.6271186440677971E-2</v>
      </c>
      <c r="H290" s="18">
        <v>0.34</v>
      </c>
      <c r="I290" s="31">
        <f>H290/C290</f>
        <v>0.28813559322033899</v>
      </c>
      <c r="J290" s="18">
        <f>C290-D290-F290-H290-N290</f>
        <v>0.30000000000000004</v>
      </c>
      <c r="K290" s="31">
        <f t="shared" ref="K290" si="84">J290/C290</f>
        <v>0.25423728813559326</v>
      </c>
      <c r="L290" s="18">
        <f>F19/F290</f>
        <v>6.1111111111111116</v>
      </c>
      <c r="M290" s="18">
        <f>C19/C290</f>
        <v>1.2542372881355932</v>
      </c>
      <c r="N290" s="17">
        <v>0.27</v>
      </c>
      <c r="O290" s="31">
        <f>N290/C290</f>
        <v>0.22881355932203393</v>
      </c>
      <c r="P290">
        <v>0.69</v>
      </c>
      <c r="Q290" s="43">
        <f>0.09/C290</f>
        <v>7.6271186440677971E-2</v>
      </c>
    </row>
    <row r="291" spans="1:21" ht="14.25" thickBot="1">
      <c r="B291" s="82">
        <v>2</v>
      </c>
      <c r="C291" s="17">
        <v>1.1399999999999999</v>
      </c>
      <c r="D291" s="17">
        <v>0.18</v>
      </c>
      <c r="E291" s="31">
        <f t="shared" ref="E291:E293" si="85">D291/C291</f>
        <v>0.15789473684210528</v>
      </c>
      <c r="F291" s="17">
        <v>0.1</v>
      </c>
      <c r="G291" s="31">
        <f t="shared" ref="G291:G293" si="86">F291/C291</f>
        <v>8.7719298245614044E-2</v>
      </c>
      <c r="H291" s="18">
        <v>0.34</v>
      </c>
      <c r="I291" s="31">
        <f t="shared" ref="I291:I293" si="87">H291/C291</f>
        <v>0.29824561403508776</v>
      </c>
      <c r="J291" s="18">
        <f>C291-D291-F291-H291-N291</f>
        <v>0.25</v>
      </c>
      <c r="K291" s="31">
        <f>J291/C291</f>
        <v>0.2192982456140351</v>
      </c>
      <c r="L291" s="18">
        <f>F20/F291</f>
        <v>39.299999999999997</v>
      </c>
      <c r="M291" s="18">
        <f>C20/C291</f>
        <v>4.359649122807018</v>
      </c>
      <c r="N291" s="17">
        <v>0.27</v>
      </c>
      <c r="O291" s="31">
        <f>N291/C291</f>
        <v>0.23684210526315794</v>
      </c>
      <c r="P291">
        <v>0.54</v>
      </c>
      <c r="Q291" s="43">
        <f>0.07/C291</f>
        <v>6.1403508771929835E-2</v>
      </c>
    </row>
    <row r="292" spans="1:21" ht="14.25" thickBot="1">
      <c r="B292" s="82">
        <v>3</v>
      </c>
      <c r="C292" s="17">
        <v>1.18</v>
      </c>
      <c r="D292" s="17">
        <v>0.18</v>
      </c>
      <c r="E292" s="31">
        <f t="shared" si="85"/>
        <v>0.15254237288135594</v>
      </c>
      <c r="F292" s="17">
        <v>0.11</v>
      </c>
      <c r="G292" s="31">
        <f t="shared" si="86"/>
        <v>9.3220338983050849E-2</v>
      </c>
      <c r="H292" s="18">
        <v>0.34</v>
      </c>
      <c r="I292" s="31">
        <f t="shared" si="87"/>
        <v>0.28813559322033899</v>
      </c>
      <c r="J292" s="18">
        <f t="shared" ref="J292:J293" si="88">C292-D292-F292-H292-N292</f>
        <v>0.28000000000000003</v>
      </c>
      <c r="K292" s="31">
        <f t="shared" ref="K292" si="89">J292/C292</f>
        <v>0.23728813559322037</v>
      </c>
      <c r="L292" s="18">
        <f>F21/F292</f>
        <v>46.090909090909093</v>
      </c>
      <c r="M292" s="18">
        <f>C21/C292</f>
        <v>5.1440677966101704</v>
      </c>
      <c r="N292" s="17">
        <v>0.27</v>
      </c>
      <c r="O292" s="31">
        <f>N292/C292</f>
        <v>0.22881355932203393</v>
      </c>
      <c r="P292">
        <v>0.72</v>
      </c>
      <c r="Q292" s="43">
        <f>0.06/C292</f>
        <v>5.0847457627118647E-2</v>
      </c>
    </row>
    <row r="293" spans="1:21" ht="14.25" thickBot="1">
      <c r="B293" s="82">
        <v>4</v>
      </c>
      <c r="C293" s="17">
        <v>1.22</v>
      </c>
      <c r="D293" s="17">
        <v>0.18</v>
      </c>
      <c r="E293" s="31">
        <f t="shared" si="85"/>
        <v>0.14754098360655737</v>
      </c>
      <c r="F293" s="17">
        <v>0.13</v>
      </c>
      <c r="G293" s="31">
        <f t="shared" si="86"/>
        <v>0.10655737704918034</v>
      </c>
      <c r="H293" s="18">
        <v>0.34</v>
      </c>
      <c r="I293" s="31">
        <f t="shared" si="87"/>
        <v>0.27868852459016397</v>
      </c>
      <c r="J293" s="18">
        <f t="shared" si="88"/>
        <v>0.30000000000000004</v>
      </c>
      <c r="K293" s="31">
        <f>J293/C293</f>
        <v>0.24590163934426235</v>
      </c>
      <c r="L293" s="18">
        <f>F22/F293</f>
        <v>48.230769230769226</v>
      </c>
      <c r="M293" s="18">
        <f>C22/C293</f>
        <v>6</v>
      </c>
      <c r="N293" s="17">
        <v>0.27</v>
      </c>
      <c r="O293" s="31">
        <f>N293/C293</f>
        <v>0.22131147540983609</v>
      </c>
      <c r="P293">
        <v>0.72</v>
      </c>
      <c r="Q293" s="43">
        <f>0.05/C293</f>
        <v>4.0983606557377053E-2</v>
      </c>
    </row>
    <row r="294" spans="1:21" ht="14.25" thickBot="1"/>
    <row r="295" spans="1:21" ht="14.25" thickBot="1">
      <c r="B295" s="73"/>
      <c r="C295" s="105"/>
      <c r="D295" s="62"/>
      <c r="E295" s="73"/>
      <c r="F295" s="62"/>
      <c r="G295" s="73"/>
      <c r="H295" s="73"/>
      <c r="I295" s="73"/>
      <c r="J295" s="73"/>
      <c r="K295" s="73"/>
      <c r="L295" s="73"/>
      <c r="M295" s="73"/>
      <c r="N295" s="106"/>
      <c r="O295" s="73"/>
      <c r="S295" t="s">
        <v>368</v>
      </c>
      <c r="T295" s="169" t="s">
        <v>369</v>
      </c>
      <c r="U295" s="170"/>
    </row>
    <row r="296" spans="1:21" ht="14.25" thickBot="1">
      <c r="B296" s="73"/>
      <c r="C296" s="105"/>
      <c r="D296" s="62"/>
      <c r="E296" s="73"/>
      <c r="F296" s="62"/>
      <c r="G296" s="73"/>
      <c r="H296" s="73"/>
      <c r="I296" s="73"/>
      <c r="J296" s="73"/>
      <c r="K296" s="73"/>
      <c r="L296" s="73"/>
      <c r="M296" s="73"/>
      <c r="N296" s="106"/>
      <c r="O296" s="73"/>
      <c r="T296" s="83" t="s">
        <v>182</v>
      </c>
      <c r="U296" s="83" t="s">
        <v>183</v>
      </c>
    </row>
    <row r="297" spans="1:21" ht="14.25" thickBot="1">
      <c r="B297" s="73"/>
      <c r="C297" s="105"/>
      <c r="D297" s="62"/>
      <c r="E297" s="73"/>
      <c r="F297" s="62"/>
      <c r="G297" s="73"/>
      <c r="H297" s="73"/>
      <c r="I297" s="73"/>
      <c r="J297" s="73"/>
      <c r="K297" s="73"/>
      <c r="L297" s="73"/>
      <c r="M297" s="73"/>
      <c r="N297" s="106"/>
      <c r="O297" s="73"/>
      <c r="S297" s="83" t="s">
        <v>172</v>
      </c>
    </row>
    <row r="298" spans="1:21" ht="14.25" thickBot="1">
      <c r="B298" s="73" t="s">
        <v>245</v>
      </c>
      <c r="C298" s="73"/>
      <c r="D298" s="73"/>
      <c r="E298" s="73"/>
      <c r="F298" s="62"/>
      <c r="G298" s="73"/>
      <c r="H298" s="73"/>
      <c r="I298" s="73"/>
      <c r="J298" s="73"/>
      <c r="K298" s="73"/>
      <c r="L298" s="73"/>
      <c r="M298" s="73"/>
      <c r="N298" s="73"/>
      <c r="O298" s="73"/>
      <c r="S298" s="83" t="s">
        <v>250</v>
      </c>
    </row>
    <row r="299" spans="1:21" ht="14.25" thickBot="1">
      <c r="A299">
        <v>1</v>
      </c>
      <c r="B299" s="64" t="s">
        <v>172</v>
      </c>
      <c r="C299" s="105">
        <f>C174</f>
        <v>1.22</v>
      </c>
      <c r="D299" s="62"/>
      <c r="E299" s="73"/>
      <c r="F299" s="62">
        <v>4.75</v>
      </c>
      <c r="G299" s="73"/>
      <c r="H299" s="73"/>
      <c r="I299" s="73"/>
      <c r="J299" s="73"/>
      <c r="K299" s="73"/>
      <c r="L299" s="73"/>
      <c r="M299" s="73"/>
      <c r="N299" s="106"/>
      <c r="O299" s="73"/>
      <c r="S299" s="83" t="s">
        <v>251</v>
      </c>
    </row>
    <row r="300" spans="1:21" ht="14.25" thickBot="1">
      <c r="A300">
        <v>2</v>
      </c>
      <c r="B300" s="73" t="s">
        <v>250</v>
      </c>
      <c r="C300" s="105">
        <f>C201</f>
        <v>1.1499999999999999</v>
      </c>
      <c r="D300" s="106"/>
      <c r="E300" s="73"/>
      <c r="F300" s="62">
        <v>1.48</v>
      </c>
      <c r="G300" s="106"/>
      <c r="H300" s="73"/>
      <c r="I300" s="73"/>
      <c r="J300" s="73"/>
      <c r="K300" s="73"/>
      <c r="L300" s="73"/>
      <c r="M300" s="73"/>
      <c r="N300" s="106"/>
      <c r="O300" s="73"/>
      <c r="S300" s="83" t="s">
        <v>252</v>
      </c>
    </row>
    <row r="301" spans="1:21" ht="14.25" thickBot="1">
      <c r="A301">
        <v>3</v>
      </c>
      <c r="B301" s="64" t="s">
        <v>251</v>
      </c>
      <c r="C301" s="105">
        <f>C224</f>
        <v>1.22</v>
      </c>
      <c r="D301" s="62">
        <v>1.19</v>
      </c>
      <c r="E301" s="73"/>
      <c r="F301" s="62">
        <v>1.37</v>
      </c>
      <c r="G301" s="73"/>
      <c r="H301" s="73"/>
      <c r="I301" s="73"/>
      <c r="J301" s="73"/>
      <c r="K301" s="73"/>
      <c r="L301" s="73"/>
      <c r="M301" s="73"/>
      <c r="N301" s="106"/>
      <c r="O301" s="73"/>
      <c r="S301" s="83" t="s">
        <v>253</v>
      </c>
    </row>
    <row r="302" spans="1:21" ht="14.25" thickBot="1">
      <c r="A302">
        <v>4</v>
      </c>
      <c r="B302" s="64" t="s">
        <v>252</v>
      </c>
      <c r="C302" s="105">
        <f>C245</f>
        <v>1.1499999999999999</v>
      </c>
      <c r="D302" s="62">
        <v>1.18</v>
      </c>
      <c r="E302" s="73"/>
      <c r="F302" s="113">
        <v>0.31</v>
      </c>
      <c r="G302" s="73"/>
      <c r="H302" s="73"/>
      <c r="I302" s="73"/>
      <c r="J302" s="73"/>
      <c r="K302" s="73"/>
      <c r="L302" s="73"/>
      <c r="M302" s="73"/>
      <c r="N302" s="106"/>
      <c r="O302" s="73"/>
      <c r="S302" s="83" t="s">
        <v>285</v>
      </c>
    </row>
    <row r="303" spans="1:21">
      <c r="A303">
        <v>5</v>
      </c>
      <c r="B303" s="64" t="s">
        <v>253</v>
      </c>
      <c r="C303" s="105">
        <f>C268</f>
        <v>1.2</v>
      </c>
      <c r="D303" s="62">
        <v>1.1599999999999999</v>
      </c>
      <c r="E303" s="73"/>
      <c r="F303" s="105">
        <v>0.41</v>
      </c>
      <c r="G303" s="73"/>
      <c r="H303" s="73"/>
      <c r="I303" s="73"/>
      <c r="J303" s="73"/>
      <c r="K303" s="73"/>
      <c r="L303" s="73"/>
      <c r="M303" s="73"/>
      <c r="N303" s="73"/>
      <c r="O303" s="73"/>
    </row>
    <row r="304" spans="1:21">
      <c r="C304" s="62"/>
      <c r="G304" s="73"/>
      <c r="H304" s="73"/>
      <c r="I304" s="73"/>
      <c r="J304" s="73"/>
      <c r="K304" s="73"/>
      <c r="L304" s="73"/>
      <c r="M304" s="73"/>
      <c r="N304" s="106"/>
      <c r="O304" s="73"/>
    </row>
    <row r="305" spans="2:17">
      <c r="B305">
        <v>24</v>
      </c>
      <c r="C305" s="62">
        <v>1.1399999999999999</v>
      </c>
      <c r="G305" s="73"/>
      <c r="H305" s="73"/>
      <c r="I305" s="73"/>
      <c r="J305" s="73"/>
      <c r="K305" s="73"/>
      <c r="L305" s="73"/>
      <c r="M305" s="73"/>
      <c r="N305" s="106"/>
      <c r="O305" s="73"/>
    </row>
    <row r="308" spans="2:17" ht="14.25" thickBot="1">
      <c r="J308" t="s">
        <v>261</v>
      </c>
      <c r="K308" t="s">
        <v>169</v>
      </c>
      <c r="L308" t="s">
        <v>256</v>
      </c>
      <c r="O308" t="s">
        <v>225</v>
      </c>
      <c r="P308" t="s">
        <v>262</v>
      </c>
    </row>
    <row r="309" spans="2:17" ht="14.25" thickBot="1">
      <c r="B309" s="171" t="s">
        <v>162</v>
      </c>
      <c r="C309" s="171" t="s">
        <v>163</v>
      </c>
      <c r="D309" s="169" t="s">
        <v>187</v>
      </c>
      <c r="E309" s="170"/>
      <c r="F309" s="169" t="s">
        <v>185</v>
      </c>
      <c r="G309" s="170"/>
      <c r="H309" s="169" t="s">
        <v>186</v>
      </c>
      <c r="I309" s="170"/>
      <c r="J309" s="169" t="s">
        <v>228</v>
      </c>
      <c r="K309" s="170"/>
      <c r="L309" s="169" t="s">
        <v>184</v>
      </c>
      <c r="M309" s="170"/>
      <c r="N309" s="169" t="s">
        <v>258</v>
      </c>
      <c r="O309" s="170"/>
    </row>
    <row r="310" spans="2:17" ht="14.25" thickBot="1">
      <c r="B310" s="172"/>
      <c r="C310" s="172"/>
      <c r="D310" s="83" t="s">
        <v>167</v>
      </c>
      <c r="E310" s="83" t="s">
        <v>168</v>
      </c>
      <c r="F310" s="83" t="s">
        <v>167</v>
      </c>
      <c r="G310" s="83" t="s">
        <v>168</v>
      </c>
      <c r="H310" s="83" t="s">
        <v>167</v>
      </c>
      <c r="I310" s="83" t="s">
        <v>168</v>
      </c>
      <c r="J310" s="83" t="s">
        <v>167</v>
      </c>
      <c r="K310" s="83" t="s">
        <v>168</v>
      </c>
      <c r="L310" s="83" t="s">
        <v>182</v>
      </c>
      <c r="M310" s="18" t="s">
        <v>183</v>
      </c>
      <c r="N310" s="83" t="s">
        <v>167</v>
      </c>
      <c r="O310" s="83" t="s">
        <v>168</v>
      </c>
    </row>
    <row r="311" spans="2:17" ht="14.25" thickBot="1">
      <c r="B311" s="82">
        <v>1</v>
      </c>
      <c r="C311" s="105">
        <v>0.61</v>
      </c>
      <c r="D311" s="17">
        <v>0.18</v>
      </c>
      <c r="E311" s="31">
        <f>D311/C311</f>
        <v>0.29508196721311475</v>
      </c>
      <c r="F311" s="17">
        <v>0.02</v>
      </c>
      <c r="G311" s="31">
        <f>F311/C311</f>
        <v>3.2786885245901641E-2</v>
      </c>
      <c r="H311" s="18">
        <v>0.34</v>
      </c>
      <c r="I311" s="31">
        <f>H311/C311</f>
        <v>0.55737704918032793</v>
      </c>
      <c r="J311" s="18">
        <f>C311-D311-F311-H311-N311</f>
        <v>3.9999999999999952E-2</v>
      </c>
      <c r="K311" s="31">
        <f t="shared" ref="K311" si="90">J311/C311</f>
        <v>6.5573770491803199E-2</v>
      </c>
      <c r="L311" s="18">
        <f>F19/F311</f>
        <v>27.5</v>
      </c>
      <c r="M311" s="18">
        <f>C19/C311</f>
        <v>2.4262295081967213</v>
      </c>
      <c r="N311" s="17">
        <v>0.03</v>
      </c>
      <c r="O311" s="31">
        <f>N311/C311</f>
        <v>4.9180327868852458E-2</v>
      </c>
      <c r="P311">
        <v>0.69</v>
      </c>
      <c r="Q311" s="43">
        <f>0.11/C311</f>
        <v>0.18032786885245902</v>
      </c>
    </row>
    <row r="312" spans="2:17" ht="14.25" thickBot="1">
      <c r="B312" s="82">
        <v>2</v>
      </c>
      <c r="C312" s="105">
        <v>1.96</v>
      </c>
      <c r="D312" s="17">
        <v>0.18</v>
      </c>
      <c r="E312" s="31">
        <f t="shared" ref="E312:E314" si="91">D312/C312</f>
        <v>9.1836734693877556E-2</v>
      </c>
      <c r="F312" s="17">
        <v>0.02</v>
      </c>
      <c r="G312" s="31">
        <f t="shared" ref="G312:G314" si="92">F312/C312</f>
        <v>1.0204081632653062E-2</v>
      </c>
      <c r="H312" s="18">
        <v>0.34</v>
      </c>
      <c r="I312" s="31">
        <f t="shared" ref="I312:I314" si="93">H312/C312</f>
        <v>0.17346938775510207</v>
      </c>
      <c r="J312" s="18">
        <f>C312-D312-F312-H312-N312</f>
        <v>0.1399999999999999</v>
      </c>
      <c r="K312" s="31">
        <f>J312/C312</f>
        <v>7.1428571428571383E-2</v>
      </c>
      <c r="L312" s="18">
        <f>F20/F312</f>
        <v>196.5</v>
      </c>
      <c r="M312" s="18">
        <f>C20/C312</f>
        <v>2.5357142857142856</v>
      </c>
      <c r="N312" s="17">
        <v>1.28</v>
      </c>
      <c r="O312" s="31">
        <f>N312/C312</f>
        <v>0.65306122448979598</v>
      </c>
      <c r="P312">
        <v>0.54</v>
      </c>
      <c r="Q312" s="43">
        <f>0.2/C312</f>
        <v>0.10204081632653061</v>
      </c>
    </row>
    <row r="313" spans="2:17" ht="14.25" thickBot="1">
      <c r="B313" s="82">
        <v>3</v>
      </c>
      <c r="C313" s="105">
        <v>2.13</v>
      </c>
      <c r="D313" s="17">
        <v>0.18</v>
      </c>
      <c r="E313" s="31">
        <f t="shared" si="91"/>
        <v>8.4507042253521125E-2</v>
      </c>
      <c r="F313" s="17">
        <v>0.02</v>
      </c>
      <c r="G313" s="31">
        <f t="shared" si="92"/>
        <v>9.3896713615023476E-3</v>
      </c>
      <c r="H313" s="18">
        <v>0.34</v>
      </c>
      <c r="I313" s="31">
        <f t="shared" si="93"/>
        <v>0.15962441314553993</v>
      </c>
      <c r="J313" s="18">
        <f t="shared" ref="J313:J314" si="94">C313-D313-F313-H313-N313</f>
        <v>0.24999999999999978</v>
      </c>
      <c r="K313" s="31">
        <f t="shared" ref="K313" si="95">J313/C313</f>
        <v>0.11737089201877925</v>
      </c>
      <c r="L313" s="18">
        <f>F21/F313</f>
        <v>253.5</v>
      </c>
      <c r="M313" s="18">
        <f>C21/C313</f>
        <v>2.8497652582159629</v>
      </c>
      <c r="N313" s="17">
        <v>1.34</v>
      </c>
      <c r="O313" s="31">
        <f>N313/C313</f>
        <v>0.62910798122065736</v>
      </c>
      <c r="P313">
        <v>0.72</v>
      </c>
      <c r="Q313" s="43">
        <f>0.32/C313</f>
        <v>0.15023474178403756</v>
      </c>
    </row>
    <row r="314" spans="2:17" ht="14.25" thickBot="1">
      <c r="B314" s="82">
        <v>4</v>
      </c>
      <c r="C314" s="105">
        <v>2.44</v>
      </c>
      <c r="D314" s="17">
        <v>0.18</v>
      </c>
      <c r="E314" s="31">
        <f t="shared" si="91"/>
        <v>7.3770491803278687E-2</v>
      </c>
      <c r="F314" s="17">
        <v>0.02</v>
      </c>
      <c r="G314" s="31">
        <f t="shared" si="92"/>
        <v>8.1967213114754103E-3</v>
      </c>
      <c r="H314" s="18">
        <v>0.34</v>
      </c>
      <c r="I314" s="31">
        <f t="shared" si="93"/>
        <v>0.13934426229508198</v>
      </c>
      <c r="J314" s="18">
        <f t="shared" si="94"/>
        <v>0.17999999999999972</v>
      </c>
      <c r="K314" s="31">
        <f>J314/C314</f>
        <v>7.3770491803278576E-2</v>
      </c>
      <c r="L314" s="18">
        <f>F22/F314</f>
        <v>313.5</v>
      </c>
      <c r="M314" s="18">
        <f>C22/C314</f>
        <v>3</v>
      </c>
      <c r="N314" s="17">
        <v>1.72</v>
      </c>
      <c r="O314" s="31">
        <f>N314/C314</f>
        <v>0.70491803278688525</v>
      </c>
      <c r="P314">
        <v>0.72</v>
      </c>
      <c r="Q314" s="43">
        <f>0.32/C314</f>
        <v>0.13114754098360656</v>
      </c>
    </row>
    <row r="317" spans="2:17">
      <c r="B317" s="115">
        <v>1</v>
      </c>
      <c r="C317" s="105">
        <v>0.64</v>
      </c>
      <c r="Q317" s="43">
        <f>0.1/C317</f>
        <v>0.15625</v>
      </c>
    </row>
    <row r="318" spans="2:17">
      <c r="B318" s="115">
        <v>2</v>
      </c>
      <c r="C318" s="105">
        <v>0.78</v>
      </c>
      <c r="Q318" s="43">
        <f>0.09/C318</f>
        <v>0.11538461538461538</v>
      </c>
    </row>
    <row r="319" spans="2:17">
      <c r="B319" s="115">
        <v>3</v>
      </c>
      <c r="C319" s="105">
        <v>0.82</v>
      </c>
      <c r="Q319" s="43">
        <f>0.11/C319</f>
        <v>0.13414634146341464</v>
      </c>
    </row>
    <row r="320" spans="2:17">
      <c r="B320" s="115">
        <v>4</v>
      </c>
      <c r="C320" s="105">
        <v>0.88</v>
      </c>
      <c r="Q320" s="43">
        <f>0.11/C320</f>
        <v>0.125</v>
      </c>
    </row>
    <row r="321" spans="2:17">
      <c r="B321" s="115"/>
      <c r="C321" s="105"/>
    </row>
    <row r="331" spans="2:17" ht="14.25" thickBot="1">
      <c r="J331" t="s">
        <v>261</v>
      </c>
      <c r="K331" t="s">
        <v>169</v>
      </c>
      <c r="L331" t="s">
        <v>256</v>
      </c>
      <c r="M331" t="s">
        <v>257</v>
      </c>
      <c r="O331" t="s">
        <v>225</v>
      </c>
      <c r="P331" t="s">
        <v>262</v>
      </c>
    </row>
    <row r="332" spans="2:17" ht="14.25" thickBot="1">
      <c r="B332" s="171" t="s">
        <v>162</v>
      </c>
      <c r="C332" s="171" t="s">
        <v>163</v>
      </c>
      <c r="D332" s="169" t="s">
        <v>187</v>
      </c>
      <c r="E332" s="170"/>
      <c r="F332" s="169" t="s">
        <v>185</v>
      </c>
      <c r="G332" s="170"/>
      <c r="H332" s="169" t="s">
        <v>186</v>
      </c>
      <c r="I332" s="170"/>
      <c r="J332" s="169" t="s">
        <v>228</v>
      </c>
      <c r="K332" s="170"/>
      <c r="L332" s="169" t="s">
        <v>184</v>
      </c>
      <c r="M332" s="170"/>
      <c r="N332" s="169" t="s">
        <v>258</v>
      </c>
      <c r="O332" s="170"/>
    </row>
    <row r="333" spans="2:17" ht="14.25" thickBot="1">
      <c r="B333" s="172"/>
      <c r="C333" s="172"/>
      <c r="D333" s="83" t="s">
        <v>167</v>
      </c>
      <c r="E333" s="83" t="s">
        <v>168</v>
      </c>
      <c r="F333" s="83" t="s">
        <v>167</v>
      </c>
      <c r="G333" s="83" t="s">
        <v>168</v>
      </c>
      <c r="H333" s="83" t="s">
        <v>167</v>
      </c>
      <c r="I333" s="83" t="s">
        <v>168</v>
      </c>
      <c r="J333" s="83" t="s">
        <v>167</v>
      </c>
      <c r="K333" s="83" t="s">
        <v>168</v>
      </c>
      <c r="L333" s="83" t="s">
        <v>182</v>
      </c>
      <c r="M333" s="18" t="s">
        <v>183</v>
      </c>
      <c r="N333" s="83" t="s">
        <v>167</v>
      </c>
      <c r="O333" s="83" t="s">
        <v>168</v>
      </c>
    </row>
    <row r="334" spans="2:17" ht="14.25" thickBot="1">
      <c r="B334" s="82">
        <v>1</v>
      </c>
      <c r="C334" s="105">
        <v>0.64</v>
      </c>
      <c r="D334" s="17">
        <v>0.18</v>
      </c>
      <c r="E334" s="31">
        <f>D334/C334</f>
        <v>0.28125</v>
      </c>
      <c r="F334" s="17">
        <v>0.02</v>
      </c>
      <c r="G334" s="31">
        <f>F334/C334</f>
        <v>3.125E-2</v>
      </c>
      <c r="H334" s="18">
        <v>0.34</v>
      </c>
      <c r="I334" s="31">
        <f>H334/C334</f>
        <v>0.53125</v>
      </c>
      <c r="J334" s="18">
        <f>C334-D334-F334-H334-N334</f>
        <v>6.9999999999999979E-2</v>
      </c>
      <c r="K334" s="31">
        <f t="shared" ref="K334" si="96">J334/C334</f>
        <v>0.10937499999999996</v>
      </c>
      <c r="L334" s="18">
        <f>F19/F334</f>
        <v>27.5</v>
      </c>
      <c r="M334" s="18">
        <f>C19/C334</f>
        <v>2.3125</v>
      </c>
      <c r="N334" s="17">
        <v>0.03</v>
      </c>
      <c r="O334" s="31">
        <f>N334/C334</f>
        <v>4.6875E-2</v>
      </c>
      <c r="P334">
        <v>0.69</v>
      </c>
      <c r="Q334" s="43">
        <f>0.16/C334</f>
        <v>0.25</v>
      </c>
    </row>
    <row r="335" spans="2:17" ht="14.25" thickBot="1">
      <c r="B335" s="82">
        <v>2</v>
      </c>
      <c r="C335" s="105">
        <v>0.78</v>
      </c>
      <c r="D335" s="17">
        <v>0.18</v>
      </c>
      <c r="E335" s="31">
        <f t="shared" ref="E335:E337" si="97">D335/C335</f>
        <v>0.23076923076923075</v>
      </c>
      <c r="F335" s="17">
        <v>0.02</v>
      </c>
      <c r="G335" s="31">
        <f t="shared" ref="G335:G337" si="98">F335/C335</f>
        <v>2.564102564102564E-2</v>
      </c>
      <c r="H335" s="18">
        <v>0.34</v>
      </c>
      <c r="I335" s="31">
        <f t="shared" ref="I335:I337" si="99">H335/C335</f>
        <v>0.4358974358974359</v>
      </c>
      <c r="J335" s="18">
        <f>C335-D335-F335-H335-N335</f>
        <v>0.14000000000000004</v>
      </c>
      <c r="K335" s="31">
        <f>J335/C335</f>
        <v>0.17948717948717954</v>
      </c>
      <c r="L335" s="18">
        <f>F20/F335</f>
        <v>196.5</v>
      </c>
      <c r="M335" s="18">
        <f>C20/C335</f>
        <v>6.3717948717948714</v>
      </c>
      <c r="N335" s="17">
        <v>0.1</v>
      </c>
      <c r="O335" s="31">
        <f>N335/C335</f>
        <v>0.12820512820512822</v>
      </c>
      <c r="P335">
        <v>0.54</v>
      </c>
      <c r="Q335" s="43">
        <f>0.15/C335</f>
        <v>0.19230769230769229</v>
      </c>
    </row>
    <row r="336" spans="2:17" ht="14.25" thickBot="1">
      <c r="B336" s="82">
        <v>3</v>
      </c>
      <c r="C336" s="105">
        <v>0.82</v>
      </c>
      <c r="D336" s="17">
        <v>0.18</v>
      </c>
      <c r="E336" s="31">
        <f t="shared" si="97"/>
        <v>0.21951219512195122</v>
      </c>
      <c r="F336" s="17">
        <v>0.02</v>
      </c>
      <c r="G336" s="31">
        <f t="shared" si="98"/>
        <v>2.4390243902439025E-2</v>
      </c>
      <c r="H336" s="18">
        <v>0.34</v>
      </c>
      <c r="I336" s="31">
        <f t="shared" si="99"/>
        <v>0.41463414634146345</v>
      </c>
      <c r="J336" s="18">
        <f t="shared" ref="J336:J337" si="100">C336-D336-F336-H336-N336</f>
        <v>0.19999999999999984</v>
      </c>
      <c r="K336" s="31">
        <f t="shared" ref="K336" si="101">J336/C336</f>
        <v>0.24390243902439007</v>
      </c>
      <c r="L336" s="18">
        <f>F21/F336</f>
        <v>253.5</v>
      </c>
      <c r="M336" s="18">
        <f>C21/C336</f>
        <v>7.4024390243902447</v>
      </c>
      <c r="N336" s="17">
        <v>0.08</v>
      </c>
      <c r="O336" s="31">
        <f>N336/C336</f>
        <v>9.7560975609756101E-2</v>
      </c>
      <c r="P336">
        <v>0.72</v>
      </c>
      <c r="Q336" s="43">
        <f>0.1/C336</f>
        <v>0.12195121951219513</v>
      </c>
    </row>
    <row r="337" spans="2:17" ht="14.25" thickBot="1">
      <c r="B337" s="82">
        <v>4</v>
      </c>
      <c r="C337" s="105">
        <v>0.88</v>
      </c>
      <c r="D337" s="17">
        <v>0.18</v>
      </c>
      <c r="E337" s="31">
        <f t="shared" si="97"/>
        <v>0.20454545454545453</v>
      </c>
      <c r="F337" s="17">
        <v>0.02</v>
      </c>
      <c r="G337" s="31">
        <f t="shared" si="98"/>
        <v>2.2727272727272728E-2</v>
      </c>
      <c r="H337" s="18">
        <v>0.34</v>
      </c>
      <c r="I337" s="31">
        <f t="shared" si="99"/>
        <v>0.38636363636363641</v>
      </c>
      <c r="J337" s="18">
        <f t="shared" si="100"/>
        <v>0.18999999999999992</v>
      </c>
      <c r="K337" s="31">
        <f>J337/C337</f>
        <v>0.21590909090909083</v>
      </c>
      <c r="L337" s="18">
        <f>F22/F337</f>
        <v>313.5</v>
      </c>
      <c r="M337" s="18">
        <f>C22/C337</f>
        <v>8.3181818181818183</v>
      </c>
      <c r="N337" s="17">
        <v>0.15</v>
      </c>
      <c r="O337" s="31">
        <f>N337/C337</f>
        <v>0.17045454545454544</v>
      </c>
      <c r="P337">
        <v>0.72</v>
      </c>
      <c r="Q337" s="43">
        <f>0.15/C337</f>
        <v>0.17045454545454544</v>
      </c>
    </row>
    <row r="340" spans="2:17">
      <c r="B340" s="115">
        <v>1</v>
      </c>
      <c r="C340" s="105">
        <v>0.64</v>
      </c>
      <c r="Q340" s="43">
        <f>0.1/C340</f>
        <v>0.15625</v>
      </c>
    </row>
    <row r="341" spans="2:17">
      <c r="B341" s="115">
        <v>2</v>
      </c>
      <c r="C341" s="105">
        <v>0.78</v>
      </c>
      <c r="Q341" s="43">
        <f>0.09/C341</f>
        <v>0.11538461538461538</v>
      </c>
    </row>
    <row r="342" spans="2:17">
      <c r="B342" s="115">
        <v>3</v>
      </c>
      <c r="C342" s="105">
        <v>0.82</v>
      </c>
      <c r="Q342" s="43">
        <f>0.11/C342</f>
        <v>0.13414634146341464</v>
      </c>
    </row>
    <row r="343" spans="2:17">
      <c r="B343" s="115">
        <v>4</v>
      </c>
      <c r="C343" s="105">
        <v>0.88</v>
      </c>
      <c r="Q343" s="43">
        <f>0.11/C343</f>
        <v>0.125</v>
      </c>
    </row>
    <row r="353" spans="2:11" ht="67.5">
      <c r="C353" s="38" t="s">
        <v>296</v>
      </c>
    </row>
    <row r="354" spans="2:11" ht="40.5">
      <c r="E354" s="38" t="s">
        <v>295</v>
      </c>
      <c r="F354" s="38" t="s">
        <v>289</v>
      </c>
      <c r="G354" s="38" t="s">
        <v>290</v>
      </c>
    </row>
    <row r="355" spans="2:11">
      <c r="C355" t="s">
        <v>305</v>
      </c>
      <c r="D355" t="s">
        <v>293</v>
      </c>
      <c r="E355" s="61">
        <f>C20</f>
        <v>4.97</v>
      </c>
      <c r="F355" s="61">
        <v>1.28</v>
      </c>
      <c r="G355" s="61">
        <v>1</v>
      </c>
    </row>
    <row r="356" spans="2:11">
      <c r="D356" t="s">
        <v>294</v>
      </c>
      <c r="F356" s="61">
        <f>E355/F355</f>
        <v>3.8828124999999996</v>
      </c>
      <c r="G356" s="61">
        <f>E355/G355</f>
        <v>4.97</v>
      </c>
    </row>
    <row r="357" spans="2:11">
      <c r="C357" t="s">
        <v>309</v>
      </c>
      <c r="D357" t="s">
        <v>293</v>
      </c>
      <c r="E357" s="117">
        <v>23</v>
      </c>
      <c r="F357" s="61">
        <v>4.3</v>
      </c>
      <c r="G357" s="61">
        <v>2</v>
      </c>
    </row>
    <row r="358" spans="2:11">
      <c r="D358" t="s">
        <v>294</v>
      </c>
      <c r="F358" s="61">
        <f>E357/F357</f>
        <v>5.3488372093023262</v>
      </c>
      <c r="G358" s="117">
        <f>E357/G357</f>
        <v>11.5</v>
      </c>
    </row>
    <row r="359" spans="2:11">
      <c r="C359" t="s">
        <v>308</v>
      </c>
      <c r="D359" t="s">
        <v>293</v>
      </c>
      <c r="E359">
        <v>60</v>
      </c>
      <c r="F359">
        <v>26</v>
      </c>
      <c r="G359" s="119">
        <v>19.399999999999999</v>
      </c>
    </row>
    <row r="360" spans="2:11">
      <c r="D360" t="s">
        <v>294</v>
      </c>
      <c r="F360" s="61">
        <f>E359/F359</f>
        <v>2.3076923076923075</v>
      </c>
      <c r="G360" s="61">
        <f>E359/G359</f>
        <v>3.0927835051546393</v>
      </c>
    </row>
    <row r="363" spans="2:11">
      <c r="C363" t="s">
        <v>350</v>
      </c>
    </row>
    <row r="364" spans="2:11" ht="14.25" thickBot="1"/>
    <row r="365" spans="2:11" ht="14.25" thickBot="1">
      <c r="B365" s="176" t="s">
        <v>351</v>
      </c>
      <c r="C365" s="176" t="s">
        <v>362</v>
      </c>
      <c r="D365" s="169" t="s">
        <v>360</v>
      </c>
      <c r="E365" s="170"/>
      <c r="F365" s="169" t="s">
        <v>357</v>
      </c>
      <c r="G365" s="170"/>
      <c r="H365" s="169" t="s">
        <v>359</v>
      </c>
      <c r="I365" s="170"/>
      <c r="J365" s="169"/>
      <c r="K365" s="170"/>
    </row>
    <row r="366" spans="2:11" ht="14.25" thickBot="1">
      <c r="B366" s="172"/>
      <c r="C366" s="172"/>
      <c r="D366" s="83" t="s">
        <v>167</v>
      </c>
      <c r="E366" s="83" t="s">
        <v>168</v>
      </c>
      <c r="F366" s="83" t="s">
        <v>167</v>
      </c>
      <c r="G366" s="83" t="s">
        <v>168</v>
      </c>
      <c r="H366" s="83" t="s">
        <v>167</v>
      </c>
      <c r="I366" s="83" t="s">
        <v>168</v>
      </c>
      <c r="J366" s="83"/>
      <c r="K366" s="83"/>
    </row>
    <row r="367" spans="2:11" ht="14.25" thickBot="1">
      <c r="B367" s="82" t="s">
        <v>352</v>
      </c>
      <c r="C367" s="82">
        <v>0.64</v>
      </c>
      <c r="D367" s="17">
        <v>0.18</v>
      </c>
      <c r="E367" s="31">
        <f>D367/C367</f>
        <v>0.28125</v>
      </c>
      <c r="F367" s="17">
        <v>0.02</v>
      </c>
      <c r="G367" s="31">
        <f>F367/C367</f>
        <v>3.125E-2</v>
      </c>
      <c r="H367" s="17"/>
      <c r="I367" s="31"/>
      <c r="J367" s="17"/>
      <c r="K367" s="31"/>
    </row>
    <row r="368" spans="2:11" ht="14.25" thickBot="1">
      <c r="B368" s="82" t="s">
        <v>353</v>
      </c>
      <c r="C368" s="18">
        <v>5.6</v>
      </c>
      <c r="D368" s="17">
        <v>0.3</v>
      </c>
      <c r="E368" s="31">
        <f t="shared" ref="E368:E370" si="102">D368/C368</f>
        <v>5.3571428571428575E-2</v>
      </c>
      <c r="F368" s="17">
        <v>5</v>
      </c>
      <c r="G368" s="31">
        <f t="shared" ref="G368:G370" si="103">F368/C368</f>
        <v>0.8928571428571429</v>
      </c>
      <c r="H368" s="17">
        <v>0.3</v>
      </c>
      <c r="I368" s="31">
        <f>H368/C368</f>
        <v>5.3571428571428575E-2</v>
      </c>
      <c r="J368" s="17"/>
      <c r="K368" s="31"/>
    </row>
    <row r="369" spans="2:34" ht="14.25" thickBot="1">
      <c r="B369" s="82" t="s">
        <v>354</v>
      </c>
      <c r="C369" s="82">
        <v>0.82</v>
      </c>
      <c r="D369" s="17">
        <v>0.18</v>
      </c>
      <c r="E369" s="31">
        <f t="shared" si="102"/>
        <v>0.21951219512195122</v>
      </c>
      <c r="F369" s="17">
        <v>0.02</v>
      </c>
      <c r="G369" s="31">
        <f t="shared" si="103"/>
        <v>2.4390243902439025E-2</v>
      </c>
      <c r="H369" s="17"/>
      <c r="I369" s="31"/>
      <c r="J369" s="17"/>
      <c r="K369" s="31"/>
    </row>
    <row r="370" spans="2:34" ht="14.25" thickBot="1">
      <c r="B370" s="82" t="s">
        <v>355</v>
      </c>
      <c r="C370" s="82">
        <v>0.88</v>
      </c>
      <c r="D370" s="17">
        <v>0.18</v>
      </c>
      <c r="E370" s="31">
        <f t="shared" si="102"/>
        <v>0.20454545454545453</v>
      </c>
      <c r="F370" s="17">
        <v>0.02</v>
      </c>
      <c r="G370" s="31">
        <f t="shared" si="103"/>
        <v>2.2727272727272728E-2</v>
      </c>
      <c r="H370" s="17"/>
      <c r="I370" s="31"/>
      <c r="J370" s="17"/>
      <c r="K370" s="31"/>
    </row>
    <row r="371" spans="2:34">
      <c r="E371" t="s">
        <v>356</v>
      </c>
      <c r="G371" t="s">
        <v>361</v>
      </c>
      <c r="I371" t="s">
        <v>358</v>
      </c>
    </row>
    <row r="375" spans="2:34" ht="27">
      <c r="C375" t="s">
        <v>405</v>
      </c>
      <c r="E375" s="38" t="s">
        <v>295</v>
      </c>
      <c r="F375" t="s">
        <v>288</v>
      </c>
      <c r="G375" s="38" t="s">
        <v>46</v>
      </c>
      <c r="H375" s="38" t="s">
        <v>423</v>
      </c>
      <c r="I375" s="38" t="s">
        <v>424</v>
      </c>
      <c r="P375" t="s">
        <v>405</v>
      </c>
      <c r="R375" s="38" t="s">
        <v>295</v>
      </c>
      <c r="S375" t="s">
        <v>288</v>
      </c>
      <c r="T375" s="38" t="s">
        <v>46</v>
      </c>
      <c r="W375" t="s">
        <v>405</v>
      </c>
      <c r="Y375" s="38" t="s">
        <v>295</v>
      </c>
      <c r="Z375" t="s">
        <v>288</v>
      </c>
      <c r="AA375" s="38" t="s">
        <v>46</v>
      </c>
      <c r="AD375" t="s">
        <v>405</v>
      </c>
      <c r="AF375" s="38" t="s">
        <v>295</v>
      </c>
      <c r="AG375" t="s">
        <v>288</v>
      </c>
      <c r="AH375" s="38" t="s">
        <v>46</v>
      </c>
    </row>
    <row r="376" spans="2:34" ht="81">
      <c r="B376" s="38" t="s">
        <v>422</v>
      </c>
      <c r="C376">
        <v>1</v>
      </c>
      <c r="D376" t="s">
        <v>293</v>
      </c>
      <c r="E376" s="92">
        <v>1.36</v>
      </c>
      <c r="F376" s="92">
        <v>1.1200000000000001</v>
      </c>
      <c r="G376" s="92">
        <v>0.72</v>
      </c>
      <c r="H376" s="92">
        <v>0.64</v>
      </c>
      <c r="K376" s="92">
        <v>0.72</v>
      </c>
      <c r="O376" s="38" t="s">
        <v>422</v>
      </c>
      <c r="P376">
        <v>1</v>
      </c>
      <c r="Q376" t="s">
        <v>293</v>
      </c>
      <c r="R376" s="92">
        <v>0.46</v>
      </c>
      <c r="S376" s="92">
        <v>0.32</v>
      </c>
      <c r="T376" s="92">
        <v>0.24</v>
      </c>
      <c r="U376" s="92">
        <v>0.24</v>
      </c>
      <c r="V376" s="38" t="s">
        <v>422</v>
      </c>
      <c r="W376">
        <v>1</v>
      </c>
      <c r="X376" t="s">
        <v>293</v>
      </c>
      <c r="Y376" s="92">
        <v>8.16</v>
      </c>
      <c r="Z376" s="92">
        <v>6.65</v>
      </c>
      <c r="AA376" s="61">
        <v>2.38</v>
      </c>
      <c r="AC376" s="38" t="s">
        <v>422</v>
      </c>
      <c r="AD376">
        <v>1</v>
      </c>
      <c r="AE376" t="s">
        <v>293</v>
      </c>
      <c r="AF376" s="61">
        <v>27.5</v>
      </c>
      <c r="AG376" s="61">
        <v>25.5</v>
      </c>
      <c r="AH376" s="61">
        <v>10.1</v>
      </c>
    </row>
    <row r="377" spans="2:34">
      <c r="B377" t="s">
        <v>407</v>
      </c>
      <c r="D377" t="s">
        <v>294</v>
      </c>
      <c r="E377">
        <v>1</v>
      </c>
      <c r="F377" s="92">
        <f>E376/F376</f>
        <v>1.2142857142857142</v>
      </c>
      <c r="G377" s="92">
        <f>E376/G376</f>
        <v>1.8888888888888891</v>
      </c>
      <c r="O377" t="s">
        <v>407</v>
      </c>
      <c r="Q377" t="s">
        <v>294</v>
      </c>
      <c r="R377">
        <v>1</v>
      </c>
      <c r="S377" s="92">
        <f>R376/S376</f>
        <v>1.4375</v>
      </c>
      <c r="T377" s="92">
        <f>R376/T376</f>
        <v>1.9166666666666667</v>
      </c>
      <c r="V377" t="s">
        <v>407</v>
      </c>
      <c r="X377" t="s">
        <v>294</v>
      </c>
      <c r="Y377">
        <v>1</v>
      </c>
      <c r="Z377" s="92">
        <f>Y376/Z376</f>
        <v>1.2270676691729323</v>
      </c>
      <c r="AA377" s="92">
        <f>Y376/AA376</f>
        <v>3.4285714285714288</v>
      </c>
      <c r="AC377" t="s">
        <v>407</v>
      </c>
      <c r="AE377" t="s">
        <v>294</v>
      </c>
      <c r="AF377">
        <v>1</v>
      </c>
      <c r="AG377" s="92">
        <f>AF376/AG376</f>
        <v>1.0784313725490196</v>
      </c>
      <c r="AH377" s="92">
        <f>AF376/AH376</f>
        <v>2.722772277227723</v>
      </c>
    </row>
    <row r="378" spans="2:34">
      <c r="B378" t="s">
        <v>408</v>
      </c>
      <c r="O378" t="s">
        <v>412</v>
      </c>
      <c r="V378" t="s">
        <v>414</v>
      </c>
      <c r="AC378" t="s">
        <v>415</v>
      </c>
    </row>
    <row r="379" spans="2:34">
      <c r="C379">
        <v>2</v>
      </c>
      <c r="D379" t="s">
        <v>293</v>
      </c>
      <c r="E379" s="92">
        <v>4.97</v>
      </c>
      <c r="F379" s="92">
        <v>1.5</v>
      </c>
      <c r="G379" s="92">
        <v>0.8</v>
      </c>
      <c r="H379" s="92">
        <v>0.76</v>
      </c>
      <c r="K379" s="92">
        <v>0.8</v>
      </c>
      <c r="P379">
        <v>2</v>
      </c>
      <c r="Q379" t="s">
        <v>293</v>
      </c>
      <c r="R379" s="92">
        <v>1.34</v>
      </c>
      <c r="S379" s="92">
        <v>0.55000000000000004</v>
      </c>
      <c r="T379" s="92">
        <v>0.39</v>
      </c>
      <c r="U379" s="92">
        <v>0.33</v>
      </c>
      <c r="W379">
        <v>2</v>
      </c>
      <c r="X379" t="s">
        <v>293</v>
      </c>
      <c r="Y379" s="61">
        <v>22</v>
      </c>
      <c r="Z379" s="92">
        <v>7.32</v>
      </c>
      <c r="AA379" s="61">
        <v>2.8</v>
      </c>
      <c r="AD379">
        <v>2</v>
      </c>
      <c r="AE379" t="s">
        <v>293</v>
      </c>
      <c r="AF379" s="117">
        <v>87.7</v>
      </c>
      <c r="AG379" s="61">
        <v>28</v>
      </c>
      <c r="AH379" s="61">
        <v>11.5</v>
      </c>
    </row>
    <row r="380" spans="2:34">
      <c r="D380" t="s">
        <v>294</v>
      </c>
      <c r="E380">
        <v>1</v>
      </c>
      <c r="F380" s="61">
        <f>E379/F379</f>
        <v>3.313333333333333</v>
      </c>
      <c r="G380" s="61">
        <f>E379/G379</f>
        <v>6.2124999999999995</v>
      </c>
      <c r="Q380" t="s">
        <v>294</v>
      </c>
      <c r="R380">
        <v>1</v>
      </c>
      <c r="S380" s="92">
        <f>R379/S379</f>
        <v>2.4363636363636365</v>
      </c>
      <c r="T380" s="92">
        <f>R379/T379</f>
        <v>3.4358974358974361</v>
      </c>
      <c r="X380" t="s">
        <v>294</v>
      </c>
      <c r="Y380">
        <v>1</v>
      </c>
      <c r="Z380" s="92">
        <f>Y379/Z379</f>
        <v>3.0054644808743167</v>
      </c>
      <c r="AA380" s="92">
        <f>Y379/AA379</f>
        <v>7.8571428571428577</v>
      </c>
      <c r="AE380" t="s">
        <v>294</v>
      </c>
      <c r="AF380">
        <v>1</v>
      </c>
      <c r="AG380" s="92">
        <f>AF379/AG379</f>
        <v>3.1321428571428571</v>
      </c>
      <c r="AH380" s="92">
        <f>AF379/AH379</f>
        <v>7.6260869565217391</v>
      </c>
    </row>
    <row r="382" spans="2:34">
      <c r="C382">
        <v>3</v>
      </c>
      <c r="D382" t="s">
        <v>293</v>
      </c>
      <c r="E382" s="92">
        <v>6.02</v>
      </c>
      <c r="F382" s="92">
        <v>1.65</v>
      </c>
      <c r="G382" s="92">
        <v>0.84</v>
      </c>
      <c r="H382" s="92">
        <v>0.84</v>
      </c>
      <c r="I382" s="92">
        <v>0.83</v>
      </c>
      <c r="K382" s="92">
        <v>0.84</v>
      </c>
      <c r="P382">
        <v>3</v>
      </c>
      <c r="Q382" t="s">
        <v>293</v>
      </c>
      <c r="R382" s="92">
        <v>1.57</v>
      </c>
      <c r="S382" s="92">
        <v>0.65</v>
      </c>
      <c r="T382" s="92">
        <v>0.4</v>
      </c>
      <c r="U382" s="92">
        <v>0.47</v>
      </c>
      <c r="W382">
        <v>3</v>
      </c>
      <c r="X382" t="s">
        <v>293</v>
      </c>
      <c r="Y382" s="61">
        <v>26.2</v>
      </c>
      <c r="Z382" s="61">
        <v>7.7</v>
      </c>
      <c r="AA382" s="61">
        <v>3.26</v>
      </c>
      <c r="AD382">
        <v>3</v>
      </c>
      <c r="AE382" t="s">
        <v>293</v>
      </c>
      <c r="AF382" s="117">
        <v>106</v>
      </c>
      <c r="AG382" s="61">
        <v>31</v>
      </c>
      <c r="AH382" s="61">
        <v>12.7</v>
      </c>
    </row>
    <row r="383" spans="2:34">
      <c r="D383" t="s">
        <v>294</v>
      </c>
      <c r="E383">
        <v>1</v>
      </c>
      <c r="F383" s="92">
        <f>E382/F382</f>
        <v>3.6484848484848484</v>
      </c>
      <c r="G383" s="92">
        <f>E382/G382</f>
        <v>7.1666666666666661</v>
      </c>
      <c r="Q383" t="s">
        <v>294</v>
      </c>
      <c r="R383">
        <v>1</v>
      </c>
      <c r="S383" s="92">
        <f>R382/S382</f>
        <v>2.4153846153846152</v>
      </c>
      <c r="T383" s="92">
        <f>R382/T382</f>
        <v>3.9249999999999998</v>
      </c>
      <c r="X383" t="s">
        <v>294</v>
      </c>
      <c r="Y383">
        <v>1</v>
      </c>
      <c r="Z383" s="92">
        <f>Y382/Z382</f>
        <v>3.4025974025974026</v>
      </c>
      <c r="AA383" s="92">
        <f>Y382/AA382</f>
        <v>8.0368098159509209</v>
      </c>
      <c r="AE383" t="s">
        <v>294</v>
      </c>
      <c r="AF383">
        <v>1</v>
      </c>
      <c r="AG383" s="92">
        <f>AF382/AG382</f>
        <v>3.4193548387096775</v>
      </c>
      <c r="AH383" s="92">
        <f>AF382/AH382</f>
        <v>8.346456692913387</v>
      </c>
    </row>
    <row r="385" spans="3:34">
      <c r="C385">
        <v>4</v>
      </c>
      <c r="D385" t="s">
        <v>293</v>
      </c>
      <c r="E385" s="92">
        <v>7.24</v>
      </c>
      <c r="F385" s="92">
        <v>1.71</v>
      </c>
      <c r="G385" s="92">
        <v>0.94</v>
      </c>
      <c r="H385" s="92">
        <v>0.82</v>
      </c>
      <c r="I385" s="92">
        <v>0.9</v>
      </c>
      <c r="K385" s="92">
        <v>0.94</v>
      </c>
      <c r="P385">
        <v>4</v>
      </c>
      <c r="Q385" t="s">
        <v>293</v>
      </c>
      <c r="R385" s="92">
        <v>1.95</v>
      </c>
      <c r="S385" s="92">
        <v>0.76</v>
      </c>
      <c r="T385" s="92">
        <v>0.43</v>
      </c>
      <c r="U385" s="92">
        <v>0.46</v>
      </c>
      <c r="W385">
        <v>4</v>
      </c>
      <c r="X385" t="s">
        <v>293</v>
      </c>
      <c r="Y385" s="61">
        <v>30.4</v>
      </c>
      <c r="Z385" s="61">
        <v>7.69</v>
      </c>
      <c r="AA385" s="61">
        <v>3.51</v>
      </c>
      <c r="AD385">
        <v>4</v>
      </c>
      <c r="AE385" t="s">
        <v>293</v>
      </c>
      <c r="AF385" s="117">
        <v>125</v>
      </c>
      <c r="AG385" s="61">
        <v>31</v>
      </c>
      <c r="AH385" s="61">
        <v>13.8</v>
      </c>
    </row>
    <row r="386" spans="3:34">
      <c r="D386" t="s">
        <v>294</v>
      </c>
      <c r="E386">
        <v>1</v>
      </c>
      <c r="F386" s="92">
        <f>E385/F385</f>
        <v>4.2339181286549712</v>
      </c>
      <c r="G386" s="92">
        <f>E385/G385</f>
        <v>7.7021276595744688</v>
      </c>
      <c r="Q386" t="s">
        <v>294</v>
      </c>
      <c r="R386">
        <v>1</v>
      </c>
      <c r="S386" s="92">
        <f>R385/S385</f>
        <v>2.5657894736842106</v>
      </c>
      <c r="T386" s="92">
        <f>R385/T385</f>
        <v>4.5348837209302326</v>
      </c>
      <c r="X386" t="s">
        <v>294</v>
      </c>
      <c r="Y386">
        <v>1</v>
      </c>
      <c r="Z386" s="92">
        <f>Y385/Z385</f>
        <v>3.9531859557867355</v>
      </c>
      <c r="AA386" s="92">
        <f>Y385/AA385</f>
        <v>8.6609686609686616</v>
      </c>
      <c r="AE386" t="s">
        <v>294</v>
      </c>
      <c r="AF386">
        <v>1</v>
      </c>
      <c r="AG386" s="92">
        <f>AF385/AG385</f>
        <v>4.032258064516129</v>
      </c>
      <c r="AH386" s="92">
        <f>AF385/AH385</f>
        <v>9.0579710144927539</v>
      </c>
    </row>
    <row r="390" spans="3:34" ht="81">
      <c r="Q390" s="38" t="s">
        <v>422</v>
      </c>
      <c r="R390" s="38" t="s">
        <v>406</v>
      </c>
      <c r="T390" s="38"/>
      <c r="W390" s="38" t="s">
        <v>422</v>
      </c>
      <c r="X390" s="38" t="s">
        <v>425</v>
      </c>
      <c r="Z390" s="38"/>
    </row>
    <row r="391" spans="3:34" ht="67.5">
      <c r="P391" s="140" t="s">
        <v>421</v>
      </c>
      <c r="Q391" s="140" t="s">
        <v>412</v>
      </c>
      <c r="R391" s="140" t="s">
        <v>408</v>
      </c>
      <c r="S391" s="140" t="s">
        <v>414</v>
      </c>
      <c r="T391" s="140" t="s">
        <v>415</v>
      </c>
      <c r="V391" s="140" t="s">
        <v>421</v>
      </c>
      <c r="W391" s="140" t="s">
        <v>412</v>
      </c>
      <c r="X391" s="140" t="s">
        <v>408</v>
      </c>
      <c r="Y391" s="140" t="s">
        <v>414</v>
      </c>
      <c r="Z391" s="140" t="s">
        <v>415</v>
      </c>
    </row>
    <row r="392" spans="3:34">
      <c r="P392" s="44">
        <v>1</v>
      </c>
      <c r="Q392" s="141">
        <f>T377/S377-1</f>
        <v>0.33333333333333348</v>
      </c>
      <c r="R392" s="141">
        <f>G377/F377-1</f>
        <v>0.5555555555555558</v>
      </c>
      <c r="S392" s="141">
        <f>AA377/Z377-1</f>
        <v>1.7941176470588238</v>
      </c>
      <c r="T392" s="141">
        <f>AH377/AG377-1</f>
        <v>1.5247524752475252</v>
      </c>
      <c r="V392" s="44">
        <v>1</v>
      </c>
      <c r="W392" s="57">
        <f>T377</f>
        <v>1.9166666666666667</v>
      </c>
      <c r="X392" s="57">
        <f>G377</f>
        <v>1.8888888888888891</v>
      </c>
      <c r="Y392" s="57">
        <f>AA377</f>
        <v>3.4285714285714288</v>
      </c>
      <c r="Z392" s="57">
        <f>AH377</f>
        <v>2.722772277227723</v>
      </c>
    </row>
    <row r="393" spans="3:34">
      <c r="P393" s="44">
        <v>2</v>
      </c>
      <c r="Q393" s="141">
        <f>T380/S380-1</f>
        <v>0.41025641025641035</v>
      </c>
      <c r="R393" s="141">
        <f>G380/F380-1</f>
        <v>0.875</v>
      </c>
      <c r="S393" s="141">
        <f>AA380/Z380-1</f>
        <v>1.6142857142857148</v>
      </c>
      <c r="T393" s="141">
        <f>AH380/AG380-1</f>
        <v>1.4347826086956523</v>
      </c>
      <c r="V393" s="44">
        <v>2</v>
      </c>
      <c r="W393" s="57">
        <f>T380</f>
        <v>3.4358974358974361</v>
      </c>
      <c r="X393" s="57">
        <f>G380</f>
        <v>6.2124999999999995</v>
      </c>
      <c r="Y393" s="57">
        <f>AA380</f>
        <v>7.8571428571428577</v>
      </c>
      <c r="Z393" s="57">
        <f>AH380</f>
        <v>7.6260869565217391</v>
      </c>
    </row>
    <row r="394" spans="3:34">
      <c r="P394" s="44">
        <v>3</v>
      </c>
      <c r="Q394" s="141">
        <f>T383/S383-1</f>
        <v>0.625</v>
      </c>
      <c r="R394" s="141">
        <f>G383/F383-1</f>
        <v>0.96428571428571419</v>
      </c>
      <c r="S394" s="141">
        <f>AA383/Z383-1</f>
        <v>1.3619631901840492</v>
      </c>
      <c r="T394" s="141">
        <f>AH383/AG383-1</f>
        <v>1.4409448818897639</v>
      </c>
      <c r="V394" s="44">
        <v>3</v>
      </c>
      <c r="W394" s="57">
        <f>T383</f>
        <v>3.9249999999999998</v>
      </c>
      <c r="X394" s="57">
        <f>G383</f>
        <v>7.1666666666666661</v>
      </c>
      <c r="Y394" s="57">
        <f>AA383</f>
        <v>8.0368098159509209</v>
      </c>
      <c r="Z394" s="57">
        <f>AH383</f>
        <v>8.346456692913387</v>
      </c>
    </row>
    <row r="395" spans="3:34">
      <c r="P395" s="44">
        <v>4</v>
      </c>
      <c r="Q395" s="141">
        <f>T386/S386-1</f>
        <v>0.76744186046511631</v>
      </c>
      <c r="R395" s="141">
        <f>G386/F386-1</f>
        <v>0.81914893617021267</v>
      </c>
      <c r="S395" s="141">
        <f>AA386/Z386-1</f>
        <v>1.1908831908831914</v>
      </c>
      <c r="T395" s="141">
        <f>AH386/AG386-1</f>
        <v>1.2463768115942031</v>
      </c>
      <c r="V395" s="44">
        <v>4</v>
      </c>
      <c r="W395" s="57">
        <f>T386</f>
        <v>4.5348837209302326</v>
      </c>
      <c r="X395" s="57">
        <f>G386</f>
        <v>7.7021276595744688</v>
      </c>
      <c r="Y395" s="57">
        <f>AA386</f>
        <v>8.6609686609686616</v>
      </c>
      <c r="Z395" s="57">
        <f>AH386</f>
        <v>9.0579710144927539</v>
      </c>
    </row>
    <row r="397" spans="3:34" ht="35.25" customHeight="1">
      <c r="P397" s="175" t="s">
        <v>430</v>
      </c>
      <c r="Q397" s="175"/>
      <c r="R397" s="175"/>
      <c r="S397" s="175"/>
      <c r="T397" s="175"/>
      <c r="V397" s="175" t="s">
        <v>428</v>
      </c>
      <c r="W397" s="175"/>
      <c r="X397" s="175"/>
      <c r="Y397" s="175"/>
      <c r="Z397" s="175"/>
    </row>
    <row r="399" spans="3:34">
      <c r="R399" t="s">
        <v>429</v>
      </c>
      <c r="X399" t="s">
        <v>429</v>
      </c>
    </row>
    <row r="406" spans="2:35" ht="27">
      <c r="C406" t="s">
        <v>405</v>
      </c>
      <c r="E406" s="146" t="s">
        <v>295</v>
      </c>
      <c r="G406" s="146" t="s">
        <v>46</v>
      </c>
      <c r="H406" s="146" t="s">
        <v>229</v>
      </c>
      <c r="I406" s="146" t="s">
        <v>446</v>
      </c>
      <c r="J406" s="146" t="s">
        <v>447</v>
      </c>
      <c r="K406" s="146" t="s">
        <v>448</v>
      </c>
      <c r="P406" t="s">
        <v>405</v>
      </c>
      <c r="R406" s="146" t="s">
        <v>295</v>
      </c>
      <c r="S406" t="s">
        <v>256</v>
      </c>
      <c r="T406" s="146" t="s">
        <v>46</v>
      </c>
      <c r="U406" t="s">
        <v>449</v>
      </c>
      <c r="W406" t="s">
        <v>405</v>
      </c>
      <c r="Y406" s="146" t="s">
        <v>295</v>
      </c>
      <c r="Z406" t="s">
        <v>256</v>
      </c>
      <c r="AA406" s="146" t="s">
        <v>46</v>
      </c>
      <c r="AB406" t="s">
        <v>449</v>
      </c>
      <c r="AD406" t="s">
        <v>405</v>
      </c>
      <c r="AF406" s="146" t="s">
        <v>295</v>
      </c>
      <c r="AG406" t="s">
        <v>256</v>
      </c>
      <c r="AH406" s="146" t="s">
        <v>46</v>
      </c>
      <c r="AI406" t="s">
        <v>449</v>
      </c>
    </row>
    <row r="407" spans="2:35" ht="81">
      <c r="B407" s="146" t="s">
        <v>445</v>
      </c>
      <c r="C407">
        <v>1</v>
      </c>
      <c r="D407" t="s">
        <v>293</v>
      </c>
      <c r="E407" s="92">
        <v>1.36</v>
      </c>
      <c r="F407" s="92"/>
      <c r="G407" s="92">
        <v>0.55000000000000004</v>
      </c>
      <c r="H407" s="92">
        <v>1.1399999999999999</v>
      </c>
      <c r="I407">
        <v>0.16</v>
      </c>
      <c r="J407" s="92">
        <v>0.55000000000000004</v>
      </c>
      <c r="K407" s="92">
        <v>0.72</v>
      </c>
      <c r="O407" s="146" t="s">
        <v>445</v>
      </c>
      <c r="P407">
        <v>1</v>
      </c>
      <c r="Q407" t="s">
        <v>293</v>
      </c>
      <c r="R407" s="92">
        <v>0.46</v>
      </c>
      <c r="S407" s="92">
        <v>0.1</v>
      </c>
      <c r="T407" s="92">
        <v>0.33</v>
      </c>
      <c r="U407" s="92">
        <v>0.4</v>
      </c>
      <c r="V407" s="146" t="s">
        <v>445</v>
      </c>
      <c r="W407">
        <v>1</v>
      </c>
      <c r="X407" t="s">
        <v>293</v>
      </c>
      <c r="Y407" s="92">
        <v>8.16</v>
      </c>
      <c r="Z407" s="92">
        <v>1.04</v>
      </c>
      <c r="AA407" s="61">
        <v>1.1100000000000001</v>
      </c>
      <c r="AB407" s="61">
        <v>2.69</v>
      </c>
      <c r="AC407" s="146" t="s">
        <v>422</v>
      </c>
      <c r="AD407">
        <v>1</v>
      </c>
      <c r="AE407" t="s">
        <v>293</v>
      </c>
      <c r="AF407" s="61">
        <v>27.5</v>
      </c>
      <c r="AG407" s="61">
        <v>3.19</v>
      </c>
      <c r="AH407" s="61">
        <v>3.71</v>
      </c>
      <c r="AI407" s="61">
        <v>10.1</v>
      </c>
    </row>
    <row r="408" spans="2:35">
      <c r="B408" t="s">
        <v>407</v>
      </c>
      <c r="D408" t="s">
        <v>294</v>
      </c>
      <c r="E408">
        <v>1</v>
      </c>
      <c r="F408" s="92"/>
      <c r="G408" s="92">
        <f>E407/G407</f>
        <v>2.4727272727272727</v>
      </c>
      <c r="H408" s="92">
        <f>E407/H407</f>
        <v>1.192982456140351</v>
      </c>
      <c r="I408" s="92">
        <f>E407/I407</f>
        <v>8.5</v>
      </c>
      <c r="J408" s="92">
        <f>E407/J407</f>
        <v>2.4727272727272727</v>
      </c>
      <c r="K408" s="92">
        <f>E407/K407</f>
        <v>1.8888888888888891</v>
      </c>
      <c r="O408" t="s">
        <v>407</v>
      </c>
      <c r="Q408" t="s">
        <v>294</v>
      </c>
      <c r="R408">
        <v>1</v>
      </c>
      <c r="S408" s="92">
        <f>R407/S407</f>
        <v>4.5999999999999996</v>
      </c>
      <c r="T408" s="92">
        <f>R407/T407</f>
        <v>1.393939393939394</v>
      </c>
      <c r="U408" s="92">
        <f>R407/U407</f>
        <v>1.1499999999999999</v>
      </c>
      <c r="V408" t="s">
        <v>407</v>
      </c>
      <c r="X408" t="s">
        <v>294</v>
      </c>
      <c r="Y408">
        <v>1</v>
      </c>
      <c r="Z408" s="92">
        <f>Y407/Z407</f>
        <v>7.8461538461538458</v>
      </c>
      <c r="AA408" s="92">
        <f>Y407/AA407</f>
        <v>7.3513513513513509</v>
      </c>
      <c r="AB408" s="61">
        <f>Y407/AB407</f>
        <v>3.033457249070632</v>
      </c>
      <c r="AC408" t="s">
        <v>407</v>
      </c>
      <c r="AE408" t="s">
        <v>294</v>
      </c>
      <c r="AF408">
        <v>1</v>
      </c>
      <c r="AG408" s="92">
        <f>AF407/AG407</f>
        <v>8.6206896551724146</v>
      </c>
      <c r="AH408" s="61">
        <f>AF407/AH407</f>
        <v>7.4123989218328843</v>
      </c>
      <c r="AI408" s="61">
        <f>AF407/AI407</f>
        <v>2.722772277227723</v>
      </c>
    </row>
    <row r="409" spans="2:35">
      <c r="B409" t="s">
        <v>408</v>
      </c>
      <c r="O409" t="s">
        <v>412</v>
      </c>
      <c r="V409" t="s">
        <v>414</v>
      </c>
      <c r="AC409" t="s">
        <v>415</v>
      </c>
    </row>
    <row r="410" spans="2:35">
      <c r="C410">
        <v>2</v>
      </c>
      <c r="D410" t="s">
        <v>293</v>
      </c>
      <c r="E410" s="92">
        <v>4.97</v>
      </c>
      <c r="F410" s="92"/>
      <c r="G410" s="92">
        <v>0.54</v>
      </c>
      <c r="H410" s="92">
        <v>1.17</v>
      </c>
      <c r="I410">
        <v>0.52</v>
      </c>
      <c r="J410" s="92">
        <v>1.6</v>
      </c>
      <c r="K410" s="92">
        <v>0.8</v>
      </c>
      <c r="P410">
        <v>2</v>
      </c>
      <c r="Q410" t="s">
        <v>293</v>
      </c>
      <c r="R410" s="92">
        <v>1.34</v>
      </c>
      <c r="S410" s="92">
        <v>0.11</v>
      </c>
      <c r="T410" s="92">
        <v>0.33</v>
      </c>
      <c r="U410" s="92">
        <v>0.4</v>
      </c>
      <c r="W410">
        <v>2</v>
      </c>
      <c r="X410" t="s">
        <v>293</v>
      </c>
      <c r="Y410" s="61">
        <v>22</v>
      </c>
      <c r="Z410" s="92">
        <v>1.18</v>
      </c>
      <c r="AA410" s="61">
        <v>1.61</v>
      </c>
      <c r="AB410" s="61">
        <v>2.93</v>
      </c>
      <c r="AD410">
        <v>2</v>
      </c>
      <c r="AE410" t="s">
        <v>293</v>
      </c>
      <c r="AF410" s="117">
        <v>87.7</v>
      </c>
      <c r="AG410" s="61">
        <v>3.48</v>
      </c>
      <c r="AH410" s="61">
        <v>4.83</v>
      </c>
      <c r="AI410" s="61">
        <v>10.7</v>
      </c>
    </row>
    <row r="411" spans="2:35">
      <c r="D411" t="s">
        <v>294</v>
      </c>
      <c r="E411">
        <v>1</v>
      </c>
      <c r="F411" s="61"/>
      <c r="G411" s="61">
        <f>E410/G410</f>
        <v>9.2037037037037024</v>
      </c>
      <c r="H411" s="92">
        <f>E410/H410</f>
        <v>4.2478632478632479</v>
      </c>
      <c r="I411" s="92">
        <f>E410/I410</f>
        <v>9.5576923076923066</v>
      </c>
      <c r="J411" s="61">
        <f>E410/J410</f>
        <v>3.1062499999999997</v>
      </c>
      <c r="K411" s="61">
        <f>E410/K410</f>
        <v>6.2124999999999995</v>
      </c>
      <c r="Q411" t="s">
        <v>294</v>
      </c>
      <c r="R411">
        <v>1</v>
      </c>
      <c r="S411" s="61">
        <f>R410/S410</f>
        <v>12.181818181818182</v>
      </c>
      <c r="T411" s="92">
        <f>R410/T410</f>
        <v>4.0606060606060606</v>
      </c>
      <c r="U411" s="92">
        <f>R410/U410</f>
        <v>3.35</v>
      </c>
      <c r="X411" t="s">
        <v>294</v>
      </c>
      <c r="Y411">
        <v>1</v>
      </c>
      <c r="Z411" s="61">
        <f>Y410/Z410</f>
        <v>18.64406779661017</v>
      </c>
      <c r="AA411" s="117">
        <f>Y410/AA410</f>
        <v>13.664596273291925</v>
      </c>
      <c r="AB411" s="61">
        <f>Y410/AB410</f>
        <v>7.5085324232081909</v>
      </c>
      <c r="AE411" t="s">
        <v>294</v>
      </c>
      <c r="AF411">
        <v>1</v>
      </c>
      <c r="AG411" s="61">
        <f>AF410/AG410</f>
        <v>25.201149425287358</v>
      </c>
      <c r="AH411" s="117">
        <f>AF410/AH410</f>
        <v>18.15734989648033</v>
      </c>
      <c r="AI411" s="117">
        <f>AF410/AI410</f>
        <v>8.1962616822429908</v>
      </c>
    </row>
    <row r="413" spans="2:35">
      <c r="C413">
        <v>3</v>
      </c>
      <c r="D413" t="s">
        <v>293</v>
      </c>
      <c r="E413" s="92">
        <v>6.02</v>
      </c>
      <c r="F413" s="92"/>
      <c r="G413" s="92">
        <v>0.69</v>
      </c>
      <c r="H413" s="92">
        <v>0.88</v>
      </c>
      <c r="I413" s="92">
        <v>0.56999999999999995</v>
      </c>
      <c r="J413" s="92">
        <v>0.69</v>
      </c>
      <c r="K413" s="92">
        <v>0.84</v>
      </c>
      <c r="M413">
        <v>0.88</v>
      </c>
      <c r="P413">
        <v>3</v>
      </c>
      <c r="Q413" t="s">
        <v>293</v>
      </c>
      <c r="R413" s="92">
        <v>1.57</v>
      </c>
      <c r="S413" s="92">
        <v>0.12</v>
      </c>
      <c r="T413" s="92">
        <v>0.37</v>
      </c>
      <c r="U413" s="92">
        <v>0.41</v>
      </c>
      <c r="W413">
        <v>3</v>
      </c>
      <c r="X413" t="s">
        <v>293</v>
      </c>
      <c r="Y413" s="61">
        <v>26.2</v>
      </c>
      <c r="Z413" s="61">
        <v>1.31</v>
      </c>
      <c r="AA413" s="61">
        <v>1.73</v>
      </c>
      <c r="AB413" s="61">
        <v>3.04</v>
      </c>
      <c r="AD413">
        <v>3</v>
      </c>
      <c r="AE413" t="s">
        <v>293</v>
      </c>
      <c r="AF413" s="117">
        <v>106</v>
      </c>
      <c r="AG413" s="61">
        <v>4.2</v>
      </c>
      <c r="AH413" s="61">
        <v>5.24</v>
      </c>
      <c r="AI413" s="61">
        <v>10.4</v>
      </c>
    </row>
    <row r="414" spans="2:35">
      <c r="D414" t="s">
        <v>294</v>
      </c>
      <c r="E414">
        <v>1</v>
      </c>
      <c r="F414" s="92"/>
      <c r="G414" s="92">
        <f>E413/G413</f>
        <v>8.72463768115942</v>
      </c>
      <c r="H414" s="92">
        <f>E413/H413</f>
        <v>6.8409090909090908</v>
      </c>
      <c r="I414" s="92">
        <f>E413/I413</f>
        <v>10.56140350877193</v>
      </c>
      <c r="J414" s="92">
        <f>E413/J413</f>
        <v>8.72463768115942</v>
      </c>
      <c r="K414" s="92">
        <f>E413/K413</f>
        <v>7.1666666666666661</v>
      </c>
      <c r="Q414" t="s">
        <v>294</v>
      </c>
      <c r="R414">
        <v>1</v>
      </c>
      <c r="S414" s="61">
        <f>R413/S413</f>
        <v>13.083333333333334</v>
      </c>
      <c r="T414" s="92">
        <f>R413/T413</f>
        <v>4.2432432432432439</v>
      </c>
      <c r="U414" s="92">
        <f>R413/U413</f>
        <v>3.8292682926829271</v>
      </c>
      <c r="X414" t="s">
        <v>294</v>
      </c>
      <c r="Y414">
        <v>1</v>
      </c>
      <c r="Z414" s="61">
        <f>Y413/Z413</f>
        <v>20</v>
      </c>
      <c r="AA414" s="117">
        <f>Y413/AA413</f>
        <v>15.144508670520231</v>
      </c>
      <c r="AB414" s="61">
        <f>Y413/AB413</f>
        <v>8.6184210526315788</v>
      </c>
      <c r="AE414" t="s">
        <v>294</v>
      </c>
      <c r="AF414">
        <v>1</v>
      </c>
      <c r="AG414" s="61">
        <f>AF413/AG413</f>
        <v>25.238095238095237</v>
      </c>
      <c r="AH414" s="117">
        <f>AF413/AH413</f>
        <v>20.229007633587784</v>
      </c>
      <c r="AI414" s="117">
        <f>AF413/AI413</f>
        <v>10.192307692307692</v>
      </c>
    </row>
    <row r="416" spans="2:35">
      <c r="C416">
        <v>4</v>
      </c>
      <c r="D416" t="s">
        <v>293</v>
      </c>
      <c r="E416" s="92">
        <v>7.24</v>
      </c>
      <c r="F416" s="92"/>
      <c r="G416" s="92">
        <v>0.61</v>
      </c>
      <c r="H416" s="92">
        <v>0.92</v>
      </c>
      <c r="I416" s="92">
        <v>0.61</v>
      </c>
      <c r="J416" s="92">
        <v>0.61</v>
      </c>
      <c r="K416" s="92">
        <v>0.94</v>
      </c>
      <c r="M416">
        <v>0.92</v>
      </c>
      <c r="P416">
        <v>4</v>
      </c>
      <c r="Q416" t="s">
        <v>293</v>
      </c>
      <c r="R416" s="92">
        <v>1.95</v>
      </c>
      <c r="S416" s="92">
        <v>0.13</v>
      </c>
      <c r="T416" s="92">
        <v>0.37</v>
      </c>
      <c r="U416" s="92">
        <v>0.42</v>
      </c>
      <c r="W416">
        <v>4</v>
      </c>
      <c r="X416" t="s">
        <v>293</v>
      </c>
      <c r="Y416" s="61">
        <v>30.4</v>
      </c>
      <c r="Z416" s="61">
        <v>1.52</v>
      </c>
      <c r="AA416" s="61">
        <v>1.96</v>
      </c>
      <c r="AB416" s="61">
        <v>2.84</v>
      </c>
      <c r="AD416">
        <v>4</v>
      </c>
      <c r="AE416" t="s">
        <v>293</v>
      </c>
      <c r="AF416" s="117">
        <v>125</v>
      </c>
      <c r="AG416" s="61">
        <v>5</v>
      </c>
      <c r="AH416" s="61">
        <v>6.03</v>
      </c>
      <c r="AI416" s="61">
        <v>10.7</v>
      </c>
    </row>
    <row r="417" spans="1:35">
      <c r="D417" t="s">
        <v>294</v>
      </c>
      <c r="E417">
        <v>1</v>
      </c>
      <c r="F417" s="92"/>
      <c r="G417" s="61">
        <f>E416/G416</f>
        <v>11.868852459016393</v>
      </c>
      <c r="H417" s="92">
        <f>E416/H416</f>
        <v>7.8695652173913047</v>
      </c>
      <c r="I417" s="92">
        <f>E416/I416</f>
        <v>11.868852459016393</v>
      </c>
      <c r="J417" s="61">
        <f>E416/J416</f>
        <v>11.868852459016393</v>
      </c>
      <c r="K417" s="92">
        <f>E416/K416</f>
        <v>7.7021276595744688</v>
      </c>
      <c r="Q417" t="s">
        <v>294</v>
      </c>
      <c r="R417">
        <v>1</v>
      </c>
      <c r="S417" s="61">
        <f>R416/S416</f>
        <v>15</v>
      </c>
      <c r="T417" s="92">
        <f>R416/T416</f>
        <v>5.2702702702702702</v>
      </c>
      <c r="U417" s="92">
        <f>R416/U416</f>
        <v>4.6428571428571432</v>
      </c>
      <c r="X417" t="s">
        <v>294</v>
      </c>
      <c r="Y417">
        <v>1</v>
      </c>
      <c r="Z417" s="61">
        <f>Y416/Z416</f>
        <v>20</v>
      </c>
      <c r="AA417" s="117">
        <f>Y416/AA416</f>
        <v>15.510204081632653</v>
      </c>
      <c r="AB417" s="117">
        <f>Y416/AB416</f>
        <v>10.704225352112676</v>
      </c>
      <c r="AE417" t="s">
        <v>294</v>
      </c>
      <c r="AF417">
        <v>1</v>
      </c>
      <c r="AG417" s="61">
        <f>AF416/AG416</f>
        <v>25</v>
      </c>
      <c r="AH417" s="117">
        <f>AF416/AH416</f>
        <v>20.729684908789384</v>
      </c>
      <c r="AI417" s="117">
        <f>AF416/AI416</f>
        <v>11.682242990654206</v>
      </c>
    </row>
    <row r="421" spans="1:35" ht="81">
      <c r="J421" s="146" t="s">
        <v>445</v>
      </c>
      <c r="K421" s="146" t="s">
        <v>451</v>
      </c>
      <c r="M421" s="146"/>
      <c r="Q421" s="146" t="s">
        <v>445</v>
      </c>
      <c r="R421" s="146" t="s">
        <v>450</v>
      </c>
      <c r="T421" s="146"/>
      <c r="W421" s="146" t="s">
        <v>445</v>
      </c>
      <c r="X421" s="146" t="s">
        <v>425</v>
      </c>
      <c r="Z421" s="146"/>
    </row>
    <row r="422" spans="1:35" ht="67.5">
      <c r="I422" s="147" t="s">
        <v>421</v>
      </c>
      <c r="J422" s="147" t="s">
        <v>412</v>
      </c>
      <c r="K422" s="147" t="s">
        <v>408</v>
      </c>
      <c r="L422" s="147" t="s">
        <v>414</v>
      </c>
      <c r="M422" s="147" t="s">
        <v>415</v>
      </c>
      <c r="P422" s="147" t="s">
        <v>421</v>
      </c>
      <c r="Q422" s="147" t="s">
        <v>412</v>
      </c>
      <c r="R422" s="147" t="s">
        <v>408</v>
      </c>
      <c r="S422" s="147" t="s">
        <v>414</v>
      </c>
      <c r="T422" s="147" t="s">
        <v>415</v>
      </c>
      <c r="V422" s="147" t="s">
        <v>421</v>
      </c>
      <c r="W422" s="147" t="s">
        <v>412</v>
      </c>
      <c r="X422" s="147" t="s">
        <v>408</v>
      </c>
      <c r="Y422" s="147" t="s">
        <v>414</v>
      </c>
      <c r="Z422" s="147" t="s">
        <v>415</v>
      </c>
    </row>
    <row r="423" spans="1:35" ht="40.5">
      <c r="A423" s="146" t="s">
        <v>448</v>
      </c>
      <c r="B423" s="146" t="s">
        <v>446</v>
      </c>
      <c r="C423" s="146" t="s">
        <v>229</v>
      </c>
      <c r="D423" s="146" t="s">
        <v>290</v>
      </c>
      <c r="E423" s="146" t="s">
        <v>453</v>
      </c>
      <c r="I423" s="44">
        <v>1</v>
      </c>
      <c r="J423" s="141">
        <f>T408/U408-1</f>
        <v>0.21212121212121238</v>
      </c>
      <c r="K423" s="141">
        <f>G408/H408-1</f>
        <v>1.0727272727272723</v>
      </c>
      <c r="L423" s="141">
        <f>AA408/AB408-1</f>
        <v>1.4234234234234231</v>
      </c>
      <c r="M423" s="141">
        <f>AH408/AI408-1</f>
        <v>1.7223719676549862</v>
      </c>
      <c r="P423" s="44">
        <v>1</v>
      </c>
      <c r="Q423" s="141">
        <f>T408/S408-1</f>
        <v>-0.69696969696969691</v>
      </c>
      <c r="R423" s="141">
        <f>G408/I408-1</f>
        <v>-0.70909090909090911</v>
      </c>
      <c r="S423" s="141">
        <f>AA408/Z408-1</f>
        <v>-6.3063063063063085E-2</v>
      </c>
      <c r="T423" s="141">
        <f>AH408/AG408-1</f>
        <v>-0.14016172506738556</v>
      </c>
      <c r="V423" s="44">
        <v>1</v>
      </c>
      <c r="W423" s="57">
        <f>T408</f>
        <v>1.393939393939394</v>
      </c>
      <c r="X423" s="57">
        <f>G408</f>
        <v>2.4727272727272727</v>
      </c>
      <c r="Y423" s="57">
        <f>AA408</f>
        <v>7.3513513513513509</v>
      </c>
      <c r="Z423" s="57">
        <f>AH408</f>
        <v>7.4123989218328843</v>
      </c>
    </row>
    <row r="424" spans="1:35">
      <c r="A424">
        <v>6.2</v>
      </c>
      <c r="B424">
        <v>9.6</v>
      </c>
      <c r="C424">
        <v>4.3</v>
      </c>
      <c r="D424">
        <v>3.1</v>
      </c>
      <c r="E424">
        <v>9.1999999999999993</v>
      </c>
      <c r="I424" s="44">
        <v>2</v>
      </c>
      <c r="J424" s="141">
        <f>T411/U411-1</f>
        <v>0.21212121212121215</v>
      </c>
      <c r="K424" s="141">
        <f>G411/H411-1</f>
        <v>1.1666666666666665</v>
      </c>
      <c r="L424" s="141">
        <f>AA411/AB411-1</f>
        <v>0.81987577639751552</v>
      </c>
      <c r="M424" s="141">
        <f>AH411/AI411-1</f>
        <v>1.2153209109730847</v>
      </c>
      <c r="P424" s="44">
        <v>2</v>
      </c>
      <c r="Q424" s="141">
        <f>T411/S411-1</f>
        <v>-0.66666666666666674</v>
      </c>
      <c r="R424" s="141">
        <f>G411/I411-1</f>
        <v>-3.703703703703709E-2</v>
      </c>
      <c r="S424" s="141">
        <f>AA411/Z411-1</f>
        <v>-0.26708074534161486</v>
      </c>
      <c r="T424" s="141">
        <f>AH411/AG411-1</f>
        <v>-0.2795031055900622</v>
      </c>
      <c r="V424" s="44">
        <v>2</v>
      </c>
      <c r="W424" s="57">
        <f>T411</f>
        <v>4.0606060606060606</v>
      </c>
      <c r="X424" s="57">
        <f>G411</f>
        <v>9.2037037037037024</v>
      </c>
      <c r="Y424" s="121">
        <f>AA411</f>
        <v>13.664596273291925</v>
      </c>
      <c r="Z424" s="121">
        <f>AH411</f>
        <v>18.15734989648033</v>
      </c>
    </row>
    <row r="425" spans="1:35">
      <c r="I425" s="44">
        <v>3</v>
      </c>
      <c r="J425" s="141">
        <f>T414/U414-1</f>
        <v>0.10810810810810811</v>
      </c>
      <c r="K425" s="141">
        <f>G414/H414-1</f>
        <v>0.2753623188405796</v>
      </c>
      <c r="L425" s="141">
        <f>AA414/AB414-1</f>
        <v>0.75722543352601157</v>
      </c>
      <c r="M425" s="141">
        <f>AH414/AI414-1</f>
        <v>0.98473282442748089</v>
      </c>
      <c r="P425" s="44">
        <v>3</v>
      </c>
      <c r="Q425" s="141">
        <f>T414/S414-1</f>
        <v>-0.67567567567567566</v>
      </c>
      <c r="R425" s="141">
        <f>G414/I414-1</f>
        <v>-0.17391304347826086</v>
      </c>
      <c r="S425" s="141">
        <f>AA414/Z414-1</f>
        <v>-0.24277456647398843</v>
      </c>
      <c r="T425" s="141">
        <f>AH414/AG414-1</f>
        <v>-0.1984732824427482</v>
      </c>
      <c r="V425" s="44">
        <v>3</v>
      </c>
      <c r="W425" s="57">
        <f>T414</f>
        <v>4.2432432432432439</v>
      </c>
      <c r="X425" s="57">
        <f>G414</f>
        <v>8.72463768115942</v>
      </c>
      <c r="Y425" s="121">
        <f>AA414</f>
        <v>15.144508670520231</v>
      </c>
      <c r="Z425" s="121">
        <f>AH414</f>
        <v>20.229007633587784</v>
      </c>
    </row>
    <row r="426" spans="1:35">
      <c r="I426" s="44">
        <v>4</v>
      </c>
      <c r="J426" s="141">
        <f>T417/U417-1</f>
        <v>0.13513513513513509</v>
      </c>
      <c r="K426" s="141">
        <f>G417/H417-1</f>
        <v>0.50819672131147531</v>
      </c>
      <c r="L426" s="141">
        <f>AA417/AB417-1</f>
        <v>0.44897959183673475</v>
      </c>
      <c r="M426" s="141">
        <f>AH417/AI417-1</f>
        <v>0.77446102819237117</v>
      </c>
      <c r="P426" s="44">
        <v>4</v>
      </c>
      <c r="Q426" s="141">
        <f>T417/S417-1</f>
        <v>-0.64864864864864868</v>
      </c>
      <c r="R426" s="141">
        <f>G417/I417-1</f>
        <v>0</v>
      </c>
      <c r="S426" s="141">
        <f>AA417/Z417-1</f>
        <v>-0.22448979591836737</v>
      </c>
      <c r="T426" s="141">
        <f>AH417/AG417-1</f>
        <v>-0.17081260364842465</v>
      </c>
      <c r="V426" s="44">
        <v>4</v>
      </c>
      <c r="W426" s="57">
        <f>T417</f>
        <v>5.2702702702702702</v>
      </c>
      <c r="X426" s="121">
        <f>G417</f>
        <v>11.868852459016393</v>
      </c>
      <c r="Y426" s="121">
        <f>AA417</f>
        <v>15.510204081632653</v>
      </c>
      <c r="Z426" s="121">
        <f>AH417</f>
        <v>20.729684908789384</v>
      </c>
    </row>
    <row r="428" spans="1:35">
      <c r="I428" s="175" t="s">
        <v>430</v>
      </c>
      <c r="J428" s="175"/>
      <c r="K428" s="175"/>
      <c r="L428" s="175"/>
      <c r="M428" s="175"/>
      <c r="P428" s="175" t="s">
        <v>430</v>
      </c>
      <c r="Q428" s="175"/>
      <c r="R428" s="175"/>
      <c r="S428" s="175"/>
      <c r="T428" s="175"/>
      <c r="V428" s="175" t="s">
        <v>428</v>
      </c>
      <c r="W428" s="175"/>
      <c r="X428" s="175"/>
      <c r="Y428" s="175"/>
      <c r="Z428" s="175"/>
    </row>
    <row r="430" spans="1:35">
      <c r="K430" t="s">
        <v>395</v>
      </c>
      <c r="R430" t="s">
        <v>395</v>
      </c>
      <c r="X430" t="s">
        <v>395</v>
      </c>
    </row>
    <row r="435" spans="3:3">
      <c r="C435" t="s">
        <v>452</v>
      </c>
    </row>
  </sheetData>
  <mergeCells count="155">
    <mergeCell ref="AC130:AF130"/>
    <mergeCell ref="X122:AA122"/>
    <mergeCell ref="T186:T187"/>
    <mergeCell ref="U186:V186"/>
    <mergeCell ref="W186:X186"/>
    <mergeCell ref="Y186:Z186"/>
    <mergeCell ref="T295:U295"/>
    <mergeCell ref="B36:B37"/>
    <mergeCell ref="C36:C37"/>
    <mergeCell ref="D36:E36"/>
    <mergeCell ref="F36:G36"/>
    <mergeCell ref="H36:I36"/>
    <mergeCell ref="J36:K36"/>
    <mergeCell ref="L36:M36"/>
    <mergeCell ref="B62:B63"/>
    <mergeCell ref="C62:C63"/>
    <mergeCell ref="D62:E62"/>
    <mergeCell ref="F62:G62"/>
    <mergeCell ref="H62:I62"/>
    <mergeCell ref="J62:K62"/>
    <mergeCell ref="L62:M62"/>
    <mergeCell ref="B48:B49"/>
    <mergeCell ref="C48:C49"/>
    <mergeCell ref="D48:E48"/>
    <mergeCell ref="B5:B6"/>
    <mergeCell ref="C5:C6"/>
    <mergeCell ref="D5:E5"/>
    <mergeCell ref="F5:G5"/>
    <mergeCell ref="H5:I5"/>
    <mergeCell ref="J5:K5"/>
    <mergeCell ref="L17:M17"/>
    <mergeCell ref="B17:B18"/>
    <mergeCell ref="C17:C18"/>
    <mergeCell ref="D17:E17"/>
    <mergeCell ref="F17:G17"/>
    <mergeCell ref="H17:I17"/>
    <mergeCell ref="J17:K17"/>
    <mergeCell ref="N82:O82"/>
    <mergeCell ref="B71:B72"/>
    <mergeCell ref="C71:C72"/>
    <mergeCell ref="D71:E71"/>
    <mergeCell ref="F71:G71"/>
    <mergeCell ref="H71:I71"/>
    <mergeCell ref="J71:K71"/>
    <mergeCell ref="F48:G48"/>
    <mergeCell ref="H48:I48"/>
    <mergeCell ref="J48:K48"/>
    <mergeCell ref="L48:M48"/>
    <mergeCell ref="H141:I141"/>
    <mergeCell ref="J141:K141"/>
    <mergeCell ref="L71:M71"/>
    <mergeCell ref="B82:B83"/>
    <mergeCell ref="C82:C83"/>
    <mergeCell ref="D82:E82"/>
    <mergeCell ref="F82:G82"/>
    <mergeCell ref="H82:I82"/>
    <mergeCell ref="J82:K82"/>
    <mergeCell ref="L82:M82"/>
    <mergeCell ref="F108:G108"/>
    <mergeCell ref="C108:C109"/>
    <mergeCell ref="D108:E108"/>
    <mergeCell ref="L141:M141"/>
    <mergeCell ref="N171:O171"/>
    <mergeCell ref="H108:I108"/>
    <mergeCell ref="J108:K108"/>
    <mergeCell ref="L108:M108"/>
    <mergeCell ref="B198:B199"/>
    <mergeCell ref="C198:C199"/>
    <mergeCell ref="D198:E198"/>
    <mergeCell ref="F198:G198"/>
    <mergeCell ref="H198:I198"/>
    <mergeCell ref="J198:K198"/>
    <mergeCell ref="L198:M198"/>
    <mergeCell ref="N198:O198"/>
    <mergeCell ref="N108:O108"/>
    <mergeCell ref="B171:B172"/>
    <mergeCell ref="C171:C172"/>
    <mergeCell ref="D171:E171"/>
    <mergeCell ref="F171:G171"/>
    <mergeCell ref="H171:I171"/>
    <mergeCell ref="J171:K171"/>
    <mergeCell ref="L171:M171"/>
    <mergeCell ref="B141:B142"/>
    <mergeCell ref="C141:C142"/>
    <mergeCell ref="D141:E141"/>
    <mergeCell ref="F141:G141"/>
    <mergeCell ref="N309:O309"/>
    <mergeCell ref="B221:B222"/>
    <mergeCell ref="C221:C222"/>
    <mergeCell ref="D221:E221"/>
    <mergeCell ref="F221:G221"/>
    <mergeCell ref="H221:I221"/>
    <mergeCell ref="J221:K221"/>
    <mergeCell ref="L221:M221"/>
    <mergeCell ref="N221:O221"/>
    <mergeCell ref="B288:B289"/>
    <mergeCell ref="C288:C289"/>
    <mergeCell ref="D288:E288"/>
    <mergeCell ref="F288:G288"/>
    <mergeCell ref="H288:I288"/>
    <mergeCell ref="J288:K288"/>
    <mergeCell ref="L288:M288"/>
    <mergeCell ref="N288:O288"/>
    <mergeCell ref="H242:I242"/>
    <mergeCell ref="J242:K242"/>
    <mergeCell ref="L242:M242"/>
    <mergeCell ref="N242:O242"/>
    <mergeCell ref="N141:O141"/>
    <mergeCell ref="B108:B109"/>
    <mergeCell ref="T29:U29"/>
    <mergeCell ref="V29:W29"/>
    <mergeCell ref="S29:S30"/>
    <mergeCell ref="B309:B310"/>
    <mergeCell ref="C309:C310"/>
    <mergeCell ref="D309:E309"/>
    <mergeCell ref="F309:G309"/>
    <mergeCell ref="H309:I309"/>
    <mergeCell ref="J309:K309"/>
    <mergeCell ref="L309:M309"/>
    <mergeCell ref="B265:B266"/>
    <mergeCell ref="C265:C266"/>
    <mergeCell ref="D265:E265"/>
    <mergeCell ref="F265:G265"/>
    <mergeCell ref="H265:I265"/>
    <mergeCell ref="J265:K265"/>
    <mergeCell ref="L265:M265"/>
    <mergeCell ref="N265:O265"/>
    <mergeCell ref="B242:B243"/>
    <mergeCell ref="C242:C243"/>
    <mergeCell ref="D242:E242"/>
    <mergeCell ref="F242:G242"/>
    <mergeCell ref="P428:T428"/>
    <mergeCell ref="V428:Z428"/>
    <mergeCell ref="I428:M428"/>
    <mergeCell ref="P397:T397"/>
    <mergeCell ref="V397:Z397"/>
    <mergeCell ref="T11:V11"/>
    <mergeCell ref="B365:B366"/>
    <mergeCell ref="C365:C366"/>
    <mergeCell ref="D365:E365"/>
    <mergeCell ref="F365:G365"/>
    <mergeCell ref="H365:I365"/>
    <mergeCell ref="J365:K365"/>
    <mergeCell ref="X29:Y29"/>
    <mergeCell ref="T23:U23"/>
    <mergeCell ref="V23:W23"/>
    <mergeCell ref="B332:B333"/>
    <mergeCell ref="C332:C333"/>
    <mergeCell ref="D332:E332"/>
    <mergeCell ref="F332:G332"/>
    <mergeCell ref="H332:I332"/>
    <mergeCell ref="J332:K332"/>
    <mergeCell ref="L332:M332"/>
    <mergeCell ref="N332:O332"/>
    <mergeCell ref="S23:S24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1</vt:i4>
      </vt:variant>
    </vt:vector>
  </HeadingPairs>
  <TitlesOfParts>
    <vt:vector size="11" baseType="lpstr">
      <vt:lpstr>870</vt:lpstr>
      <vt:lpstr>3770K</vt:lpstr>
      <vt:lpstr>8350</vt:lpstr>
      <vt:lpstr>8350m</vt:lpstr>
      <vt:lpstr>870m</vt:lpstr>
      <vt:lpstr>3770m</vt:lpstr>
      <vt:lpstr>骨骼动画时间分布-508</vt:lpstr>
      <vt:lpstr>草稿</vt:lpstr>
      <vt:lpstr>骨骼动画时间分布-503</vt:lpstr>
      <vt:lpstr>Particle</vt:lpstr>
      <vt:lpstr>'870'!OLE_LINK15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508-oldM</dc:creator>
  <cp:lastModifiedBy>508-LL</cp:lastModifiedBy>
  <cp:lastPrinted>2013-11-13T11:47:16Z</cp:lastPrinted>
  <dcterms:created xsi:type="dcterms:W3CDTF">2013-06-18T08:36:58Z</dcterms:created>
  <dcterms:modified xsi:type="dcterms:W3CDTF">2014-02-13T08:26:17Z</dcterms:modified>
</cp:coreProperties>
</file>