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5460"/>
  </bookViews>
  <sheets>
    <sheet name="Flash_Daxon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AC58" i="1"/>
  <c r="AB58"/>
  <c r="AA58"/>
  <c r="Z58"/>
  <c r="AD58" s="1"/>
  <c r="Y58"/>
  <c r="X58"/>
  <c r="W58"/>
  <c r="V58"/>
  <c r="T58" s="1"/>
  <c r="U58"/>
  <c r="S58" s="1"/>
  <c r="Q58"/>
  <c r="P58"/>
  <c r="J58"/>
  <c r="N9" s="1"/>
  <c r="I58"/>
  <c r="N8" s="1"/>
  <c r="H58"/>
  <c r="F58"/>
  <c r="N7" s="1"/>
  <c r="E58"/>
  <c r="K58" s="1"/>
  <c r="D58"/>
  <c r="AD57"/>
  <c r="T57"/>
  <c r="S57"/>
  <c r="K57"/>
  <c r="G57"/>
  <c r="B57"/>
  <c r="M57" s="1"/>
  <c r="AD56"/>
  <c r="T56"/>
  <c r="S56"/>
  <c r="K56"/>
  <c r="G56"/>
  <c r="B56"/>
  <c r="M56" s="1"/>
  <c r="AD55"/>
  <c r="T55"/>
  <c r="S55"/>
  <c r="K55"/>
  <c r="G55"/>
  <c r="B55"/>
  <c r="M55" s="1"/>
  <c r="AD54"/>
  <c r="T54"/>
  <c r="S54"/>
  <c r="K54"/>
  <c r="G54"/>
  <c r="B54"/>
  <c r="M54" s="1"/>
  <c r="AD53"/>
  <c r="T53"/>
  <c r="S53"/>
  <c r="K53"/>
  <c r="G53"/>
  <c r="B53"/>
  <c r="M53" s="1"/>
  <c r="AD52"/>
  <c r="T52"/>
  <c r="S52"/>
  <c r="K52"/>
  <c r="G52"/>
  <c r="B52"/>
  <c r="M52" s="1"/>
  <c r="AD51"/>
  <c r="T51"/>
  <c r="S51"/>
  <c r="K51"/>
  <c r="G51"/>
  <c r="B51"/>
  <c r="M51" s="1"/>
  <c r="AD50"/>
  <c r="T50"/>
  <c r="S50"/>
  <c r="K50"/>
  <c r="G50"/>
  <c r="B50"/>
  <c r="M50" s="1"/>
  <c r="AD49"/>
  <c r="T49"/>
  <c r="S49"/>
  <c r="K49"/>
  <c r="G49"/>
  <c r="B49"/>
  <c r="M49" s="1"/>
  <c r="AD48"/>
  <c r="T48"/>
  <c r="S48"/>
  <c r="K48"/>
  <c r="G48"/>
  <c r="B48"/>
  <c r="M48" s="1"/>
  <c r="AD47"/>
  <c r="T47"/>
  <c r="S47"/>
  <c r="K47"/>
  <c r="G47"/>
  <c r="B47"/>
  <c r="M47" s="1"/>
  <c r="AD46"/>
  <c r="T46"/>
  <c r="S46"/>
  <c r="K46"/>
  <c r="G46"/>
  <c r="B46"/>
  <c r="M46" s="1"/>
  <c r="AD45"/>
  <c r="T45"/>
  <c r="S45"/>
  <c r="K45"/>
  <c r="G45"/>
  <c r="B45"/>
  <c r="M45" s="1"/>
  <c r="AD44"/>
  <c r="T44"/>
  <c r="S44"/>
  <c r="K44"/>
  <c r="G44"/>
  <c r="B44"/>
  <c r="M44" s="1"/>
  <c r="AD43"/>
  <c r="T43"/>
  <c r="S43"/>
  <c r="K43"/>
  <c r="G43"/>
  <c r="B43"/>
  <c r="M43" s="1"/>
  <c r="AD42"/>
  <c r="T42"/>
  <c r="S42"/>
  <c r="K42"/>
  <c r="G42"/>
  <c r="B42"/>
  <c r="M42" s="1"/>
  <c r="AD41"/>
  <c r="T41"/>
  <c r="S41"/>
  <c r="K41"/>
  <c r="G41"/>
  <c r="B41"/>
  <c r="M41" s="1"/>
  <c r="AD40"/>
  <c r="T40"/>
  <c r="S40"/>
  <c r="K40"/>
  <c r="G40"/>
  <c r="B40"/>
  <c r="M40" s="1"/>
  <c r="AD39"/>
  <c r="T39"/>
  <c r="S39"/>
  <c r="K39"/>
  <c r="G39"/>
  <c r="B39"/>
  <c r="M39" s="1"/>
  <c r="AD38"/>
  <c r="T38"/>
  <c r="S38"/>
  <c r="K38"/>
  <c r="G38"/>
  <c r="B38"/>
  <c r="M38" s="1"/>
  <c r="AD37"/>
  <c r="T37"/>
  <c r="S37"/>
  <c r="K37"/>
  <c r="G37"/>
  <c r="B37"/>
  <c r="M37" s="1"/>
  <c r="AD36"/>
  <c r="T36"/>
  <c r="S36"/>
  <c r="K36"/>
  <c r="G36"/>
  <c r="B36"/>
  <c r="M36" s="1"/>
  <c r="AD35"/>
  <c r="T35"/>
  <c r="S35"/>
  <c r="K35"/>
  <c r="G35"/>
  <c r="B35"/>
  <c r="M35" s="1"/>
  <c r="AD34"/>
  <c r="T34"/>
  <c r="S34"/>
  <c r="K34"/>
  <c r="G34"/>
  <c r="G58" s="1"/>
  <c r="F11" s="1"/>
  <c r="J11" s="1"/>
  <c r="B34"/>
  <c r="M34" s="1"/>
  <c r="F10"/>
  <c r="A10"/>
  <c r="F9"/>
  <c r="A9"/>
  <c r="F8"/>
  <c r="Y5"/>
  <c r="Y4"/>
  <c r="C57" s="1"/>
  <c r="N57" s="1"/>
  <c r="R57" s="1"/>
  <c r="A76" l="1"/>
  <c r="J7"/>
  <c r="O58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B58"/>
  <c r="Y6"/>
  <c r="AB5" s="1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Z5"/>
  <c r="C34"/>
  <c r="N34" s="1"/>
  <c r="R34" s="1"/>
  <c r="C35"/>
  <c r="N35" s="1"/>
  <c r="R35" s="1"/>
  <c r="C36"/>
  <c r="N36" s="1"/>
  <c r="R36" s="1"/>
  <c r="C37"/>
  <c r="N37" s="1"/>
  <c r="R37" s="1"/>
  <c r="C38"/>
  <c r="N38" s="1"/>
  <c r="R38" s="1"/>
  <c r="C39"/>
  <c r="N39" s="1"/>
  <c r="R39" s="1"/>
  <c r="C40"/>
  <c r="N40" s="1"/>
  <c r="R40" s="1"/>
  <c r="C41"/>
  <c r="N41" s="1"/>
  <c r="R41" s="1"/>
  <c r="C42"/>
  <c r="N42" s="1"/>
  <c r="R42" s="1"/>
  <c r="C43"/>
  <c r="N43" s="1"/>
  <c r="R43" s="1"/>
  <c r="C44"/>
  <c r="N44" s="1"/>
  <c r="R44" s="1"/>
  <c r="C45"/>
  <c r="N45" s="1"/>
  <c r="R45" s="1"/>
  <c r="C46"/>
  <c r="N46" s="1"/>
  <c r="R46" s="1"/>
  <c r="C47"/>
  <c r="N47" s="1"/>
  <c r="R47" s="1"/>
  <c r="C48"/>
  <c r="N48" s="1"/>
  <c r="R48" s="1"/>
  <c r="C49"/>
  <c r="N49" s="1"/>
  <c r="R49" s="1"/>
  <c r="C50"/>
  <c r="N50" s="1"/>
  <c r="R50" s="1"/>
  <c r="C51"/>
  <c r="N51" s="1"/>
  <c r="R51" s="1"/>
  <c r="C52"/>
  <c r="N52" s="1"/>
  <c r="R52" s="1"/>
  <c r="C53"/>
  <c r="N53" s="1"/>
  <c r="R53" s="1"/>
  <c r="C54"/>
  <c r="N54" s="1"/>
  <c r="R54" s="1"/>
  <c r="C55"/>
  <c r="N55" s="1"/>
  <c r="R55" s="1"/>
  <c r="C56"/>
  <c r="N56" s="1"/>
  <c r="R56" s="1"/>
  <c r="M58" l="1"/>
  <c r="F7"/>
  <c r="AA5"/>
  <c r="AC5"/>
  <c r="AD5"/>
  <c r="AE5"/>
  <c r="L58"/>
  <c r="C58"/>
  <c r="N58" s="1"/>
  <c r="A77" l="1"/>
  <c r="AE33"/>
  <c r="J8"/>
  <c r="D1"/>
  <c r="D3"/>
  <c r="A79"/>
  <c r="R58"/>
  <c r="J10"/>
  <c r="A78"/>
  <c r="J9"/>
</calcChain>
</file>

<file path=xl/sharedStrings.xml><?xml version="1.0" encoding="utf-8"?>
<sst xmlns="http://schemas.openxmlformats.org/spreadsheetml/2006/main" count="55" uniqueCount="44">
  <si>
    <t xml:space="preserve"> </t>
  </si>
  <si>
    <t>Lun</t>
  </si>
  <si>
    <t>Mar</t>
  </si>
  <si>
    <t>Mer</t>
  </si>
  <si>
    <t>Jeu</t>
  </si>
  <si>
    <t>Ven</t>
  </si>
  <si>
    <t>Sam</t>
  </si>
  <si>
    <t>DAXON AE</t>
  </si>
  <si>
    <t>Appels commandés</t>
  </si>
  <si>
    <t>QS = % Traités/ Reçus</t>
  </si>
  <si>
    <t>DMT</t>
  </si>
  <si>
    <t>Appels reçus</t>
  </si>
  <si>
    <t>QE = % Traités /Commandés</t>
  </si>
  <si>
    <t>DMC AE Demande</t>
  </si>
  <si>
    <t>Appels traités</t>
  </si>
  <si>
    <t>QP = % Reçus / Commandés</t>
  </si>
  <si>
    <t>DMC AE Commande</t>
  </si>
  <si>
    <t>Appels abandonnés</t>
  </si>
  <si>
    <t>QC = % Traités / Capacitaire</t>
  </si>
  <si>
    <t>Appels Dissuadés</t>
  </si>
  <si>
    <t>QD = % Dissuadés / Reçus</t>
  </si>
  <si>
    <t>Daxon AE</t>
  </si>
  <si>
    <t>Capacitaire en appels</t>
  </si>
  <si>
    <t>Appels dissuadés</t>
  </si>
  <si>
    <t>QS</t>
  </si>
  <si>
    <t>QE</t>
  </si>
  <si>
    <t>QP</t>
  </si>
  <si>
    <t>QC</t>
  </si>
  <si>
    <t>Taux d'engagement %</t>
  </si>
  <si>
    <t>Temps total en état disponible (en sec)</t>
  </si>
  <si>
    <t>Temps total en état disponible</t>
  </si>
  <si>
    <t>Taux DISPO</t>
  </si>
  <si>
    <t>DMT (en sec)</t>
  </si>
  <si>
    <t>DMC (en sec)</t>
  </si>
  <si>
    <t>DMC</t>
  </si>
  <si>
    <t>ACW (en sec)</t>
  </si>
  <si>
    <t>ACW</t>
  </si>
  <si>
    <t>Moyenne DMT            (en sec)</t>
  </si>
  <si>
    <t>Temps total connecté (en sec)</t>
  </si>
  <si>
    <t>Temps total connecté</t>
  </si>
  <si>
    <t>Total</t>
  </si>
  <si>
    <t>Cordialement,</t>
  </si>
  <si>
    <t>Le département Prévision-Planification-Vigie</t>
  </si>
  <si>
    <t>INTELCIA     www.intelcia.com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</si>
</sst>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[h]:mm:ss;@"/>
    <numFmt numFmtId="167" formatCode="_-* #,##0\ _€_-;\-* #,##0\ _€_-;_-* &quot;-&quot;??\ _€_-;_-@_-"/>
    <numFmt numFmtId="168" formatCode="0.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8.5"/>
      <color theme="0"/>
      <name val="Tahoma"/>
      <family val="2"/>
    </font>
    <font>
      <sz val="9"/>
      <color theme="0"/>
      <name val="Tahoma"/>
      <family val="2"/>
    </font>
    <font>
      <b/>
      <sz val="8"/>
      <color theme="0"/>
      <name val="Tahoma"/>
      <family val="2"/>
    </font>
    <font>
      <b/>
      <sz val="8"/>
      <color theme="1" tint="0.249977111117893"/>
      <name val="Tahoma"/>
      <family val="2"/>
    </font>
    <font>
      <sz val="8"/>
      <color theme="1" tint="0.249977111117893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FFFFFF"/>
      <name val="Tahoma"/>
      <family val="2"/>
    </font>
    <font>
      <b/>
      <sz val="9"/>
      <name val="Tahoma"/>
      <family val="2"/>
    </font>
    <font>
      <b/>
      <sz val="9"/>
      <color theme="1" tint="0.249977111117893"/>
      <name val="Tahoma"/>
      <family val="2"/>
    </font>
    <font>
      <sz val="9"/>
      <color theme="1" tint="0.249977111117893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9"/>
      <color theme="3" tint="0.39997558519241921"/>
      <name val="Tahoma"/>
      <family val="2"/>
    </font>
    <font>
      <b/>
      <sz val="9"/>
      <color rgb="FFFF66CC"/>
      <name val="Tahoma"/>
      <family val="2"/>
    </font>
    <font>
      <sz val="10"/>
      <name val="Arial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3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9" fontId="2" fillId="0" borderId="0" xfId="2" applyFont="1"/>
    <xf numFmtId="43" fontId="2" fillId="0" borderId="0" xfId="1" applyFont="1"/>
    <xf numFmtId="14" fontId="2" fillId="0" borderId="0" xfId="0" applyNumberFormat="1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0" fontId="5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/>
    </xf>
    <xf numFmtId="22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0" fontId="10" fillId="0" borderId="4" xfId="2" applyNumberFormat="1" applyFont="1" applyFill="1" applyBorder="1" applyAlignment="1">
      <alignment horizontal="center" vertical="center" wrapText="1"/>
    </xf>
    <xf numFmtId="22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9" fontId="13" fillId="0" borderId="0" xfId="2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vertical="center"/>
    </xf>
    <xf numFmtId="14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/>
    <xf numFmtId="14" fontId="2" fillId="0" borderId="0" xfId="0" applyNumberFormat="1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4" xfId="0" applyFont="1" applyBorder="1"/>
    <xf numFmtId="0" fontId="2" fillId="0" borderId="15" xfId="0" applyFont="1" applyBorder="1"/>
    <xf numFmtId="18" fontId="2" fillId="0" borderId="0" xfId="0" applyNumberFormat="1" applyFont="1"/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 wrapText="1"/>
    </xf>
    <xf numFmtId="43" fontId="14" fillId="2" borderId="20" xfId="1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/>
    </xf>
    <xf numFmtId="20" fontId="16" fillId="3" borderId="21" xfId="0" applyNumberFormat="1" applyFont="1" applyFill="1" applyBorder="1" applyAlignment="1">
      <alignment horizontal="center" vertical="center" wrapText="1"/>
    </xf>
    <xf numFmtId="1" fontId="17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1" fontId="17" fillId="3" borderId="4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1" fontId="17" fillId="3" borderId="4" xfId="2" applyNumberFormat="1" applyFont="1" applyFill="1" applyBorder="1" applyAlignment="1">
      <alignment horizontal="center" vertical="center"/>
    </xf>
    <xf numFmtId="10" fontId="13" fillId="0" borderId="4" xfId="0" applyNumberFormat="1" applyFont="1" applyBorder="1" applyAlignment="1">
      <alignment horizontal="center" vertical="center" wrapText="1"/>
    </xf>
    <xf numFmtId="10" fontId="13" fillId="0" borderId="4" xfId="0" applyNumberFormat="1" applyFont="1" applyBorder="1" applyAlignment="1">
      <alignment horizontal="center" vertical="center"/>
    </xf>
    <xf numFmtId="10" fontId="18" fillId="0" borderId="22" xfId="2" applyNumberFormat="1" applyFont="1" applyFill="1" applyBorder="1" applyAlignment="1">
      <alignment horizontal="center" vertical="center" wrapText="1"/>
    </xf>
    <xf numFmtId="9" fontId="18" fillId="0" borderId="7" xfId="2" applyFont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/>
    </xf>
    <xf numFmtId="165" fontId="16" fillId="3" borderId="4" xfId="0" applyNumberFormat="1" applyFont="1" applyFill="1" applyBorder="1" applyAlignment="1">
      <alignment horizontal="center" vertical="center" wrapText="1"/>
    </xf>
    <xf numFmtId="9" fontId="17" fillId="3" borderId="4" xfId="2" applyFont="1" applyFill="1" applyBorder="1" applyAlignment="1">
      <alignment horizontal="center" vertical="center"/>
    </xf>
    <xf numFmtId="43" fontId="17" fillId="3" borderId="4" xfId="1" applyFont="1" applyFill="1" applyBorder="1" applyAlignment="1">
      <alignment horizontal="center" vertical="center"/>
    </xf>
    <xf numFmtId="166" fontId="17" fillId="3" borderId="4" xfId="2" applyNumberFormat="1" applyFont="1" applyFill="1" applyBorder="1" applyAlignment="1">
      <alignment horizontal="center" vertical="center"/>
    </xf>
    <xf numFmtId="167" fontId="17" fillId="3" borderId="4" xfId="1" applyNumberFormat="1" applyFont="1" applyFill="1" applyBorder="1" applyAlignment="1">
      <alignment horizontal="center" vertical="center"/>
    </xf>
    <xf numFmtId="166" fontId="17" fillId="3" borderId="4" xfId="1" applyNumberFormat="1" applyFont="1" applyFill="1" applyBorder="1" applyAlignment="1">
      <alignment horizontal="center" vertical="center"/>
    </xf>
    <xf numFmtId="166" fontId="2" fillId="0" borderId="4" xfId="0" applyNumberFormat="1" applyFont="1" applyBorder="1"/>
    <xf numFmtId="165" fontId="16" fillId="3" borderId="4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1" fontId="16" fillId="3" borderId="24" xfId="0" applyNumberFormat="1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10" fontId="19" fillId="0" borderId="24" xfId="0" applyNumberFormat="1" applyFont="1" applyBorder="1" applyAlignment="1">
      <alignment horizontal="center" vertical="center"/>
    </xf>
    <xf numFmtId="167" fontId="16" fillId="3" borderId="7" xfId="1" applyNumberFormat="1" applyFont="1" applyFill="1" applyBorder="1"/>
    <xf numFmtId="166" fontId="16" fillId="3" borderId="4" xfId="0" applyNumberFormat="1" applyFont="1" applyFill="1" applyBorder="1" applyAlignment="1">
      <alignment horizontal="center" vertical="center"/>
    </xf>
    <xf numFmtId="9" fontId="16" fillId="3" borderId="4" xfId="2" applyFont="1" applyFill="1" applyBorder="1" applyAlignment="1">
      <alignment horizontal="center" vertical="center"/>
    </xf>
    <xf numFmtId="43" fontId="16" fillId="3" borderId="4" xfId="1" applyFont="1" applyFill="1" applyBorder="1" applyAlignment="1">
      <alignment horizontal="center" vertical="center"/>
    </xf>
    <xf numFmtId="166" fontId="16" fillId="3" borderId="4" xfId="2" applyNumberFormat="1" applyFont="1" applyFill="1" applyBorder="1" applyAlignment="1">
      <alignment horizontal="center" vertical="center"/>
    </xf>
    <xf numFmtId="167" fontId="16" fillId="3" borderId="4" xfId="1" applyNumberFormat="1" applyFont="1" applyFill="1" applyBorder="1" applyAlignment="1">
      <alignment horizontal="center" vertical="center"/>
    </xf>
    <xf numFmtId="166" fontId="16" fillId="3" borderId="4" xfId="1" applyNumberFormat="1" applyFont="1" applyFill="1" applyBorder="1" applyAlignment="1">
      <alignment horizontal="center" vertical="center"/>
    </xf>
    <xf numFmtId="166" fontId="12" fillId="0" borderId="4" xfId="0" applyNumberFormat="1" applyFont="1" applyBorder="1"/>
    <xf numFmtId="167" fontId="16" fillId="3" borderId="4" xfId="1" applyNumberFormat="1" applyFont="1" applyFill="1" applyBorder="1"/>
    <xf numFmtId="0" fontId="20" fillId="3" borderId="0" xfId="0" applyFont="1" applyFill="1" applyAlignment="1">
      <alignment horizontal="left" vertical="top"/>
    </xf>
    <xf numFmtId="0" fontId="20" fillId="3" borderId="0" xfId="0" applyFont="1" applyFill="1" applyAlignment="1">
      <alignment vertical="top"/>
    </xf>
    <xf numFmtId="0" fontId="21" fillId="3" borderId="0" xfId="0" applyFont="1" applyFill="1" applyAlignment="1">
      <alignment horizontal="left" vertical="top"/>
    </xf>
    <xf numFmtId="20" fontId="2" fillId="0" borderId="0" xfId="0" applyNumberFormat="1" applyFont="1"/>
    <xf numFmtId="168" fontId="2" fillId="0" borderId="0" xfId="0" applyNumberFormat="1" applyFont="1"/>
  </cellXfs>
  <cellStyles count="30">
    <cellStyle name="%" xfId="3"/>
    <cellStyle name="% 2" xfId="4"/>
    <cellStyle name="% 2 2" xfId="5"/>
    <cellStyle name="% 3" xfId="6"/>
    <cellStyle name="=C:\WINNT\SYSTEM32\COMMAND.COM" xfId="7"/>
    <cellStyle name="=C:\WINNT\SYSTEM32\COMMAND.COM 2" xfId="8"/>
    <cellStyle name="=C:\WINNT\SYSTEM32\COMMAND.COM 2 2" xfId="9"/>
    <cellStyle name="=C:\WINNT\SYSTEM32\COMMAND.COM 3" xfId="10"/>
    <cellStyle name="Milliers" xfId="1" builtinId="3"/>
    <cellStyle name="Milliers 2" xfId="11"/>
    <cellStyle name="Milliers 3" xfId="12"/>
    <cellStyle name="Milliers 4" xfId="13"/>
    <cellStyle name="Milliers 5" xfId="14"/>
    <cellStyle name="Milliers 6" xfId="15"/>
    <cellStyle name="Normal" xfId="0" builtinId="0"/>
    <cellStyle name="Normal 2" xfId="16"/>
    <cellStyle name="Normal 3" xfId="17"/>
    <cellStyle name="Normal 4" xfId="18"/>
    <cellStyle name="Normal 4 2" xfId="19"/>
    <cellStyle name="Normal 5" xfId="20"/>
    <cellStyle name="Normal 6" xfId="21"/>
    <cellStyle name="Normal 7" xfId="22"/>
    <cellStyle name="Pourcentage" xfId="2" builtinId="5"/>
    <cellStyle name="Pourcentage 2" xfId="23"/>
    <cellStyle name="Pourcentage 3" xfId="24"/>
    <cellStyle name="Pourcentage 4" xfId="25"/>
    <cellStyle name="Pourcentage 4 2" xfId="26"/>
    <cellStyle name="Pourcentage 5" xfId="27"/>
    <cellStyle name="Pourcentage 6" xfId="28"/>
    <cellStyle name="Pourcentage 7" xfId="29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3.3187875698054495E-2"/>
          <c:y val="4.7321776467851996E-2"/>
          <c:w val="0.95383911557350443"/>
          <c:h val="0.80008242598189949"/>
        </c:manualLayout>
      </c:layout>
      <c:barChart>
        <c:barDir val="col"/>
        <c:grouping val="stacked"/>
        <c:ser>
          <c:idx val="0"/>
          <c:order val="0"/>
          <c:tx>
            <c:v>Reçus</c:v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dPt>
            <c:idx val="3"/>
            <c:spPr>
              <a:solidFill>
                <a:srgbClr val="92D050"/>
              </a:solidFill>
              <a:ln w="0" cmpd="sng">
                <a:solidFill>
                  <a:schemeClr val="tx1"/>
                </a:solidFill>
              </a:ln>
            </c:spPr>
          </c:dPt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Flash_Daxon!$D$34:$D$57</c:f>
              <c:numCache>
                <c:formatCode>General</c:formatCode>
                <c:ptCount val="24"/>
                <c:pt idx="0">
                  <c:v>17</c:v>
                </c:pt>
                <c:pt idx="1">
                  <c:v>40</c:v>
                </c:pt>
                <c:pt idx="2">
                  <c:v>18</c:v>
                </c:pt>
                <c:pt idx="3">
                  <c:v>72</c:v>
                </c:pt>
                <c:pt idx="4">
                  <c:v>95</c:v>
                </c:pt>
                <c:pt idx="5">
                  <c:v>92</c:v>
                </c:pt>
                <c:pt idx="6">
                  <c:v>102</c:v>
                </c:pt>
                <c:pt idx="7">
                  <c:v>75</c:v>
                </c:pt>
                <c:pt idx="8">
                  <c:v>14</c:v>
                </c:pt>
                <c:pt idx="9">
                  <c:v>23</c:v>
                </c:pt>
                <c:pt idx="10">
                  <c:v>39</c:v>
                </c:pt>
                <c:pt idx="11">
                  <c:v>11</c:v>
                </c:pt>
                <c:pt idx="12">
                  <c:v>19</c:v>
                </c:pt>
                <c:pt idx="13">
                  <c:v>28</c:v>
                </c:pt>
                <c:pt idx="14">
                  <c:v>19</c:v>
                </c:pt>
                <c:pt idx="15">
                  <c:v>15</c:v>
                </c:pt>
                <c:pt idx="16">
                  <c:v>25</c:v>
                </c:pt>
                <c:pt idx="17">
                  <c:v>19</c:v>
                </c:pt>
                <c:pt idx="18">
                  <c:v>23</c:v>
                </c:pt>
                <c:pt idx="19">
                  <c:v>49</c:v>
                </c:pt>
                <c:pt idx="20">
                  <c:v>11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</c:numCache>
            </c:numRef>
          </c:val>
        </c:ser>
        <c:ser>
          <c:idx val="1"/>
          <c:order val="1"/>
          <c:tx>
            <c:v>Abandonnés</c:v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Flash_Daxon!$H$34:$H$57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overlap val="100"/>
        <c:axId val="91934080"/>
        <c:axId val="91976832"/>
      </c:barChart>
      <c:lineChart>
        <c:grouping val="standard"/>
        <c:ser>
          <c:idx val="3"/>
          <c:order val="2"/>
          <c:tx>
            <c:v>Commandés</c:v>
          </c:tx>
          <c:marker>
            <c:symbol val="none"/>
          </c:marker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Flash_Daxon!$B$34:$B$57</c:f>
              <c:numCache>
                <c:formatCode>0</c:formatCode>
                <c:ptCount val="24"/>
                <c:pt idx="0">
                  <c:v>16</c:v>
                </c:pt>
                <c:pt idx="1">
                  <c:v>26</c:v>
                </c:pt>
                <c:pt idx="2">
                  <c:v>46</c:v>
                </c:pt>
                <c:pt idx="3">
                  <c:v>64</c:v>
                </c:pt>
                <c:pt idx="4">
                  <c:v>78</c:v>
                </c:pt>
                <c:pt idx="5">
                  <c:v>86</c:v>
                </c:pt>
                <c:pt idx="6">
                  <c:v>80</c:v>
                </c:pt>
                <c:pt idx="7">
                  <c:v>66</c:v>
                </c:pt>
                <c:pt idx="8">
                  <c:v>36</c:v>
                </c:pt>
                <c:pt idx="9">
                  <c:v>28</c:v>
                </c:pt>
                <c:pt idx="10">
                  <c:v>24</c:v>
                </c:pt>
                <c:pt idx="11">
                  <c:v>34</c:v>
                </c:pt>
                <c:pt idx="12">
                  <c:v>52</c:v>
                </c:pt>
                <c:pt idx="13">
                  <c:v>58</c:v>
                </c:pt>
                <c:pt idx="14">
                  <c:v>68</c:v>
                </c:pt>
                <c:pt idx="15">
                  <c:v>58</c:v>
                </c:pt>
                <c:pt idx="16">
                  <c:v>60</c:v>
                </c:pt>
                <c:pt idx="17">
                  <c:v>56</c:v>
                </c:pt>
                <c:pt idx="18">
                  <c:v>50</c:v>
                </c:pt>
                <c:pt idx="19">
                  <c:v>44</c:v>
                </c:pt>
                <c:pt idx="20">
                  <c:v>44</c:v>
                </c:pt>
                <c:pt idx="21">
                  <c:v>34</c:v>
                </c:pt>
                <c:pt idx="22">
                  <c:v>16</c:v>
                </c:pt>
                <c:pt idx="23">
                  <c:v>10</c:v>
                </c:pt>
              </c:numCache>
            </c:numRef>
          </c:val>
        </c:ser>
        <c:ser>
          <c:idx val="2"/>
          <c:order val="3"/>
          <c:tx>
            <c:strRef>
              <c:f>Flash_Daxon!$C$33</c:f>
              <c:strCache>
                <c:ptCount val="1"/>
                <c:pt idx="0">
                  <c:v>Capacitaire en appels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Flash_Daxon!$A$34:$A$57</c:f>
              <c:numCache>
                <c:formatCode>hh:mm</c:formatCode>
                <c:ptCount val="24"/>
                <c:pt idx="0">
                  <c:v>0.29166666666666669</c:v>
                </c:pt>
                <c:pt idx="1">
                  <c:v>0.3125</c:v>
                </c:pt>
                <c:pt idx="2">
                  <c:v>0.33333333333333298</c:v>
                </c:pt>
                <c:pt idx="3">
                  <c:v>0.35416666666666602</c:v>
                </c:pt>
                <c:pt idx="4">
                  <c:v>0.375</c:v>
                </c:pt>
                <c:pt idx="5">
                  <c:v>0.39583333333333298</c:v>
                </c:pt>
                <c:pt idx="6">
                  <c:v>0.41666666666666702</c:v>
                </c:pt>
                <c:pt idx="7">
                  <c:v>0.4375</c:v>
                </c:pt>
                <c:pt idx="8">
                  <c:v>0.45833333333333298</c:v>
                </c:pt>
                <c:pt idx="9">
                  <c:v>0.47916666666666602</c:v>
                </c:pt>
                <c:pt idx="10">
                  <c:v>0.5</c:v>
                </c:pt>
                <c:pt idx="11">
                  <c:v>0.52083333333333304</c:v>
                </c:pt>
                <c:pt idx="12">
                  <c:v>0.54166666666666596</c:v>
                </c:pt>
                <c:pt idx="13">
                  <c:v>0.562499999999999</c:v>
                </c:pt>
                <c:pt idx="14">
                  <c:v>0.58333333333333304</c:v>
                </c:pt>
                <c:pt idx="15">
                  <c:v>0.60416666666666596</c:v>
                </c:pt>
                <c:pt idx="16">
                  <c:v>0.624999999999999</c:v>
                </c:pt>
                <c:pt idx="17">
                  <c:v>0.64583333333333204</c:v>
                </c:pt>
                <c:pt idx="18">
                  <c:v>0.66666666666666596</c:v>
                </c:pt>
                <c:pt idx="19">
                  <c:v>0.687499999999999</c:v>
                </c:pt>
                <c:pt idx="20">
                  <c:v>0.70833333333333204</c:v>
                </c:pt>
                <c:pt idx="21">
                  <c:v>0.72916666666666496</c:v>
                </c:pt>
                <c:pt idx="22">
                  <c:v>0.749999999999999</c:v>
                </c:pt>
                <c:pt idx="23">
                  <c:v>0.77083333333333204</c:v>
                </c:pt>
              </c:numCache>
            </c:numRef>
          </c:cat>
          <c:val>
            <c:numRef>
              <c:f>Flash_Daxon!$C$34:$C$57</c:f>
              <c:numCache>
                <c:formatCode>0</c:formatCode>
                <c:ptCount val="24"/>
                <c:pt idx="0">
                  <c:v>63</c:v>
                </c:pt>
                <c:pt idx="1">
                  <c:v>60</c:v>
                </c:pt>
                <c:pt idx="2">
                  <c:v>127</c:v>
                </c:pt>
                <c:pt idx="3">
                  <c:v>89</c:v>
                </c:pt>
                <c:pt idx="4">
                  <c:v>148</c:v>
                </c:pt>
                <c:pt idx="5">
                  <c:v>134</c:v>
                </c:pt>
                <c:pt idx="6">
                  <c:v>166</c:v>
                </c:pt>
                <c:pt idx="7">
                  <c:v>187</c:v>
                </c:pt>
                <c:pt idx="8">
                  <c:v>126</c:v>
                </c:pt>
                <c:pt idx="9">
                  <c:v>144</c:v>
                </c:pt>
                <c:pt idx="10">
                  <c:v>157</c:v>
                </c:pt>
                <c:pt idx="11">
                  <c:v>139</c:v>
                </c:pt>
                <c:pt idx="12">
                  <c:v>128</c:v>
                </c:pt>
                <c:pt idx="13">
                  <c:v>118</c:v>
                </c:pt>
                <c:pt idx="14">
                  <c:v>152</c:v>
                </c:pt>
                <c:pt idx="15">
                  <c:v>163</c:v>
                </c:pt>
                <c:pt idx="16">
                  <c:v>149</c:v>
                </c:pt>
                <c:pt idx="17">
                  <c:v>155</c:v>
                </c:pt>
                <c:pt idx="18">
                  <c:v>122</c:v>
                </c:pt>
                <c:pt idx="19">
                  <c:v>123</c:v>
                </c:pt>
                <c:pt idx="20">
                  <c:v>74</c:v>
                </c:pt>
                <c:pt idx="21">
                  <c:v>68</c:v>
                </c:pt>
                <c:pt idx="22">
                  <c:v>49</c:v>
                </c:pt>
                <c:pt idx="23">
                  <c:v>38</c:v>
                </c:pt>
              </c:numCache>
            </c:numRef>
          </c:val>
        </c:ser>
        <c:marker val="1"/>
        <c:axId val="91934080"/>
        <c:axId val="91976832"/>
      </c:lineChart>
      <c:catAx>
        <c:axId val="91934080"/>
        <c:scaling>
          <c:orientation val="minMax"/>
        </c:scaling>
        <c:axPos val="b"/>
        <c:numFmt formatCode="hh:mm" sourceLinked="1"/>
        <c:tickLblPos val="nextTo"/>
        <c:crossAx val="91976832"/>
        <c:crosses val="autoZero"/>
        <c:auto val="1"/>
        <c:lblAlgn val="ctr"/>
        <c:lblOffset val="100"/>
      </c:catAx>
      <c:valAx>
        <c:axId val="91976832"/>
        <c:scaling>
          <c:orientation val="minMax"/>
        </c:scaling>
        <c:axPos val="l"/>
        <c:majorGridlines/>
        <c:numFmt formatCode="General" sourceLinked="1"/>
        <c:tickLblPos val="nextTo"/>
        <c:crossAx val="9193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393848428680414"/>
          <c:y val="3.0444922428627751E-2"/>
          <c:w val="0.4496585026064801"/>
          <c:h val="0.10796998163874"/>
        </c:manualLayout>
      </c:layout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202C6.E75A986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19051</xdr:rowOff>
    </xdr:from>
    <xdr:to>
      <xdr:col>29</xdr:col>
      <xdr:colOff>657225</xdr:colOff>
      <xdr:row>29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78441</xdr:colOff>
      <xdr:row>61</xdr:row>
      <xdr:rowOff>2242</xdr:rowOff>
    </xdr:from>
    <xdr:to>
      <xdr:col>1</xdr:col>
      <xdr:colOff>781050</xdr:colOff>
      <xdr:row>62</xdr:row>
      <xdr:rowOff>215234</xdr:rowOff>
    </xdr:to>
    <xdr:pic>
      <xdr:nvPicPr>
        <xdr:cNvPr id="3" name="Image 2" descr="Description : Description : Description : Description : Description : Description : Description : Description : B_INTELCIA _LOGO.jp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489392"/>
          <a:ext cx="1578909" cy="40349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shQS_Daxo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ash_Daxon"/>
      <sheetName val="PDM"/>
      <sheetName val="Capa"/>
      <sheetName val="Img"/>
    </sheetNames>
    <sheetDataSet>
      <sheetData sheetId="0"/>
      <sheetData sheetId="1">
        <row r="4">
          <cell r="B4" t="str">
            <v>36</v>
          </cell>
          <cell r="C4" t="str">
            <v>18</v>
          </cell>
          <cell r="D4" t="str">
            <v>20</v>
          </cell>
          <cell r="E4" t="str">
            <v>20</v>
          </cell>
          <cell r="F4" t="str">
            <v>16</v>
          </cell>
          <cell r="G4" t="str">
            <v>14</v>
          </cell>
        </row>
        <row r="5">
          <cell r="B5" t="str">
            <v>56</v>
          </cell>
          <cell r="C5" t="str">
            <v>36</v>
          </cell>
          <cell r="D5" t="str">
            <v>30</v>
          </cell>
          <cell r="E5" t="str">
            <v>32</v>
          </cell>
          <cell r="F5" t="str">
            <v>26</v>
          </cell>
          <cell r="G5" t="str">
            <v>22</v>
          </cell>
        </row>
        <row r="6">
          <cell r="B6" t="str">
            <v>90</v>
          </cell>
          <cell r="C6" t="str">
            <v>54</v>
          </cell>
          <cell r="D6" t="str">
            <v>58</v>
          </cell>
          <cell r="E6" t="str">
            <v>46</v>
          </cell>
          <cell r="F6" t="str">
            <v>46</v>
          </cell>
          <cell r="G6" t="str">
            <v>30</v>
          </cell>
        </row>
        <row r="7">
          <cell r="B7" t="str">
            <v>106</v>
          </cell>
          <cell r="C7" t="str">
            <v>78</v>
          </cell>
          <cell r="D7" t="str">
            <v>74</v>
          </cell>
          <cell r="E7" t="str">
            <v>68</v>
          </cell>
          <cell r="F7" t="str">
            <v>64</v>
          </cell>
          <cell r="G7" t="str">
            <v>44</v>
          </cell>
        </row>
        <row r="8">
          <cell r="B8" t="str">
            <v>112</v>
          </cell>
          <cell r="C8" t="str">
            <v>98</v>
          </cell>
          <cell r="D8" t="str">
            <v>100</v>
          </cell>
          <cell r="E8" t="str">
            <v>82</v>
          </cell>
          <cell r="F8" t="str">
            <v>78</v>
          </cell>
          <cell r="G8" t="str">
            <v>52</v>
          </cell>
        </row>
        <row r="9">
          <cell r="B9" t="str">
            <v>104</v>
          </cell>
          <cell r="C9" t="str">
            <v>100</v>
          </cell>
          <cell r="D9" t="str">
            <v>86</v>
          </cell>
          <cell r="E9" t="str">
            <v>92</v>
          </cell>
          <cell r="F9" t="str">
            <v>86</v>
          </cell>
          <cell r="G9" t="str">
            <v>52</v>
          </cell>
        </row>
        <row r="10">
          <cell r="B10" t="str">
            <v>106</v>
          </cell>
          <cell r="C10" t="str">
            <v>88</v>
          </cell>
          <cell r="D10" t="str">
            <v>92</v>
          </cell>
          <cell r="E10" t="str">
            <v>80</v>
          </cell>
          <cell r="F10" t="str">
            <v>80</v>
          </cell>
          <cell r="G10" t="str">
            <v>60</v>
          </cell>
        </row>
        <row r="11">
          <cell r="B11" t="str">
            <v>90</v>
          </cell>
          <cell r="C11" t="str">
            <v>80</v>
          </cell>
          <cell r="D11" t="str">
            <v>72</v>
          </cell>
          <cell r="E11" t="str">
            <v>68</v>
          </cell>
          <cell r="F11" t="str">
            <v>66</v>
          </cell>
          <cell r="G11" t="str">
            <v>42</v>
          </cell>
        </row>
        <row r="12">
          <cell r="B12" t="str">
            <v>48</v>
          </cell>
          <cell r="C12" t="str">
            <v>42</v>
          </cell>
          <cell r="D12" t="str">
            <v>42</v>
          </cell>
          <cell r="E12" t="str">
            <v>34</v>
          </cell>
          <cell r="F12" t="str">
            <v>36</v>
          </cell>
          <cell r="G12" t="str">
            <v>34</v>
          </cell>
        </row>
        <row r="13">
          <cell r="B13" t="str">
            <v>32</v>
          </cell>
          <cell r="C13" t="str">
            <v>28</v>
          </cell>
          <cell r="D13" t="str">
            <v>28</v>
          </cell>
          <cell r="E13" t="str">
            <v>24</v>
          </cell>
          <cell r="F13" t="str">
            <v>28</v>
          </cell>
          <cell r="G13" t="str">
            <v>22</v>
          </cell>
        </row>
        <row r="14">
          <cell r="B14" t="str">
            <v>38</v>
          </cell>
          <cell r="C14" t="str">
            <v>36</v>
          </cell>
          <cell r="D14" t="str">
            <v>32</v>
          </cell>
          <cell r="E14" t="str">
            <v>38</v>
          </cell>
          <cell r="F14" t="str">
            <v>24</v>
          </cell>
          <cell r="G14" t="str">
            <v>20</v>
          </cell>
        </row>
        <row r="15">
          <cell r="B15" t="str">
            <v>60</v>
          </cell>
          <cell r="C15" t="str">
            <v>46</v>
          </cell>
          <cell r="D15" t="str">
            <v>46</v>
          </cell>
          <cell r="E15" t="str">
            <v>52</v>
          </cell>
          <cell r="F15" t="str">
            <v>34</v>
          </cell>
          <cell r="G15" t="str">
            <v>32</v>
          </cell>
        </row>
        <row r="16">
          <cell r="B16" t="str">
            <v>76</v>
          </cell>
          <cell r="C16" t="str">
            <v>62</v>
          </cell>
          <cell r="D16" t="str">
            <v>58</v>
          </cell>
          <cell r="E16" t="str">
            <v>68</v>
          </cell>
          <cell r="F16" t="str">
            <v>52</v>
          </cell>
          <cell r="G16" t="str">
            <v>30</v>
          </cell>
        </row>
        <row r="17">
          <cell r="B17" t="str">
            <v>90</v>
          </cell>
          <cell r="C17" t="str">
            <v>76</v>
          </cell>
          <cell r="D17" t="str">
            <v>62</v>
          </cell>
          <cell r="E17" t="str">
            <v>76</v>
          </cell>
          <cell r="F17" t="str">
            <v>58</v>
          </cell>
          <cell r="G17" t="str">
            <v>32</v>
          </cell>
        </row>
        <row r="18">
          <cell r="B18" t="str">
            <v>84</v>
          </cell>
          <cell r="C18" t="str">
            <v>82</v>
          </cell>
          <cell r="D18" t="str">
            <v>66</v>
          </cell>
          <cell r="E18" t="str">
            <v>66</v>
          </cell>
          <cell r="F18" t="str">
            <v>68</v>
          </cell>
          <cell r="G18" t="str">
            <v>40</v>
          </cell>
        </row>
        <row r="19">
          <cell r="B19" t="str">
            <v>84</v>
          </cell>
          <cell r="C19" t="str">
            <v>86</v>
          </cell>
          <cell r="D19" t="str">
            <v>74</v>
          </cell>
          <cell r="E19" t="str">
            <v>70</v>
          </cell>
          <cell r="F19" t="str">
            <v>58</v>
          </cell>
          <cell r="G19" t="str">
            <v>42</v>
          </cell>
        </row>
        <row r="20">
          <cell r="B20" t="str">
            <v>90</v>
          </cell>
          <cell r="C20" t="str">
            <v>78</v>
          </cell>
          <cell r="D20" t="str">
            <v>72</v>
          </cell>
          <cell r="E20" t="str">
            <v>72</v>
          </cell>
          <cell r="F20" t="str">
            <v>60</v>
          </cell>
          <cell r="G20" t="str">
            <v>38</v>
          </cell>
        </row>
        <row r="21">
          <cell r="B21" t="str">
            <v>94</v>
          </cell>
          <cell r="C21" t="str">
            <v>62</v>
          </cell>
          <cell r="D21" t="str">
            <v>64</v>
          </cell>
          <cell r="E21" t="str">
            <v>70</v>
          </cell>
          <cell r="F21" t="str">
            <v>56</v>
          </cell>
          <cell r="G21" t="str">
            <v>34</v>
          </cell>
        </row>
        <row r="22">
          <cell r="B22" t="str">
            <v>80</v>
          </cell>
          <cell r="C22" t="str">
            <v>66</v>
          </cell>
          <cell r="D22" t="str">
            <v>70</v>
          </cell>
          <cell r="E22" t="str">
            <v>58</v>
          </cell>
          <cell r="F22" t="str">
            <v>50</v>
          </cell>
          <cell r="G22" t="str">
            <v>34</v>
          </cell>
        </row>
        <row r="23">
          <cell r="B23" t="str">
            <v>74</v>
          </cell>
          <cell r="C23" t="str">
            <v>60</v>
          </cell>
          <cell r="D23" t="str">
            <v>56</v>
          </cell>
          <cell r="E23" t="str">
            <v>52</v>
          </cell>
          <cell r="F23" t="str">
            <v>44</v>
          </cell>
          <cell r="G23" t="str">
            <v>28</v>
          </cell>
        </row>
        <row r="24">
          <cell r="B24" t="str">
            <v>62</v>
          </cell>
          <cell r="C24" t="str">
            <v>44</v>
          </cell>
          <cell r="D24" t="str">
            <v>40</v>
          </cell>
          <cell r="E24" t="str">
            <v>40</v>
          </cell>
          <cell r="F24" t="str">
            <v>44</v>
          </cell>
          <cell r="G24" t="str">
            <v>28</v>
          </cell>
        </row>
        <row r="25">
          <cell r="B25" t="str">
            <v>42</v>
          </cell>
          <cell r="C25" t="str">
            <v>38</v>
          </cell>
          <cell r="D25" t="str">
            <v>32</v>
          </cell>
          <cell r="E25" t="str">
            <v>20</v>
          </cell>
          <cell r="F25" t="str">
            <v>34</v>
          </cell>
          <cell r="G25" t="str">
            <v>16</v>
          </cell>
        </row>
        <row r="26">
          <cell r="B26" t="str">
            <v>24</v>
          </cell>
          <cell r="C26" t="str">
            <v>20</v>
          </cell>
          <cell r="D26" t="str">
            <v>28</v>
          </cell>
          <cell r="E26" t="str">
            <v>16</v>
          </cell>
          <cell r="F26" t="str">
            <v>16</v>
          </cell>
          <cell r="G26" t="str">
            <v>16</v>
          </cell>
        </row>
        <row r="27">
          <cell r="B27" t="str">
            <v>16</v>
          </cell>
          <cell r="C27" t="str">
            <v>14</v>
          </cell>
          <cell r="D27" t="str">
            <v>18</v>
          </cell>
          <cell r="E27" t="str">
            <v>14</v>
          </cell>
          <cell r="F27" t="str">
            <v>10</v>
          </cell>
          <cell r="G27" t="str">
            <v>12</v>
          </cell>
        </row>
      </sheetData>
      <sheetData sheetId="2">
        <row r="4">
          <cell r="B4">
            <v>31.616937209510599</v>
          </cell>
          <cell r="C4">
            <v>69.486687017454202</v>
          </cell>
          <cell r="D4">
            <v>76.057029554666201</v>
          </cell>
          <cell r="E4">
            <v>59.446030547602803</v>
          </cell>
          <cell r="F4">
            <v>62.753619007236701</v>
          </cell>
        </row>
        <row r="5">
          <cell r="B5">
            <v>51.456393528141703</v>
          </cell>
          <cell r="C5">
            <v>79.722620912388606</v>
          </cell>
          <cell r="D5">
            <v>71.814296241709698</v>
          </cell>
          <cell r="E5">
            <v>54.640916767328797</v>
          </cell>
          <cell r="F5">
            <v>60.143792798705803</v>
          </cell>
        </row>
        <row r="6">
          <cell r="B6">
            <v>135.058499245467</v>
          </cell>
          <cell r="C6">
            <v>128.13752445623601</v>
          </cell>
          <cell r="D6">
            <v>129.473804742136</v>
          </cell>
          <cell r="E6">
            <v>153.113301548614</v>
          </cell>
          <cell r="F6">
            <v>127.02423778368301</v>
          </cell>
        </row>
        <row r="7">
          <cell r="B7">
            <v>103.980859711145</v>
          </cell>
          <cell r="C7">
            <v>95.930455817395696</v>
          </cell>
          <cell r="D7">
            <v>89.259823214400896</v>
          </cell>
          <cell r="E7">
            <v>118.931306990881</v>
          </cell>
          <cell r="F7">
            <v>89.165500595085803</v>
          </cell>
        </row>
        <row r="8">
          <cell r="B8">
            <v>149.54426680523599</v>
          </cell>
          <cell r="C8">
            <v>162.82041800300101</v>
          </cell>
          <cell r="D8">
            <v>160.481205642688</v>
          </cell>
          <cell r="E8">
            <v>141.93879615296501</v>
          </cell>
          <cell r="F8">
            <v>147.62208100245701</v>
          </cell>
        </row>
        <row r="9">
          <cell r="B9">
            <v>144.894354238185</v>
          </cell>
          <cell r="C9">
            <v>144.825695515885</v>
          </cell>
          <cell r="D9">
            <v>150.15711218783801</v>
          </cell>
          <cell r="E9">
            <v>172.57025202035399</v>
          </cell>
          <cell r="F9">
            <v>133.94284081166001</v>
          </cell>
        </row>
        <row r="10">
          <cell r="B10">
            <v>144.42627242455299</v>
          </cell>
          <cell r="C10">
            <v>160.58652262635599</v>
          </cell>
          <cell r="D10">
            <v>169.297773097983</v>
          </cell>
          <cell r="E10">
            <v>161.48514103957999</v>
          </cell>
          <cell r="F10">
            <v>165.81248363551799</v>
          </cell>
        </row>
        <row r="11">
          <cell r="B11">
            <v>161.919185102396</v>
          </cell>
          <cell r="C11">
            <v>183.82564046528199</v>
          </cell>
          <cell r="D11">
            <v>200.44496477671001</v>
          </cell>
          <cell r="E11">
            <v>204.48959453432599</v>
          </cell>
          <cell r="F11">
            <v>187.03248882506301</v>
          </cell>
        </row>
        <row r="12">
          <cell r="B12">
            <v>81.3808416468583</v>
          </cell>
          <cell r="C12">
            <v>111.853809875289</v>
          </cell>
          <cell r="D12">
            <v>104.64248367296101</v>
          </cell>
          <cell r="E12">
            <v>115.018135168231</v>
          </cell>
          <cell r="F12">
            <v>125.56434161498601</v>
          </cell>
        </row>
        <row r="13">
          <cell r="B13">
            <v>106.200597469253</v>
          </cell>
          <cell r="C13">
            <v>126.867689339731</v>
          </cell>
          <cell r="D13">
            <v>139.61657552141401</v>
          </cell>
          <cell r="E13">
            <v>138.02082802276601</v>
          </cell>
          <cell r="F13">
            <v>144.05356658388601</v>
          </cell>
        </row>
        <row r="14">
          <cell r="B14">
            <v>122.789589366892</v>
          </cell>
          <cell r="C14">
            <v>145.321002594828</v>
          </cell>
          <cell r="D14">
            <v>166.083093216284</v>
          </cell>
          <cell r="E14">
            <v>126.108194053677</v>
          </cell>
          <cell r="F14">
            <v>157.49954404054401</v>
          </cell>
        </row>
        <row r="15">
          <cell r="B15">
            <v>99.483848178794005</v>
          </cell>
          <cell r="C15">
            <v>123.925128512984</v>
          </cell>
          <cell r="D15">
            <v>145.491031923614</v>
          </cell>
          <cell r="E15">
            <v>108.410394786022</v>
          </cell>
          <cell r="F15">
            <v>139.074796705849</v>
          </cell>
        </row>
        <row r="16">
          <cell r="B16">
            <v>126.141906070481</v>
          </cell>
          <cell r="C16">
            <v>153.718578794715</v>
          </cell>
          <cell r="D16">
            <v>146.72951564965399</v>
          </cell>
          <cell r="E16">
            <v>153.33808506247999</v>
          </cell>
          <cell r="F16">
            <v>128.22979264154699</v>
          </cell>
        </row>
        <row r="17">
          <cell r="B17">
            <v>110.104064140791</v>
          </cell>
          <cell r="C17">
            <v>124.016766333758</v>
          </cell>
          <cell r="D17">
            <v>120.861485491042</v>
          </cell>
          <cell r="E17">
            <v>144.65844722050099</v>
          </cell>
          <cell r="F17">
            <v>117.702657671192</v>
          </cell>
        </row>
        <row r="18">
          <cell r="B18">
            <v>135.08833748593599</v>
          </cell>
          <cell r="C18">
            <v>166.36182316235599</v>
          </cell>
          <cell r="D18">
            <v>153.91686769167299</v>
          </cell>
          <cell r="E18">
            <v>179.24997240972201</v>
          </cell>
          <cell r="F18">
            <v>151.765557153098</v>
          </cell>
        </row>
        <row r="19">
          <cell r="B19">
            <v>128.53823410338001</v>
          </cell>
          <cell r="C19">
            <v>163.93478544648599</v>
          </cell>
          <cell r="D19">
            <v>150.146913603733</v>
          </cell>
          <cell r="E19">
            <v>147.05622004930001</v>
          </cell>
          <cell r="F19">
            <v>163.147818346897</v>
          </cell>
        </row>
        <row r="20">
          <cell r="B20">
            <v>127.259250640595</v>
          </cell>
          <cell r="C20">
            <v>155.275234492176</v>
          </cell>
          <cell r="D20">
            <v>169.46438091414299</v>
          </cell>
          <cell r="E20">
            <v>179.283634069171</v>
          </cell>
          <cell r="F20">
            <v>149.46308721837099</v>
          </cell>
        </row>
        <row r="21">
          <cell r="B21">
            <v>135.07347738353499</v>
          </cell>
          <cell r="C21">
            <v>147.53663171999801</v>
          </cell>
          <cell r="D21">
            <v>175.265183931655</v>
          </cell>
          <cell r="E21">
            <v>195.30976544948001</v>
          </cell>
          <cell r="F21">
            <v>154.52649847174001</v>
          </cell>
        </row>
        <row r="22">
          <cell r="B22">
            <v>67.746050916200701</v>
          </cell>
          <cell r="C22">
            <v>115.73466621301699</v>
          </cell>
          <cell r="D22">
            <v>127.421256288463</v>
          </cell>
          <cell r="E22">
            <v>123.090950656446</v>
          </cell>
          <cell r="F22">
            <v>121.797530165062</v>
          </cell>
        </row>
        <row r="23">
          <cell r="B23">
            <v>68.966506247951003</v>
          </cell>
          <cell r="C23">
            <v>100.746622516277</v>
          </cell>
          <cell r="D23">
            <v>106.005159347831</v>
          </cell>
          <cell r="E23">
            <v>126.530798470436</v>
          </cell>
          <cell r="F23">
            <v>123.46718748306</v>
          </cell>
        </row>
        <row r="24">
          <cell r="B24">
            <v>37.274482655495802</v>
          </cell>
          <cell r="C24">
            <v>64.8501782342924</v>
          </cell>
          <cell r="D24">
            <v>76.707248954050698</v>
          </cell>
          <cell r="E24">
            <v>54.028286704680397</v>
          </cell>
          <cell r="F24">
            <v>73.902845619329497</v>
          </cell>
        </row>
        <row r="25">
          <cell r="B25">
            <v>38.774155681572502</v>
          </cell>
          <cell r="C25">
            <v>68.050447681506199</v>
          </cell>
          <cell r="D25">
            <v>75.209861379269597</v>
          </cell>
          <cell r="E25">
            <v>60.2660720869114</v>
          </cell>
          <cell r="F25">
            <v>67.751856998530897</v>
          </cell>
        </row>
        <row r="26">
          <cell r="B26">
            <v>12.8944002507892</v>
          </cell>
          <cell r="C26">
            <v>50.069435823729599</v>
          </cell>
          <cell r="D26">
            <v>27.823496336552601</v>
          </cell>
          <cell r="E26">
            <v>41.001518804868901</v>
          </cell>
          <cell r="F26">
            <v>48.996730893975503</v>
          </cell>
        </row>
        <row r="27">
          <cell r="B27">
            <v>17.6845529608789</v>
          </cell>
          <cell r="C27">
            <v>43.417805816376003</v>
          </cell>
          <cell r="D27">
            <v>33.615223453069802</v>
          </cell>
          <cell r="E27">
            <v>34.066387559808597</v>
          </cell>
          <cell r="F27">
            <v>37.973945309819101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AE79"/>
  <sheetViews>
    <sheetView showGridLines="0" tabSelected="1" topLeftCell="A2" workbookViewId="0"/>
  </sheetViews>
  <sheetFormatPr baseColWidth="10" defaultRowHeight="11.25"/>
  <cols>
    <col min="1" max="4" width="13.140625" style="1" customWidth="1"/>
    <col min="5" max="6" width="12.85546875" style="1" customWidth="1"/>
    <col min="7" max="7" width="13.5703125" style="1" customWidth="1"/>
    <col min="8" max="8" width="12" style="1" customWidth="1"/>
    <col min="9" max="9" width="15.7109375" style="1" customWidth="1"/>
    <col min="10" max="10" width="11.28515625" style="1" customWidth="1"/>
    <col min="11" max="11" width="13.5703125" style="1" customWidth="1"/>
    <col min="12" max="12" width="13.42578125" style="1" customWidth="1"/>
    <col min="13" max="13" width="12.7109375" style="2" customWidth="1"/>
    <col min="14" max="14" width="13.28515625" style="1" bestFit="1" customWidth="1"/>
    <col min="15" max="15" width="13.5703125" style="3" customWidth="1"/>
    <col min="16" max="16" width="12.42578125" style="1" bestFit="1" customWidth="1"/>
    <col min="17" max="17" width="12.140625" style="3" bestFit="1" customWidth="1"/>
    <col min="18" max="18" width="13.42578125" style="1" customWidth="1"/>
    <col min="19" max="19" width="13.7109375" style="3" customWidth="1"/>
    <col min="20" max="20" width="13" style="1" customWidth="1"/>
    <col min="21" max="21" width="11.5703125" style="1" bestFit="1" customWidth="1"/>
    <col min="22" max="22" width="17.140625" style="1" bestFit="1" customWidth="1"/>
    <col min="23" max="23" width="15.85546875" style="1" customWidth="1"/>
    <col min="24" max="24" width="11.42578125" style="1"/>
    <col min="25" max="25" width="11.5703125" style="1" bestFit="1" customWidth="1"/>
    <col min="26" max="16384" width="11.42578125" style="1"/>
  </cols>
  <sheetData>
    <row r="1" spans="1:31" hidden="1">
      <c r="A1" s="1" t="s">
        <v>0</v>
      </c>
      <c r="D1" s="1" t="str">
        <f ca="1">"PP Daxon AE à "&amp; A10 &amp;" QS : "&amp;TEXT(K58,"0,00%")&amp;" - QE  : "&amp;TEXT(L58,"0,00%")&amp;"  - QP  : "&amp;TEXT(M58,"0,00%")&amp;" - QC  : "&amp;TEXT(N58,"0,00%")&amp;""</f>
        <v>PP Daxon AE à 23:00 QS : 98,54% - QE  : 71,34%  - QP  : 72,40% - QC  : 28,10%</v>
      </c>
      <c r="AA1" s="4">
        <v>42986</v>
      </c>
    </row>
    <row r="2" spans="1:31" ht="9.75" customHeight="1" thickBot="1">
      <c r="M2" s="1"/>
      <c r="O2" s="1"/>
      <c r="Q2" s="1"/>
      <c r="S2" s="1"/>
    </row>
    <row r="3" spans="1:31" ht="27" customHeight="1" thickBot="1">
      <c r="A3" s="5"/>
      <c r="B3" s="5"/>
      <c r="C3" s="5"/>
      <c r="D3" s="6" t="str">
        <f ca="1">"Daxon AE à "&amp; A10 &amp;" QS : "&amp;TEXT(K58,"0,00%")&amp;" - QE  : "&amp;TEXT(L58,"0,00%")&amp;"  - QP  : "&amp;TEXT(M58,"0,00%")&amp;" - QC  : "&amp;TEXT(N58,"0,00%")&amp;""</f>
        <v>Daxon AE à 23:00 QS : 98,54% - QE  : 71,34%  - QP  : 72,40% - QC  : 28,10%</v>
      </c>
      <c r="E3" s="7"/>
      <c r="F3" s="7"/>
      <c r="G3" s="7"/>
      <c r="H3" s="7"/>
      <c r="I3" s="7"/>
      <c r="J3" s="8"/>
      <c r="K3" s="5"/>
      <c r="L3" s="5"/>
      <c r="M3" s="5"/>
      <c r="N3" s="5"/>
      <c r="O3" s="5"/>
      <c r="Q3" s="1"/>
      <c r="S3" s="1"/>
      <c r="X3" s="9"/>
      <c r="Y3" s="9"/>
      <c r="Z3" s="9"/>
      <c r="AA3" s="9"/>
      <c r="AB3" s="9"/>
      <c r="AC3" s="9"/>
      <c r="AD3" s="9"/>
      <c r="AE3" s="9"/>
    </row>
    <row r="4" spans="1:3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Q4" s="1"/>
      <c r="S4" s="1"/>
      <c r="X4" s="9"/>
      <c r="Y4" s="10">
        <f ca="1">TODAY()</f>
        <v>42986</v>
      </c>
      <c r="Z4" s="9" t="s">
        <v>1</v>
      </c>
      <c r="AA4" s="9" t="s">
        <v>2</v>
      </c>
      <c r="AB4" s="9" t="s">
        <v>3</v>
      </c>
      <c r="AC4" s="9" t="s">
        <v>4</v>
      </c>
      <c r="AD4" s="9" t="s">
        <v>5</v>
      </c>
      <c r="AE4" s="9" t="s">
        <v>6</v>
      </c>
    </row>
    <row r="5" spans="1:3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Q5" s="1"/>
      <c r="S5" s="1"/>
      <c r="X5" s="9"/>
      <c r="Y5" s="11">
        <f ca="1">WEEKNUM(Y4,2)-1</f>
        <v>36</v>
      </c>
      <c r="Z5" s="12">
        <f ca="1">(7*Y5+DATE(Y6,1,3)-WEEKDAY(DATE(Y6,1,3))-5)</f>
        <v>42982</v>
      </c>
      <c r="AA5" s="12">
        <f ca="1">((7*Y5+DATE(Y6,1,3)-WEEKDAY(DATE(Y6,1,3))-5))+1</f>
        <v>42983</v>
      </c>
      <c r="AB5" s="12">
        <f ca="1">((7*Y5+DATE(Y6,1,3)-WEEKDAY(DATE(Y6,1,3))-5))+2</f>
        <v>42984</v>
      </c>
      <c r="AC5" s="12">
        <f ca="1">((7*Y5+DATE(Y6,1,3)-WEEKDAY(DATE(Y6,1,3))-5))+3</f>
        <v>42985</v>
      </c>
      <c r="AD5" s="12">
        <f ca="1">((7*Y5+DATE(Y6,1,3)-WEEKDAY(DATE(Y6,1,3))-5))+4</f>
        <v>42986</v>
      </c>
      <c r="AE5" s="12">
        <f ca="1">((7*Y5+DATE(Y6,1,3)-WEEKDAY(DATE(Y6,1,3))-5))+5</f>
        <v>42987</v>
      </c>
    </row>
    <row r="6" spans="1:31" ht="12" thickBo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Q6" s="1"/>
      <c r="S6" s="1"/>
      <c r="X6" s="9"/>
      <c r="Y6" s="13">
        <f ca="1">YEAR(Y4)</f>
        <v>2017</v>
      </c>
      <c r="Z6" s="9"/>
      <c r="AA6" s="9"/>
      <c r="AB6" s="9"/>
      <c r="AC6" s="9"/>
      <c r="AD6" s="9"/>
      <c r="AE6" s="9"/>
    </row>
    <row r="7" spans="1:31" ht="18.75" customHeight="1" thickBot="1">
      <c r="A7" s="14" t="s">
        <v>7</v>
      </c>
      <c r="B7" s="15"/>
      <c r="C7" s="5"/>
      <c r="D7" s="16" t="s">
        <v>8</v>
      </c>
      <c r="E7" s="16"/>
      <c r="F7" s="17">
        <f ca="1">B58</f>
        <v>1134</v>
      </c>
      <c r="G7" s="5"/>
      <c r="H7" s="16" t="s">
        <v>9</v>
      </c>
      <c r="I7" s="16"/>
      <c r="J7" s="18">
        <f>K58</f>
        <v>0.98538367844092567</v>
      </c>
      <c r="K7" s="5"/>
      <c r="L7" s="16" t="s">
        <v>10</v>
      </c>
      <c r="M7" s="16"/>
      <c r="N7" s="17">
        <f>F58</f>
        <v>237.66816213188116</v>
      </c>
      <c r="O7" s="5"/>
      <c r="Q7" s="1"/>
      <c r="S7" s="1"/>
      <c r="X7" s="9"/>
      <c r="Y7" s="10"/>
      <c r="Z7" s="9"/>
      <c r="AA7" s="9"/>
      <c r="AB7" s="9"/>
      <c r="AC7" s="9"/>
      <c r="AD7" s="9"/>
      <c r="AE7" s="9"/>
    </row>
    <row r="8" spans="1:31" ht="18.75" customHeight="1">
      <c r="A8" s="5"/>
      <c r="B8" s="5"/>
      <c r="C8" s="5"/>
      <c r="D8" s="16" t="s">
        <v>11</v>
      </c>
      <c r="E8" s="16"/>
      <c r="F8" s="17">
        <f>D58</f>
        <v>821</v>
      </c>
      <c r="G8" s="5"/>
      <c r="H8" s="16" t="s">
        <v>12</v>
      </c>
      <c r="I8" s="16"/>
      <c r="J8" s="18">
        <f ca="1">L58</f>
        <v>0.71340388007054678</v>
      </c>
      <c r="K8" s="5"/>
      <c r="L8" s="16" t="s">
        <v>13</v>
      </c>
      <c r="M8" s="16"/>
      <c r="N8" s="17">
        <f>I58</f>
        <v>177.4098104678701</v>
      </c>
      <c r="O8" s="5"/>
      <c r="Q8" s="1"/>
      <c r="S8" s="1"/>
      <c r="Y8" s="4"/>
    </row>
    <row r="9" spans="1:31" ht="18.75" customHeight="1">
      <c r="A9" s="19">
        <f ca="1">TODAY()</f>
        <v>42986</v>
      </c>
      <c r="B9" s="16"/>
      <c r="C9" s="5"/>
      <c r="D9" s="16" t="s">
        <v>14</v>
      </c>
      <c r="E9" s="16"/>
      <c r="F9" s="20">
        <f>E58</f>
        <v>809</v>
      </c>
      <c r="G9" s="5"/>
      <c r="H9" s="16" t="s">
        <v>15</v>
      </c>
      <c r="I9" s="16"/>
      <c r="J9" s="21">
        <f ca="1">M58</f>
        <v>0.72398589065255736</v>
      </c>
      <c r="K9" s="5"/>
      <c r="L9" s="16" t="s">
        <v>16</v>
      </c>
      <c r="M9" s="16"/>
      <c r="N9" s="17">
        <f>J58</f>
        <v>252.25099002538539</v>
      </c>
      <c r="O9" s="5"/>
      <c r="Q9" s="1"/>
      <c r="S9" s="1"/>
      <c r="Y9" s="4"/>
    </row>
    <row r="10" spans="1:31" ht="18.75" customHeight="1">
      <c r="A10" s="22" t="str">
        <f ca="1">(HOUR(NOW()) &amp;":00")</f>
        <v>23:00</v>
      </c>
      <c r="B10" s="23"/>
      <c r="C10" s="5"/>
      <c r="D10" s="16" t="s">
        <v>17</v>
      </c>
      <c r="E10" s="16"/>
      <c r="F10" s="20">
        <f>H58</f>
        <v>12</v>
      </c>
      <c r="G10" s="5"/>
      <c r="H10" s="16" t="s">
        <v>18</v>
      </c>
      <c r="I10" s="16"/>
      <c r="J10" s="24">
        <f ca="1">N58</f>
        <v>0.28100034734282736</v>
      </c>
      <c r="K10" s="5"/>
      <c r="L10" s="5"/>
      <c r="M10" s="5"/>
      <c r="N10" s="5"/>
      <c r="O10" s="5"/>
      <c r="Q10" s="1"/>
      <c r="S10" s="1"/>
      <c r="Y10" s="4"/>
    </row>
    <row r="11" spans="1:31" ht="18.75" customHeight="1">
      <c r="A11" s="25"/>
      <c r="B11" s="26"/>
      <c r="C11" s="5"/>
      <c r="D11" s="16" t="s">
        <v>19</v>
      </c>
      <c r="E11" s="16"/>
      <c r="F11" s="20">
        <f>G58</f>
        <v>0</v>
      </c>
      <c r="G11" s="5"/>
      <c r="H11" s="16" t="s">
        <v>20</v>
      </c>
      <c r="I11" s="16"/>
      <c r="J11" s="24">
        <f>F11/F8</f>
        <v>0</v>
      </c>
      <c r="K11" s="5"/>
      <c r="L11" s="5"/>
      <c r="M11" s="5"/>
      <c r="N11" s="5"/>
      <c r="O11" s="5"/>
      <c r="Q11" s="1"/>
      <c r="S11" s="1"/>
      <c r="Y11" s="4"/>
    </row>
    <row r="12" spans="1:31" ht="12" thickBot="1">
      <c r="H12" s="27"/>
      <c r="I12" s="27"/>
      <c r="J12" s="28"/>
      <c r="M12" s="1"/>
      <c r="O12" s="1"/>
      <c r="Q12" s="1"/>
      <c r="S12" s="1"/>
      <c r="Y12" s="4"/>
    </row>
    <row r="13" spans="1:31">
      <c r="A13" s="29"/>
      <c r="B13" s="30"/>
      <c r="C13" s="30"/>
      <c r="D13" s="31"/>
      <c r="E13" s="31"/>
      <c r="F13" s="31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2"/>
      <c r="Z13" s="30"/>
      <c r="AA13" s="30"/>
      <c r="AB13" s="30"/>
      <c r="AC13" s="30"/>
      <c r="AD13" s="33"/>
    </row>
    <row r="14" spans="1:31" s="36" customForma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Y14" s="37"/>
      <c r="AD14" s="38"/>
    </row>
    <row r="15" spans="1:31" s="36" customFormat="1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Y15" s="37"/>
      <c r="AD15" s="38"/>
    </row>
    <row r="16" spans="1:31" s="36" customFormat="1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Y16" s="37"/>
      <c r="AD16" s="38"/>
    </row>
    <row r="17" spans="1:30" s="36" customFormat="1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Y17" s="37"/>
      <c r="AD17" s="38"/>
    </row>
    <row r="18" spans="1:30" s="36" customFormat="1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Y18" s="37"/>
      <c r="AD18" s="38"/>
    </row>
    <row r="19" spans="1:30" s="36" customFormat="1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Y19" s="37"/>
      <c r="AD19" s="38"/>
    </row>
    <row r="20" spans="1:30" s="36" customFormat="1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Y20" s="37"/>
      <c r="AD20" s="38"/>
    </row>
    <row r="21" spans="1:30" s="36" customFormat="1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Y21" s="37"/>
      <c r="AD21" s="38"/>
    </row>
    <row r="22" spans="1:30" s="36" customFormat="1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Y22" s="37"/>
      <c r="AD22" s="38"/>
    </row>
    <row r="23" spans="1:30" s="36" customFormat="1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Y23" s="37"/>
      <c r="AD23" s="38"/>
    </row>
    <row r="24" spans="1:30" s="36" customFormat="1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Y24" s="37"/>
      <c r="AD24" s="38"/>
    </row>
    <row r="25" spans="1:30" s="36" customFormat="1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Y25" s="37"/>
      <c r="AD25" s="38"/>
    </row>
    <row r="26" spans="1:30" s="36" customFormat="1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Y26" s="37"/>
      <c r="AD26" s="38"/>
    </row>
    <row r="27" spans="1:30" s="36" customFormat="1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Y27" s="37"/>
      <c r="AD27" s="38"/>
    </row>
    <row r="28" spans="1:30" s="36" customFormat="1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Y28" s="37"/>
      <c r="AD28" s="38"/>
    </row>
    <row r="29" spans="1:30" s="36" customFormat="1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Y29" s="37"/>
      <c r="AD29" s="38"/>
    </row>
    <row r="30" spans="1:30" s="36" customFormat="1" ht="19.5" customHeight="1" thickBo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2"/>
    </row>
    <row r="31" spans="1:30" ht="3.75" customHeight="1">
      <c r="Y31" s="43"/>
    </row>
    <row r="32" spans="1:30" ht="3.75" customHeight="1" thickBot="1">
      <c r="M32" s="1"/>
      <c r="O32" s="1"/>
      <c r="Q32" s="1"/>
      <c r="S32" s="1"/>
    </row>
    <row r="33" spans="1:31" ht="56.25" customHeight="1">
      <c r="A33" s="44" t="s">
        <v>21</v>
      </c>
      <c r="B33" s="45" t="s">
        <v>8</v>
      </c>
      <c r="C33" s="45" t="s">
        <v>22</v>
      </c>
      <c r="D33" s="45" t="s">
        <v>11</v>
      </c>
      <c r="E33" s="46" t="s">
        <v>14</v>
      </c>
      <c r="F33" s="45" t="s">
        <v>10</v>
      </c>
      <c r="G33" s="45" t="s">
        <v>23</v>
      </c>
      <c r="H33" s="45" t="s">
        <v>17</v>
      </c>
      <c r="I33" s="45" t="s">
        <v>13</v>
      </c>
      <c r="J33" s="45" t="s">
        <v>16</v>
      </c>
      <c r="K33" s="45" t="s">
        <v>24</v>
      </c>
      <c r="L33" s="45" t="s">
        <v>25</v>
      </c>
      <c r="M33" s="47" t="s">
        <v>26</v>
      </c>
      <c r="N33" s="48" t="s">
        <v>27</v>
      </c>
      <c r="O33" s="49" t="s">
        <v>28</v>
      </c>
      <c r="P33" s="49" t="s">
        <v>29</v>
      </c>
      <c r="Q33" s="50" t="s">
        <v>30</v>
      </c>
      <c r="R33" s="51" t="s">
        <v>31</v>
      </c>
      <c r="S33" s="52" t="s">
        <v>32</v>
      </c>
      <c r="T33" s="52" t="s">
        <v>10</v>
      </c>
      <c r="U33" s="53" t="s">
        <v>33</v>
      </c>
      <c r="V33" s="53" t="s">
        <v>34</v>
      </c>
      <c r="W33" s="53" t="s">
        <v>35</v>
      </c>
      <c r="X33" s="53" t="s">
        <v>36</v>
      </c>
      <c r="Y33" s="53" t="s">
        <v>37</v>
      </c>
      <c r="Z33" s="50" t="s">
        <v>38</v>
      </c>
      <c r="AA33" s="50" t="s">
        <v>39</v>
      </c>
      <c r="AB33" s="50" t="s">
        <v>29</v>
      </c>
      <c r="AC33" s="50" t="s">
        <v>30</v>
      </c>
      <c r="AD33" s="51" t="s">
        <v>31</v>
      </c>
      <c r="AE33" s="54" t="str">
        <f ca="1">"INTELCIA NECTAR - QS/Prév JOURNEE: "&amp;TEXT(L58,"0,00%")&amp;""</f>
        <v>INTELCIA NECTAR - QS/Prév JOURNEE: 71,34%</v>
      </c>
    </row>
    <row r="34" spans="1:31" ht="16.5" customHeight="1">
      <c r="A34" s="55">
        <v>0.29166666666666669</v>
      </c>
      <c r="B34" s="56">
        <f ca="1">ROUND(IF(WEEKDAY($Y$4,2)=1,[1]PDM!B4,IF(WEEKDAY($Y$4,2)=2,[1]PDM!C4,IF(WEEKDAY($Y$4,2)=3,[1]PDM!D4,IF(WEEKDAY($Y$4,2)=4,[1]PDM!E4,IF(WEEKDAY($Y$4,2)=5,[1]PDM!F4,[1]PDM!G4))))),0)</f>
        <v>16</v>
      </c>
      <c r="C34" s="56">
        <f ca="1">ROUND(IF(WEEKDAY($Y$4,2)=1,[1]Capa!B4,IF(WEEKDAY($Y$4,2)=2,[1]Capa!C4,IF(WEEKDAY($Y$4,2)=3,[1]Capa!D4,IF(WEEKDAY($Y$4,2)=4,[1]Capa!E4,IF(WEEKDAY($Y$4,2)=5,[1]Capa!F4,[1]PDM!G4))))),0)</f>
        <v>63</v>
      </c>
      <c r="D34" s="57">
        <v>17</v>
      </c>
      <c r="E34" s="58">
        <v>16</v>
      </c>
      <c r="F34" s="59">
        <v>197.375</v>
      </c>
      <c r="G34" s="60">
        <f t="shared" ref="G34:G57" si="0">IF(D34&gt;0,D34-E34-H34,0)</f>
        <v>0</v>
      </c>
      <c r="H34" s="61">
        <v>1</v>
      </c>
      <c r="I34" s="62">
        <v>145.80000000000001</v>
      </c>
      <c r="J34" s="62">
        <v>220.81818181818181</v>
      </c>
      <c r="K34" s="63">
        <f t="shared" ref="K34:K57" si="1">IFERROR(E34/D34,)</f>
        <v>0.94117647058823528</v>
      </c>
      <c r="L34" s="64">
        <f ca="1">IFERROR(E34/B34,0)</f>
        <v>1</v>
      </c>
      <c r="M34" s="64">
        <f ca="1">IFERROR(D34/B34,0)</f>
        <v>1.0625</v>
      </c>
      <c r="N34" s="65">
        <f ca="1">IFERROR(E34/C34,0)</f>
        <v>0.25396825396825395</v>
      </c>
      <c r="O34" s="66">
        <f ca="1">IFERROR(IF(D34&gt;B34,E34/B34,E34/D34),0)</f>
        <v>1</v>
      </c>
      <c r="P34" s="67">
        <v>6022</v>
      </c>
      <c r="Q34" s="68">
        <v>6.9699074074074066E-2</v>
      </c>
      <c r="R34" s="69">
        <f t="shared" ref="R34:R57" ca="1" si="2">IFERROR(P34/N34,"--")</f>
        <v>23711.625</v>
      </c>
      <c r="S34" s="70">
        <f t="shared" ref="S34:T57" si="3">U34+W34</f>
        <v>2661</v>
      </c>
      <c r="T34" s="71">
        <f t="shared" si="3"/>
        <v>3.0798611111111113E-2</v>
      </c>
      <c r="U34" s="70">
        <v>2616</v>
      </c>
      <c r="V34" s="71">
        <v>3.0277777777777778E-2</v>
      </c>
      <c r="W34" s="72">
        <v>45</v>
      </c>
      <c r="X34" s="73">
        <v>5.2083333333333333E-4</v>
      </c>
      <c r="Y34" s="74">
        <v>3.1018518518518522E-3</v>
      </c>
      <c r="Z34" s="57">
        <v>10696</v>
      </c>
      <c r="AA34" s="75">
        <v>0.12379629629629629</v>
      </c>
      <c r="AB34" s="57">
        <v>6022</v>
      </c>
      <c r="AC34" s="68">
        <v>6.9699074074074066E-2</v>
      </c>
      <c r="AD34" s="69">
        <f t="shared" ref="AD34:AD57" si="4">IFERROR(AB34/Z34,"--")</f>
        <v>0.56301421091997006</v>
      </c>
      <c r="AE34" s="76"/>
    </row>
    <row r="35" spans="1:31" ht="16.5" customHeight="1">
      <c r="A35" s="55">
        <v>0.3125</v>
      </c>
      <c r="B35" s="56">
        <f ca="1">ROUND(IF(WEEKDAY($Y$4,2)=1,[1]PDM!B5,IF(WEEKDAY($Y$4,2)=2,[1]PDM!C5,IF(WEEKDAY($Y$4,2)=3,[1]PDM!D5,IF(WEEKDAY($Y$4,2)=4,[1]PDM!E5,IF(WEEKDAY($Y$4,2)=5,[1]PDM!F5,[1]PDM!G5))))),0)</f>
        <v>26</v>
      </c>
      <c r="C35" s="56">
        <f ca="1">ROUND(IF(WEEKDAY($Y$4,2)=1,[1]Capa!B5,IF(WEEKDAY($Y$4,2)=2,[1]Capa!C5,IF(WEEKDAY($Y$4,2)=3,[1]Capa!D5,IF(WEEKDAY($Y$4,2)=4,[1]Capa!E5,IF(WEEKDAY($Y$4,2)=5,[1]Capa!F5,[1]PDM!G5))))),0)</f>
        <v>60</v>
      </c>
      <c r="D35" s="57">
        <v>40</v>
      </c>
      <c r="E35" s="58">
        <v>39</v>
      </c>
      <c r="F35" s="59">
        <v>200.2051282051282</v>
      </c>
      <c r="G35" s="60">
        <f t="shared" si="0"/>
        <v>0</v>
      </c>
      <c r="H35" s="61">
        <v>1</v>
      </c>
      <c r="I35" s="62">
        <v>118.11111111111111</v>
      </c>
      <c r="J35" s="62">
        <v>224.83333333333331</v>
      </c>
      <c r="K35" s="64">
        <f t="shared" si="1"/>
        <v>0.97499999999999998</v>
      </c>
      <c r="L35" s="64">
        <f t="shared" ref="L35:L58" ca="1" si="5">IFERROR(E35/B35,0)</f>
        <v>1.5</v>
      </c>
      <c r="M35" s="64">
        <f t="shared" ref="M35:N58" ca="1" si="6">IFERROR(D35/B35,0)</f>
        <v>1.5384615384615385</v>
      </c>
      <c r="N35" s="65">
        <f t="shared" ca="1" si="6"/>
        <v>0.65</v>
      </c>
      <c r="O35" s="66">
        <f t="shared" ref="O35:O58" ca="1" si="7">IFERROR(IF(D35&gt;B35,E35/B35,E35/D35),0)</f>
        <v>1.5</v>
      </c>
      <c r="P35" s="67">
        <v>7051</v>
      </c>
      <c r="Q35" s="68">
        <v>8.160879629629629E-2</v>
      </c>
      <c r="R35" s="69">
        <f t="shared" ca="1" si="2"/>
        <v>10847.692307692307</v>
      </c>
      <c r="S35" s="70">
        <f t="shared" si="3"/>
        <v>4325</v>
      </c>
      <c r="T35" s="71">
        <f t="shared" si="3"/>
        <v>5.0057870370370371E-2</v>
      </c>
      <c r="U35" s="70">
        <v>4157</v>
      </c>
      <c r="V35" s="71">
        <v>4.8113425925925928E-2</v>
      </c>
      <c r="W35" s="72">
        <v>168</v>
      </c>
      <c r="X35" s="73">
        <v>1.9444444444444442E-3</v>
      </c>
      <c r="Y35" s="74">
        <v>2.7546296296296294E-3</v>
      </c>
      <c r="Z35" s="57">
        <v>12755</v>
      </c>
      <c r="AA35" s="75">
        <v>0.14762731481481481</v>
      </c>
      <c r="AB35" s="57">
        <v>7051</v>
      </c>
      <c r="AC35" s="68">
        <v>8.160879629629629E-2</v>
      </c>
      <c r="AD35" s="69">
        <f t="shared" si="4"/>
        <v>0.55280282242257939</v>
      </c>
      <c r="AE35" s="76"/>
    </row>
    <row r="36" spans="1:31" ht="16.5" customHeight="1">
      <c r="A36" s="55">
        <v>0.33333333333333298</v>
      </c>
      <c r="B36" s="56">
        <f ca="1">ROUND(IF(WEEKDAY($Y$4,2)=1,[1]PDM!B6,IF(WEEKDAY($Y$4,2)=2,[1]PDM!C6,IF(WEEKDAY($Y$4,2)=3,[1]PDM!D6,IF(WEEKDAY($Y$4,2)=4,[1]PDM!E6,IF(WEEKDAY($Y$4,2)=5,[1]PDM!F6,[1]PDM!G6))))),0)</f>
        <v>46</v>
      </c>
      <c r="C36" s="56">
        <f ca="1">ROUND(IF(WEEKDAY($Y$4,2)=1,[1]Capa!B6,IF(WEEKDAY($Y$4,2)=2,[1]Capa!C6,IF(WEEKDAY($Y$4,2)=3,[1]Capa!D6,IF(WEEKDAY($Y$4,2)=4,[1]Capa!E6,IF(WEEKDAY($Y$4,2)=5,[1]Capa!F6,[1]PDM!G6))))),0)</f>
        <v>127</v>
      </c>
      <c r="D36" s="57">
        <v>18</v>
      </c>
      <c r="E36" s="58">
        <v>18</v>
      </c>
      <c r="F36" s="59">
        <v>183.44444444444443</v>
      </c>
      <c r="G36" s="60">
        <f t="shared" si="0"/>
        <v>0</v>
      </c>
      <c r="H36" s="61">
        <v>0</v>
      </c>
      <c r="I36" s="62">
        <v>183.44444444444443</v>
      </c>
      <c r="J36" s="62">
        <v>112</v>
      </c>
      <c r="K36" s="64">
        <f t="shared" si="1"/>
        <v>1</v>
      </c>
      <c r="L36" s="64">
        <f t="shared" ca="1" si="5"/>
        <v>0.39130434782608697</v>
      </c>
      <c r="M36" s="64">
        <f t="shared" ca="1" si="6"/>
        <v>0.39130434782608697</v>
      </c>
      <c r="N36" s="65">
        <f t="shared" ca="1" si="6"/>
        <v>0.14173228346456693</v>
      </c>
      <c r="O36" s="66">
        <f t="shared" ca="1" si="7"/>
        <v>1</v>
      </c>
      <c r="P36" s="67">
        <v>2462</v>
      </c>
      <c r="Q36" s="68">
        <v>2.8495370370370369E-2</v>
      </c>
      <c r="R36" s="69">
        <f t="shared" ca="1" si="2"/>
        <v>17370.777777777777</v>
      </c>
      <c r="S36" s="70">
        <f t="shared" si="3"/>
        <v>8757</v>
      </c>
      <c r="T36" s="71">
        <f t="shared" si="3"/>
        <v>0.10135416666666666</v>
      </c>
      <c r="U36" s="70">
        <v>7200</v>
      </c>
      <c r="V36" s="71">
        <v>8.3333333333333329E-2</v>
      </c>
      <c r="W36" s="72">
        <v>1557</v>
      </c>
      <c r="X36" s="73">
        <v>1.8020833333333333E-2</v>
      </c>
      <c r="Y36" s="74">
        <v>6.4814814814814813E-4</v>
      </c>
      <c r="Z36" s="57">
        <v>13995</v>
      </c>
      <c r="AA36" s="75">
        <v>0.16197916666666667</v>
      </c>
      <c r="AB36" s="57">
        <v>2462</v>
      </c>
      <c r="AC36" s="68">
        <v>2.8495370370370369E-2</v>
      </c>
      <c r="AD36" s="69">
        <f t="shared" si="4"/>
        <v>0.17591997141836371</v>
      </c>
      <c r="AE36" s="76"/>
    </row>
    <row r="37" spans="1:31" ht="16.5" customHeight="1">
      <c r="A37" s="55">
        <v>0.35416666666666602</v>
      </c>
      <c r="B37" s="56">
        <f ca="1">ROUND(IF(WEEKDAY($Y$4,2)=1,[1]PDM!B7,IF(WEEKDAY($Y$4,2)=2,[1]PDM!C7,IF(WEEKDAY($Y$4,2)=3,[1]PDM!D7,IF(WEEKDAY($Y$4,2)=4,[1]PDM!E7,IF(WEEKDAY($Y$4,2)=5,[1]PDM!F7,[1]PDM!G7))))),0)</f>
        <v>64</v>
      </c>
      <c r="C37" s="56">
        <f ca="1">ROUND(IF(WEEKDAY($Y$4,2)=1,[1]Capa!B7,IF(WEEKDAY($Y$4,2)=2,[1]Capa!C7,IF(WEEKDAY($Y$4,2)=3,[1]Capa!D7,IF(WEEKDAY($Y$4,2)=4,[1]Capa!E7,IF(WEEKDAY($Y$4,2)=5,[1]Capa!F7,[1]PDM!G7))))),0)</f>
        <v>89</v>
      </c>
      <c r="D37" s="57">
        <v>72</v>
      </c>
      <c r="E37" s="58">
        <v>71</v>
      </c>
      <c r="F37" s="59">
        <v>233.25352112676055</v>
      </c>
      <c r="G37" s="60">
        <f t="shared" si="0"/>
        <v>0</v>
      </c>
      <c r="H37" s="61">
        <v>1</v>
      </c>
      <c r="I37" s="62">
        <v>178</v>
      </c>
      <c r="J37" s="62">
        <v>252.01886792452828</v>
      </c>
      <c r="K37" s="64">
        <f t="shared" si="1"/>
        <v>0.98611111111111116</v>
      </c>
      <c r="L37" s="64">
        <f t="shared" ca="1" si="5"/>
        <v>1.109375</v>
      </c>
      <c r="M37" s="64">
        <f t="shared" ca="1" si="6"/>
        <v>1.125</v>
      </c>
      <c r="N37" s="65">
        <f t="shared" ca="1" si="6"/>
        <v>0.797752808988764</v>
      </c>
      <c r="O37" s="66">
        <f t="shared" ca="1" si="7"/>
        <v>1.109375</v>
      </c>
      <c r="P37" s="67">
        <v>2947</v>
      </c>
      <c r="Q37" s="68">
        <v>3.4108796296296297E-2</v>
      </c>
      <c r="R37" s="69">
        <f t="shared" ca="1" si="2"/>
        <v>3694.1267605633807</v>
      </c>
      <c r="S37" s="70">
        <f t="shared" si="3"/>
        <v>6978</v>
      </c>
      <c r="T37" s="71">
        <f t="shared" si="3"/>
        <v>8.0763888888888885E-2</v>
      </c>
      <c r="U37" s="70">
        <v>5365</v>
      </c>
      <c r="V37" s="71">
        <v>6.2094907407407411E-2</v>
      </c>
      <c r="W37" s="72">
        <v>1613</v>
      </c>
      <c r="X37" s="73">
        <v>1.8668981481481481E-2</v>
      </c>
      <c r="Y37" s="74">
        <v>4.7453703703703704E-4</v>
      </c>
      <c r="Z37" s="57">
        <v>14647</v>
      </c>
      <c r="AA37" s="75">
        <v>0.16952546296296298</v>
      </c>
      <c r="AB37" s="57">
        <v>2947</v>
      </c>
      <c r="AC37" s="68">
        <v>3.4108796296296297E-2</v>
      </c>
      <c r="AD37" s="69">
        <f t="shared" si="4"/>
        <v>0.20120161125145081</v>
      </c>
      <c r="AE37" s="76"/>
    </row>
    <row r="38" spans="1:31" ht="16.5" customHeight="1">
      <c r="A38" s="55">
        <v>0.375</v>
      </c>
      <c r="B38" s="56">
        <f ca="1">ROUND(IF(WEEKDAY($Y$4,2)=1,[1]PDM!B8,IF(WEEKDAY($Y$4,2)=2,[1]PDM!C8,IF(WEEKDAY($Y$4,2)=3,[1]PDM!D8,IF(WEEKDAY($Y$4,2)=4,[1]PDM!E8,IF(WEEKDAY($Y$4,2)=5,[1]PDM!F8,[1]PDM!G8))))),0)</f>
        <v>78</v>
      </c>
      <c r="C38" s="56">
        <f ca="1">ROUND(IF(WEEKDAY($Y$4,2)=1,[1]Capa!B8,IF(WEEKDAY($Y$4,2)=2,[1]Capa!C8,IF(WEEKDAY($Y$4,2)=3,[1]Capa!D8,IF(WEEKDAY($Y$4,2)=4,[1]Capa!E8,IF(WEEKDAY($Y$4,2)=5,[1]Capa!F8,[1]PDM!G8))))),0)</f>
        <v>148</v>
      </c>
      <c r="D38" s="57">
        <v>95</v>
      </c>
      <c r="E38" s="58">
        <v>95</v>
      </c>
      <c r="F38" s="56">
        <v>214.54170536635706</v>
      </c>
      <c r="G38" s="60">
        <f t="shared" si="0"/>
        <v>0</v>
      </c>
      <c r="H38" s="61">
        <v>0</v>
      </c>
      <c r="I38" s="62">
        <v>174.70833333333331</v>
      </c>
      <c r="J38" s="62">
        <v>237.6212121212121</v>
      </c>
      <c r="K38" s="64">
        <f t="shared" si="1"/>
        <v>1</v>
      </c>
      <c r="L38" s="64">
        <f t="shared" ca="1" si="5"/>
        <v>1.2179487179487178</v>
      </c>
      <c r="M38" s="64">
        <f t="shared" ca="1" si="6"/>
        <v>1.2179487179487178</v>
      </c>
      <c r="N38" s="65">
        <f t="shared" ca="1" si="6"/>
        <v>0.64189189189189189</v>
      </c>
      <c r="O38" s="66">
        <f t="shared" ca="1" si="7"/>
        <v>1.2179487179487178</v>
      </c>
      <c r="P38" s="67">
        <v>4720</v>
      </c>
      <c r="Q38" s="75">
        <v>5.4629629629629632E-2</v>
      </c>
      <c r="R38" s="69">
        <f t="shared" ca="1" si="2"/>
        <v>7353.2631578947367</v>
      </c>
      <c r="S38" s="70">
        <f t="shared" si="3"/>
        <v>18009</v>
      </c>
      <c r="T38" s="71">
        <f t="shared" si="3"/>
        <v>0.20843750000000003</v>
      </c>
      <c r="U38" s="70">
        <v>14281</v>
      </c>
      <c r="V38" s="71">
        <v>0.16528935185185187</v>
      </c>
      <c r="W38" s="72">
        <v>3728</v>
      </c>
      <c r="X38" s="73">
        <v>4.3148148148148151E-2</v>
      </c>
      <c r="Y38" s="74">
        <v>5.9027777777777778E-4</v>
      </c>
      <c r="Z38" s="57">
        <v>27674</v>
      </c>
      <c r="AA38" s="75">
        <v>0.32030092592592591</v>
      </c>
      <c r="AB38" s="57">
        <v>4720</v>
      </c>
      <c r="AC38" s="75">
        <v>5.4629629629629632E-2</v>
      </c>
      <c r="AD38" s="69">
        <f t="shared" si="4"/>
        <v>0.17055720170557201</v>
      </c>
    </row>
    <row r="39" spans="1:31" ht="16.5" customHeight="1">
      <c r="A39" s="55">
        <v>0.39583333333333298</v>
      </c>
      <c r="B39" s="56">
        <f ca="1">ROUND(IF(WEEKDAY($Y$4,2)=1,[1]PDM!B9,IF(WEEKDAY($Y$4,2)=2,[1]PDM!C9,IF(WEEKDAY($Y$4,2)=3,[1]PDM!D9,IF(WEEKDAY($Y$4,2)=4,[1]PDM!E9,IF(WEEKDAY($Y$4,2)=5,[1]PDM!F9,[1]PDM!G9))))),0)</f>
        <v>86</v>
      </c>
      <c r="C39" s="56">
        <f ca="1">ROUND(IF(WEEKDAY($Y$4,2)=1,[1]Capa!B9,IF(WEEKDAY($Y$4,2)=2,[1]Capa!C9,IF(WEEKDAY($Y$4,2)=3,[1]Capa!D9,IF(WEEKDAY($Y$4,2)=4,[1]Capa!E9,IF(WEEKDAY($Y$4,2)=5,[1]Capa!F9,[1]PDM!G9))))),0)</f>
        <v>134</v>
      </c>
      <c r="D39" s="57">
        <v>92</v>
      </c>
      <c r="E39" s="58">
        <v>92</v>
      </c>
      <c r="F39" s="56">
        <v>243.02869295166073</v>
      </c>
      <c r="G39" s="60">
        <f t="shared" si="0"/>
        <v>0</v>
      </c>
      <c r="H39" s="61">
        <v>0</v>
      </c>
      <c r="I39" s="62">
        <v>172.26086956521738</v>
      </c>
      <c r="J39" s="62">
        <v>274.34920634920633</v>
      </c>
      <c r="K39" s="64">
        <f t="shared" si="1"/>
        <v>1</v>
      </c>
      <c r="L39" s="64">
        <f t="shared" ca="1" si="5"/>
        <v>1.069767441860465</v>
      </c>
      <c r="M39" s="64">
        <f t="shared" ca="1" si="6"/>
        <v>1.069767441860465</v>
      </c>
      <c r="N39" s="65">
        <f t="shared" ca="1" si="6"/>
        <v>0.68656716417910446</v>
      </c>
      <c r="O39" s="66">
        <f t="shared" ca="1" si="7"/>
        <v>1.069767441860465</v>
      </c>
      <c r="P39" s="67">
        <v>3847</v>
      </c>
      <c r="Q39" s="75">
        <v>4.4525462962962968E-2</v>
      </c>
      <c r="R39" s="69">
        <f t="shared" ca="1" si="2"/>
        <v>5603.239130434783</v>
      </c>
      <c r="S39" s="70">
        <f t="shared" si="3"/>
        <v>20410</v>
      </c>
      <c r="T39" s="71">
        <f t="shared" si="3"/>
        <v>0.23622685185185185</v>
      </c>
      <c r="U39" s="70">
        <v>16696</v>
      </c>
      <c r="V39" s="71">
        <v>0.19324074074074074</v>
      </c>
      <c r="W39" s="72">
        <v>3714</v>
      </c>
      <c r="X39" s="73">
        <v>4.2986111111111114E-2</v>
      </c>
      <c r="Y39" s="74">
        <v>6.2500000000000001E-4</v>
      </c>
      <c r="Z39" s="57">
        <v>28486</v>
      </c>
      <c r="AA39" s="75">
        <v>0.32969907407407406</v>
      </c>
      <c r="AB39" s="57">
        <v>3847</v>
      </c>
      <c r="AC39" s="75">
        <v>4.4525462962962968E-2</v>
      </c>
      <c r="AD39" s="69">
        <f t="shared" si="4"/>
        <v>0.13504879589974023</v>
      </c>
    </row>
    <row r="40" spans="1:31" ht="16.5" customHeight="1">
      <c r="A40" s="55">
        <v>0.41666666666666702</v>
      </c>
      <c r="B40" s="56">
        <f ca="1">ROUND(IF(WEEKDAY($Y$4,2)=1,[1]PDM!B10,IF(WEEKDAY($Y$4,2)=2,[1]PDM!C10,IF(WEEKDAY($Y$4,2)=3,[1]PDM!D10,IF(WEEKDAY($Y$4,2)=4,[1]PDM!E10,IF(WEEKDAY($Y$4,2)=5,[1]PDM!F10,[1]PDM!G10))))),0)</f>
        <v>80</v>
      </c>
      <c r="C40" s="56">
        <f ca="1">ROUND(IF(WEEKDAY($Y$4,2)=1,[1]Capa!B10,IF(WEEKDAY($Y$4,2)=2,[1]Capa!C10,IF(WEEKDAY($Y$4,2)=3,[1]Capa!D10,IF(WEEKDAY($Y$4,2)=4,[1]Capa!E10,IF(WEEKDAY($Y$4,2)=5,[1]Capa!F10,[1]PDM!G10))))),0)</f>
        <v>166</v>
      </c>
      <c r="D40" s="57">
        <v>102</v>
      </c>
      <c r="E40" s="58">
        <v>102</v>
      </c>
      <c r="F40" s="56">
        <v>255.52872251931075</v>
      </c>
      <c r="G40" s="60">
        <f t="shared" si="0"/>
        <v>0</v>
      </c>
      <c r="H40" s="61">
        <v>0</v>
      </c>
      <c r="I40" s="62">
        <v>128.47999999999999</v>
      </c>
      <c r="J40" s="62">
        <v>297.84931506849313</v>
      </c>
      <c r="K40" s="64">
        <f t="shared" si="1"/>
        <v>1</v>
      </c>
      <c r="L40" s="64">
        <f t="shared" ca="1" si="5"/>
        <v>1.2749999999999999</v>
      </c>
      <c r="M40" s="64">
        <f t="shared" ca="1" si="6"/>
        <v>1.2749999999999999</v>
      </c>
      <c r="N40" s="65">
        <f t="shared" ca="1" si="6"/>
        <v>0.61445783132530118</v>
      </c>
      <c r="O40" s="66">
        <f t="shared" ca="1" si="7"/>
        <v>1.2749999999999999</v>
      </c>
      <c r="P40" s="67">
        <v>6055</v>
      </c>
      <c r="Q40" s="75">
        <v>7.0081018518518515E-2</v>
      </c>
      <c r="R40" s="69">
        <f t="shared" ca="1" si="2"/>
        <v>9854.2156862745105</v>
      </c>
      <c r="S40" s="70">
        <f t="shared" si="3"/>
        <v>18597</v>
      </c>
      <c r="T40" s="71">
        <f t="shared" si="3"/>
        <v>0.21524305555555556</v>
      </c>
      <c r="U40" s="70">
        <v>14597</v>
      </c>
      <c r="V40" s="71">
        <v>0.16894675925925925</v>
      </c>
      <c r="W40" s="72">
        <v>4000</v>
      </c>
      <c r="X40" s="73">
        <v>4.6296296296296301E-2</v>
      </c>
      <c r="Y40" s="74">
        <v>6.4814814814814813E-4</v>
      </c>
      <c r="Z40" s="57">
        <v>28751</v>
      </c>
      <c r="AA40" s="75">
        <v>0.33276620370370369</v>
      </c>
      <c r="AB40" s="57">
        <v>6055</v>
      </c>
      <c r="AC40" s="75">
        <v>7.0081018518518515E-2</v>
      </c>
      <c r="AD40" s="69">
        <f t="shared" si="4"/>
        <v>0.21060137038711696</v>
      </c>
    </row>
    <row r="41" spans="1:31" ht="16.5" customHeight="1">
      <c r="A41" s="55">
        <v>0.4375</v>
      </c>
      <c r="B41" s="56">
        <f ca="1">ROUND(IF(WEEKDAY($Y$4,2)=1,[1]PDM!B11,IF(WEEKDAY($Y$4,2)=2,[1]PDM!C11,IF(WEEKDAY($Y$4,2)=3,[1]PDM!D11,IF(WEEKDAY($Y$4,2)=4,[1]PDM!E11,IF(WEEKDAY($Y$4,2)=5,[1]PDM!F11,[1]PDM!G11))))),0)</f>
        <v>66</v>
      </c>
      <c r="C41" s="56">
        <f ca="1">ROUND(IF(WEEKDAY($Y$4,2)=1,[1]Capa!B11,IF(WEEKDAY($Y$4,2)=2,[1]Capa!C11,IF(WEEKDAY($Y$4,2)=3,[1]Capa!D11,IF(WEEKDAY($Y$4,2)=4,[1]Capa!E11,IF(WEEKDAY($Y$4,2)=5,[1]Capa!F11,[1]PDM!G11))))),0)</f>
        <v>187</v>
      </c>
      <c r="D41" s="57">
        <v>75</v>
      </c>
      <c r="E41" s="58">
        <v>75</v>
      </c>
      <c r="F41" s="56">
        <v>269.29487179487182</v>
      </c>
      <c r="G41" s="60">
        <f t="shared" si="0"/>
        <v>0</v>
      </c>
      <c r="H41" s="61">
        <v>0</v>
      </c>
      <c r="I41" s="62">
        <v>189.44444444444446</v>
      </c>
      <c r="J41" s="62">
        <v>218.33333333333331</v>
      </c>
      <c r="K41" s="64">
        <f t="shared" si="1"/>
        <v>1</v>
      </c>
      <c r="L41" s="64">
        <f t="shared" ca="1" si="5"/>
        <v>1.1363636363636365</v>
      </c>
      <c r="M41" s="64">
        <f t="shared" ca="1" si="6"/>
        <v>1.1363636363636365</v>
      </c>
      <c r="N41" s="65">
        <f t="shared" ca="1" si="6"/>
        <v>0.40106951871657753</v>
      </c>
      <c r="O41" s="66">
        <f t="shared" ca="1" si="7"/>
        <v>1.1363636363636365</v>
      </c>
      <c r="P41" s="67">
        <v>8110</v>
      </c>
      <c r="Q41" s="75">
        <v>9.3865740740740736E-2</v>
      </c>
      <c r="R41" s="69">
        <f t="shared" ca="1" si="2"/>
        <v>20220.933333333334</v>
      </c>
      <c r="S41" s="70">
        <f t="shared" si="3"/>
        <v>18261</v>
      </c>
      <c r="T41" s="71">
        <f t="shared" si="3"/>
        <v>0.21135416666666668</v>
      </c>
      <c r="U41" s="70">
        <v>14171</v>
      </c>
      <c r="V41" s="71">
        <v>0.16401620370370371</v>
      </c>
      <c r="W41" s="72">
        <v>4090</v>
      </c>
      <c r="X41" s="73">
        <v>4.7337962962962964E-2</v>
      </c>
      <c r="Y41" s="74">
        <v>5.2083333333333333E-4</v>
      </c>
      <c r="Z41" s="57">
        <v>28883</v>
      </c>
      <c r="AA41" s="75">
        <v>0.33429398148148143</v>
      </c>
      <c r="AB41" s="57">
        <v>8110</v>
      </c>
      <c r="AC41" s="75">
        <v>9.3865740740740736E-2</v>
      </c>
      <c r="AD41" s="69">
        <f t="shared" si="4"/>
        <v>0.28078800678599869</v>
      </c>
    </row>
    <row r="42" spans="1:31" ht="16.5" customHeight="1">
      <c r="A42" s="55">
        <v>0.45833333333333298</v>
      </c>
      <c r="B42" s="56">
        <f ca="1">ROUND(IF(WEEKDAY($Y$4,2)=1,[1]PDM!B12,IF(WEEKDAY($Y$4,2)=2,[1]PDM!C12,IF(WEEKDAY($Y$4,2)=3,[1]PDM!D12,IF(WEEKDAY($Y$4,2)=4,[1]PDM!E12,IF(WEEKDAY($Y$4,2)=5,[1]PDM!F12,[1]PDM!G12))))),0)</f>
        <v>36</v>
      </c>
      <c r="C42" s="56">
        <f ca="1">ROUND(IF(WEEKDAY($Y$4,2)=1,[1]Capa!B12,IF(WEEKDAY($Y$4,2)=2,[1]Capa!C12,IF(WEEKDAY($Y$4,2)=3,[1]Capa!D12,IF(WEEKDAY($Y$4,2)=4,[1]Capa!E12,IF(WEEKDAY($Y$4,2)=5,[1]Capa!F12,[1]PDM!G12))))),0)</f>
        <v>126</v>
      </c>
      <c r="D42" s="57">
        <v>14</v>
      </c>
      <c r="E42" s="58">
        <v>14</v>
      </c>
      <c r="F42" s="56">
        <v>125.85714285714285</v>
      </c>
      <c r="G42" s="60">
        <f t="shared" si="0"/>
        <v>0</v>
      </c>
      <c r="H42" s="61">
        <v>0</v>
      </c>
      <c r="I42" s="62">
        <v>113.57142857142856</v>
      </c>
      <c r="J42" s="62">
        <v>283.95833333333331</v>
      </c>
      <c r="K42" s="64">
        <f t="shared" si="1"/>
        <v>1</v>
      </c>
      <c r="L42" s="64">
        <f t="shared" ca="1" si="5"/>
        <v>0.3888888888888889</v>
      </c>
      <c r="M42" s="64">
        <f t="shared" ca="1" si="6"/>
        <v>0.3888888888888889</v>
      </c>
      <c r="N42" s="65">
        <f t="shared" ca="1" si="6"/>
        <v>0.1111111111111111</v>
      </c>
      <c r="O42" s="66">
        <f t="shared" ca="1" si="7"/>
        <v>1</v>
      </c>
      <c r="P42" s="67">
        <v>5389</v>
      </c>
      <c r="Q42" s="75">
        <v>6.2372685185185184E-2</v>
      </c>
      <c r="R42" s="69">
        <f t="shared" ca="1" si="2"/>
        <v>48501</v>
      </c>
      <c r="S42" s="70">
        <f t="shared" si="3"/>
        <v>22536</v>
      </c>
      <c r="T42" s="71">
        <f t="shared" si="3"/>
        <v>0.26083333333333331</v>
      </c>
      <c r="U42" s="70">
        <v>16048</v>
      </c>
      <c r="V42" s="71">
        <v>0.18574074074074073</v>
      </c>
      <c r="W42" s="72">
        <v>6488</v>
      </c>
      <c r="X42" s="73">
        <v>7.5092592592592586E-2</v>
      </c>
      <c r="Y42" s="74">
        <v>7.0601851851851847E-4</v>
      </c>
      <c r="Z42" s="57">
        <v>32517</v>
      </c>
      <c r="AA42" s="75">
        <v>0.37635416666666671</v>
      </c>
      <c r="AB42" s="57">
        <v>5389</v>
      </c>
      <c r="AC42" s="75">
        <v>6.2372685185185184E-2</v>
      </c>
      <c r="AD42" s="69">
        <f t="shared" si="4"/>
        <v>0.16572869575914137</v>
      </c>
    </row>
    <row r="43" spans="1:31" ht="16.5" customHeight="1">
      <c r="A43" s="55">
        <v>0.47916666666666602</v>
      </c>
      <c r="B43" s="56">
        <f ca="1">ROUND(IF(WEEKDAY($Y$4,2)=1,[1]PDM!B13,IF(WEEKDAY($Y$4,2)=2,[1]PDM!C13,IF(WEEKDAY($Y$4,2)=3,[1]PDM!D13,IF(WEEKDAY($Y$4,2)=4,[1]PDM!E13,IF(WEEKDAY($Y$4,2)=5,[1]PDM!F13,[1]PDM!G13))))),0)</f>
        <v>28</v>
      </c>
      <c r="C43" s="56">
        <f ca="1">ROUND(IF(WEEKDAY($Y$4,2)=1,[1]Capa!B13,IF(WEEKDAY($Y$4,2)=2,[1]Capa!C13,IF(WEEKDAY($Y$4,2)=3,[1]Capa!D13,IF(WEEKDAY($Y$4,2)=4,[1]Capa!E13,IF(WEEKDAY($Y$4,2)=5,[1]Capa!F13,[1]PDM!G13))))),0)</f>
        <v>144</v>
      </c>
      <c r="D43" s="57">
        <v>23</v>
      </c>
      <c r="E43" s="58">
        <v>23</v>
      </c>
      <c r="F43" s="56">
        <v>261.41958041958043</v>
      </c>
      <c r="G43" s="60">
        <f t="shared" si="0"/>
        <v>0</v>
      </c>
      <c r="H43" s="61">
        <v>0</v>
      </c>
      <c r="I43" s="62">
        <v>172.90909090909091</v>
      </c>
      <c r="J43" s="62">
        <v>329.54545454545456</v>
      </c>
      <c r="K43" s="64">
        <f t="shared" si="1"/>
        <v>1</v>
      </c>
      <c r="L43" s="64">
        <f t="shared" ca="1" si="5"/>
        <v>0.8214285714285714</v>
      </c>
      <c r="M43" s="64">
        <f t="shared" ca="1" si="6"/>
        <v>0.8214285714285714</v>
      </c>
      <c r="N43" s="65">
        <f t="shared" ca="1" si="6"/>
        <v>0.15972222222222221</v>
      </c>
      <c r="O43" s="66">
        <f t="shared" ca="1" si="7"/>
        <v>1</v>
      </c>
      <c r="P43" s="67">
        <v>6847</v>
      </c>
      <c r="Q43" s="75">
        <v>7.9247685185185185E-2</v>
      </c>
      <c r="R43" s="69">
        <f t="shared" ca="1" si="2"/>
        <v>42868.17391304348</v>
      </c>
      <c r="S43" s="70">
        <f t="shared" si="3"/>
        <v>21660</v>
      </c>
      <c r="T43" s="71">
        <f t="shared" si="3"/>
        <v>0.25069444444444444</v>
      </c>
      <c r="U43" s="70">
        <v>15276</v>
      </c>
      <c r="V43" s="71">
        <v>0.17680555555555555</v>
      </c>
      <c r="W43" s="72">
        <v>6384</v>
      </c>
      <c r="X43" s="73">
        <v>7.3888888888888893E-2</v>
      </c>
      <c r="Y43" s="74">
        <v>6.2500000000000001E-4</v>
      </c>
      <c r="Z43" s="57">
        <v>34200</v>
      </c>
      <c r="AA43" s="75">
        <v>0.39583333333333331</v>
      </c>
      <c r="AB43" s="57">
        <v>6847</v>
      </c>
      <c r="AC43" s="75">
        <v>7.9247685185185185E-2</v>
      </c>
      <c r="AD43" s="69">
        <f t="shared" si="4"/>
        <v>0.20020467836257311</v>
      </c>
    </row>
    <row r="44" spans="1:31" ht="16.5" customHeight="1">
      <c r="A44" s="55">
        <v>0.5</v>
      </c>
      <c r="B44" s="56">
        <f ca="1">ROUND(IF(WEEKDAY($Y$4,2)=1,[1]PDM!B14,IF(WEEKDAY($Y$4,2)=2,[1]PDM!C14,IF(WEEKDAY($Y$4,2)=3,[1]PDM!D14,IF(WEEKDAY($Y$4,2)=4,[1]PDM!E14,IF(WEEKDAY($Y$4,2)=5,[1]PDM!F14,[1]PDM!G14))))),0)</f>
        <v>24</v>
      </c>
      <c r="C44" s="56">
        <f ca="1">ROUND(IF(WEEKDAY($Y$4,2)=1,[1]Capa!B14,IF(WEEKDAY($Y$4,2)=2,[1]Capa!C14,IF(WEEKDAY($Y$4,2)=3,[1]Capa!D14,IF(WEEKDAY($Y$4,2)=4,[1]Capa!E14,IF(WEEKDAY($Y$4,2)=5,[1]Capa!F14,[1]PDM!G14))))),0)</f>
        <v>157</v>
      </c>
      <c r="D44" s="57">
        <v>39</v>
      </c>
      <c r="E44" s="58">
        <v>39</v>
      </c>
      <c r="F44" s="56">
        <v>265.39911939911923</v>
      </c>
      <c r="G44" s="60">
        <f t="shared" si="0"/>
        <v>0</v>
      </c>
      <c r="H44" s="61">
        <v>0</v>
      </c>
      <c r="I44" s="62">
        <v>216.77777777777777</v>
      </c>
      <c r="J44" s="62">
        <v>260.51724137931035</v>
      </c>
      <c r="K44" s="64">
        <f t="shared" si="1"/>
        <v>1</v>
      </c>
      <c r="L44" s="64">
        <f t="shared" ca="1" si="5"/>
        <v>1.625</v>
      </c>
      <c r="M44" s="64">
        <f t="shared" ca="1" si="6"/>
        <v>1.625</v>
      </c>
      <c r="N44" s="65">
        <f t="shared" ca="1" si="6"/>
        <v>0.24840764331210191</v>
      </c>
      <c r="O44" s="66">
        <f t="shared" ca="1" si="7"/>
        <v>1.625</v>
      </c>
      <c r="P44" s="67">
        <v>5293</v>
      </c>
      <c r="Q44" s="75">
        <v>6.1261574074074072E-2</v>
      </c>
      <c r="R44" s="69">
        <f t="shared" ca="1" si="2"/>
        <v>21307.717948717949</v>
      </c>
      <c r="S44" s="70">
        <f t="shared" si="3"/>
        <v>20959</v>
      </c>
      <c r="T44" s="71">
        <f t="shared" si="3"/>
        <v>0.24258101851851852</v>
      </c>
      <c r="U44" s="70">
        <v>16560</v>
      </c>
      <c r="V44" s="71">
        <v>0.19166666666666665</v>
      </c>
      <c r="W44" s="72">
        <v>4399</v>
      </c>
      <c r="X44" s="73">
        <v>5.0914351851851856E-2</v>
      </c>
      <c r="Y44" s="74">
        <v>6.7129629629629625E-4</v>
      </c>
      <c r="Z44" s="57">
        <v>34200</v>
      </c>
      <c r="AA44" s="75">
        <v>0.39583333333333331</v>
      </c>
      <c r="AB44" s="57">
        <v>5293</v>
      </c>
      <c r="AC44" s="75">
        <v>6.1261574074074072E-2</v>
      </c>
      <c r="AD44" s="69">
        <f t="shared" si="4"/>
        <v>0.15476608187134502</v>
      </c>
    </row>
    <row r="45" spans="1:31" ht="16.5" customHeight="1">
      <c r="A45" s="55">
        <v>0.52083333333333304</v>
      </c>
      <c r="B45" s="56">
        <f ca="1">ROUND(IF(WEEKDAY($Y$4,2)=1,[1]PDM!B15,IF(WEEKDAY($Y$4,2)=2,[1]PDM!C15,IF(WEEKDAY($Y$4,2)=3,[1]PDM!D15,IF(WEEKDAY($Y$4,2)=4,[1]PDM!E15,IF(WEEKDAY($Y$4,2)=5,[1]PDM!F15,[1]PDM!G15))))),0)</f>
        <v>34</v>
      </c>
      <c r="C45" s="56">
        <f ca="1">ROUND(IF(WEEKDAY($Y$4,2)=1,[1]Capa!B15,IF(WEEKDAY($Y$4,2)=2,[1]Capa!C15,IF(WEEKDAY($Y$4,2)=3,[1]Capa!D15,IF(WEEKDAY($Y$4,2)=4,[1]Capa!E15,IF(WEEKDAY($Y$4,2)=5,[1]Capa!F15,[1]PDM!G15))))),0)</f>
        <v>139</v>
      </c>
      <c r="D45" s="57">
        <v>11</v>
      </c>
      <c r="E45" s="58">
        <v>11</v>
      </c>
      <c r="F45" s="56">
        <v>188.81818181818181</v>
      </c>
      <c r="G45" s="60">
        <f t="shared" si="0"/>
        <v>0</v>
      </c>
      <c r="H45" s="61">
        <v>0</v>
      </c>
      <c r="I45" s="62">
        <v>183.27272727272725</v>
      </c>
      <c r="J45" s="62">
        <v>167.2</v>
      </c>
      <c r="K45" s="64">
        <f t="shared" si="1"/>
        <v>1</v>
      </c>
      <c r="L45" s="64">
        <f t="shared" ca="1" si="5"/>
        <v>0.3235294117647059</v>
      </c>
      <c r="M45" s="64">
        <f t="shared" ca="1" si="6"/>
        <v>0.3235294117647059</v>
      </c>
      <c r="N45" s="65">
        <f t="shared" ca="1" si="6"/>
        <v>7.9136690647482008E-2</v>
      </c>
      <c r="O45" s="66">
        <f t="shared" ca="1" si="7"/>
        <v>1</v>
      </c>
      <c r="P45" s="67">
        <v>5162</v>
      </c>
      <c r="Q45" s="75">
        <v>5.9745370370370372E-2</v>
      </c>
      <c r="R45" s="69">
        <f t="shared" ca="1" si="2"/>
        <v>65228.909090909096</v>
      </c>
      <c r="S45" s="70">
        <f t="shared" si="3"/>
        <v>25092</v>
      </c>
      <c r="T45" s="71">
        <f t="shared" si="3"/>
        <v>0.29041666666666666</v>
      </c>
      <c r="U45" s="70">
        <v>19563</v>
      </c>
      <c r="V45" s="71">
        <v>0.22642361111111112</v>
      </c>
      <c r="W45" s="72">
        <v>5529</v>
      </c>
      <c r="X45" s="73">
        <v>6.3993055555555553E-2</v>
      </c>
      <c r="Y45" s="74">
        <v>6.9444444444444447E-4</v>
      </c>
      <c r="Z45" s="57">
        <v>34703</v>
      </c>
      <c r="AA45" s="75">
        <v>0.40165509259259258</v>
      </c>
      <c r="AB45" s="57">
        <v>5162</v>
      </c>
      <c r="AC45" s="75">
        <v>5.9745370370370372E-2</v>
      </c>
      <c r="AD45" s="69">
        <f t="shared" si="4"/>
        <v>0.14874794686338358</v>
      </c>
    </row>
    <row r="46" spans="1:31" ht="16.5" customHeight="1">
      <c r="A46" s="55">
        <v>0.54166666666666596</v>
      </c>
      <c r="B46" s="56">
        <f ca="1">ROUND(IF(WEEKDAY($Y$4,2)=1,[1]PDM!B16,IF(WEEKDAY($Y$4,2)=2,[1]PDM!C16,IF(WEEKDAY($Y$4,2)=3,[1]PDM!D16,IF(WEEKDAY($Y$4,2)=4,[1]PDM!E16,IF(WEEKDAY($Y$4,2)=5,[1]PDM!F16,[1]PDM!G16))))),0)</f>
        <v>52</v>
      </c>
      <c r="C46" s="56">
        <f ca="1">ROUND(IF(WEEKDAY($Y$4,2)=1,[1]Capa!B16,IF(WEEKDAY($Y$4,2)=2,[1]Capa!C16,IF(WEEKDAY($Y$4,2)=3,[1]Capa!D16,IF(WEEKDAY($Y$4,2)=4,[1]Capa!E16,IF(WEEKDAY($Y$4,2)=5,[1]Capa!F16,[1]PDM!G16))))),0)</f>
        <v>128</v>
      </c>
      <c r="D46" s="57">
        <v>19</v>
      </c>
      <c r="E46" s="58">
        <v>15</v>
      </c>
      <c r="F46" s="56">
        <v>161.65158371040707</v>
      </c>
      <c r="G46" s="60">
        <f t="shared" si="0"/>
        <v>0</v>
      </c>
      <c r="H46" s="61">
        <v>4</v>
      </c>
      <c r="I46" s="62">
        <v>163.30769230769229</v>
      </c>
      <c r="J46" s="62">
        <v>76</v>
      </c>
      <c r="K46" s="64">
        <f t="shared" si="1"/>
        <v>0.78947368421052633</v>
      </c>
      <c r="L46" s="64">
        <f t="shared" ca="1" si="5"/>
        <v>0.28846153846153844</v>
      </c>
      <c r="M46" s="64">
        <f t="shared" ca="1" si="6"/>
        <v>0.36538461538461536</v>
      </c>
      <c r="N46" s="65">
        <f t="shared" ca="1" si="6"/>
        <v>0.1171875</v>
      </c>
      <c r="O46" s="66">
        <f t="shared" ca="1" si="7"/>
        <v>0.78947368421052633</v>
      </c>
      <c r="P46" s="67"/>
      <c r="Q46" s="75"/>
      <c r="R46" s="69">
        <f t="shared" ca="1" si="2"/>
        <v>0</v>
      </c>
      <c r="S46" s="70">
        <f t="shared" si="3"/>
        <v>0</v>
      </c>
      <c r="T46" s="71">
        <f t="shared" si="3"/>
        <v>0</v>
      </c>
      <c r="U46" s="72"/>
      <c r="V46" s="73"/>
      <c r="W46" s="72"/>
      <c r="X46" s="73"/>
      <c r="Y46" s="74"/>
      <c r="Z46" s="57"/>
      <c r="AA46" s="75"/>
      <c r="AB46" s="57"/>
      <c r="AC46" s="75"/>
      <c r="AD46" s="69" t="str">
        <f t="shared" si="4"/>
        <v>--</v>
      </c>
    </row>
    <row r="47" spans="1:31" ht="16.5" customHeight="1">
      <c r="A47" s="55">
        <v>0.562499999999999</v>
      </c>
      <c r="B47" s="56">
        <f ca="1">ROUND(IF(WEEKDAY($Y$4,2)=1,[1]PDM!B17,IF(WEEKDAY($Y$4,2)=2,[1]PDM!C17,IF(WEEKDAY($Y$4,2)=3,[1]PDM!D17,IF(WEEKDAY($Y$4,2)=4,[1]PDM!E17,IF(WEEKDAY($Y$4,2)=5,[1]PDM!F17,[1]PDM!G17))))),0)</f>
        <v>58</v>
      </c>
      <c r="C47" s="56">
        <f ca="1">ROUND(IF(WEEKDAY($Y$4,2)=1,[1]Capa!B17,IF(WEEKDAY($Y$4,2)=2,[1]Capa!C17,IF(WEEKDAY($Y$4,2)=3,[1]Capa!D17,IF(WEEKDAY($Y$4,2)=4,[1]Capa!E17,IF(WEEKDAY($Y$4,2)=5,[1]Capa!F17,[1]PDM!G17))))),0)</f>
        <v>118</v>
      </c>
      <c r="D47" s="57">
        <v>28</v>
      </c>
      <c r="E47" s="58">
        <v>26</v>
      </c>
      <c r="F47" s="56">
        <v>244.96153846153842</v>
      </c>
      <c r="G47" s="60">
        <f t="shared" si="0"/>
        <v>0</v>
      </c>
      <c r="H47" s="61">
        <v>2</v>
      </c>
      <c r="I47" s="62">
        <v>233.96153846153845</v>
      </c>
      <c r="J47" s="62">
        <v>153.25</v>
      </c>
      <c r="K47" s="64">
        <f t="shared" si="1"/>
        <v>0.9285714285714286</v>
      </c>
      <c r="L47" s="64">
        <f t="shared" ca="1" si="5"/>
        <v>0.44827586206896552</v>
      </c>
      <c r="M47" s="64">
        <f t="shared" ca="1" si="6"/>
        <v>0.48275862068965519</v>
      </c>
      <c r="N47" s="65">
        <f t="shared" ca="1" si="6"/>
        <v>0.22033898305084745</v>
      </c>
      <c r="O47" s="66">
        <f t="shared" ca="1" si="7"/>
        <v>0.9285714285714286</v>
      </c>
      <c r="P47" s="67"/>
      <c r="Q47" s="75"/>
      <c r="R47" s="69">
        <f t="shared" ca="1" si="2"/>
        <v>0</v>
      </c>
      <c r="S47" s="70">
        <f t="shared" si="3"/>
        <v>0</v>
      </c>
      <c r="T47" s="71">
        <f t="shared" si="3"/>
        <v>0</v>
      </c>
      <c r="U47" s="72"/>
      <c r="V47" s="73"/>
      <c r="W47" s="72"/>
      <c r="X47" s="73"/>
      <c r="Y47" s="74"/>
      <c r="Z47" s="57"/>
      <c r="AA47" s="75"/>
      <c r="AB47" s="57"/>
      <c r="AC47" s="75"/>
      <c r="AD47" s="69" t="str">
        <f t="shared" si="4"/>
        <v>--</v>
      </c>
    </row>
    <row r="48" spans="1:31" ht="16.5" customHeight="1">
      <c r="A48" s="55">
        <v>0.58333333333333304</v>
      </c>
      <c r="B48" s="56">
        <f ca="1">ROUND(IF(WEEKDAY($Y$4,2)=1,[1]PDM!B18,IF(WEEKDAY($Y$4,2)=2,[1]PDM!C18,IF(WEEKDAY($Y$4,2)=3,[1]PDM!D18,IF(WEEKDAY($Y$4,2)=4,[1]PDM!E18,IF(WEEKDAY($Y$4,2)=5,[1]PDM!F18,[1]PDM!G18))))),0)</f>
        <v>68</v>
      </c>
      <c r="C48" s="56">
        <f ca="1">ROUND(IF(WEEKDAY($Y$4,2)=1,[1]Capa!B18,IF(WEEKDAY($Y$4,2)=2,[1]Capa!C18,IF(WEEKDAY($Y$4,2)=3,[1]Capa!D18,IF(WEEKDAY($Y$4,2)=4,[1]Capa!E18,IF(WEEKDAY($Y$4,2)=5,[1]Capa!F18,[1]PDM!G18))))),0)</f>
        <v>152</v>
      </c>
      <c r="D48" s="57">
        <v>19</v>
      </c>
      <c r="E48" s="58">
        <v>17</v>
      </c>
      <c r="F48" s="56">
        <v>215.11764705882351</v>
      </c>
      <c r="G48" s="60">
        <f t="shared" si="0"/>
        <v>0</v>
      </c>
      <c r="H48" s="61">
        <v>2</v>
      </c>
      <c r="I48" s="62">
        <v>202.05882352941174</v>
      </c>
      <c r="J48" s="62">
        <v>266.0333333333333</v>
      </c>
      <c r="K48" s="64">
        <f t="shared" si="1"/>
        <v>0.89473684210526316</v>
      </c>
      <c r="L48" s="64">
        <f t="shared" ca="1" si="5"/>
        <v>0.25</v>
      </c>
      <c r="M48" s="64">
        <f t="shared" ca="1" si="6"/>
        <v>0.27941176470588236</v>
      </c>
      <c r="N48" s="65">
        <f t="shared" ca="1" si="6"/>
        <v>0.1118421052631579</v>
      </c>
      <c r="O48" s="66">
        <f t="shared" ca="1" si="7"/>
        <v>0.89473684210526316</v>
      </c>
      <c r="P48" s="67"/>
      <c r="Q48" s="75"/>
      <c r="R48" s="69">
        <f t="shared" ca="1" si="2"/>
        <v>0</v>
      </c>
      <c r="S48" s="70">
        <f t="shared" si="3"/>
        <v>0</v>
      </c>
      <c r="T48" s="71">
        <f t="shared" si="3"/>
        <v>0</v>
      </c>
      <c r="U48" s="72"/>
      <c r="V48" s="73"/>
      <c r="W48" s="72"/>
      <c r="X48" s="73"/>
      <c r="Y48" s="74"/>
      <c r="Z48" s="57"/>
      <c r="AA48" s="75"/>
      <c r="AB48" s="57"/>
      <c r="AC48" s="75"/>
      <c r="AD48" s="69" t="str">
        <f t="shared" si="4"/>
        <v>--</v>
      </c>
    </row>
    <row r="49" spans="1:30" ht="16.5" customHeight="1">
      <c r="A49" s="55">
        <v>0.60416666666666596</v>
      </c>
      <c r="B49" s="56">
        <f ca="1">ROUND(IF(WEEKDAY($Y$4,2)=1,[1]PDM!B19,IF(WEEKDAY($Y$4,2)=2,[1]PDM!C19,IF(WEEKDAY($Y$4,2)=3,[1]PDM!D19,IF(WEEKDAY($Y$4,2)=4,[1]PDM!E19,IF(WEEKDAY($Y$4,2)=5,[1]PDM!F19,[1]PDM!G19))))),0)</f>
        <v>58</v>
      </c>
      <c r="C49" s="56">
        <f ca="1">ROUND(IF(WEEKDAY($Y$4,2)=1,[1]Capa!B19,IF(WEEKDAY($Y$4,2)=2,[1]Capa!C19,IF(WEEKDAY($Y$4,2)=3,[1]Capa!D19,IF(WEEKDAY($Y$4,2)=4,[1]Capa!E19,IF(WEEKDAY($Y$4,2)=5,[1]Capa!F19,[1]PDM!G19))))),0)</f>
        <v>163</v>
      </c>
      <c r="D49" s="57">
        <v>15</v>
      </c>
      <c r="E49" s="58">
        <v>15</v>
      </c>
      <c r="F49" s="56">
        <v>196.6</v>
      </c>
      <c r="G49" s="60">
        <f t="shared" si="0"/>
        <v>0</v>
      </c>
      <c r="H49" s="61">
        <v>0</v>
      </c>
      <c r="I49" s="62">
        <v>187.6</v>
      </c>
      <c r="J49" s="62">
        <v>410</v>
      </c>
      <c r="K49" s="64">
        <f t="shared" si="1"/>
        <v>1</v>
      </c>
      <c r="L49" s="64">
        <f t="shared" ca="1" si="5"/>
        <v>0.25862068965517243</v>
      </c>
      <c r="M49" s="64">
        <f t="shared" ca="1" si="6"/>
        <v>0.25862068965517243</v>
      </c>
      <c r="N49" s="65">
        <f t="shared" ca="1" si="6"/>
        <v>9.202453987730061E-2</v>
      </c>
      <c r="O49" s="66">
        <f t="shared" ca="1" si="7"/>
        <v>1</v>
      </c>
      <c r="P49" s="67"/>
      <c r="Q49" s="75"/>
      <c r="R49" s="69">
        <f t="shared" ca="1" si="2"/>
        <v>0</v>
      </c>
      <c r="S49" s="70">
        <f t="shared" si="3"/>
        <v>0</v>
      </c>
      <c r="T49" s="71">
        <f t="shared" si="3"/>
        <v>0</v>
      </c>
      <c r="U49" s="72"/>
      <c r="V49" s="73"/>
      <c r="W49" s="72"/>
      <c r="X49" s="73"/>
      <c r="Y49" s="74"/>
      <c r="Z49" s="57"/>
      <c r="AA49" s="75"/>
      <c r="AB49" s="57"/>
      <c r="AC49" s="75"/>
      <c r="AD49" s="69" t="str">
        <f t="shared" si="4"/>
        <v>--</v>
      </c>
    </row>
    <row r="50" spans="1:30" ht="16.5" customHeight="1">
      <c r="A50" s="55">
        <v>0.624999999999999</v>
      </c>
      <c r="B50" s="56">
        <f ca="1">ROUND(IF(WEEKDAY($Y$4,2)=1,[1]PDM!B20,IF(WEEKDAY($Y$4,2)=2,[1]PDM!C20,IF(WEEKDAY($Y$4,2)=3,[1]PDM!D20,IF(WEEKDAY($Y$4,2)=4,[1]PDM!E20,IF(WEEKDAY($Y$4,2)=5,[1]PDM!F20,[1]PDM!G20))))),0)</f>
        <v>60</v>
      </c>
      <c r="C50" s="56">
        <f ca="1">ROUND(IF(WEEKDAY($Y$4,2)=1,[1]Capa!B20,IF(WEEKDAY($Y$4,2)=2,[1]Capa!C20,IF(WEEKDAY($Y$4,2)=3,[1]Capa!D20,IF(WEEKDAY($Y$4,2)=4,[1]Capa!E20,IF(WEEKDAY($Y$4,2)=5,[1]Capa!F20,[1]PDM!G20))))),0)</f>
        <v>149</v>
      </c>
      <c r="D50" s="57">
        <v>25</v>
      </c>
      <c r="E50" s="58">
        <v>25</v>
      </c>
      <c r="F50" s="56">
        <v>249.93333333333334</v>
      </c>
      <c r="G50" s="60">
        <f t="shared" si="0"/>
        <v>0</v>
      </c>
      <c r="H50" s="61">
        <v>0</v>
      </c>
      <c r="I50" s="62">
        <v>246.45</v>
      </c>
      <c r="J50" s="62">
        <v>169.2</v>
      </c>
      <c r="K50" s="64">
        <f t="shared" si="1"/>
        <v>1</v>
      </c>
      <c r="L50" s="64">
        <f t="shared" ca="1" si="5"/>
        <v>0.41666666666666669</v>
      </c>
      <c r="M50" s="64">
        <f t="shared" ca="1" si="6"/>
        <v>0.41666666666666669</v>
      </c>
      <c r="N50" s="65">
        <f t="shared" ca="1" si="6"/>
        <v>0.16778523489932887</v>
      </c>
      <c r="O50" s="66">
        <f t="shared" ca="1" si="7"/>
        <v>1</v>
      </c>
      <c r="P50" s="67"/>
      <c r="Q50" s="75"/>
      <c r="R50" s="69">
        <f t="shared" ca="1" si="2"/>
        <v>0</v>
      </c>
      <c r="S50" s="70">
        <f t="shared" si="3"/>
        <v>0</v>
      </c>
      <c r="T50" s="71">
        <f t="shared" si="3"/>
        <v>0</v>
      </c>
      <c r="U50" s="72"/>
      <c r="V50" s="73"/>
      <c r="W50" s="72"/>
      <c r="X50" s="73"/>
      <c r="Y50" s="74"/>
      <c r="Z50" s="57"/>
      <c r="AA50" s="75"/>
      <c r="AB50" s="57"/>
      <c r="AC50" s="75"/>
      <c r="AD50" s="69" t="str">
        <f t="shared" si="4"/>
        <v>--</v>
      </c>
    </row>
    <row r="51" spans="1:30" ht="16.5" customHeight="1">
      <c r="A51" s="55">
        <v>0.64583333333333204</v>
      </c>
      <c r="B51" s="56">
        <f ca="1">ROUND(IF(WEEKDAY($Y$4,2)=1,[1]PDM!B21,IF(WEEKDAY($Y$4,2)=2,[1]PDM!C21,IF(WEEKDAY($Y$4,2)=3,[1]PDM!D21,IF(WEEKDAY($Y$4,2)=4,[1]PDM!E21,IF(WEEKDAY($Y$4,2)=5,[1]PDM!F21,[1]PDM!G21))))),0)</f>
        <v>56</v>
      </c>
      <c r="C51" s="56">
        <f ca="1">ROUND(IF(WEEKDAY($Y$4,2)=1,[1]Capa!B21,IF(WEEKDAY($Y$4,2)=2,[1]Capa!C21,IF(WEEKDAY($Y$4,2)=3,[1]Capa!D21,IF(WEEKDAY($Y$4,2)=4,[1]Capa!E21,IF(WEEKDAY($Y$4,2)=5,[1]Capa!F21,[1]PDM!G21))))),0)</f>
        <v>155</v>
      </c>
      <c r="D51" s="57">
        <v>19</v>
      </c>
      <c r="E51" s="58">
        <v>19</v>
      </c>
      <c r="F51" s="56">
        <v>213.89473684210523</v>
      </c>
      <c r="G51" s="60">
        <f t="shared" si="0"/>
        <v>0</v>
      </c>
      <c r="H51" s="61">
        <v>0</v>
      </c>
      <c r="I51" s="62">
        <v>204.42105263157893</v>
      </c>
      <c r="J51" s="62">
        <v>262.79591836734693</v>
      </c>
      <c r="K51" s="64">
        <f t="shared" si="1"/>
        <v>1</v>
      </c>
      <c r="L51" s="64">
        <f t="shared" ca="1" si="5"/>
        <v>0.3392857142857143</v>
      </c>
      <c r="M51" s="64">
        <f t="shared" ca="1" si="6"/>
        <v>0.3392857142857143</v>
      </c>
      <c r="N51" s="65">
        <f t="shared" ca="1" si="6"/>
        <v>0.12258064516129032</v>
      </c>
      <c r="O51" s="66">
        <f t="shared" ca="1" si="7"/>
        <v>1</v>
      </c>
      <c r="P51" s="67"/>
      <c r="Q51" s="75"/>
      <c r="R51" s="69">
        <f t="shared" ca="1" si="2"/>
        <v>0</v>
      </c>
      <c r="S51" s="70">
        <f t="shared" si="3"/>
        <v>0</v>
      </c>
      <c r="T51" s="71">
        <f t="shared" si="3"/>
        <v>0</v>
      </c>
      <c r="U51" s="72"/>
      <c r="V51" s="73"/>
      <c r="W51" s="72"/>
      <c r="X51" s="73"/>
      <c r="Y51" s="74"/>
      <c r="Z51" s="57"/>
      <c r="AA51" s="75"/>
      <c r="AB51" s="57"/>
      <c r="AC51" s="75"/>
      <c r="AD51" s="69" t="str">
        <f t="shared" si="4"/>
        <v>--</v>
      </c>
    </row>
    <row r="52" spans="1:30" ht="16.5" customHeight="1">
      <c r="A52" s="55">
        <v>0.66666666666666596</v>
      </c>
      <c r="B52" s="56">
        <f ca="1">ROUND(IF(WEEKDAY($Y$4,2)=1,[1]PDM!B22,IF(WEEKDAY($Y$4,2)=2,[1]PDM!C22,IF(WEEKDAY($Y$4,2)=3,[1]PDM!D22,IF(WEEKDAY($Y$4,2)=4,[1]PDM!E22,IF(WEEKDAY($Y$4,2)=5,[1]PDM!F22,[1]PDM!G22))))),0)</f>
        <v>50</v>
      </c>
      <c r="C52" s="56">
        <f ca="1">ROUND(IF(WEEKDAY($Y$4,2)=1,[1]Capa!B22,IF(WEEKDAY($Y$4,2)=2,[1]Capa!C22,IF(WEEKDAY($Y$4,2)=3,[1]Capa!D22,IF(WEEKDAY($Y$4,2)=4,[1]Capa!E22,IF(WEEKDAY($Y$4,2)=5,[1]Capa!F22,[1]PDM!G22))))),0)</f>
        <v>122</v>
      </c>
      <c r="D52" s="57">
        <v>23</v>
      </c>
      <c r="E52" s="58">
        <v>23</v>
      </c>
      <c r="F52" s="56">
        <v>274.08695652173913</v>
      </c>
      <c r="G52" s="60">
        <f t="shared" si="0"/>
        <v>0</v>
      </c>
      <c r="H52" s="61">
        <v>0</v>
      </c>
      <c r="I52" s="62">
        <v>247.47826086956522</v>
      </c>
      <c r="J52" s="62">
        <v>102</v>
      </c>
      <c r="K52" s="64">
        <f t="shared" si="1"/>
        <v>1</v>
      </c>
      <c r="L52" s="64">
        <f t="shared" ca="1" si="5"/>
        <v>0.46</v>
      </c>
      <c r="M52" s="64">
        <f t="shared" ca="1" si="6"/>
        <v>0.46</v>
      </c>
      <c r="N52" s="65">
        <f t="shared" ca="1" si="6"/>
        <v>0.18852459016393441</v>
      </c>
      <c r="O52" s="66">
        <f t="shared" ca="1" si="7"/>
        <v>1</v>
      </c>
      <c r="P52" s="67"/>
      <c r="Q52" s="75"/>
      <c r="R52" s="69">
        <f t="shared" ca="1" si="2"/>
        <v>0</v>
      </c>
      <c r="S52" s="70">
        <f t="shared" si="3"/>
        <v>0</v>
      </c>
      <c r="T52" s="71">
        <f t="shared" si="3"/>
        <v>0</v>
      </c>
      <c r="U52" s="72"/>
      <c r="V52" s="73"/>
      <c r="W52" s="72"/>
      <c r="X52" s="73"/>
      <c r="Y52" s="74"/>
      <c r="Z52" s="57"/>
      <c r="AA52" s="75"/>
      <c r="AB52" s="57"/>
      <c r="AC52" s="75"/>
      <c r="AD52" s="69" t="str">
        <f t="shared" si="4"/>
        <v>--</v>
      </c>
    </row>
    <row r="53" spans="1:30" ht="16.5" customHeight="1">
      <c r="A53" s="55">
        <v>0.687499999999999</v>
      </c>
      <c r="B53" s="56">
        <f ca="1">ROUND(IF(WEEKDAY($Y$4,2)=1,[1]PDM!B23,IF(WEEKDAY($Y$4,2)=2,[1]PDM!C23,IF(WEEKDAY($Y$4,2)=3,[1]PDM!D23,IF(WEEKDAY($Y$4,2)=4,[1]PDM!E23,IF(WEEKDAY($Y$4,2)=5,[1]PDM!F23,[1]PDM!G23))))),0)</f>
        <v>44</v>
      </c>
      <c r="C53" s="56">
        <f ca="1">ROUND(IF(WEEKDAY($Y$4,2)=1,[1]Capa!B23,IF(WEEKDAY($Y$4,2)=2,[1]Capa!C23,IF(WEEKDAY($Y$4,2)=3,[1]Capa!D23,IF(WEEKDAY($Y$4,2)=4,[1]Capa!E23,IF(WEEKDAY($Y$4,2)=5,[1]Capa!F23,[1]PDM!G23))))),0)</f>
        <v>123</v>
      </c>
      <c r="D53" s="57">
        <v>49</v>
      </c>
      <c r="E53" s="58">
        <v>49</v>
      </c>
      <c r="F53" s="56">
        <v>285.38924952131879</v>
      </c>
      <c r="G53" s="60">
        <f t="shared" si="0"/>
        <v>0</v>
      </c>
      <c r="H53" s="61">
        <v>0</v>
      </c>
      <c r="I53" s="62">
        <v>180.4736842105263</v>
      </c>
      <c r="J53" s="62">
        <v>350.21428571428567</v>
      </c>
      <c r="K53" s="64">
        <f t="shared" si="1"/>
        <v>1</v>
      </c>
      <c r="L53" s="64">
        <f t="shared" ca="1" si="5"/>
        <v>1.1136363636363635</v>
      </c>
      <c r="M53" s="64">
        <f t="shared" ca="1" si="6"/>
        <v>1.1136363636363635</v>
      </c>
      <c r="N53" s="65">
        <f t="shared" ca="1" si="6"/>
        <v>0.3983739837398374</v>
      </c>
      <c r="O53" s="66">
        <f t="shared" ca="1" si="7"/>
        <v>1.1136363636363635</v>
      </c>
      <c r="P53" s="67"/>
      <c r="Q53" s="75"/>
      <c r="R53" s="69">
        <f t="shared" ca="1" si="2"/>
        <v>0</v>
      </c>
      <c r="S53" s="70">
        <f t="shared" si="3"/>
        <v>0</v>
      </c>
      <c r="T53" s="71">
        <f t="shared" si="3"/>
        <v>0</v>
      </c>
      <c r="U53" s="72"/>
      <c r="V53" s="73"/>
      <c r="W53" s="72"/>
      <c r="X53" s="73"/>
      <c r="Y53" s="74"/>
      <c r="Z53" s="57"/>
      <c r="AA53" s="75"/>
      <c r="AB53" s="57"/>
      <c r="AC53" s="75"/>
      <c r="AD53" s="69" t="str">
        <f t="shared" si="4"/>
        <v>--</v>
      </c>
    </row>
    <row r="54" spans="1:30" ht="16.5" customHeight="1">
      <c r="A54" s="55">
        <v>0.70833333333333204</v>
      </c>
      <c r="B54" s="56">
        <f ca="1">ROUND(IF(WEEKDAY($Y$4,2)=1,[1]PDM!B24,IF(WEEKDAY($Y$4,2)=2,[1]PDM!C24,IF(WEEKDAY($Y$4,2)=3,[1]PDM!D24,IF(WEEKDAY($Y$4,2)=4,[1]PDM!E24,IF(WEEKDAY($Y$4,2)=5,[1]PDM!F24,[1]PDM!G24))))),0)</f>
        <v>44</v>
      </c>
      <c r="C54" s="56">
        <f ca="1">ROUND(IF(WEEKDAY($Y$4,2)=1,[1]Capa!B24,IF(WEEKDAY($Y$4,2)=2,[1]Capa!C24,IF(WEEKDAY($Y$4,2)=3,[1]Capa!D24,IF(WEEKDAY($Y$4,2)=4,[1]Capa!E24,IF(WEEKDAY($Y$4,2)=5,[1]Capa!F24,[1]PDM!G24))))),0)</f>
        <v>74</v>
      </c>
      <c r="D54" s="57">
        <v>11</v>
      </c>
      <c r="E54" s="58">
        <v>10</v>
      </c>
      <c r="F54" s="56">
        <v>241.9</v>
      </c>
      <c r="G54" s="60">
        <f t="shared" si="0"/>
        <v>0</v>
      </c>
      <c r="H54" s="61">
        <v>1</v>
      </c>
      <c r="I54" s="62">
        <v>226.5</v>
      </c>
      <c r="J54" s="62">
        <v>337.9615384615384</v>
      </c>
      <c r="K54" s="64">
        <f t="shared" si="1"/>
        <v>0.90909090909090906</v>
      </c>
      <c r="L54" s="64">
        <f t="shared" ca="1" si="5"/>
        <v>0.22727272727272727</v>
      </c>
      <c r="M54" s="64">
        <f t="shared" ca="1" si="6"/>
        <v>0.25</v>
      </c>
      <c r="N54" s="65">
        <f t="shared" ca="1" si="6"/>
        <v>0.13513513513513514</v>
      </c>
      <c r="O54" s="66">
        <f t="shared" ca="1" si="7"/>
        <v>0.90909090909090906</v>
      </c>
      <c r="P54" s="67"/>
      <c r="Q54" s="75"/>
      <c r="R54" s="69">
        <f t="shared" ca="1" si="2"/>
        <v>0</v>
      </c>
      <c r="S54" s="70">
        <f t="shared" si="3"/>
        <v>0</v>
      </c>
      <c r="T54" s="71">
        <f t="shared" si="3"/>
        <v>0</v>
      </c>
      <c r="U54" s="72"/>
      <c r="V54" s="73"/>
      <c r="W54" s="72"/>
      <c r="X54" s="73"/>
      <c r="Y54" s="74"/>
      <c r="Z54" s="57"/>
      <c r="AA54" s="75"/>
      <c r="AB54" s="57"/>
      <c r="AC54" s="75"/>
      <c r="AD54" s="69" t="str">
        <f t="shared" si="4"/>
        <v>--</v>
      </c>
    </row>
    <row r="55" spans="1:30" ht="16.5" customHeight="1">
      <c r="A55" s="55">
        <v>0.72916666666666496</v>
      </c>
      <c r="B55" s="56">
        <f ca="1">ROUND(IF(WEEKDAY($Y$4,2)=1,[1]PDM!B25,IF(WEEKDAY($Y$4,2)=2,[1]PDM!C25,IF(WEEKDAY($Y$4,2)=3,[1]PDM!D25,IF(WEEKDAY($Y$4,2)=4,[1]PDM!E25,IF(WEEKDAY($Y$4,2)=5,[1]PDM!F25,[1]PDM!G25))))),0)</f>
        <v>34</v>
      </c>
      <c r="C55" s="56">
        <f ca="1">ROUND(IF(WEEKDAY($Y$4,2)=1,[1]Capa!B25,IF(WEEKDAY($Y$4,2)=2,[1]Capa!C25,IF(WEEKDAY($Y$4,2)=3,[1]Capa!D25,IF(WEEKDAY($Y$4,2)=4,[1]Capa!E25,IF(WEEKDAY($Y$4,2)=5,[1]Capa!F25,[1]PDM!G25))))),0)</f>
        <v>68</v>
      </c>
      <c r="D55" s="57">
        <v>4</v>
      </c>
      <c r="E55" s="58">
        <v>4</v>
      </c>
      <c r="F55" s="56">
        <v>224.25</v>
      </c>
      <c r="G55" s="60">
        <f t="shared" si="0"/>
        <v>0</v>
      </c>
      <c r="H55" s="61">
        <v>0</v>
      </c>
      <c r="I55" s="62">
        <v>210.5</v>
      </c>
      <c r="J55" s="62">
        <v>469.72727272727269</v>
      </c>
      <c r="K55" s="64">
        <f t="shared" si="1"/>
        <v>1</v>
      </c>
      <c r="L55" s="64">
        <f t="shared" ca="1" si="5"/>
        <v>0.11764705882352941</v>
      </c>
      <c r="M55" s="64">
        <f t="shared" ca="1" si="6"/>
        <v>0.11764705882352941</v>
      </c>
      <c r="N55" s="65">
        <f t="shared" ca="1" si="6"/>
        <v>5.8823529411764705E-2</v>
      </c>
      <c r="O55" s="66">
        <f t="shared" ca="1" si="7"/>
        <v>1</v>
      </c>
      <c r="P55" s="67"/>
      <c r="Q55" s="75"/>
      <c r="R55" s="69">
        <f t="shared" ca="1" si="2"/>
        <v>0</v>
      </c>
      <c r="S55" s="70">
        <f t="shared" si="3"/>
        <v>0</v>
      </c>
      <c r="T55" s="71">
        <f t="shared" si="3"/>
        <v>0</v>
      </c>
      <c r="U55" s="72"/>
      <c r="V55" s="73"/>
      <c r="W55" s="72"/>
      <c r="X55" s="73"/>
      <c r="Y55" s="74"/>
      <c r="Z55" s="57"/>
      <c r="AA55" s="75"/>
      <c r="AB55" s="57"/>
      <c r="AC55" s="75"/>
      <c r="AD55" s="69" t="str">
        <f t="shared" si="4"/>
        <v>--</v>
      </c>
    </row>
    <row r="56" spans="1:30" ht="16.5" customHeight="1">
      <c r="A56" s="55">
        <v>0.749999999999999</v>
      </c>
      <c r="B56" s="56">
        <f ca="1">ROUND(IF(WEEKDAY($Y$4,2)=1,[1]PDM!B26,IF(WEEKDAY($Y$4,2)=2,[1]PDM!C26,IF(WEEKDAY($Y$4,2)=3,[1]PDM!D26,IF(WEEKDAY($Y$4,2)=4,[1]PDM!E26,IF(WEEKDAY($Y$4,2)=5,[1]PDM!F26,[1]PDM!G26))))),0)</f>
        <v>16</v>
      </c>
      <c r="C56" s="56">
        <f ca="1">ROUND(IF(WEEKDAY($Y$4,2)=1,[1]Capa!B26,IF(WEEKDAY($Y$4,2)=2,[1]Capa!C26,IF(WEEKDAY($Y$4,2)=3,[1]Capa!D26,IF(WEEKDAY($Y$4,2)=4,[1]Capa!E26,IF(WEEKDAY($Y$4,2)=5,[1]Capa!F26,[1]PDM!G26))))),0)</f>
        <v>49</v>
      </c>
      <c r="D56" s="57">
        <v>4</v>
      </c>
      <c r="E56" s="58">
        <v>4</v>
      </c>
      <c r="F56" s="56">
        <v>111</v>
      </c>
      <c r="G56" s="60">
        <f t="shared" si="0"/>
        <v>0</v>
      </c>
      <c r="H56" s="61">
        <v>0</v>
      </c>
      <c r="I56" s="62">
        <v>106</v>
      </c>
      <c r="J56" s="62">
        <v>346.5</v>
      </c>
      <c r="K56" s="64">
        <f t="shared" si="1"/>
        <v>1</v>
      </c>
      <c r="L56" s="64">
        <f t="shared" ca="1" si="5"/>
        <v>0.25</v>
      </c>
      <c r="M56" s="64">
        <f t="shared" ca="1" si="6"/>
        <v>0.25</v>
      </c>
      <c r="N56" s="65">
        <f t="shared" ca="1" si="6"/>
        <v>8.1632653061224483E-2</v>
      </c>
      <c r="O56" s="66">
        <f t="shared" ca="1" si="7"/>
        <v>1</v>
      </c>
      <c r="P56" s="67"/>
      <c r="Q56" s="75"/>
      <c r="R56" s="69">
        <f t="shared" ca="1" si="2"/>
        <v>0</v>
      </c>
      <c r="S56" s="70">
        <f t="shared" si="3"/>
        <v>0</v>
      </c>
      <c r="T56" s="71">
        <f t="shared" si="3"/>
        <v>0</v>
      </c>
      <c r="U56" s="72"/>
      <c r="V56" s="73"/>
      <c r="W56" s="72"/>
      <c r="X56" s="73"/>
      <c r="Y56" s="74"/>
      <c r="Z56" s="57"/>
      <c r="AA56" s="75"/>
      <c r="AB56" s="57"/>
      <c r="AC56" s="75"/>
      <c r="AD56" s="69" t="str">
        <f t="shared" si="4"/>
        <v>--</v>
      </c>
    </row>
    <row r="57" spans="1:30" ht="16.5" customHeight="1" thickBot="1">
      <c r="A57" s="55">
        <v>0.77083333333333204</v>
      </c>
      <c r="B57" s="56">
        <f ca="1">ROUND(IF(WEEKDAY($Y$4,2)=1,[1]PDM!B27,IF(WEEKDAY($Y$4,2)=2,[1]PDM!C27,IF(WEEKDAY($Y$4,2)=3,[1]PDM!D27,IF(WEEKDAY($Y$4,2)=4,[1]PDM!E27,IF(WEEKDAY($Y$4,2)=5,[1]PDM!F27,[1]PDM!G27))))),0)</f>
        <v>10</v>
      </c>
      <c r="C57" s="56">
        <f ca="1">ROUND(IF(WEEKDAY($Y$4,2)=1,[1]Capa!B27,IF(WEEKDAY($Y$4,2)=2,[1]Capa!C27,IF(WEEKDAY($Y$4,2)=3,[1]Capa!D27,IF(WEEKDAY($Y$4,2)=4,[1]Capa!E27,IF(WEEKDAY($Y$4,2)=5,[1]Capa!F27,[1]PDM!G27))))),0)</f>
        <v>38</v>
      </c>
      <c r="D57" s="57">
        <v>7</v>
      </c>
      <c r="E57" s="58">
        <v>7</v>
      </c>
      <c r="F57" s="56">
        <v>354.42857142857139</v>
      </c>
      <c r="G57" s="60">
        <f t="shared" si="0"/>
        <v>0</v>
      </c>
      <c r="H57" s="61">
        <v>0</v>
      </c>
      <c r="I57" s="62">
        <v>279.5</v>
      </c>
      <c r="J57" s="62">
        <v>366.4</v>
      </c>
      <c r="K57" s="64">
        <f t="shared" si="1"/>
        <v>1</v>
      </c>
      <c r="L57" s="64">
        <f t="shared" ca="1" si="5"/>
        <v>0.7</v>
      </c>
      <c r="M57" s="64">
        <f t="shared" ca="1" si="6"/>
        <v>0.7</v>
      </c>
      <c r="N57" s="65">
        <f t="shared" ca="1" si="6"/>
        <v>0.18421052631578946</v>
      </c>
      <c r="O57" s="66">
        <f t="shared" ca="1" si="7"/>
        <v>1</v>
      </c>
      <c r="P57" s="67"/>
      <c r="Q57" s="75"/>
      <c r="R57" s="69">
        <f t="shared" ca="1" si="2"/>
        <v>0</v>
      </c>
      <c r="S57" s="70">
        <f t="shared" si="3"/>
        <v>0</v>
      </c>
      <c r="T57" s="71">
        <f t="shared" si="3"/>
        <v>0</v>
      </c>
      <c r="U57" s="72"/>
      <c r="V57" s="73"/>
      <c r="W57" s="72"/>
      <c r="X57" s="73"/>
      <c r="Y57" s="74"/>
      <c r="Z57" s="57"/>
      <c r="AA57" s="75"/>
      <c r="AB57" s="57"/>
      <c r="AC57" s="75"/>
      <c r="AD57" s="69" t="str">
        <f t="shared" si="4"/>
        <v>--</v>
      </c>
    </row>
    <row r="58" spans="1:30" ht="16.5" customHeight="1" thickBot="1">
      <c r="A58" s="77" t="s">
        <v>40</v>
      </c>
      <c r="B58" s="78">
        <f ca="1">ROUND(SUMIF(D34:D57,"&gt;0",B34:B57),0)</f>
        <v>1134</v>
      </c>
      <c r="C58" s="78">
        <f ca="1">ROUND(SUMIF(K34:K57,"&gt;0",C34:C57),0)</f>
        <v>2879</v>
      </c>
      <c r="D58" s="79">
        <f>SUM(D34:D57)</f>
        <v>821</v>
      </c>
      <c r="E58" s="79">
        <f>SUM(E34:E57)</f>
        <v>809</v>
      </c>
      <c r="F58" s="78">
        <f>SUMPRODUCT(E34:E57,F34:F57)/SUM(E34:E57)</f>
        <v>237.66816213188116</v>
      </c>
      <c r="G58" s="79">
        <f>SUM(G34:G57)</f>
        <v>0</v>
      </c>
      <c r="H58" s="79">
        <f>SUM(H34:H57)</f>
        <v>12</v>
      </c>
      <c r="I58" s="78">
        <f>SUMPRODUCT(E34:E57,I34:I57)/SUM(E34:E57)</f>
        <v>177.4098104678701</v>
      </c>
      <c r="J58" s="78">
        <f>SUMPRODUCT(E34:E57,J34:J57)/SUM(E34:E57)</f>
        <v>252.25099002538539</v>
      </c>
      <c r="K58" s="80">
        <f>E58/D58</f>
        <v>0.98538367844092567</v>
      </c>
      <c r="L58" s="64">
        <f t="shared" ca="1" si="5"/>
        <v>0.71340388007054678</v>
      </c>
      <c r="M58" s="64">
        <f t="shared" ca="1" si="6"/>
        <v>0.72398589065255736</v>
      </c>
      <c r="N58" s="65">
        <f t="shared" ca="1" si="6"/>
        <v>0.28100034734282736</v>
      </c>
      <c r="O58" s="66">
        <f t="shared" ca="1" si="7"/>
        <v>0.98538367844092567</v>
      </c>
      <c r="P58" s="81">
        <f>SUM(P34:P57)</f>
        <v>63905</v>
      </c>
      <c r="Q58" s="82">
        <f>SUM(Q34:Q57)</f>
        <v>0.73964120370370368</v>
      </c>
      <c r="R58" s="83">
        <f ca="1">P58/N58</f>
        <v>227419.64771322621</v>
      </c>
      <c r="S58" s="84">
        <f t="shared" ref="S58:T58" si="8">U58+W58</f>
        <v>188245</v>
      </c>
      <c r="T58" s="85">
        <f t="shared" si="8"/>
        <v>2.1787615740740738</v>
      </c>
      <c r="U58" s="86">
        <f>SUM(U34:U57)</f>
        <v>146530</v>
      </c>
      <c r="V58" s="87">
        <f>SUM(V34:V57)</f>
        <v>1.6959490740740739</v>
      </c>
      <c r="W58" s="86">
        <f>SUM(W34:W57)</f>
        <v>41715</v>
      </c>
      <c r="X58" s="87">
        <f>SUM(X34:X57)</f>
        <v>0.48281250000000003</v>
      </c>
      <c r="Y58" s="88">
        <f>(AVERAGE(Y34:Y57))*4</f>
        <v>4.0200617283950623E-3</v>
      </c>
      <c r="Z58" s="89">
        <f>SUM(Z34:Z57)</f>
        <v>301507</v>
      </c>
      <c r="AA58" s="82">
        <f>SUM(AA34:AA57)</f>
        <v>3.489664351851852</v>
      </c>
      <c r="AB58" s="89">
        <f>SUM(AB34:AB57)</f>
        <v>63905</v>
      </c>
      <c r="AC58" s="82">
        <f>SUM(AC34:AC57)</f>
        <v>0.73964120370370368</v>
      </c>
      <c r="AD58" s="83">
        <f>AB58/Z58</f>
        <v>0.211951961314331</v>
      </c>
    </row>
    <row r="61" spans="1:30" ht="18" customHeight="1">
      <c r="A61" s="90" t="s">
        <v>41</v>
      </c>
      <c r="B61" s="90"/>
      <c r="C61" s="90"/>
      <c r="D61" s="90"/>
      <c r="E61" s="90"/>
    </row>
    <row r="62" spans="1:30" ht="16.5" customHeight="1">
      <c r="A62" s="90"/>
      <c r="B62" s="90"/>
      <c r="C62" s="90"/>
      <c r="D62" s="90"/>
      <c r="E62" s="91"/>
    </row>
    <row r="63" spans="1:30" ht="15.75" customHeight="1">
      <c r="A63" s="90"/>
      <c r="B63" s="90"/>
      <c r="C63" s="90"/>
      <c r="D63" s="90"/>
      <c r="E63" s="91"/>
    </row>
    <row r="64" spans="1:30" ht="16.5" customHeight="1">
      <c r="A64" s="90" t="s">
        <v>42</v>
      </c>
      <c r="B64" s="90"/>
      <c r="C64" s="90"/>
      <c r="D64" s="90"/>
      <c r="E64" s="90"/>
    </row>
    <row r="65" spans="1:22" ht="16.5" customHeight="1">
      <c r="A65" s="92" t="s">
        <v>43</v>
      </c>
      <c r="B65" s="92"/>
      <c r="C65" s="92"/>
      <c r="D65" s="92"/>
      <c r="E65" s="92"/>
      <c r="V65" s="93"/>
    </row>
    <row r="66" spans="1:22" ht="18.75" customHeight="1">
      <c r="A66" s="92"/>
      <c r="B66" s="92"/>
      <c r="C66" s="92"/>
      <c r="D66" s="92"/>
      <c r="E66" s="92"/>
    </row>
    <row r="68" spans="1:22">
      <c r="V68" s="93"/>
    </row>
    <row r="69" spans="1:22">
      <c r="B69" s="94"/>
    </row>
    <row r="76" spans="1:22">
      <c r="A76" s="1" t="str">
        <f>IFERROR(TEXT(K58,"0,00%"),0%)</f>
        <v>98,54%</v>
      </c>
    </row>
    <row r="77" spans="1:22">
      <c r="A77" s="1" t="str">
        <f ca="1">IFERROR(TEXT(L58,"0,00%"),0%)</f>
        <v>71,34%</v>
      </c>
    </row>
    <row r="78" spans="1:22">
      <c r="A78" s="1" t="str">
        <f ca="1">IFERROR(TEXT(M58,"0,00%"),0%)</f>
        <v>72,40%</v>
      </c>
    </row>
    <row r="79" spans="1:22">
      <c r="A79" s="1" t="str">
        <f ca="1">IFERROR(TEXT(N58,"0,00%"),0%)</f>
        <v>28,10%</v>
      </c>
    </row>
  </sheetData>
  <mergeCells count="24">
    <mergeCell ref="A64:E64"/>
    <mergeCell ref="A65:E65"/>
    <mergeCell ref="A66:E66"/>
    <mergeCell ref="D11:E11"/>
    <mergeCell ref="H11:I11"/>
    <mergeCell ref="H12:I12"/>
    <mergeCell ref="A14:N30"/>
    <mergeCell ref="A61:E61"/>
    <mergeCell ref="A62:D63"/>
    <mergeCell ref="A9:B9"/>
    <mergeCell ref="D9:E9"/>
    <mergeCell ref="H9:I9"/>
    <mergeCell ref="L9:M9"/>
    <mergeCell ref="A10:B10"/>
    <mergeCell ref="D10:E10"/>
    <mergeCell ref="H10:I10"/>
    <mergeCell ref="D3:J3"/>
    <mergeCell ref="A7:B7"/>
    <mergeCell ref="D7:E7"/>
    <mergeCell ref="H7:I7"/>
    <mergeCell ref="L7:M7"/>
    <mergeCell ref="D8:E8"/>
    <mergeCell ref="H8:I8"/>
    <mergeCell ref="L8:M8"/>
  </mergeCells>
  <conditionalFormatting sqref="Y34">
    <cfRule type="cellIs" dxfId="53" priority="51" operator="equal">
      <formula>0.00115740740740741</formula>
    </cfRule>
    <cfRule type="cellIs" dxfId="52" priority="52" operator="lessThan">
      <formula>0.00115740740740741</formula>
    </cfRule>
    <cfRule type="cellIs" dxfId="51" priority="53" operator="greaterThan">
      <formula>0.00115740740740741</formula>
    </cfRule>
    <cfRule type="cellIs" dxfId="50" priority="54" operator="greaterThan">
      <formula>"(0:06:39)/4"</formula>
    </cfRule>
  </conditionalFormatting>
  <conditionalFormatting sqref="Y35:Y57">
    <cfRule type="cellIs" dxfId="49" priority="47" operator="equal">
      <formula>0.00115740740740741</formula>
    </cfRule>
    <cfRule type="cellIs" dxfId="48" priority="48" operator="lessThan">
      <formula>0.00115740740740741</formula>
    </cfRule>
    <cfRule type="cellIs" dxfId="47" priority="49" operator="greaterThan">
      <formula>0.00115740740740741</formula>
    </cfRule>
    <cfRule type="cellIs" dxfId="46" priority="50" operator="greaterThan">
      <formula>"(0:06:39)/4"</formula>
    </cfRule>
  </conditionalFormatting>
  <conditionalFormatting sqref="Y58">
    <cfRule type="cellIs" dxfId="45" priority="44" operator="equal">
      <formula>0.00461805555555556</formula>
    </cfRule>
    <cfRule type="cellIs" dxfId="44" priority="45" operator="lessThan">
      <formula>0.00461805555555556</formula>
    </cfRule>
    <cfRule type="cellIs" dxfId="43" priority="46" operator="greaterThan">
      <formula>0.00461805555555556</formula>
    </cfRule>
  </conditionalFormatting>
  <conditionalFormatting sqref="M58">
    <cfRule type="cellIs" dxfId="42" priority="41" operator="lessThan">
      <formula>0.9</formula>
    </cfRule>
    <cfRule type="cellIs" dxfId="41" priority="42" operator="equal">
      <formula>0.9</formula>
    </cfRule>
    <cfRule type="cellIs" dxfId="40" priority="43" operator="greaterThan">
      <formula>0.9</formula>
    </cfRule>
  </conditionalFormatting>
  <conditionalFormatting sqref="K34:K57">
    <cfRule type="cellIs" dxfId="39" priority="38" operator="lessThan">
      <formula>0.9</formula>
    </cfRule>
    <cfRule type="cellIs" dxfId="38" priority="39" operator="equal">
      <formula>0.9</formula>
    </cfRule>
    <cfRule type="cellIs" dxfId="37" priority="40" operator="greaterThan">
      <formula>0.9</formula>
    </cfRule>
  </conditionalFormatting>
  <conditionalFormatting sqref="K34:K57">
    <cfRule type="cellIs" dxfId="36" priority="35" operator="equal">
      <formula>0.9</formula>
    </cfRule>
    <cfRule type="cellIs" dxfId="35" priority="36" operator="lessThan">
      <formula>0.9</formula>
    </cfRule>
    <cfRule type="cellIs" dxfId="34" priority="37" operator="greaterThan">
      <formula>0.9</formula>
    </cfRule>
  </conditionalFormatting>
  <conditionalFormatting sqref="L34:L58 N34:N58">
    <cfRule type="cellIs" dxfId="33" priority="32" operator="lessThan">
      <formula>1</formula>
    </cfRule>
    <cfRule type="cellIs" dxfId="32" priority="33" operator="equal">
      <formula>1</formula>
    </cfRule>
    <cfRule type="cellIs" dxfId="31" priority="34" operator="greaterThan">
      <formula>1</formula>
    </cfRule>
  </conditionalFormatting>
  <conditionalFormatting sqref="J7">
    <cfRule type="cellIs" dxfId="30" priority="26" operator="lessThan">
      <formula>0.9</formula>
    </cfRule>
    <cfRule type="cellIs" dxfId="29" priority="27" operator="equal">
      <formula>0.9</formula>
    </cfRule>
    <cfRule type="cellIs" dxfId="28" priority="28" operator="greaterThan">
      <formula>0.9</formula>
    </cfRule>
    <cfRule type="cellIs" dxfId="27" priority="29" operator="lessThan">
      <formula>0.9</formula>
    </cfRule>
    <cfRule type="cellIs" dxfId="26" priority="30" operator="equal">
      <formula>0.9</formula>
    </cfRule>
    <cfRule type="cellIs" dxfId="25" priority="31" operator="greaterThan">
      <formula>0.9</formula>
    </cfRule>
  </conditionalFormatting>
  <conditionalFormatting sqref="J9">
    <cfRule type="cellIs" dxfId="24" priority="23" operator="lessThan">
      <formula>0.9</formula>
    </cfRule>
    <cfRule type="cellIs" dxfId="23" priority="24" operator="equal">
      <formula>0.9</formula>
    </cfRule>
    <cfRule type="cellIs" dxfId="22" priority="25" operator="greaterThan">
      <formula>0.9</formula>
    </cfRule>
  </conditionalFormatting>
  <conditionalFormatting sqref="J8">
    <cfRule type="cellIs" dxfId="21" priority="20" operator="lessThan">
      <formula>1</formula>
    </cfRule>
    <cfRule type="cellIs" dxfId="20" priority="21" operator="equal">
      <formula>1</formula>
    </cfRule>
    <cfRule type="cellIs" dxfId="19" priority="22" operator="greaterThan">
      <formula>1</formula>
    </cfRule>
  </conditionalFormatting>
  <conditionalFormatting sqref="K58">
    <cfRule type="cellIs" dxfId="18" priority="17" operator="lessThan">
      <formula>0.9</formula>
    </cfRule>
    <cfRule type="cellIs" dxfId="17" priority="18" operator="equal">
      <formula>0.9</formula>
    </cfRule>
    <cfRule type="cellIs" dxfId="16" priority="19" operator="greaterThan">
      <formula>0.9</formula>
    </cfRule>
  </conditionalFormatting>
  <conditionalFormatting sqref="K58">
    <cfRule type="cellIs" dxfId="15" priority="14" operator="equal">
      <formula>0.9</formula>
    </cfRule>
    <cfRule type="cellIs" dxfId="14" priority="15" operator="lessThan">
      <formula>0.9</formula>
    </cfRule>
    <cfRule type="cellIs" dxfId="13" priority="16" operator="greaterThan">
      <formula>0.9</formula>
    </cfRule>
  </conditionalFormatting>
  <conditionalFormatting sqref="L58">
    <cfRule type="cellIs" dxfId="12" priority="11" operator="lessThan">
      <formula>1</formula>
    </cfRule>
    <cfRule type="cellIs" dxfId="11" priority="12" operator="equal">
      <formula>1</formula>
    </cfRule>
    <cfRule type="cellIs" dxfId="10" priority="13" operator="greaterThan">
      <formula>1</formula>
    </cfRule>
  </conditionalFormatting>
  <conditionalFormatting sqref="O34:O58">
    <cfRule type="cellIs" dxfId="9" priority="8" operator="equal">
      <formula>0.9</formula>
    </cfRule>
    <cfRule type="cellIs" dxfId="8" priority="9" operator="lessThan">
      <formula>0.9</formula>
    </cfRule>
    <cfRule type="cellIs" dxfId="7" priority="10" operator="greaterThan">
      <formula>0.9</formula>
    </cfRule>
  </conditionalFormatting>
  <conditionalFormatting sqref="M34:M58">
    <cfRule type="cellIs" dxfId="6" priority="5" operator="lessThan">
      <formula>0.9</formula>
    </cfRule>
    <cfRule type="cellIs" dxfId="5" priority="6" operator="equal">
      <formula>0.9</formula>
    </cfRule>
    <cfRule type="cellIs" dxfId="4" priority="7" operator="greaterThan">
      <formula>0.9</formula>
    </cfRule>
  </conditionalFormatting>
  <conditionalFormatting sqref="J10">
    <cfRule type="cellIs" dxfId="3" priority="3" operator="greaterThan">
      <formula>1</formula>
    </cfRule>
    <cfRule type="cellIs" dxfId="2" priority="4" operator="lessThan">
      <formula>1</formula>
    </cfRule>
  </conditionalFormatting>
  <conditionalFormatting sqref="J11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Flash_Daxon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Ammerti Rabie</dc:creator>
  <cp:lastModifiedBy>Ammerti Rabie</cp:lastModifiedBy>
  <dcterms:created xsi:type="dcterms:W3CDTF">2017-09-08T21:02:31Z</dcterms:created>
  <dcterms:modified xsi:type="dcterms:W3CDTF">2017-09-08T21:02:32Z</dcterms:modified>
</cp:coreProperties>
</file>