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Stockton" sheetId="4" r:id="rId1"/>
    <sheet name="PCB" sheetId="1" r:id="rId2"/>
    <sheet name="swr_schematic" sheetId="3" r:id="rId3"/>
    <sheet name="SWR_Label" sheetId="2" r:id="rId4"/>
  </sheets>
  <definedNames>
    <definedName name="_xlnm.Print_Area" localSheetId="3">SWR_Label!$A$1:$H$11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1" i="1" l="1"/>
  <c r="D8" i="1" l="1"/>
  <c r="G14" i="1"/>
  <c r="G16" i="1"/>
  <c r="G18" i="1"/>
  <c r="G10" i="1"/>
  <c r="G11" i="1"/>
  <c r="G13" i="1"/>
  <c r="G9" i="1"/>
  <c r="E7" i="1"/>
  <c r="M9" i="1"/>
  <c r="M8" i="1"/>
  <c r="M7" i="1"/>
  <c r="M6" i="1"/>
  <c r="D19" i="1"/>
  <c r="G19" i="1" s="1"/>
  <c r="E18" i="1"/>
  <c r="D17" i="1"/>
  <c r="G17" i="1" s="1"/>
  <c r="E16" i="1"/>
  <c r="D15" i="1"/>
  <c r="G15" i="1" s="1"/>
  <c r="E14" i="1"/>
  <c r="E13" i="1"/>
  <c r="D12" i="1"/>
  <c r="G12" i="1" s="1"/>
  <c r="E11" i="1"/>
  <c r="E10" i="1"/>
  <c r="E9" i="1"/>
  <c r="M5" i="1" l="1"/>
  <c r="M11" i="1" s="1"/>
  <c r="K27" i="2" l="1"/>
  <c r="K28" i="2"/>
  <c r="K29" i="2"/>
  <c r="K30" i="2"/>
  <c r="K31" i="2"/>
  <c r="K32" i="2"/>
  <c r="K33" i="2"/>
  <c r="K34" i="2"/>
  <c r="K35" i="2"/>
  <c r="I27" i="2"/>
  <c r="I28" i="2"/>
  <c r="I29" i="2"/>
  <c r="I30" i="2"/>
  <c r="I31" i="2"/>
  <c r="I32" i="2"/>
  <c r="I33" i="2"/>
  <c r="I34" i="2"/>
  <c r="I35" i="2"/>
  <c r="I36" i="2"/>
  <c r="I26" i="2"/>
  <c r="J27" i="2"/>
  <c r="J28" i="2"/>
  <c r="J29" i="2"/>
  <c r="J30" i="2"/>
  <c r="J31" i="2"/>
  <c r="J32" i="2"/>
  <c r="J33" i="2"/>
  <c r="J34" i="2"/>
  <c r="J35" i="2"/>
  <c r="J36" i="2"/>
  <c r="J26" i="2"/>
  <c r="L27" i="2"/>
  <c r="L28" i="2"/>
  <c r="L29" i="2"/>
  <c r="L30" i="2"/>
  <c r="L31" i="2"/>
  <c r="L32" i="2"/>
  <c r="L33" i="2"/>
  <c r="L34" i="2"/>
  <c r="L35" i="2"/>
  <c r="L36" i="2"/>
  <c r="L26" i="2"/>
  <c r="Q3" i="2"/>
  <c r="Q4" i="2"/>
  <c r="Q5" i="2"/>
  <c r="Q6" i="2"/>
  <c r="Q7" i="2"/>
  <c r="Q9" i="2"/>
  <c r="Q10" i="2"/>
  <c r="Q11" i="2"/>
  <c r="Q12" i="2"/>
  <c r="Q13" i="2"/>
  <c r="Q14" i="2"/>
  <c r="Q15" i="2"/>
  <c r="Q16" i="2"/>
  <c r="Q17" i="2"/>
  <c r="Q18" i="2"/>
  <c r="Q2" i="2"/>
  <c r="C4" i="4" l="1"/>
  <c r="D4" i="4"/>
  <c r="C7" i="4"/>
  <c r="D7" i="4"/>
  <c r="C8" i="4"/>
  <c r="D8" i="4"/>
  <c r="C9" i="4"/>
  <c r="D9" i="4"/>
  <c r="AA2" i="3" l="1"/>
  <c r="AA10" i="3"/>
  <c r="AA8" i="3"/>
  <c r="AA6" i="3"/>
  <c r="AA4" i="3"/>
  <c r="W9" i="3"/>
  <c r="W7" i="3"/>
  <c r="W5" i="3"/>
  <c r="W3" i="3"/>
  <c r="X2" i="3" l="1"/>
  <c r="X3" i="3"/>
  <c r="X4" i="3"/>
  <c r="X5" i="3"/>
  <c r="X6" i="3"/>
  <c r="X7" i="3"/>
  <c r="X8" i="3"/>
  <c r="X9" i="3"/>
  <c r="X10" i="3"/>
  <c r="W11" i="3"/>
  <c r="O18" i="3"/>
  <c r="Q18" i="3"/>
  <c r="U18" i="3"/>
  <c r="U19" i="3" s="1"/>
  <c r="O19" i="3"/>
  <c r="Q19" i="3"/>
  <c r="S19" i="3"/>
  <c r="O20" i="3"/>
  <c r="Q20" i="3"/>
  <c r="N21" i="3"/>
  <c r="Q21" i="3"/>
  <c r="O22" i="3"/>
  <c r="Q22" i="3"/>
  <c r="O23" i="3"/>
  <c r="Q23" i="3"/>
  <c r="N24" i="3"/>
  <c r="Q24" i="3"/>
  <c r="O25" i="3"/>
  <c r="Q25" i="3"/>
  <c r="N26" i="3"/>
  <c r="Q26" i="3" s="1"/>
  <c r="O27" i="3"/>
  <c r="Q27" i="3"/>
  <c r="N28" i="3"/>
  <c r="Q28" i="3"/>
  <c r="I2" i="2"/>
  <c r="J2" i="2"/>
  <c r="I3" i="2"/>
  <c r="J3" i="2" s="1"/>
  <c r="I4" i="2"/>
  <c r="J4" i="2"/>
  <c r="L4" i="2"/>
  <c r="I5" i="2"/>
  <c r="J5" i="2"/>
  <c r="L5" i="2"/>
  <c r="I6" i="2"/>
  <c r="J6" i="2"/>
  <c r="L6" i="2"/>
  <c r="I7" i="2"/>
  <c r="J7" i="2"/>
  <c r="L7" i="2"/>
  <c r="J8" i="2"/>
  <c r="L2" i="2" s="1"/>
  <c r="J11" i="2"/>
  <c r="I11" i="2" s="1"/>
  <c r="K11" i="2" s="1"/>
  <c r="N11" i="2"/>
  <c r="J12" i="2"/>
  <c r="I12" i="2" s="1"/>
  <c r="K12" i="2" s="1"/>
  <c r="J14" i="2"/>
  <c r="I14" i="2" s="1"/>
  <c r="K14" i="2" s="1"/>
  <c r="N14" i="2"/>
  <c r="J15" i="2"/>
  <c r="N15" i="2" s="1"/>
  <c r="O15" i="2" s="1"/>
  <c r="J17" i="2"/>
  <c r="I17" i="2" s="1"/>
  <c r="K17" i="2" s="1"/>
  <c r="N17" i="2"/>
  <c r="J18" i="2"/>
  <c r="I18" i="2" s="1"/>
  <c r="K18" i="2" s="1"/>
  <c r="N18" i="2"/>
  <c r="O18" i="2" s="1"/>
  <c r="J19" i="2"/>
  <c r="N19" i="2" s="1"/>
  <c r="O19" i="2" s="1"/>
  <c r="X11" i="3" l="1"/>
  <c r="J10" i="2"/>
  <c r="J13" i="2"/>
  <c r="J16" i="2"/>
  <c r="L3" i="2"/>
  <c r="J9" i="2"/>
  <c r="I9" i="2" s="1"/>
  <c r="K9" i="2" s="1"/>
  <c r="I15" i="2"/>
  <c r="K15" i="2" s="1"/>
  <c r="N12" i="2"/>
  <c r="O12" i="2" s="1"/>
  <c r="I16" i="2" l="1"/>
  <c r="K16" i="2" s="1"/>
  <c r="N16" i="2"/>
  <c r="N13" i="2"/>
  <c r="I13" i="2"/>
  <c r="K13" i="2" s="1"/>
  <c r="I10" i="2"/>
  <c r="K10" i="2" s="1"/>
  <c r="N10" i="2"/>
  <c r="O13" i="2" l="1"/>
  <c r="O14" i="2"/>
  <c r="O10" i="2"/>
  <c r="O11" i="2"/>
  <c r="O17" i="2"/>
  <c r="O16" i="2"/>
</calcChain>
</file>

<file path=xl/sharedStrings.xml><?xml version="1.0" encoding="utf-8"?>
<sst xmlns="http://schemas.openxmlformats.org/spreadsheetml/2006/main" count="129" uniqueCount="89">
  <si>
    <t xml:space="preserve">Vf = Vr (s + 1) / (s - 1) </t>
  </si>
  <si>
    <t xml:space="preserve">Vr = Vf (s - 1) / (s + 1) </t>
  </si>
  <si>
    <t>s = (Vf+Vr) / (Vf-Vr)</t>
  </si>
  <si>
    <t>B/G</t>
  </si>
  <si>
    <t>CAL</t>
  </si>
  <si>
    <t>Diff</t>
  </si>
  <si>
    <t>Angle</t>
  </si>
  <si>
    <t>SWR</t>
  </si>
  <si>
    <t>dBm</t>
  </si>
  <si>
    <t>Vrms</t>
  </si>
  <si>
    <t>W</t>
  </si>
  <si>
    <t>Zo =  Ln( 5.98*H / 0.8*W + t ) * 87 / sqrt (Er + 1.41)</t>
  </si>
  <si>
    <t>dB</t>
  </si>
  <si>
    <t>Crosstalk:</t>
  </si>
  <si>
    <t>mil</t>
  </si>
  <si>
    <t>mm</t>
  </si>
  <si>
    <t>Gap to top Gnd Plane</t>
  </si>
  <si>
    <t>track spacing:</t>
  </si>
  <si>
    <t>Zo</t>
  </si>
  <si>
    <t>Width</t>
  </si>
  <si>
    <t>Height</t>
  </si>
  <si>
    <t>Trace</t>
  </si>
  <si>
    <t>Er</t>
  </si>
  <si>
    <t>Fibreglass PCB:</t>
  </si>
  <si>
    <t>GND</t>
  </si>
  <si>
    <t>Gap</t>
  </si>
  <si>
    <t>Trace1</t>
  </si>
  <si>
    <t>Signal</t>
  </si>
  <si>
    <t>Trace2</t>
  </si>
  <si>
    <t>x 0.127</t>
  </si>
  <si>
    <t>"Monimatch"</t>
  </si>
  <si>
    <t>As freq increases, effective strip length goes up. Cct becomes more sensitive</t>
  </si>
  <si>
    <t>"Bruene" (variant)</t>
  </si>
  <si>
    <t>"Tandem Match" AKA "Stockton"</t>
  </si>
  <si>
    <t>A LOW impedance source acts as a VOLTAGE source</t>
  </si>
  <si>
    <t>A HIGH impedance source acts as a CURRENT source</t>
  </si>
  <si>
    <t>R' = R*N*N</t>
  </si>
  <si>
    <t>R'</t>
  </si>
  <si>
    <t>I' = I/N</t>
  </si>
  <si>
    <t>I'</t>
  </si>
  <si>
    <t>E' = NE</t>
  </si>
  <si>
    <t>E'</t>
  </si>
  <si>
    <t>N</t>
  </si>
  <si>
    <t>Secondary</t>
  </si>
  <si>
    <t>Primary</t>
  </si>
  <si>
    <t>I</t>
  </si>
  <si>
    <t>E</t>
  </si>
  <si>
    <t>R=E/I</t>
  </si>
  <si>
    <t>R</t>
  </si>
  <si>
    <t>General</t>
  </si>
  <si>
    <t>Step Down</t>
  </si>
  <si>
    <t>Step Up</t>
  </si>
  <si>
    <t>T1:</t>
  </si>
  <si>
    <t>Current source</t>
  </si>
  <si>
    <t>T2:</t>
  </si>
  <si>
    <t>Voltage source</t>
  </si>
  <si>
    <t>R1 = LEFT</t>
  </si>
  <si>
    <t>R2 = RIGHT</t>
  </si>
  <si>
    <t>Each gets 1/2 the current</t>
  </si>
  <si>
    <t>Voltage is split across them</t>
  </si>
  <si>
    <t>I' = (IF - IR) /N</t>
  </si>
  <si>
    <t>V' = (VF + VR) /N</t>
  </si>
  <si>
    <t>R1 = R2 = Zo = 50</t>
  </si>
  <si>
    <t>V R1:</t>
  </si>
  <si>
    <t>V R2:</t>
  </si>
  <si>
    <t>VF = IF * Zo = 50*IF</t>
  </si>
  <si>
    <t>VR = IR * Zo = 50*IR</t>
  </si>
  <si>
    <t>(VF - VR - VF - VR) / 2N</t>
  </si>
  <si>
    <t>(VF - VR + VF + VR) / 2N</t>
  </si>
  <si>
    <t>D</t>
  </si>
  <si>
    <t>V' R1 = (IF - IR) * 50 / 2N</t>
  </si>
  <si>
    <t>V' R2 = (IF - IR) * 50 / 2N</t>
  </si>
  <si>
    <t>V" R1 = -(VF + VR) / 2N</t>
  </si>
  <si>
    <t>V" R2 = (VF + VR) / 2N</t>
  </si>
  <si>
    <t>V' R1 = (VF - VR) / 2N</t>
  </si>
  <si>
    <t>V' R2 = (VF - VR) / 2N</t>
  </si>
  <si>
    <t>V R1 = -VR / N</t>
  </si>
  <si>
    <t>V R2 = VF / N</t>
  </si>
  <si>
    <t>|Γ|</t>
  </si>
  <si>
    <t>1+T / 1-T</t>
  </si>
  <si>
    <t>SWR (1-T) = 1+T</t>
  </si>
  <si>
    <t>SWR - SWR*T - 1 = T</t>
  </si>
  <si>
    <t>SWR - 1 = T + SWR * T</t>
  </si>
  <si>
    <t>SWR - 1 = T (SWR+1)</t>
  </si>
  <si>
    <t>T = (SWR-1) / (SWR+1)</t>
  </si>
  <si>
    <t>Trace:</t>
  </si>
  <si>
    <t>(edge)</t>
  </si>
  <si>
    <t>(main)</t>
  </si>
  <si>
    <t>(detector)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</si>
</sst>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0.000"/>
    <numFmt numFmtId="165" formatCode="0.0000"/>
    <numFmt numFmtId="166" formatCode="##0.00E+0"/>
    <numFmt numFmtId="167" formatCode="0.00000"/>
    <numFmt numFmtId="168" formatCode="#,##0.000"/>
    <numFmt numFmtId="169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F0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89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/>
    <xf numFmtId="2" fontId="0" fillId="0" borderId="0" xfId="0" applyNumberFormat="1" applyAlignment="1">
      <alignment horizontal="center"/>
    </xf>
    <xf numFmtId="0" fontId="1" fillId="2" borderId="0" xfId="0" applyFont="1" applyFill="1" applyAlignment="1">
      <alignment horizontal="center"/>
    </xf>
    <xf numFmtId="164" fontId="1" fillId="3" borderId="0" xfId="0" applyNumberFormat="1" applyFont="1" applyFill="1" applyAlignment="1">
      <alignment horizontal="center"/>
    </xf>
    <xf numFmtId="2" fontId="1" fillId="2" borderId="0" xfId="0" applyNumberFormat="1" applyFont="1" applyFill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0" fontId="1" fillId="0" borderId="0" xfId="0" applyFont="1" applyFill="1" applyAlignment="1">
      <alignment horizontal="center"/>
    </xf>
    <xf numFmtId="167" fontId="0" fillId="0" borderId="0" xfId="0" applyNumberFormat="1" applyAlignment="1">
      <alignment horizontal="center"/>
    </xf>
    <xf numFmtId="48" fontId="0" fillId="0" borderId="0" xfId="0" applyNumberFormat="1"/>
    <xf numFmtId="11" fontId="0" fillId="0" borderId="0" xfId="0" applyNumberFormat="1"/>
    <xf numFmtId="168" fontId="0" fillId="0" borderId="0" xfId="0" applyNumberFormat="1" applyAlignment="1">
      <alignment horizontal="center"/>
    </xf>
    <xf numFmtId="164" fontId="1" fillId="0" borderId="0" xfId="0" applyNumberFormat="1" applyFont="1" applyAlignment="1">
      <alignment horizontal="center"/>
    </xf>
    <xf numFmtId="168" fontId="0" fillId="0" borderId="0" xfId="0" applyNumberFormat="1" applyFont="1" applyAlignment="1">
      <alignment horizontal="center"/>
    </xf>
    <xf numFmtId="164" fontId="0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169" fontId="0" fillId="0" borderId="0" xfId="0" applyNumberFormat="1" applyAlignment="1">
      <alignment horizontal="center"/>
    </xf>
    <xf numFmtId="0" fontId="0" fillId="0" borderId="0" xfId="0" applyBorder="1"/>
    <xf numFmtId="0" fontId="0" fillId="0" borderId="0" xfId="0" applyFill="1" applyBorder="1"/>
    <xf numFmtId="0" fontId="0" fillId="0" borderId="1" xfId="0" applyBorder="1"/>
    <xf numFmtId="0" fontId="0" fillId="0" borderId="2" xfId="0" applyBorder="1"/>
    <xf numFmtId="0" fontId="0" fillId="0" borderId="5" xfId="0" applyBorder="1"/>
    <xf numFmtId="0" fontId="0" fillId="0" borderId="4" xfId="0" applyBorder="1"/>
    <xf numFmtId="0" fontId="0" fillId="0" borderId="5" xfId="0" applyFill="1" applyBorder="1"/>
    <xf numFmtId="0" fontId="0" fillId="0" borderId="7" xfId="0" applyFill="1" applyBorder="1"/>
    <xf numFmtId="0" fontId="0" fillId="0" borderId="8" xfId="0" applyFill="1" applyBorder="1"/>
    <xf numFmtId="0" fontId="0" fillId="0" borderId="4" xfId="0" applyFill="1" applyBorder="1"/>
    <xf numFmtId="0" fontId="0" fillId="4" borderId="7" xfId="0" applyFill="1" applyBorder="1"/>
    <xf numFmtId="0" fontId="0" fillId="5" borderId="0" xfId="0" applyFill="1" applyBorder="1"/>
    <xf numFmtId="0" fontId="0" fillId="4" borderId="8" xfId="0" applyFill="1" applyBorder="1"/>
    <xf numFmtId="0" fontId="0" fillId="5" borderId="2" xfId="0" applyFill="1" applyBorder="1"/>
    <xf numFmtId="0" fontId="0" fillId="5" borderId="4" xfId="0" applyFill="1" applyBorder="1"/>
    <xf numFmtId="0" fontId="0" fillId="4" borderId="6" xfId="0" applyFill="1" applyBorder="1"/>
    <xf numFmtId="0" fontId="0" fillId="0" borderId="2" xfId="0" applyFill="1" applyBorder="1"/>
    <xf numFmtId="0" fontId="0" fillId="3" borderId="4" xfId="0" applyFill="1" applyBorder="1"/>
    <xf numFmtId="0" fontId="0" fillId="3" borderId="0" xfId="0" applyFill="1" applyBorder="1"/>
    <xf numFmtId="0" fontId="0" fillId="3" borderId="5" xfId="0" applyFill="1" applyBorder="1"/>
    <xf numFmtId="0" fontId="0" fillId="3" borderId="7" xfId="0" applyFill="1" applyBorder="1"/>
    <xf numFmtId="0" fontId="0" fillId="3" borderId="2" xfId="0" applyFill="1" applyBorder="1"/>
    <xf numFmtId="0" fontId="0" fillId="5" borderId="5" xfId="0" applyFill="1" applyBorder="1"/>
    <xf numFmtId="0" fontId="0" fillId="5" borderId="7" xfId="0" applyFill="1" applyBorder="1"/>
    <xf numFmtId="0" fontId="0" fillId="0" borderId="3" xfId="0" applyFill="1" applyBorder="1"/>
    <xf numFmtId="0" fontId="0" fillId="0" borderId="6" xfId="0" applyFill="1" applyBorder="1"/>
    <xf numFmtId="0" fontId="0" fillId="0" borderId="1" xfId="0" applyFill="1" applyBorder="1"/>
    <xf numFmtId="2" fontId="2" fillId="0" borderId="0" xfId="0" applyNumberFormat="1" applyFont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2" fillId="0" borderId="0" xfId="0" applyNumberFormat="1" applyFont="1" applyFill="1" applyBorder="1" applyAlignment="1">
      <alignment horizontal="center"/>
    </xf>
    <xf numFmtId="168" fontId="0" fillId="0" borderId="0" xfId="0" applyNumberForma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165" fontId="1" fillId="3" borderId="10" xfId="0" applyNumberFormat="1" applyFont="1" applyFill="1" applyBorder="1" applyAlignment="1">
      <alignment horizontal="center"/>
    </xf>
    <xf numFmtId="2" fontId="1" fillId="3" borderId="10" xfId="0" applyNumberFormat="1" applyFont="1" applyFill="1" applyBorder="1" applyAlignment="1">
      <alignment horizontal="center"/>
    </xf>
    <xf numFmtId="0" fontId="1" fillId="3" borderId="10" xfId="0" applyFont="1" applyFill="1" applyBorder="1"/>
    <xf numFmtId="168" fontId="1" fillId="3" borderId="11" xfId="0" applyNumberFormat="1" applyFont="1" applyFill="1" applyBorder="1" applyAlignment="1">
      <alignment horizontal="center"/>
    </xf>
    <xf numFmtId="0" fontId="0" fillId="5" borderId="8" xfId="0" applyFill="1" applyBorder="1"/>
    <xf numFmtId="0" fontId="0" fillId="5" borderId="6" xfId="0" applyFill="1" applyBorder="1"/>
    <xf numFmtId="0" fontId="0" fillId="0" borderId="0" xfId="0" applyAlignment="1">
      <alignment horizontal="left"/>
    </xf>
    <xf numFmtId="0" fontId="0" fillId="0" borderId="12" xfId="0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0" fillId="0" borderId="12" xfId="0" quotePrefix="1" applyBorder="1" applyAlignment="1">
      <alignment horizontal="center"/>
    </xf>
    <xf numFmtId="0" fontId="0" fillId="3" borderId="17" xfId="0" applyFill="1" applyBorder="1"/>
    <xf numFmtId="0" fontId="3" fillId="0" borderId="16" xfId="0" applyFont="1" applyBorder="1" applyAlignment="1">
      <alignment vertical="center"/>
    </xf>
    <xf numFmtId="0" fontId="0" fillId="3" borderId="15" xfId="0" applyFill="1" applyBorder="1"/>
    <xf numFmtId="0" fontId="0" fillId="4" borderId="15" xfId="0" applyFill="1" applyBorder="1"/>
    <xf numFmtId="0" fontId="0" fillId="3" borderId="13" xfId="0" applyFill="1" applyBorder="1"/>
    <xf numFmtId="0" fontId="0" fillId="4" borderId="14" xfId="0" applyFill="1" applyBorder="1"/>
    <xf numFmtId="0" fontId="3" fillId="0" borderId="18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16" xfId="0" applyFont="1" applyFill="1" applyBorder="1" applyAlignment="1">
      <alignment vertical="center"/>
    </xf>
    <xf numFmtId="0" fontId="0" fillId="6" borderId="17" xfId="0" applyFill="1" applyBorder="1"/>
    <xf numFmtId="0" fontId="1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1" fontId="2" fillId="0" borderId="0" xfId="0" applyNumberFormat="1" applyFont="1" applyAlignment="1">
      <alignment horizontal="center"/>
    </xf>
    <xf numFmtId="164" fontId="1" fillId="3" borderId="10" xfId="0" applyNumberFormat="1" applyFont="1" applyFill="1" applyBorder="1" applyAlignment="1">
      <alignment horizontal="center"/>
    </xf>
    <xf numFmtId="0" fontId="1" fillId="3" borderId="1" xfId="0" quotePrefix="1" applyFont="1" applyFill="1" applyBorder="1" applyAlignment="1">
      <alignment horizontal="center"/>
    </xf>
    <xf numFmtId="0" fontId="1" fillId="3" borderId="2" xfId="0" quotePrefix="1" applyFont="1" applyFill="1" applyBorder="1" applyAlignment="1">
      <alignment horizontal="center"/>
    </xf>
    <xf numFmtId="0" fontId="1" fillId="3" borderId="3" xfId="0" quotePrefix="1" applyFont="1" applyFill="1" applyBorder="1" applyAlignment="1">
      <alignment horizontal="center"/>
    </xf>
    <xf numFmtId="0" fontId="1" fillId="3" borderId="6" xfId="0" quotePrefix="1" applyFont="1" applyFill="1" applyBorder="1" applyAlignment="1">
      <alignment horizontal="center"/>
    </xf>
    <xf numFmtId="0" fontId="1" fillId="3" borderId="7" xfId="0" quotePrefix="1" applyFont="1" applyFill="1" applyBorder="1" applyAlignment="1">
      <alignment horizontal="center"/>
    </xf>
    <xf numFmtId="0" fontId="1" fillId="3" borderId="8" xfId="0" quotePrefix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6" borderId="15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  <color rgb="FFCCFFCC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609914309773563E-2"/>
          <c:y val="2.1479391381861442E-2"/>
          <c:w val="0.93391792011699437"/>
          <c:h val="0.96455603445499805"/>
        </c:manualLayout>
      </c:layout>
      <c:doughnutChart>
        <c:varyColors val="1"/>
        <c:ser>
          <c:idx val="0"/>
          <c:order val="0"/>
          <c:spPr>
            <a:ln w="9525"/>
          </c:spPr>
          <c:dPt>
            <c:idx val="0"/>
            <c:bubble3D val="0"/>
            <c:explosion val="1"/>
            <c:spPr>
              <a:solidFill>
                <a:srgbClr val="00B050"/>
              </a:solidFill>
              <a:ln w="63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7C8-41E6-B3A9-A627FA5026BA}"/>
              </c:ext>
            </c:extLst>
          </c:dPt>
          <c:dPt>
            <c:idx val="1"/>
            <c:bubble3D val="0"/>
            <c:explosion val="1"/>
            <c:spPr>
              <a:solidFill>
                <a:srgbClr val="92D050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7C8-41E6-B3A9-A627FA5026BA}"/>
              </c:ext>
            </c:extLst>
          </c:dPt>
          <c:dPt>
            <c:idx val="2"/>
            <c:bubble3D val="0"/>
            <c:explosion val="1"/>
            <c:spPr>
              <a:solidFill>
                <a:srgbClr val="92D050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7C8-41E6-B3A9-A627FA5026BA}"/>
              </c:ext>
            </c:extLst>
          </c:dPt>
          <c:dPt>
            <c:idx val="3"/>
            <c:bubble3D val="0"/>
            <c:explosion val="1"/>
            <c:spPr>
              <a:solidFill>
                <a:srgbClr val="FFC000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7C8-41E6-B3A9-A627FA5026BA}"/>
              </c:ext>
            </c:extLst>
          </c:dPt>
          <c:dPt>
            <c:idx val="4"/>
            <c:bubble3D val="0"/>
            <c:explosion val="1"/>
            <c:spPr>
              <a:solidFill>
                <a:srgbClr val="FFFF00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7C8-41E6-B3A9-A627FA5026BA}"/>
              </c:ext>
            </c:extLst>
          </c:dPt>
          <c:dPt>
            <c:idx val="5"/>
            <c:bubble3D val="0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7C8-41E6-B3A9-A627FA5026BA}"/>
              </c:ext>
            </c:extLst>
          </c:dPt>
          <c:dPt>
            <c:idx val="6"/>
            <c:bubble3D val="0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7C8-41E6-B3A9-A627FA5026BA}"/>
              </c:ext>
            </c:extLst>
          </c:dPt>
          <c:dPt>
            <c:idx val="7"/>
            <c:bubble3D val="0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B7C8-41E6-B3A9-A627FA5026BA}"/>
              </c:ext>
            </c:extLst>
          </c:dPt>
          <c:dPt>
            <c:idx val="8"/>
            <c:bubble3D val="0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B7C8-41E6-B3A9-A627FA5026BA}"/>
              </c:ext>
            </c:extLst>
          </c:dPt>
          <c:dPt>
            <c:idx val="9"/>
            <c:bubble3D val="0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B7C8-41E6-B3A9-A627FA5026BA}"/>
              </c:ext>
            </c:extLst>
          </c:dPt>
          <c:dPt>
            <c:idx val="10"/>
            <c:bubble3D val="0"/>
            <c:spPr>
              <a:noFill/>
              <a:ln w="9525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B7C8-41E6-B3A9-A627FA5026BA}"/>
              </c:ext>
            </c:extLst>
          </c:dPt>
          <c:cat>
            <c:strRef>
              <c:f>SWR_Label!$L$10:$L$20</c:f>
              <c:strCache>
                <c:ptCount val="11"/>
                <c:pt idx="0">
                  <c:v>1.1</c:v>
                </c:pt>
                <c:pt idx="1">
                  <c:v>1.22</c:v>
                </c:pt>
                <c:pt idx="2">
                  <c:v>1.4</c:v>
                </c:pt>
                <c:pt idx="3">
                  <c:v>1.5</c:v>
                </c:pt>
                <c:pt idx="4">
                  <c:v>1.92</c:v>
                </c:pt>
                <c:pt idx="5">
                  <c:v>2.5</c:v>
                </c:pt>
                <c:pt idx="6">
                  <c:v>3.01</c:v>
                </c:pt>
                <c:pt idx="7">
                  <c:v>4</c:v>
                </c:pt>
                <c:pt idx="8">
                  <c:v>5.85</c:v>
                </c:pt>
                <c:pt idx="9">
                  <c:v>CAL</c:v>
                </c:pt>
                <c:pt idx="10">
                  <c:v>B/G</c:v>
                </c:pt>
              </c:strCache>
            </c:strRef>
          </c:cat>
          <c:val>
            <c:numRef>
              <c:f>SWR_Label!$O$10:$O$20</c:f>
              <c:numCache>
                <c:formatCode>0.00</c:formatCode>
                <c:ptCount val="11"/>
                <c:pt idx="0">
                  <c:v>4.2857142857142891</c:v>
                </c:pt>
                <c:pt idx="1">
                  <c:v>4.7142047142047145</c:v>
                </c:pt>
                <c:pt idx="2">
                  <c:v>6.0000810000809945</c:v>
                </c:pt>
                <c:pt idx="3">
                  <c:v>3.0000000000000018</c:v>
                </c:pt>
                <c:pt idx="4">
                  <c:v>10.460486504042798</c:v>
                </c:pt>
                <c:pt idx="5">
                  <c:v>10.110942067385771</c:v>
                </c:pt>
                <c:pt idx="6">
                  <c:v>6.5354171357882578</c:v>
                </c:pt>
                <c:pt idx="7">
                  <c:v>8.8931542927831799</c:v>
                </c:pt>
                <c:pt idx="8">
                  <c:v>9.7149532710280297</c:v>
                </c:pt>
                <c:pt idx="9">
                  <c:v>26.285046728971963</c:v>
                </c:pt>
                <c:pt idx="10">
                  <c:v>270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B7C8-41E6-B3A9-A627FA5026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315"/>
        <c:holeSize val="90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4803149606299213" l="0.70866141732283472" r="0.70866141732283472" t="0.74803149606299213" header="0.31496062992125984" footer="0.31496062992125984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1.jpeg"/><Relationship Id="rId1" Type="http://schemas.openxmlformats.org/officeDocument/2006/relationships/image" Target="../media/image2.png"/><Relationship Id="rId6" Type="http://schemas.openxmlformats.org/officeDocument/2006/relationships/image" Target="../media/image6.gif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7327</xdr:colOff>
      <xdr:row>0</xdr:row>
      <xdr:rowOff>36635</xdr:rowOff>
    </xdr:from>
    <xdr:ext cx="4242288" cy="3179118"/>
    <xdr:pic>
      <xdr:nvPicPr>
        <xdr:cNvPr id="2" name="Picture 1" descr="https://www.angelfire.com/electronic2/qrp/swrpwr2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70789" y="36635"/>
          <a:ext cx="4242288" cy="3179118"/>
        </a:xfrm>
        <a:prstGeom prst="rect">
          <a:avLst/>
        </a:prstGeom>
        <a:noFill/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304800" cy="304800"/>
    <xdr:sp macro="" textlink="">
      <xdr:nvSpPr>
        <xdr:cNvPr id="2" name="AutoShape 1" descr="Circuit of a simple SWR / VSWR reflectometer bridge circuit"/>
        <xdr:cNvSpPr>
          <a:spLocks noChangeAspect="1" noChangeArrowheads="1"/>
        </xdr:cNvSpPr>
      </xdr:nvSpPr>
      <xdr:spPr bwMode="auto">
        <a:xfrm>
          <a:off x="609600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73479</xdr:colOff>
      <xdr:row>31</xdr:row>
      <xdr:rowOff>13607</xdr:rowOff>
    </xdr:from>
    <xdr:ext cx="5020097" cy="4187681"/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79079" y="5919107"/>
          <a:ext cx="5020097" cy="4187681"/>
        </a:xfrm>
        <a:prstGeom prst="rect">
          <a:avLst/>
        </a:prstGeom>
      </xdr:spPr>
    </xdr:pic>
    <xdr:clientData/>
  </xdr:oneCellAnchor>
  <xdr:oneCellAnchor>
    <xdr:from>
      <xdr:col>1</xdr:col>
      <xdr:colOff>16329</xdr:colOff>
      <xdr:row>10</xdr:row>
      <xdr:rowOff>144236</xdr:rowOff>
    </xdr:from>
    <xdr:ext cx="5834064" cy="4371975"/>
    <xdr:pic>
      <xdr:nvPicPr>
        <xdr:cNvPr id="5" name="Picture 4" descr="https://www.angelfire.com/electronic2/qrp/swrpwr2.jp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5929" y="2049236"/>
          <a:ext cx="5834064" cy="4371975"/>
        </a:xfrm>
        <a:prstGeom prst="rect">
          <a:avLst/>
        </a:prstGeom>
        <a:noFill/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</xdr:row>
      <xdr:rowOff>13607</xdr:rowOff>
    </xdr:from>
    <xdr:ext cx="2370327" cy="1714500"/>
    <xdr:pic>
      <xdr:nvPicPr>
        <xdr:cNvPr id="6" name="Picture 5" descr="Schematic.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04107"/>
          <a:ext cx="2370327" cy="171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13609</xdr:colOff>
      <xdr:row>1</xdr:row>
      <xdr:rowOff>27214</xdr:rowOff>
    </xdr:from>
    <xdr:ext cx="3061896" cy="1617306"/>
    <xdr:pic>
      <xdr:nvPicPr>
        <xdr:cNvPr id="7" name="Picture 6" descr="PCB pattern.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61609" y="217714"/>
          <a:ext cx="3061896" cy="16173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-1</xdr:colOff>
      <xdr:row>0</xdr:row>
      <xdr:rowOff>190499</xdr:rowOff>
    </xdr:from>
    <xdr:ext cx="2385191" cy="1714500"/>
    <xdr:pic>
      <xdr:nvPicPr>
        <xdr:cNvPr id="8" name="Picture 7" descr="Component layout.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599" y="190499"/>
          <a:ext cx="2385191" cy="171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0</xdr:col>
      <xdr:colOff>600077</xdr:colOff>
      <xdr:row>37</xdr:row>
      <xdr:rowOff>1</xdr:rowOff>
    </xdr:from>
    <xdr:to>
      <xdr:col>10</xdr:col>
      <xdr:colOff>342901</xdr:colOff>
      <xdr:row>58</xdr:row>
      <xdr:rowOff>179961</xdr:rowOff>
    </xdr:to>
    <xdr:pic>
      <xdr:nvPicPr>
        <xdr:cNvPr id="9" name="Picture 8" descr="http://4.bp.blogspot.com/-Zet9eYFx3Bw/VNIprk7JjdI/AAAAAAAACbc/7gSjMTPxu_A/s1600/150203%2BZL1AN%2Bunannotated.gif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0077" y="7048501"/>
          <a:ext cx="5838824" cy="41804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29306</xdr:colOff>
      <xdr:row>0</xdr:row>
      <xdr:rowOff>178042</xdr:rowOff>
    </xdr:from>
    <xdr:to>
      <xdr:col>7</xdr:col>
      <xdr:colOff>313765</xdr:colOff>
      <xdr:row>24</xdr:row>
      <xdr:rowOff>22412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3837</xdr:colOff>
      <xdr:row>3</xdr:row>
      <xdr:rowOff>73465</xdr:rowOff>
    </xdr:from>
    <xdr:to>
      <xdr:col>1</xdr:col>
      <xdr:colOff>361837</xdr:colOff>
      <xdr:row>4</xdr:row>
      <xdr:rowOff>51694</xdr:rowOff>
    </xdr:to>
    <xdr:sp macro="" textlink="">
      <xdr:nvSpPr>
        <xdr:cNvPr id="3" name="TextBox 2"/>
        <xdr:cNvSpPr txBox="1"/>
      </xdr:nvSpPr>
      <xdr:spPr>
        <a:xfrm>
          <a:off x="613437" y="644965"/>
          <a:ext cx="358000" cy="1687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pPr algn="l"/>
          <a:r>
            <a:rPr lang="en-AU" sz="800" b="1"/>
            <a:t>1.1</a:t>
          </a:r>
          <a:endParaRPr lang="en-AU" sz="1050" b="1"/>
        </a:p>
      </xdr:txBody>
    </xdr:sp>
    <xdr:clientData/>
  </xdr:twoCellAnchor>
  <xdr:twoCellAnchor>
    <xdr:from>
      <xdr:col>1</xdr:col>
      <xdr:colOff>87868</xdr:colOff>
      <xdr:row>2</xdr:row>
      <xdr:rowOff>100552</xdr:rowOff>
    </xdr:from>
    <xdr:to>
      <xdr:col>1</xdr:col>
      <xdr:colOff>490638</xdr:colOff>
      <xdr:row>3</xdr:row>
      <xdr:rowOff>84905</xdr:rowOff>
    </xdr:to>
    <xdr:sp macro="" textlink="">
      <xdr:nvSpPr>
        <xdr:cNvPr id="4" name="TextBox 3"/>
        <xdr:cNvSpPr txBox="1"/>
      </xdr:nvSpPr>
      <xdr:spPr>
        <a:xfrm>
          <a:off x="697468" y="481552"/>
          <a:ext cx="402770" cy="17485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AU" sz="800" b="1"/>
            <a:t>1.22</a:t>
          </a:r>
          <a:endParaRPr lang="en-AU" sz="1100" b="1"/>
        </a:p>
      </xdr:txBody>
    </xdr:sp>
    <xdr:clientData/>
  </xdr:twoCellAnchor>
  <xdr:twoCellAnchor>
    <xdr:from>
      <xdr:col>1</xdr:col>
      <xdr:colOff>364365</xdr:colOff>
      <xdr:row>2</xdr:row>
      <xdr:rowOff>44179</xdr:rowOff>
    </xdr:from>
    <xdr:to>
      <xdr:col>2</xdr:col>
      <xdr:colOff>124879</xdr:colOff>
      <xdr:row>3</xdr:row>
      <xdr:rowOff>27851</xdr:rowOff>
    </xdr:to>
    <xdr:sp macro="" textlink="">
      <xdr:nvSpPr>
        <xdr:cNvPr id="5" name="TextBox 4"/>
        <xdr:cNvSpPr txBox="1"/>
      </xdr:nvSpPr>
      <xdr:spPr>
        <a:xfrm>
          <a:off x="973965" y="425179"/>
          <a:ext cx="370114" cy="1741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pPr algn="l"/>
          <a:r>
            <a:rPr lang="en-AU" sz="800" b="1"/>
            <a:t>1.4</a:t>
          </a:r>
          <a:endParaRPr lang="en-AU" sz="1050" b="1"/>
        </a:p>
      </xdr:txBody>
    </xdr:sp>
    <xdr:clientData/>
  </xdr:twoCellAnchor>
  <xdr:twoCellAnchor>
    <xdr:from>
      <xdr:col>1</xdr:col>
      <xdr:colOff>527956</xdr:colOff>
      <xdr:row>1</xdr:row>
      <xdr:rowOff>163286</xdr:rowOff>
    </xdr:from>
    <xdr:to>
      <xdr:col>2</xdr:col>
      <xdr:colOff>250371</xdr:colOff>
      <xdr:row>2</xdr:row>
      <xdr:rowOff>146958</xdr:rowOff>
    </xdr:to>
    <xdr:sp macro="" textlink="">
      <xdr:nvSpPr>
        <xdr:cNvPr id="6" name="TextBox 5"/>
        <xdr:cNvSpPr txBox="1"/>
      </xdr:nvSpPr>
      <xdr:spPr>
        <a:xfrm>
          <a:off x="1137556" y="353786"/>
          <a:ext cx="332015" cy="1741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pPr algn="l"/>
          <a:r>
            <a:rPr lang="en-AU" sz="900" b="1"/>
            <a:t>1.5</a:t>
          </a:r>
          <a:endParaRPr lang="en-AU" sz="1100" b="1"/>
        </a:p>
      </xdr:txBody>
    </xdr:sp>
    <xdr:clientData/>
  </xdr:twoCellAnchor>
  <xdr:twoCellAnchor>
    <xdr:from>
      <xdr:col>6</xdr:col>
      <xdr:colOff>70757</xdr:colOff>
      <xdr:row>4</xdr:row>
      <xdr:rowOff>10886</xdr:rowOff>
    </xdr:from>
    <xdr:to>
      <xdr:col>6</xdr:col>
      <xdr:colOff>495300</xdr:colOff>
      <xdr:row>5</xdr:row>
      <xdr:rowOff>48986</xdr:rowOff>
    </xdr:to>
    <xdr:sp macro="" textlink="">
      <xdr:nvSpPr>
        <xdr:cNvPr id="7" name="TextBox 6"/>
        <xdr:cNvSpPr txBox="1"/>
      </xdr:nvSpPr>
      <xdr:spPr>
        <a:xfrm>
          <a:off x="3728357" y="772886"/>
          <a:ext cx="424543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000" b="1"/>
            <a:t>CAL</a:t>
          </a:r>
          <a:endParaRPr lang="en-AU" sz="1100" b="1"/>
        </a:p>
      </xdr:txBody>
    </xdr:sp>
    <xdr:clientData/>
  </xdr:twoCellAnchor>
  <xdr:twoCellAnchor>
    <xdr:from>
      <xdr:col>4</xdr:col>
      <xdr:colOff>391377</xdr:colOff>
      <xdr:row>1</xdr:row>
      <xdr:rowOff>62934</xdr:rowOff>
    </xdr:from>
    <xdr:to>
      <xdr:col>5</xdr:col>
      <xdr:colOff>247411</xdr:colOff>
      <xdr:row>2</xdr:row>
      <xdr:rowOff>57491</xdr:rowOff>
    </xdr:to>
    <xdr:sp macro="" textlink="">
      <xdr:nvSpPr>
        <xdr:cNvPr id="8" name="TextBox 7"/>
        <xdr:cNvSpPr txBox="1"/>
      </xdr:nvSpPr>
      <xdr:spPr>
        <a:xfrm>
          <a:off x="2829777" y="253434"/>
          <a:ext cx="465634" cy="18505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pPr algn="l"/>
          <a:r>
            <a:rPr lang="en-AU" sz="900" b="1"/>
            <a:t>5.85</a:t>
          </a:r>
        </a:p>
      </xdr:txBody>
    </xdr:sp>
    <xdr:clientData/>
  </xdr:twoCellAnchor>
  <xdr:twoCellAnchor>
    <xdr:from>
      <xdr:col>4</xdr:col>
      <xdr:colOff>46265</xdr:colOff>
      <xdr:row>0</xdr:row>
      <xdr:rowOff>132670</xdr:rowOff>
    </xdr:from>
    <xdr:to>
      <xdr:col>4</xdr:col>
      <xdr:colOff>263979</xdr:colOff>
      <xdr:row>1</xdr:row>
      <xdr:rowOff>121784</xdr:rowOff>
    </xdr:to>
    <xdr:sp macro="" textlink="">
      <xdr:nvSpPr>
        <xdr:cNvPr id="9" name="TextBox 8"/>
        <xdr:cNvSpPr txBox="1"/>
      </xdr:nvSpPr>
      <xdr:spPr>
        <a:xfrm>
          <a:off x="2484665" y="132670"/>
          <a:ext cx="217714" cy="1796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AU" sz="900" b="1"/>
            <a:t>4</a:t>
          </a:r>
        </a:p>
      </xdr:txBody>
    </xdr:sp>
    <xdr:clientData/>
  </xdr:twoCellAnchor>
  <xdr:twoCellAnchor>
    <xdr:from>
      <xdr:col>3</xdr:col>
      <xdr:colOff>248669</xdr:colOff>
      <xdr:row>0</xdr:row>
      <xdr:rowOff>98652</xdr:rowOff>
    </xdr:from>
    <xdr:to>
      <xdr:col>4</xdr:col>
      <xdr:colOff>35717</xdr:colOff>
      <xdr:row>1</xdr:row>
      <xdr:rowOff>95931</xdr:rowOff>
    </xdr:to>
    <xdr:sp macro="" textlink="">
      <xdr:nvSpPr>
        <xdr:cNvPr id="10" name="TextBox 9"/>
        <xdr:cNvSpPr txBox="1"/>
      </xdr:nvSpPr>
      <xdr:spPr>
        <a:xfrm>
          <a:off x="2077469" y="98652"/>
          <a:ext cx="396648" cy="18777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AU" sz="900" b="1"/>
            <a:t>3.01</a:t>
          </a:r>
        </a:p>
      </xdr:txBody>
    </xdr:sp>
    <xdr:clientData/>
  </xdr:twoCellAnchor>
  <xdr:twoCellAnchor>
    <xdr:from>
      <xdr:col>2</xdr:col>
      <xdr:colOff>593272</xdr:colOff>
      <xdr:row>0</xdr:row>
      <xdr:rowOff>119063</xdr:rowOff>
    </xdr:from>
    <xdr:to>
      <xdr:col>3</xdr:col>
      <xdr:colOff>321128</xdr:colOff>
      <xdr:row>1</xdr:row>
      <xdr:rowOff>111579</xdr:rowOff>
    </xdr:to>
    <xdr:sp macro="" textlink="">
      <xdr:nvSpPr>
        <xdr:cNvPr id="11" name="TextBox 10"/>
        <xdr:cNvSpPr txBox="1"/>
      </xdr:nvSpPr>
      <xdr:spPr>
        <a:xfrm>
          <a:off x="1812472" y="119063"/>
          <a:ext cx="337456" cy="18301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AU" sz="900" b="1"/>
            <a:t>2.5</a:t>
          </a:r>
          <a:endParaRPr lang="en-AU" sz="1100" b="1"/>
        </a:p>
      </xdr:txBody>
    </xdr:sp>
    <xdr:clientData/>
  </xdr:twoCellAnchor>
  <xdr:twoCellAnchor>
    <xdr:from>
      <xdr:col>2</xdr:col>
      <xdr:colOff>160734</xdr:colOff>
      <xdr:row>0</xdr:row>
      <xdr:rowOff>183697</xdr:rowOff>
    </xdr:from>
    <xdr:to>
      <xdr:col>2</xdr:col>
      <xdr:colOff>551770</xdr:colOff>
      <xdr:row>2</xdr:row>
      <xdr:rowOff>25854</xdr:rowOff>
    </xdr:to>
    <xdr:sp macro="" textlink="">
      <xdr:nvSpPr>
        <xdr:cNvPr id="12" name="TextBox 11"/>
        <xdr:cNvSpPr txBox="1"/>
      </xdr:nvSpPr>
      <xdr:spPr>
        <a:xfrm>
          <a:off x="1379934" y="183697"/>
          <a:ext cx="391036" cy="22315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pPr algn="l"/>
          <a:r>
            <a:rPr lang="en-AU" sz="900" b="1"/>
            <a:t>1.92</a:t>
          </a:r>
          <a:endParaRPr lang="en-AU" sz="1100" b="1"/>
        </a:p>
      </xdr:txBody>
    </xdr:sp>
    <xdr:clientData/>
  </xdr:twoCellAnchor>
  <xdr:twoCellAnchor>
    <xdr:from>
      <xdr:col>4</xdr:col>
      <xdr:colOff>140156</xdr:colOff>
      <xdr:row>3</xdr:row>
      <xdr:rowOff>32930</xdr:rowOff>
    </xdr:from>
    <xdr:to>
      <xdr:col>4</xdr:col>
      <xdr:colOff>605790</xdr:colOff>
      <xdr:row>4</xdr:row>
      <xdr:rowOff>27487</xdr:rowOff>
    </xdr:to>
    <xdr:sp macro="" textlink="">
      <xdr:nvSpPr>
        <xdr:cNvPr id="13" name="TextBox 12"/>
        <xdr:cNvSpPr txBox="1"/>
      </xdr:nvSpPr>
      <xdr:spPr>
        <a:xfrm>
          <a:off x="2578556" y="604430"/>
          <a:ext cx="465634" cy="18505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pPr algn="l"/>
          <a:r>
            <a:rPr lang="en-AU" sz="900" b="1">
              <a:solidFill>
                <a:srgbClr val="0000FF"/>
              </a:solidFill>
            </a:rPr>
            <a:t>-3 dB</a:t>
          </a:r>
        </a:p>
      </xdr:txBody>
    </xdr:sp>
    <xdr:clientData/>
  </xdr:twoCellAnchor>
  <xdr:twoCellAnchor>
    <xdr:from>
      <xdr:col>4</xdr:col>
      <xdr:colOff>525411</xdr:colOff>
      <xdr:row>4</xdr:row>
      <xdr:rowOff>189386</xdr:rowOff>
    </xdr:from>
    <xdr:to>
      <xdr:col>5</xdr:col>
      <xdr:colOff>545075</xdr:colOff>
      <xdr:row>5</xdr:row>
      <xdr:rowOff>183943</xdr:rowOff>
    </xdr:to>
    <xdr:sp macro="" textlink="">
      <xdr:nvSpPr>
        <xdr:cNvPr id="14" name="TextBox 13"/>
        <xdr:cNvSpPr txBox="1"/>
      </xdr:nvSpPr>
      <xdr:spPr>
        <a:xfrm>
          <a:off x="2963811" y="951386"/>
          <a:ext cx="629264" cy="18505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pPr algn="l"/>
          <a:r>
            <a:rPr lang="en-AU" sz="900" b="1">
              <a:solidFill>
                <a:srgbClr val="0000FF"/>
              </a:solidFill>
            </a:rPr>
            <a:t>0 dB REF</a:t>
          </a:r>
        </a:p>
      </xdr:txBody>
    </xdr:sp>
    <xdr:clientData/>
  </xdr:twoCellAnchor>
  <xdr:twoCellAnchor>
    <xdr:from>
      <xdr:col>2</xdr:col>
      <xdr:colOff>339015</xdr:colOff>
      <xdr:row>3</xdr:row>
      <xdr:rowOff>41729</xdr:rowOff>
    </xdr:from>
    <xdr:to>
      <xdr:col>3</xdr:col>
      <xdr:colOff>244340</xdr:colOff>
      <xdr:row>4</xdr:row>
      <xdr:rowOff>36286</xdr:rowOff>
    </xdr:to>
    <xdr:sp macro="" textlink="">
      <xdr:nvSpPr>
        <xdr:cNvPr id="15" name="TextBox 14"/>
        <xdr:cNvSpPr txBox="1"/>
      </xdr:nvSpPr>
      <xdr:spPr>
        <a:xfrm>
          <a:off x="1558215" y="613229"/>
          <a:ext cx="514925" cy="18505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pPr algn="l"/>
          <a:r>
            <a:rPr lang="en-AU" sz="900" b="1">
              <a:solidFill>
                <a:srgbClr val="0000FF"/>
              </a:solidFill>
            </a:rPr>
            <a:t>-10 dB</a:t>
          </a:r>
        </a:p>
      </xdr:txBody>
    </xdr:sp>
    <xdr:clientData/>
  </xdr:twoCellAnchor>
  <xdr:twoCellAnchor>
    <xdr:from>
      <xdr:col>1</xdr:col>
      <xdr:colOff>470732</xdr:colOff>
      <xdr:row>4</xdr:row>
      <xdr:rowOff>127749</xdr:rowOff>
    </xdr:from>
    <xdr:to>
      <xdr:col>2</xdr:col>
      <xdr:colOff>427936</xdr:colOff>
      <xdr:row>5</xdr:row>
      <xdr:rowOff>122306</xdr:rowOff>
    </xdr:to>
    <xdr:sp macro="" textlink="">
      <xdr:nvSpPr>
        <xdr:cNvPr id="16" name="TextBox 15"/>
        <xdr:cNvSpPr txBox="1"/>
      </xdr:nvSpPr>
      <xdr:spPr>
        <a:xfrm>
          <a:off x="1080332" y="889749"/>
          <a:ext cx="566804" cy="18505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pPr algn="l"/>
          <a:r>
            <a:rPr lang="en-AU" sz="900" b="1">
              <a:solidFill>
                <a:srgbClr val="0000FF"/>
              </a:solidFill>
            </a:rPr>
            <a:t>-20 dB</a:t>
          </a:r>
        </a:p>
      </xdr:txBody>
    </xdr:sp>
    <xdr:clientData/>
  </xdr:twoCellAnchor>
  <xdr:twoCellAnchor>
    <xdr:from>
      <xdr:col>3</xdr:col>
      <xdr:colOff>225643</xdr:colOff>
      <xdr:row>2</xdr:row>
      <xdr:rowOff>146039</xdr:rowOff>
    </xdr:from>
    <xdr:to>
      <xdr:col>4</xdr:col>
      <xdr:colOff>84058</xdr:colOff>
      <xdr:row>3</xdr:row>
      <xdr:rowOff>140596</xdr:rowOff>
    </xdr:to>
    <xdr:sp macro="" textlink="">
      <xdr:nvSpPr>
        <xdr:cNvPr id="17" name="TextBox 16"/>
        <xdr:cNvSpPr txBox="1"/>
      </xdr:nvSpPr>
      <xdr:spPr>
        <a:xfrm>
          <a:off x="2054443" y="527039"/>
          <a:ext cx="468015" cy="18505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pPr algn="l"/>
          <a:r>
            <a:rPr lang="en-AU" sz="900" b="1">
              <a:solidFill>
                <a:srgbClr val="0000FF"/>
              </a:solidFill>
            </a:rPr>
            <a:t>-6 dB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7"/>
  <sheetViews>
    <sheetView zoomScale="130" zoomScaleNormal="130" workbookViewId="0">
      <selection activeCell="E28" sqref="E28"/>
    </sheetView>
  </sheetViews>
  <sheetFormatPr defaultRowHeight="15" x14ac:dyDescent="0.25"/>
  <cols>
    <col min="1" max="1" width="2.7109375" style="1" customWidth="1"/>
    <col min="2" max="5" width="10.7109375" style="1" customWidth="1"/>
    <col min="6" max="7" width="9.140625" style="1"/>
    <col min="8" max="8" width="5.7109375" style="1" customWidth="1"/>
    <col min="9" max="9" width="9.140625" style="1"/>
    <col min="10" max="10" width="5.7109375" style="1" customWidth="1"/>
    <col min="11" max="16384" width="9.140625" style="1"/>
  </cols>
  <sheetData>
    <row r="1" spans="2:5" x14ac:dyDescent="0.25">
      <c r="C1" s="62" t="s">
        <v>51</v>
      </c>
      <c r="D1" s="62" t="s">
        <v>50</v>
      </c>
      <c r="E1" s="62" t="s">
        <v>49</v>
      </c>
    </row>
    <row r="2" spans="2:5" x14ac:dyDescent="0.25">
      <c r="B2" s="62" t="s">
        <v>48</v>
      </c>
      <c r="C2" s="61">
        <v>50</v>
      </c>
      <c r="D2" s="61">
        <v>50</v>
      </c>
      <c r="E2" s="63" t="s">
        <v>47</v>
      </c>
    </row>
    <row r="3" spans="2:5" x14ac:dyDescent="0.25">
      <c r="B3" s="62" t="s">
        <v>46</v>
      </c>
      <c r="C3" s="61">
        <v>10</v>
      </c>
      <c r="D3" s="61">
        <v>10</v>
      </c>
      <c r="E3" s="61" t="s">
        <v>46</v>
      </c>
    </row>
    <row r="4" spans="2:5" x14ac:dyDescent="0.25">
      <c r="B4" s="62" t="s">
        <v>45</v>
      </c>
      <c r="C4" s="61">
        <f>C3/C2</f>
        <v>0.2</v>
      </c>
      <c r="D4" s="61">
        <f>D3/D2</f>
        <v>0.2</v>
      </c>
      <c r="E4" s="61" t="s">
        <v>45</v>
      </c>
    </row>
    <row r="5" spans="2:5" x14ac:dyDescent="0.25">
      <c r="B5" s="62" t="s">
        <v>44</v>
      </c>
      <c r="C5" s="61">
        <v>1</v>
      </c>
      <c r="D5" s="61">
        <v>10</v>
      </c>
      <c r="E5" s="61">
        <v>1</v>
      </c>
    </row>
    <row r="6" spans="2:5" x14ac:dyDescent="0.25">
      <c r="B6" s="62" t="s">
        <v>43</v>
      </c>
      <c r="C6" s="61">
        <v>10</v>
      </c>
      <c r="D6" s="61">
        <v>1</v>
      </c>
      <c r="E6" s="61" t="s">
        <v>42</v>
      </c>
    </row>
    <row r="7" spans="2:5" x14ac:dyDescent="0.25">
      <c r="B7" s="62" t="s">
        <v>41</v>
      </c>
      <c r="C7" s="61">
        <f>C3*C6/C5</f>
        <v>100</v>
      </c>
      <c r="D7" s="61">
        <f>D3*D6/D5</f>
        <v>1</v>
      </c>
      <c r="E7" s="61" t="s">
        <v>40</v>
      </c>
    </row>
    <row r="8" spans="2:5" x14ac:dyDescent="0.25">
      <c r="B8" s="62" t="s">
        <v>39</v>
      </c>
      <c r="C8" s="61">
        <f>C4*C5/C6</f>
        <v>0.02</v>
      </c>
      <c r="D8" s="61">
        <f>D4*D5/D6</f>
        <v>2</v>
      </c>
      <c r="E8" s="61" t="s">
        <v>38</v>
      </c>
    </row>
    <row r="9" spans="2:5" x14ac:dyDescent="0.25">
      <c r="B9" s="62" t="s">
        <v>37</v>
      </c>
      <c r="C9" s="61">
        <f>C7/C8</f>
        <v>5000</v>
      </c>
      <c r="D9" s="61">
        <f>D7/D8</f>
        <v>0.5</v>
      </c>
      <c r="E9" s="61" t="s">
        <v>36</v>
      </c>
    </row>
    <row r="11" spans="2:5" x14ac:dyDescent="0.25">
      <c r="B11" s="60" t="s">
        <v>35</v>
      </c>
    </row>
    <row r="12" spans="2:5" x14ac:dyDescent="0.25">
      <c r="B12" s="60" t="s">
        <v>34</v>
      </c>
    </row>
    <row r="15" spans="2:5" x14ac:dyDescent="0.25">
      <c r="B15" s="1" t="s">
        <v>52</v>
      </c>
      <c r="C15" s="60" t="s">
        <v>53</v>
      </c>
      <c r="E15" s="1" t="s">
        <v>60</v>
      </c>
    </row>
    <row r="16" spans="2:5" x14ac:dyDescent="0.25">
      <c r="B16" s="1" t="s">
        <v>54</v>
      </c>
      <c r="C16" s="60" t="s">
        <v>55</v>
      </c>
      <c r="E16" s="1" t="s">
        <v>61</v>
      </c>
    </row>
    <row r="18" spans="2:12" x14ac:dyDescent="0.25">
      <c r="B18" s="74" t="s">
        <v>62</v>
      </c>
    </row>
    <row r="20" spans="2:12" x14ac:dyDescent="0.25">
      <c r="B20" s="1" t="s">
        <v>56</v>
      </c>
      <c r="C20" s="87" t="s">
        <v>58</v>
      </c>
      <c r="D20" s="87"/>
      <c r="F20" s="1" t="s">
        <v>70</v>
      </c>
      <c r="I20" s="1" t="s">
        <v>65</v>
      </c>
      <c r="L20" s="1" t="s">
        <v>74</v>
      </c>
    </row>
    <row r="21" spans="2:12" x14ac:dyDescent="0.25">
      <c r="B21" s="1" t="s">
        <v>57</v>
      </c>
      <c r="F21" s="1" t="s">
        <v>71</v>
      </c>
      <c r="I21" s="1" t="s">
        <v>66</v>
      </c>
      <c r="L21" s="1" t="s">
        <v>75</v>
      </c>
    </row>
    <row r="23" spans="2:12" x14ac:dyDescent="0.25">
      <c r="B23" s="1" t="s">
        <v>56</v>
      </c>
      <c r="C23" s="60" t="s">
        <v>59</v>
      </c>
      <c r="F23" s="1" t="s">
        <v>72</v>
      </c>
    </row>
    <row r="24" spans="2:12" x14ac:dyDescent="0.25">
      <c r="B24" s="1" t="s">
        <v>57</v>
      </c>
      <c r="F24" s="1" t="s">
        <v>73</v>
      </c>
    </row>
    <row r="25" spans="2:12" ht="15.75" thickBot="1" x14ac:dyDescent="0.3"/>
    <row r="26" spans="2:12" x14ac:dyDescent="0.25">
      <c r="B26" s="1" t="s">
        <v>63</v>
      </c>
      <c r="F26" s="1" t="s">
        <v>67</v>
      </c>
      <c r="H26" s="81" t="s">
        <v>76</v>
      </c>
      <c r="I26" s="82"/>
      <c r="J26" s="83"/>
    </row>
    <row r="27" spans="2:12" ht="15.75" thickBot="1" x14ac:dyDescent="0.3">
      <c r="B27" s="1" t="s">
        <v>64</v>
      </c>
      <c r="F27" s="1" t="s">
        <v>68</v>
      </c>
      <c r="H27" s="84" t="s">
        <v>77</v>
      </c>
      <c r="I27" s="85"/>
      <c r="J27" s="86"/>
    </row>
  </sheetData>
  <mergeCells count="3">
    <mergeCell ref="H26:J26"/>
    <mergeCell ref="H27:J27"/>
    <mergeCell ref="C20:D20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52"/>
  <sheetViews>
    <sheetView tabSelected="1" topLeftCell="G15" zoomScale="220" zoomScaleNormal="220" workbookViewId="0">
      <selection activeCell="R37" sqref="R37"/>
    </sheetView>
  </sheetViews>
  <sheetFormatPr defaultColWidth="6.85546875" defaultRowHeight="15" x14ac:dyDescent="0.25"/>
  <cols>
    <col min="1" max="1" width="7.42578125" style="1" customWidth="1"/>
    <col min="2" max="6" width="6.85546875" style="1"/>
    <col min="7" max="7" width="8.5703125" style="1" customWidth="1"/>
    <col min="9" max="10" width="6.85546875" style="1"/>
    <col min="15" max="48" width="1.140625" customWidth="1"/>
  </cols>
  <sheetData>
    <row r="1" spans="1:13" x14ac:dyDescent="0.25">
      <c r="G1" s="7" t="s">
        <v>11</v>
      </c>
    </row>
    <row r="3" spans="1:13" x14ac:dyDescent="0.25">
      <c r="C3" t="s">
        <v>23</v>
      </c>
      <c r="D3"/>
      <c r="G3" t="s">
        <v>22</v>
      </c>
      <c r="H3">
        <v>4.5</v>
      </c>
      <c r="I3"/>
      <c r="J3"/>
    </row>
    <row r="4" spans="1:13" x14ac:dyDescent="0.25">
      <c r="C4"/>
      <c r="D4"/>
      <c r="E4" t="s">
        <v>21</v>
      </c>
      <c r="F4">
        <v>3.5000000000000003E-2</v>
      </c>
      <c r="G4" t="s">
        <v>15</v>
      </c>
      <c r="I4"/>
      <c r="J4"/>
      <c r="L4" t="s">
        <v>15</v>
      </c>
      <c r="M4" t="s">
        <v>14</v>
      </c>
    </row>
    <row r="5" spans="1:13" x14ac:dyDescent="0.25">
      <c r="C5" s="7" t="s">
        <v>20</v>
      </c>
      <c r="D5" s="7" t="s">
        <v>19</v>
      </c>
      <c r="E5" s="7" t="s">
        <v>10</v>
      </c>
      <c r="F5"/>
      <c r="G5" s="7" t="s">
        <v>18</v>
      </c>
      <c r="I5" t="s">
        <v>25</v>
      </c>
      <c r="J5" t="s">
        <v>86</v>
      </c>
      <c r="L5" s="4">
        <v>1.27</v>
      </c>
      <c r="M5" s="20">
        <f>L5*1000/25.4</f>
        <v>50</v>
      </c>
    </row>
    <row r="6" spans="1:13" x14ac:dyDescent="0.25">
      <c r="C6" s="76" t="s">
        <v>15</v>
      </c>
      <c r="D6" s="76" t="s">
        <v>15</v>
      </c>
      <c r="E6" s="76" t="s">
        <v>14</v>
      </c>
      <c r="F6"/>
      <c r="G6"/>
      <c r="I6" t="s">
        <v>27</v>
      </c>
      <c r="J6" t="s">
        <v>87</v>
      </c>
      <c r="L6" s="8">
        <v>2.1589999999999998</v>
      </c>
      <c r="M6" s="20">
        <f>L6*1000/25.4</f>
        <v>85</v>
      </c>
    </row>
    <row r="7" spans="1:13" x14ac:dyDescent="0.25">
      <c r="A7" s="1" t="s">
        <v>85</v>
      </c>
      <c r="D7" s="7">
        <v>3.5000000000000003E-2</v>
      </c>
      <c r="E7" s="9">
        <f>D7*1000/25.4</f>
        <v>1.3779527559055118</v>
      </c>
      <c r="F7"/>
      <c r="H7" s="76"/>
      <c r="I7" t="s">
        <v>25</v>
      </c>
      <c r="J7" s="76"/>
      <c r="L7" s="4">
        <v>0.38100000000000001</v>
      </c>
      <c r="M7" s="20">
        <f>L7*1000/25.4</f>
        <v>15</v>
      </c>
    </row>
    <row r="8" spans="1:13" x14ac:dyDescent="0.25">
      <c r="D8" s="50">
        <f>E8*25.4/1000</f>
        <v>0.38100000000000001</v>
      </c>
      <c r="E8" s="77">
        <v>15</v>
      </c>
      <c r="I8" t="s">
        <v>26</v>
      </c>
      <c r="J8" t="s">
        <v>88</v>
      </c>
      <c r="L8" s="8">
        <v>2.1589999999999998</v>
      </c>
      <c r="M8" s="20">
        <f>L8*1000/25.4</f>
        <v>85</v>
      </c>
    </row>
    <row r="9" spans="1:13" x14ac:dyDescent="0.25">
      <c r="C9" s="76">
        <v>0.4</v>
      </c>
      <c r="D9" s="76">
        <v>0.7</v>
      </c>
      <c r="E9" s="3">
        <f>D9*1000/25.4</f>
        <v>27.559055118110237</v>
      </c>
      <c r="F9"/>
      <c r="G9" s="15">
        <f>LN(5.98*C9/(0.8*D9 +$D$7)) * 87/SQRT($H$3+1.41)</f>
        <v>49.791326686477412</v>
      </c>
      <c r="I9" t="s">
        <v>25</v>
      </c>
      <c r="J9"/>
      <c r="L9" s="4">
        <v>0.38100000000000001</v>
      </c>
      <c r="M9" s="20">
        <f>L9*1000/25.4</f>
        <v>15</v>
      </c>
    </row>
    <row r="10" spans="1:13" x14ac:dyDescent="0.25">
      <c r="C10" s="76">
        <v>0.6</v>
      </c>
      <c r="D10" s="76">
        <v>1.05</v>
      </c>
      <c r="E10" s="3">
        <f>D10*1000/25.4</f>
        <v>41.338582677165356</v>
      </c>
      <c r="F10"/>
      <c r="G10" s="15">
        <f t="shared" ref="G10:G19" si="0">LN(5.98*C10/(0.8*D10 +$D$7)) * 87/SQRT($H$3+1.41)</f>
        <v>50.500003666683071</v>
      </c>
      <c r="I10"/>
      <c r="J10"/>
    </row>
    <row r="11" spans="1:13" x14ac:dyDescent="0.25">
      <c r="C11" s="76">
        <v>0.8</v>
      </c>
      <c r="D11" s="18">
        <v>1.4350000000000001</v>
      </c>
      <c r="E11" s="3">
        <f>D11*1000/25.4</f>
        <v>56.496062992125985</v>
      </c>
      <c r="F11"/>
      <c r="G11" s="15">
        <f t="shared" si="0"/>
        <v>50.002460148649625</v>
      </c>
      <c r="I11"/>
      <c r="J11"/>
      <c r="L11" s="19">
        <f>SUM(L5:L9)</f>
        <v>6.35</v>
      </c>
      <c r="M11" s="19">
        <f>SUM(M5:M9)</f>
        <v>250</v>
      </c>
    </row>
    <row r="12" spans="1:13" x14ac:dyDescent="0.25">
      <c r="C12" s="7">
        <v>1</v>
      </c>
      <c r="D12" s="76">
        <f>E12*25.4/1000</f>
        <v>1.8033999999999999</v>
      </c>
      <c r="E12" s="48">
        <v>71</v>
      </c>
      <c r="F12"/>
      <c r="G12" s="15">
        <f t="shared" si="0"/>
        <v>50.027395717127064</v>
      </c>
      <c r="I12"/>
      <c r="J12"/>
    </row>
    <row r="13" spans="1:13" x14ac:dyDescent="0.25">
      <c r="C13" s="7">
        <v>1</v>
      </c>
      <c r="D13" s="16">
        <v>1.8049999999999999</v>
      </c>
      <c r="E13" s="3">
        <f>D13*1000/25.4</f>
        <v>71.062992125984252</v>
      </c>
      <c r="F13"/>
      <c r="G13" s="15">
        <f t="shared" si="0"/>
        <v>49.996410445645473</v>
      </c>
      <c r="I13"/>
      <c r="J13"/>
    </row>
    <row r="14" spans="1:13" x14ac:dyDescent="0.25">
      <c r="C14" s="53">
        <v>1.2</v>
      </c>
      <c r="D14" s="80">
        <v>2.1589999999999998</v>
      </c>
      <c r="E14" s="55">
        <f>D14*1000/25.4</f>
        <v>85</v>
      </c>
      <c r="F14" s="56"/>
      <c r="G14" s="57">
        <f t="shared" si="0"/>
        <v>50.251382645070869</v>
      </c>
      <c r="I14"/>
      <c r="J14"/>
    </row>
    <row r="15" spans="1:13" x14ac:dyDescent="0.25">
      <c r="C15" s="49">
        <v>1.2</v>
      </c>
      <c r="D15" s="50">
        <f>E15*25.4/1000</f>
        <v>2.1844000000000001</v>
      </c>
      <c r="E15" s="78">
        <v>86</v>
      </c>
      <c r="F15" s="22"/>
      <c r="G15" s="15">
        <f t="shared" si="0"/>
        <v>49.841082157519089</v>
      </c>
      <c r="I15"/>
      <c r="J15"/>
    </row>
    <row r="16" spans="1:13" x14ac:dyDescent="0.25">
      <c r="A16" s="7"/>
      <c r="C16" s="7">
        <v>1.6</v>
      </c>
      <c r="D16" s="16">
        <v>2.9129999999999998</v>
      </c>
      <c r="E16" s="3">
        <f>D16*1000/25.4</f>
        <v>114.68503937007874</v>
      </c>
      <c r="F16"/>
      <c r="G16" s="15">
        <f t="shared" si="0"/>
        <v>50.011536621125686</v>
      </c>
      <c r="I16"/>
      <c r="J16"/>
    </row>
    <row r="17" spans="3:46" x14ac:dyDescent="0.25">
      <c r="C17" s="7">
        <v>1.6</v>
      </c>
      <c r="D17" s="76">
        <f>E17*25.4/1000</f>
        <v>2.9209999999999998</v>
      </c>
      <c r="E17" s="79">
        <v>115</v>
      </c>
      <c r="F17"/>
      <c r="G17" s="15">
        <f t="shared" si="0"/>
        <v>49.914839392899047</v>
      </c>
      <c r="I17"/>
      <c r="J17"/>
    </row>
    <row r="18" spans="3:46" x14ac:dyDescent="0.25">
      <c r="C18" s="7">
        <v>2</v>
      </c>
      <c r="D18" s="16">
        <v>3.653</v>
      </c>
      <c r="E18" s="3">
        <f>D18*1000/25.4</f>
        <v>143.81889763779529</v>
      </c>
      <c r="F18"/>
      <c r="G18" s="15">
        <f t="shared" si="0"/>
        <v>50.003670211982538</v>
      </c>
      <c r="I18"/>
      <c r="J18"/>
    </row>
    <row r="19" spans="3:46" x14ac:dyDescent="0.25">
      <c r="C19" s="7">
        <v>2</v>
      </c>
      <c r="D19" s="76">
        <f>E19*25.4/1000</f>
        <v>3.6576</v>
      </c>
      <c r="E19" s="79">
        <v>144</v>
      </c>
      <c r="F19"/>
      <c r="G19" s="15">
        <f t="shared" si="0"/>
        <v>49.959166811331109</v>
      </c>
      <c r="I19"/>
      <c r="J19"/>
    </row>
    <row r="21" spans="3:46" ht="6" customHeight="1" thickBot="1" x14ac:dyDescent="0.3"/>
    <row r="22" spans="3:46" ht="6" customHeight="1" x14ac:dyDescent="0.25">
      <c r="Q22" s="23"/>
      <c r="R22" s="24"/>
      <c r="S22" s="37"/>
      <c r="T22" s="37"/>
      <c r="U22" s="37"/>
      <c r="V22" s="37"/>
      <c r="W22" s="37"/>
      <c r="X22" s="37"/>
      <c r="Y22" s="37"/>
      <c r="Z22" s="37"/>
      <c r="AA22" s="47"/>
      <c r="AB22" s="37"/>
      <c r="AC22" s="37"/>
      <c r="AD22" s="37"/>
      <c r="AE22" s="37"/>
      <c r="AF22" s="37"/>
      <c r="AG22" s="37"/>
      <c r="AH22" s="37"/>
      <c r="AI22" s="37"/>
      <c r="AJ22" s="45"/>
      <c r="AK22" s="47"/>
      <c r="AL22" s="37"/>
      <c r="AM22" s="37"/>
      <c r="AN22" s="37"/>
      <c r="AO22" s="37"/>
      <c r="AP22" s="37"/>
      <c r="AQ22" s="37"/>
      <c r="AR22" s="37"/>
      <c r="AS22" s="37"/>
      <c r="AT22" s="45"/>
    </row>
    <row r="23" spans="3:46" ht="6" customHeight="1" x14ac:dyDescent="0.25">
      <c r="Q23" s="35"/>
      <c r="R23" s="32"/>
      <c r="S23" s="32"/>
      <c r="T23" s="32"/>
      <c r="U23" s="32"/>
      <c r="V23" s="32"/>
      <c r="W23" s="32"/>
      <c r="X23" s="32"/>
      <c r="Y23" s="32"/>
      <c r="Z23" s="32"/>
      <c r="AA23" s="35"/>
      <c r="AB23" s="32"/>
      <c r="AC23" s="32"/>
      <c r="AD23" s="32"/>
      <c r="AE23" s="32"/>
      <c r="AF23" s="32"/>
      <c r="AG23" s="32"/>
      <c r="AH23" s="32"/>
      <c r="AI23" s="32"/>
      <c r="AJ23" s="43"/>
      <c r="AK23" s="35"/>
      <c r="AL23" s="32"/>
      <c r="AM23" s="32"/>
      <c r="AN23" s="32"/>
      <c r="AO23" s="32"/>
      <c r="AP23" s="32"/>
      <c r="AR23" s="22"/>
      <c r="AS23" s="22"/>
      <c r="AT23" s="27"/>
    </row>
    <row r="24" spans="3:46" ht="6" customHeight="1" thickBot="1" x14ac:dyDescent="0.3">
      <c r="Q24" s="26"/>
      <c r="R24" s="21"/>
      <c r="S24" s="21"/>
      <c r="T24" s="21"/>
      <c r="U24" s="21"/>
      <c r="V24" s="21"/>
      <c r="W24" s="21"/>
      <c r="X24" s="21"/>
      <c r="Y24" s="21"/>
      <c r="Z24" s="21"/>
      <c r="AA24" s="26"/>
      <c r="AB24" s="21"/>
      <c r="AC24" s="21"/>
      <c r="AD24" s="21"/>
      <c r="AE24" s="21"/>
      <c r="AF24" s="21"/>
      <c r="AG24" s="21"/>
      <c r="AH24" s="21"/>
      <c r="AI24" s="21"/>
      <c r="AJ24" s="25"/>
      <c r="AK24" s="30"/>
      <c r="AL24" s="22"/>
      <c r="AM24" s="22"/>
      <c r="AN24" s="22"/>
      <c r="AP24" s="22"/>
      <c r="AQ24" s="32"/>
      <c r="AR24" s="22"/>
      <c r="AS24" s="22"/>
      <c r="AT24" s="27"/>
    </row>
    <row r="25" spans="3:46" ht="6" customHeight="1" thickBot="1" x14ac:dyDescent="0.3">
      <c r="Q25" s="67"/>
      <c r="R25" s="65" t="s">
        <v>48</v>
      </c>
      <c r="S25" s="64"/>
      <c r="T25" s="39"/>
      <c r="U25" s="39"/>
      <c r="V25" s="39"/>
      <c r="W25" s="39"/>
      <c r="X25" s="39"/>
      <c r="Y25" s="39"/>
      <c r="Z25" s="39"/>
      <c r="AA25" s="38"/>
      <c r="AB25" s="39"/>
      <c r="AC25" s="39"/>
      <c r="AD25" s="39"/>
      <c r="AE25" s="39"/>
      <c r="AF25" s="39"/>
      <c r="AG25" s="39"/>
      <c r="AH25" s="39"/>
      <c r="AI25" s="39"/>
      <c r="AJ25" s="40"/>
      <c r="AK25" s="38"/>
      <c r="AL25" s="39"/>
      <c r="AM25" s="39"/>
      <c r="AN25" s="39"/>
      <c r="AO25" s="39"/>
      <c r="AR25" s="32"/>
      <c r="AS25" s="22"/>
      <c r="AT25" s="27"/>
    </row>
    <row r="26" spans="3:46" ht="6" customHeight="1" x14ac:dyDescent="0.25">
      <c r="Q26" s="26"/>
      <c r="S26" s="39"/>
      <c r="T26" s="22"/>
      <c r="U26" s="22"/>
      <c r="V26" s="22"/>
      <c r="W26" s="22"/>
      <c r="X26" s="22"/>
      <c r="Y26" s="22"/>
      <c r="Z26" s="22"/>
      <c r="AA26" s="30"/>
      <c r="AB26" s="22"/>
      <c r="AC26" s="22"/>
      <c r="AD26" s="22"/>
      <c r="AE26" s="22"/>
      <c r="AF26" s="22"/>
      <c r="AG26" s="22"/>
      <c r="AH26" s="22"/>
      <c r="AI26" s="22"/>
      <c r="AJ26" s="27"/>
      <c r="AK26" s="30"/>
      <c r="AL26" s="22"/>
      <c r="AM26" s="22"/>
      <c r="AN26" s="22"/>
      <c r="AP26" s="39"/>
      <c r="AR26" s="32"/>
      <c r="AS26" s="21"/>
      <c r="AT26" s="27"/>
    </row>
    <row r="27" spans="3:46" ht="6" customHeight="1" x14ac:dyDescent="0.25">
      <c r="Q27" s="30"/>
      <c r="R27" s="39"/>
      <c r="T27" s="22"/>
      <c r="U27" s="39"/>
      <c r="V27" s="39"/>
      <c r="W27" s="39"/>
      <c r="X27" s="39"/>
      <c r="Y27" s="39"/>
      <c r="Z27" s="39"/>
      <c r="AA27" s="38"/>
      <c r="AB27" s="39"/>
      <c r="AC27" s="39"/>
      <c r="AD27" s="39"/>
      <c r="AE27" s="39"/>
      <c r="AF27" s="39"/>
      <c r="AG27" s="39"/>
      <c r="AH27" s="39"/>
      <c r="AI27" s="39"/>
      <c r="AJ27" s="40"/>
      <c r="AK27" s="39"/>
      <c r="AL27" s="39"/>
      <c r="AM27" s="39"/>
      <c r="AN27" s="22"/>
      <c r="AP27" s="39"/>
      <c r="AQ27" s="21"/>
      <c r="AR27" s="32"/>
      <c r="AT27" s="27"/>
    </row>
    <row r="28" spans="3:46" ht="6" customHeight="1" x14ac:dyDescent="0.25">
      <c r="Q28" s="30"/>
      <c r="R28" s="39"/>
      <c r="S28" s="22"/>
      <c r="T28" s="39"/>
      <c r="U28" s="22"/>
      <c r="V28" s="22"/>
      <c r="W28" s="22"/>
      <c r="X28" s="22"/>
      <c r="Y28" s="22"/>
      <c r="Z28" s="22"/>
      <c r="AA28" s="30"/>
      <c r="AB28" s="22"/>
      <c r="AC28" s="22"/>
      <c r="AD28" s="22"/>
      <c r="AE28" s="22"/>
      <c r="AF28" s="22"/>
      <c r="AG28" s="22"/>
      <c r="AH28" s="22"/>
      <c r="AI28" s="22"/>
      <c r="AJ28" s="27"/>
      <c r="AK28" s="30"/>
      <c r="AL28" s="22"/>
      <c r="AM28" s="22"/>
      <c r="AN28" s="39"/>
      <c r="AP28" s="39"/>
      <c r="AR28" s="32"/>
      <c r="AS28" s="22"/>
      <c r="AT28" s="27"/>
    </row>
    <row r="29" spans="3:46" ht="6" customHeight="1" x14ac:dyDescent="0.25">
      <c r="Q29" s="26"/>
      <c r="R29" s="39"/>
      <c r="S29" s="22"/>
      <c r="T29" s="39"/>
      <c r="U29" s="22"/>
      <c r="V29" s="22"/>
      <c r="W29" s="39"/>
      <c r="X29" s="39"/>
      <c r="Y29" s="39"/>
      <c r="Z29" s="39"/>
      <c r="AA29" s="38"/>
      <c r="AB29" s="39"/>
      <c r="AC29" s="39"/>
      <c r="AD29" s="39"/>
      <c r="AE29" s="39"/>
      <c r="AF29" s="39"/>
      <c r="AG29" s="39"/>
      <c r="AH29" s="39"/>
      <c r="AI29" s="39"/>
      <c r="AJ29" s="40"/>
      <c r="AK29" s="30"/>
      <c r="AL29" s="22"/>
      <c r="AM29" s="22"/>
      <c r="AN29" s="39"/>
      <c r="AO29" s="22"/>
      <c r="AP29" s="39"/>
      <c r="AR29" s="32"/>
      <c r="AS29" s="22"/>
      <c r="AT29" s="27"/>
    </row>
    <row r="30" spans="3:46" ht="6" customHeight="1" x14ac:dyDescent="0.25">
      <c r="Q30" s="26"/>
      <c r="R30" s="39"/>
      <c r="S30" s="21"/>
      <c r="T30" s="39"/>
      <c r="U30" s="22"/>
      <c r="V30" s="39"/>
      <c r="W30" s="22"/>
      <c r="X30" s="22"/>
      <c r="Y30" s="22"/>
      <c r="Z30" s="22"/>
      <c r="AA30" s="30"/>
      <c r="AB30" s="22"/>
      <c r="AC30" s="22"/>
      <c r="AD30" s="22"/>
      <c r="AE30" s="22"/>
      <c r="AF30" s="22"/>
      <c r="AG30" s="22"/>
      <c r="AH30" s="22"/>
      <c r="AI30" s="22"/>
      <c r="AJ30" s="27"/>
      <c r="AK30" s="30"/>
      <c r="AL30" s="22"/>
      <c r="AM30" s="22"/>
      <c r="AN30" s="39"/>
      <c r="AO30" s="22"/>
      <c r="AP30" s="39"/>
      <c r="AR30" s="32"/>
      <c r="AS30" s="22"/>
      <c r="AT30" s="27"/>
    </row>
    <row r="31" spans="3:46" ht="6" customHeight="1" thickBot="1" x14ac:dyDescent="0.3">
      <c r="Q31" s="46"/>
      <c r="R31" s="39"/>
      <c r="S31" s="28"/>
      <c r="T31" s="41"/>
      <c r="U31" s="22"/>
      <c r="V31" s="39"/>
      <c r="W31" s="22"/>
      <c r="X31" s="22"/>
      <c r="Y31" s="22"/>
      <c r="Z31" s="22"/>
      <c r="AA31" s="30"/>
      <c r="AB31" s="22"/>
      <c r="AC31" s="22"/>
      <c r="AD31" s="22"/>
      <c r="AE31" s="22"/>
      <c r="AF31" s="22"/>
      <c r="AG31" s="22"/>
      <c r="AH31" s="22"/>
      <c r="AI31" s="28"/>
      <c r="AJ31" s="29"/>
      <c r="AK31" s="46"/>
      <c r="AL31" s="28"/>
      <c r="AM31" s="28"/>
      <c r="AN31" s="41"/>
      <c r="AO31" s="28"/>
      <c r="AP31" s="41"/>
      <c r="AQ31" s="28"/>
      <c r="AR31" s="44"/>
      <c r="AS31" s="28"/>
      <c r="AT31" s="29"/>
    </row>
    <row r="32" spans="3:46" ht="6" customHeight="1" x14ac:dyDescent="0.25">
      <c r="Q32" s="47"/>
      <c r="R32" s="39"/>
      <c r="S32" s="37"/>
      <c r="T32" s="42"/>
      <c r="U32" s="37"/>
      <c r="V32" s="42"/>
      <c r="W32" s="37"/>
      <c r="X32" s="37"/>
      <c r="Y32" s="37"/>
      <c r="Z32" s="45"/>
      <c r="AA32" s="47"/>
      <c r="AB32" s="37"/>
      <c r="AC32" s="37"/>
      <c r="AD32" s="37"/>
      <c r="AE32" s="37"/>
      <c r="AF32" s="37"/>
      <c r="AG32" s="37"/>
      <c r="AH32" s="37"/>
      <c r="AI32" s="37"/>
      <c r="AJ32" s="45"/>
      <c r="AK32" s="47"/>
      <c r="AL32" s="37"/>
      <c r="AM32" s="37"/>
      <c r="AN32" s="42"/>
      <c r="AO32" s="37"/>
      <c r="AP32" s="42"/>
      <c r="AQ32" s="24"/>
      <c r="AR32" s="34"/>
      <c r="AS32" s="37"/>
      <c r="AT32" s="45"/>
    </row>
    <row r="33" spans="17:46" ht="6" customHeight="1" x14ac:dyDescent="0.25">
      <c r="Q33" s="30"/>
      <c r="R33" s="39"/>
      <c r="S33" s="22"/>
      <c r="T33" s="39"/>
      <c r="U33" s="22"/>
      <c r="V33" s="22"/>
      <c r="W33" s="39"/>
      <c r="X33" s="39"/>
      <c r="Y33" s="39"/>
      <c r="Z33" s="39"/>
      <c r="AA33" s="38"/>
      <c r="AB33" s="39"/>
      <c r="AC33" s="39"/>
      <c r="AD33" s="39"/>
      <c r="AE33" s="39"/>
      <c r="AF33" s="39"/>
      <c r="AG33" s="39"/>
      <c r="AH33" s="39"/>
      <c r="AI33" s="39"/>
      <c r="AJ33" s="40"/>
      <c r="AK33" s="38"/>
      <c r="AL33" s="39"/>
      <c r="AM33" s="39"/>
      <c r="AO33" s="22"/>
      <c r="AP33" s="39"/>
      <c r="AR33" s="32"/>
      <c r="AS33" s="22"/>
      <c r="AT33" s="27"/>
    </row>
    <row r="34" spans="17:46" ht="6" customHeight="1" x14ac:dyDescent="0.25">
      <c r="Q34" s="30"/>
      <c r="R34" s="39"/>
      <c r="S34" s="22"/>
      <c r="T34" s="39"/>
      <c r="U34" s="21"/>
      <c r="V34" s="21"/>
      <c r="W34" s="21"/>
      <c r="X34" s="21"/>
      <c r="Y34" s="21"/>
      <c r="Z34" s="25"/>
      <c r="AA34" s="26"/>
      <c r="AB34" s="21"/>
      <c r="AC34" s="21"/>
      <c r="AD34" s="21"/>
      <c r="AE34" s="21"/>
      <c r="AF34" s="21"/>
      <c r="AG34" s="21"/>
      <c r="AH34" s="21"/>
      <c r="AI34" s="21"/>
      <c r="AJ34" s="25"/>
      <c r="AK34" s="26"/>
      <c r="AL34" s="21"/>
      <c r="AM34" s="21"/>
      <c r="AN34" s="21"/>
      <c r="AO34" s="22"/>
      <c r="AP34" s="39"/>
      <c r="AR34" s="32"/>
      <c r="AS34" s="22"/>
      <c r="AT34" s="27"/>
    </row>
    <row r="35" spans="17:46" ht="6" customHeight="1" thickBot="1" x14ac:dyDescent="0.3">
      <c r="Q35" s="30"/>
      <c r="R35" s="39"/>
      <c r="S35" s="22"/>
      <c r="T35" s="21"/>
      <c r="U35" s="39"/>
      <c r="V35" s="39"/>
      <c r="W35" s="39"/>
      <c r="X35" s="39"/>
      <c r="Y35" s="39"/>
      <c r="Z35" s="40"/>
      <c r="AA35" s="38"/>
      <c r="AB35" s="39"/>
      <c r="AC35" s="39"/>
      <c r="AD35" s="39"/>
      <c r="AE35" s="39"/>
      <c r="AF35" s="39"/>
      <c r="AG35" s="39"/>
      <c r="AH35" s="39"/>
      <c r="AI35" s="39"/>
      <c r="AJ35" s="40"/>
      <c r="AK35" s="38"/>
      <c r="AL35" s="39"/>
      <c r="AM35" s="39"/>
      <c r="AN35" s="39"/>
      <c r="AO35" s="39"/>
      <c r="AP35" s="21"/>
      <c r="AR35" s="32"/>
      <c r="AS35" s="22"/>
      <c r="AT35" s="27"/>
    </row>
    <row r="36" spans="17:46" ht="6" customHeight="1" thickBot="1" x14ac:dyDescent="0.3">
      <c r="Q36" s="88"/>
      <c r="R36" s="65" t="s">
        <v>69</v>
      </c>
      <c r="S36" s="64"/>
      <c r="T36" s="22"/>
      <c r="U36" s="21"/>
      <c r="V36" s="21"/>
      <c r="W36" s="21"/>
      <c r="X36" s="21"/>
      <c r="Y36" s="21"/>
      <c r="Z36" s="25"/>
      <c r="AA36" s="26"/>
      <c r="AB36" s="21"/>
      <c r="AC36" s="21"/>
      <c r="AD36" s="21"/>
      <c r="AE36" s="21"/>
      <c r="AF36" s="21"/>
      <c r="AG36" s="21"/>
      <c r="AH36" s="21"/>
      <c r="AI36" s="21"/>
      <c r="AJ36" s="25"/>
      <c r="AK36" s="26"/>
      <c r="AL36" s="21"/>
      <c r="AM36" s="21"/>
      <c r="AN36" s="21"/>
      <c r="AP36" s="21"/>
      <c r="AQ36" s="32"/>
      <c r="AR36" s="22"/>
      <c r="AS36" s="22"/>
      <c r="AT36" s="27"/>
    </row>
    <row r="37" spans="17:46" ht="6" customHeight="1" x14ac:dyDescent="0.25">
      <c r="Q37" s="30"/>
      <c r="S37" s="39"/>
      <c r="T37" s="21"/>
      <c r="U37" s="21"/>
      <c r="V37" s="32"/>
      <c r="W37" s="32"/>
      <c r="X37" s="32"/>
      <c r="Y37" s="32"/>
      <c r="Z37" s="43"/>
      <c r="AA37" s="35"/>
      <c r="AB37" s="32"/>
      <c r="AC37" s="32"/>
      <c r="AD37" s="32"/>
      <c r="AE37" s="32"/>
      <c r="AF37" s="32"/>
      <c r="AG37" s="32"/>
      <c r="AH37" s="32"/>
      <c r="AI37" s="32"/>
      <c r="AJ37" s="43"/>
      <c r="AK37" s="35"/>
      <c r="AL37" s="32"/>
      <c r="AM37" s="32"/>
      <c r="AN37" s="32"/>
      <c r="AO37" s="32"/>
      <c r="AP37" s="32"/>
      <c r="AQ37" s="21"/>
      <c r="AR37" s="21"/>
      <c r="AS37" s="21"/>
      <c r="AT37" s="27"/>
    </row>
    <row r="38" spans="17:46" ht="6" customHeight="1" x14ac:dyDescent="0.25">
      <c r="Q38" s="30"/>
      <c r="R38" s="39"/>
      <c r="S38" s="21"/>
      <c r="T38" s="21"/>
      <c r="U38" s="32"/>
      <c r="V38" s="21"/>
      <c r="W38" s="22"/>
      <c r="X38" s="22"/>
      <c r="Y38" s="22"/>
      <c r="Z38" s="27"/>
      <c r="AA38" s="30"/>
      <c r="AB38" s="22"/>
      <c r="AC38" s="22"/>
      <c r="AD38" s="22"/>
      <c r="AE38" s="22"/>
      <c r="AF38" s="22"/>
      <c r="AG38" s="22"/>
      <c r="AH38" s="22"/>
      <c r="AI38" s="22"/>
      <c r="AJ38" s="27"/>
      <c r="AK38" s="30"/>
      <c r="AL38" s="22"/>
      <c r="AM38" s="22"/>
      <c r="AN38" s="22"/>
      <c r="AO38" s="22"/>
      <c r="AQ38" s="32"/>
      <c r="AR38" s="22"/>
      <c r="AS38" s="22"/>
      <c r="AT38" s="27"/>
    </row>
    <row r="39" spans="17:46" ht="6" customHeight="1" x14ac:dyDescent="0.25">
      <c r="Q39" s="30"/>
      <c r="R39" s="39"/>
      <c r="S39" s="21"/>
      <c r="T39" s="32"/>
      <c r="U39" s="21"/>
      <c r="V39" s="21"/>
      <c r="W39" s="32"/>
      <c r="X39" s="32"/>
      <c r="Y39" s="32"/>
      <c r="Z39" s="43"/>
      <c r="AA39" s="35"/>
      <c r="AB39" s="32"/>
      <c r="AC39" s="32"/>
      <c r="AD39" s="32"/>
      <c r="AE39" s="32"/>
      <c r="AF39" s="32"/>
      <c r="AG39" s="32"/>
      <c r="AH39" s="32"/>
      <c r="AI39" s="32"/>
      <c r="AJ39" s="43"/>
      <c r="AK39" s="35"/>
      <c r="AL39" s="32"/>
      <c r="AM39" s="32"/>
      <c r="AN39" s="32"/>
      <c r="AO39" s="32"/>
      <c r="AP39" s="22"/>
      <c r="AQ39" s="22"/>
      <c r="AR39" s="32"/>
      <c r="AS39" s="22"/>
      <c r="AT39" s="27"/>
    </row>
    <row r="40" spans="17:46" ht="6" customHeight="1" x14ac:dyDescent="0.25">
      <c r="Q40" s="30"/>
      <c r="R40" s="39"/>
      <c r="S40" s="21"/>
      <c r="T40" s="32"/>
      <c r="U40" s="21"/>
      <c r="V40" s="32"/>
      <c r="W40" s="21"/>
      <c r="X40" s="21"/>
      <c r="Y40" s="21"/>
      <c r="Z40" s="25"/>
      <c r="AA40" s="30"/>
      <c r="AB40" s="22"/>
      <c r="AC40" s="22"/>
      <c r="AD40" s="22"/>
      <c r="AE40" s="22"/>
      <c r="AF40" s="22"/>
      <c r="AG40" s="22"/>
      <c r="AH40" s="22"/>
      <c r="AI40" s="22"/>
      <c r="AJ40" s="27"/>
      <c r="AK40" s="26"/>
      <c r="AL40" s="21"/>
      <c r="AM40" s="21"/>
      <c r="AN40" s="21"/>
      <c r="AO40" s="21"/>
      <c r="AP40" s="32"/>
      <c r="AQ40" s="22"/>
      <c r="AR40" s="32"/>
      <c r="AS40" s="22"/>
      <c r="AT40" s="27"/>
    </row>
    <row r="41" spans="17:46" ht="6" customHeight="1" thickBot="1" x14ac:dyDescent="0.3">
      <c r="Q41" s="46"/>
      <c r="R41" s="41"/>
      <c r="S41" s="28"/>
      <c r="T41" s="44"/>
      <c r="U41" s="28"/>
      <c r="V41" s="44"/>
      <c r="W41" s="28"/>
      <c r="X41" s="28"/>
      <c r="Y41" s="44"/>
      <c r="Z41" s="58"/>
      <c r="AA41" s="59"/>
      <c r="AB41" s="44"/>
      <c r="AC41" s="44"/>
      <c r="AD41" s="44"/>
      <c r="AE41" s="44"/>
      <c r="AF41" s="44"/>
      <c r="AG41" s="44"/>
      <c r="AH41" s="44"/>
      <c r="AI41" s="44"/>
      <c r="AJ41" s="58"/>
      <c r="AK41" s="59"/>
      <c r="AL41" s="31"/>
      <c r="AM41" s="31"/>
      <c r="AN41" s="28"/>
      <c r="AO41" s="28"/>
      <c r="AP41" s="44"/>
      <c r="AQ41" s="28"/>
      <c r="AR41" s="44"/>
      <c r="AS41" s="28"/>
      <c r="AT41" s="29"/>
    </row>
    <row r="42" spans="17:46" ht="6" customHeight="1" x14ac:dyDescent="0.25">
      <c r="Q42" s="47"/>
      <c r="R42" s="42"/>
      <c r="S42" s="37"/>
      <c r="T42" s="34"/>
      <c r="U42" s="37"/>
      <c r="V42" s="34"/>
      <c r="W42" s="37"/>
      <c r="X42" s="34"/>
      <c r="Y42" s="37"/>
      <c r="Z42" s="45"/>
      <c r="AA42" s="47"/>
      <c r="AB42" s="37"/>
      <c r="AC42" s="37"/>
      <c r="AD42" s="37"/>
      <c r="AE42" s="37"/>
      <c r="AF42" s="37"/>
      <c r="AG42" s="37"/>
      <c r="AH42" s="37"/>
      <c r="AI42" s="37"/>
      <c r="AJ42" s="45"/>
      <c r="AK42" s="47"/>
      <c r="AL42" s="37"/>
      <c r="AM42" s="37"/>
      <c r="AN42" s="37"/>
      <c r="AO42" s="37"/>
      <c r="AP42" s="34"/>
      <c r="AQ42" s="37"/>
      <c r="AR42" s="34"/>
      <c r="AS42" s="37"/>
      <c r="AT42" s="45"/>
    </row>
    <row r="43" spans="17:46" ht="6" customHeight="1" x14ac:dyDescent="0.25">
      <c r="Q43" s="30"/>
      <c r="R43" s="39"/>
      <c r="S43" s="21"/>
      <c r="T43" s="32"/>
      <c r="U43" s="21"/>
      <c r="V43" s="32"/>
      <c r="W43" s="21"/>
      <c r="X43" s="21"/>
      <c r="Y43" s="32"/>
      <c r="Z43" s="43"/>
      <c r="AA43" s="35"/>
      <c r="AB43" s="32"/>
      <c r="AC43" s="32"/>
      <c r="AD43" s="32"/>
      <c r="AE43" s="32"/>
      <c r="AF43" s="32"/>
      <c r="AG43" s="32"/>
      <c r="AH43" s="32"/>
      <c r="AI43" s="32"/>
      <c r="AJ43" s="43"/>
      <c r="AK43" s="35"/>
      <c r="AL43" s="32"/>
      <c r="AM43" s="32"/>
      <c r="AN43" s="32"/>
      <c r="AO43" s="32"/>
      <c r="AP43" s="21"/>
      <c r="AQ43" s="21"/>
      <c r="AR43" s="32"/>
      <c r="AT43" s="25"/>
    </row>
    <row r="44" spans="17:46" ht="6" customHeight="1" x14ac:dyDescent="0.25">
      <c r="Q44" s="30"/>
      <c r="R44" s="39"/>
      <c r="S44" s="21"/>
      <c r="T44" s="32"/>
      <c r="U44" s="21"/>
      <c r="V44" s="32"/>
      <c r="W44" s="21"/>
      <c r="X44" s="21"/>
      <c r="Y44" s="21"/>
      <c r="Z44" s="25"/>
      <c r="AA44" s="26"/>
      <c r="AB44" s="21"/>
      <c r="AC44" s="21"/>
      <c r="AD44" s="21"/>
      <c r="AE44" s="21"/>
      <c r="AF44" s="21"/>
      <c r="AG44" s="21"/>
      <c r="AH44" s="21"/>
      <c r="AI44" s="21"/>
      <c r="AJ44" s="25"/>
      <c r="AK44" s="26"/>
      <c r="AL44" s="21"/>
      <c r="AM44" s="21"/>
      <c r="AN44" s="21"/>
      <c r="AO44" s="21"/>
      <c r="AP44" s="21"/>
      <c r="AQ44" s="32"/>
      <c r="AT44" s="25"/>
    </row>
    <row r="45" spans="17:46" ht="6" customHeight="1" x14ac:dyDescent="0.25">
      <c r="Q45" s="30"/>
      <c r="R45" s="39"/>
      <c r="S45" s="21"/>
      <c r="T45" s="32"/>
      <c r="U45" s="21"/>
      <c r="V45" s="21"/>
      <c r="W45" s="32"/>
      <c r="X45" s="32"/>
      <c r="Y45" s="32"/>
      <c r="Z45" s="43"/>
      <c r="AA45" s="35"/>
      <c r="AB45" s="32"/>
      <c r="AC45" s="32"/>
      <c r="AD45" s="32"/>
      <c r="AE45" s="32"/>
      <c r="AF45" s="32"/>
      <c r="AG45" s="32"/>
      <c r="AH45" s="32"/>
      <c r="AI45" s="32"/>
      <c r="AJ45" s="43"/>
      <c r="AK45" s="35"/>
      <c r="AL45" s="32"/>
      <c r="AM45" s="32"/>
      <c r="AN45" s="32"/>
      <c r="AO45" s="32"/>
      <c r="AP45" s="32"/>
      <c r="AQ45" s="22"/>
      <c r="AR45" s="22"/>
      <c r="AS45" s="22"/>
      <c r="AT45" s="25"/>
    </row>
    <row r="46" spans="17:46" ht="6" customHeight="1" x14ac:dyDescent="0.25">
      <c r="Q46" s="30"/>
      <c r="R46" s="39"/>
      <c r="S46" s="21"/>
      <c r="T46" s="21"/>
      <c r="U46" s="32"/>
      <c r="V46" s="21"/>
      <c r="W46" s="21"/>
      <c r="X46" s="21"/>
      <c r="Y46" s="21"/>
      <c r="Z46" s="25"/>
      <c r="AA46" s="26"/>
      <c r="AB46" s="21"/>
      <c r="AC46" s="21"/>
      <c r="AD46" s="21"/>
      <c r="AE46" s="21"/>
      <c r="AF46" s="21"/>
      <c r="AG46" s="21"/>
      <c r="AH46" s="21"/>
      <c r="AI46" s="21"/>
      <c r="AJ46" s="25"/>
      <c r="AK46" s="26"/>
      <c r="AL46" s="21"/>
      <c r="AM46" s="21"/>
      <c r="AN46" s="21"/>
      <c r="AO46" s="21"/>
      <c r="AP46" s="21"/>
      <c r="AQ46" s="21"/>
      <c r="AR46" s="21"/>
      <c r="AS46" s="21"/>
      <c r="AT46" s="25"/>
    </row>
    <row r="47" spans="17:46" ht="6" customHeight="1" x14ac:dyDescent="0.25">
      <c r="Q47" s="30"/>
      <c r="R47" s="21"/>
      <c r="S47" s="39"/>
      <c r="T47" s="21"/>
      <c r="U47" s="21"/>
      <c r="V47" s="32"/>
      <c r="W47" s="32"/>
      <c r="X47" s="32"/>
      <c r="Y47" s="32"/>
      <c r="Z47" s="43"/>
      <c r="AA47" s="35"/>
      <c r="AB47" s="32"/>
      <c r="AC47" s="32"/>
      <c r="AD47" s="32"/>
      <c r="AE47" s="32"/>
      <c r="AF47" s="32"/>
      <c r="AG47" s="32"/>
      <c r="AH47" s="32"/>
      <c r="AI47" s="32"/>
      <c r="AJ47" s="43"/>
      <c r="AK47" s="35"/>
      <c r="AL47" s="32"/>
      <c r="AM47" s="32"/>
      <c r="AN47" s="32"/>
      <c r="AO47" s="32"/>
      <c r="AP47" s="32"/>
      <c r="AQ47" s="32"/>
      <c r="AR47" s="32"/>
      <c r="AS47" s="32"/>
      <c r="AT47" s="43"/>
    </row>
    <row r="48" spans="17:46" ht="6" customHeight="1" thickBot="1" x14ac:dyDescent="0.3">
      <c r="Q48" s="30"/>
      <c r="R48" s="22"/>
      <c r="S48" s="21"/>
      <c r="T48" s="39"/>
      <c r="U48" s="21"/>
      <c r="V48" s="21"/>
      <c r="W48" s="21"/>
      <c r="X48" s="21"/>
      <c r="Y48" s="21"/>
      <c r="Z48" s="25"/>
      <c r="AA48" s="30"/>
      <c r="AB48" s="22"/>
      <c r="AC48" s="22"/>
      <c r="AD48" s="22"/>
      <c r="AE48" s="22"/>
      <c r="AF48" s="22"/>
      <c r="AG48" s="22"/>
      <c r="AH48" s="22"/>
      <c r="AI48" s="22"/>
      <c r="AJ48" s="27"/>
      <c r="AK48" s="26"/>
      <c r="AL48" s="21"/>
      <c r="AM48" s="21"/>
      <c r="AN48" s="22"/>
      <c r="AO48" s="22"/>
      <c r="AP48" s="22"/>
      <c r="AQ48" s="22"/>
      <c r="AR48" s="22"/>
      <c r="AS48" s="22"/>
      <c r="AT48" s="27"/>
    </row>
    <row r="49" spans="17:46" ht="6" customHeight="1" thickBot="1" x14ac:dyDescent="0.3">
      <c r="Q49" s="30"/>
      <c r="R49" s="22"/>
      <c r="S49" s="22"/>
      <c r="T49" s="21"/>
      <c r="U49" s="39"/>
      <c r="V49" s="39"/>
      <c r="W49" s="39"/>
      <c r="X49" s="39"/>
      <c r="Y49" s="39"/>
      <c r="Z49" s="40"/>
      <c r="AA49" s="38"/>
      <c r="AB49" s="39"/>
      <c r="AC49" s="39"/>
      <c r="AD49" s="39"/>
      <c r="AE49" s="39"/>
      <c r="AF49" s="39"/>
      <c r="AG49" s="39"/>
      <c r="AH49" s="39"/>
      <c r="AI49" s="39"/>
      <c r="AJ49" s="40"/>
      <c r="AK49" s="38"/>
      <c r="AL49" s="39"/>
      <c r="AM49" s="39"/>
      <c r="AN49" s="39"/>
      <c r="AO49" s="39"/>
      <c r="AP49" s="68"/>
      <c r="AQ49" s="39"/>
      <c r="AR49" s="66"/>
      <c r="AS49" s="72" t="s">
        <v>69</v>
      </c>
      <c r="AT49" s="73"/>
    </row>
    <row r="50" spans="17:46" ht="6" customHeight="1" x14ac:dyDescent="0.25">
      <c r="Q50" s="30"/>
      <c r="R50" s="22"/>
      <c r="S50" s="22"/>
      <c r="T50" s="22"/>
      <c r="U50" s="22"/>
      <c r="V50" s="22"/>
      <c r="W50" s="22"/>
      <c r="X50" s="22"/>
      <c r="Y50" s="22"/>
      <c r="Z50" s="27"/>
      <c r="AA50" s="30"/>
      <c r="AB50" s="22"/>
      <c r="AC50" s="22"/>
      <c r="AD50" s="22"/>
      <c r="AE50" s="22"/>
      <c r="AF50" s="22"/>
      <c r="AG50" s="22"/>
      <c r="AH50" s="22"/>
      <c r="AI50" s="22"/>
      <c r="AJ50" s="27"/>
      <c r="AK50" s="30"/>
      <c r="AL50" s="22"/>
      <c r="AM50" s="22"/>
      <c r="AN50" s="22"/>
      <c r="AO50" s="22"/>
      <c r="AP50" s="70" t="s">
        <v>48</v>
      </c>
      <c r="AQ50" s="22"/>
      <c r="AR50" s="71"/>
      <c r="AS50" s="22"/>
      <c r="AT50" s="25"/>
    </row>
    <row r="51" spans="17:46" ht="6" customHeight="1" thickBot="1" x14ac:dyDescent="0.3">
      <c r="Q51" s="36"/>
      <c r="R51" s="31"/>
      <c r="S51" s="31"/>
      <c r="T51" s="31"/>
      <c r="U51" s="31"/>
      <c r="V51" s="31"/>
      <c r="W51" s="31"/>
      <c r="X51" s="31"/>
      <c r="Y51" s="31"/>
      <c r="Z51" s="33"/>
      <c r="AA51" s="36"/>
      <c r="AB51" s="31"/>
      <c r="AC51" s="31"/>
      <c r="AD51" s="31"/>
      <c r="AE51" s="31"/>
      <c r="AF51" s="31"/>
      <c r="AG51" s="31"/>
      <c r="AH51" s="31"/>
      <c r="AI51" s="31"/>
      <c r="AJ51" s="33"/>
      <c r="AK51" s="36"/>
      <c r="AL51" s="31"/>
      <c r="AM51" s="31"/>
      <c r="AN51" s="31"/>
      <c r="AO51" s="31"/>
      <c r="AP51" s="69"/>
      <c r="AQ51" s="31"/>
      <c r="AR51" s="31"/>
      <c r="AS51" s="28"/>
      <c r="AT51" s="29"/>
    </row>
    <row r="52" spans="17:46" ht="6" customHeight="1" x14ac:dyDescent="0.25"/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A61"/>
  <sheetViews>
    <sheetView zoomScaleNormal="100" workbookViewId="0">
      <selection activeCell="S3" sqref="S3"/>
    </sheetView>
  </sheetViews>
  <sheetFormatPr defaultRowHeight="15" x14ac:dyDescent="0.25"/>
  <cols>
    <col min="19" max="19" width="7.7109375" customWidth="1"/>
    <col min="20" max="20" width="4.7109375" customWidth="1"/>
    <col min="21" max="21" width="7.7109375" customWidth="1"/>
    <col min="22" max="22" width="4.7109375" customWidth="1"/>
  </cols>
  <sheetData>
    <row r="1" spans="13:27" x14ac:dyDescent="0.25">
      <c r="W1" t="s">
        <v>15</v>
      </c>
      <c r="X1" t="s">
        <v>14</v>
      </c>
      <c r="Z1" t="s">
        <v>29</v>
      </c>
    </row>
    <row r="2" spans="13:27" x14ac:dyDescent="0.25">
      <c r="U2" t="s">
        <v>24</v>
      </c>
      <c r="W2" s="9">
        <v>6</v>
      </c>
      <c r="X2" s="20">
        <f t="shared" ref="X2:X10" si="0">W2*1000/25.4</f>
        <v>236.22047244094489</v>
      </c>
      <c r="AA2" s="7">
        <f>W2/0.127</f>
        <v>47.244094488188978</v>
      </c>
    </row>
    <row r="3" spans="13:27" x14ac:dyDescent="0.25">
      <c r="U3" t="s">
        <v>25</v>
      </c>
      <c r="W3" s="4">
        <f>AA3*0.127</f>
        <v>1.143</v>
      </c>
      <c r="X3" s="20">
        <f t="shared" si="0"/>
        <v>45</v>
      </c>
      <c r="Z3">
        <v>15</v>
      </c>
      <c r="AA3">
        <v>9</v>
      </c>
    </row>
    <row r="4" spans="13:27" x14ac:dyDescent="0.25">
      <c r="U4" t="s">
        <v>28</v>
      </c>
      <c r="W4" s="8">
        <v>2.1589999999999998</v>
      </c>
      <c r="X4" s="20">
        <f t="shared" si="0"/>
        <v>85</v>
      </c>
      <c r="AA4" s="7">
        <f>W4/0.127</f>
        <v>17</v>
      </c>
    </row>
    <row r="5" spans="13:27" x14ac:dyDescent="0.25">
      <c r="U5" t="s">
        <v>25</v>
      </c>
      <c r="W5" s="4">
        <f>AA5*0.127</f>
        <v>0.50800000000000001</v>
      </c>
      <c r="X5" s="20">
        <f t="shared" si="0"/>
        <v>20</v>
      </c>
      <c r="Z5">
        <v>5</v>
      </c>
      <c r="AA5">
        <v>4</v>
      </c>
    </row>
    <row r="6" spans="13:27" x14ac:dyDescent="0.25">
      <c r="U6" t="s">
        <v>27</v>
      </c>
      <c r="W6" s="8">
        <v>2.1589999999999998</v>
      </c>
      <c r="X6" s="20">
        <f t="shared" si="0"/>
        <v>85</v>
      </c>
      <c r="AA6" s="7">
        <f>W6/0.127</f>
        <v>17</v>
      </c>
    </row>
    <row r="7" spans="13:27" x14ac:dyDescent="0.25">
      <c r="U7" t="s">
        <v>25</v>
      </c>
      <c r="W7" s="4">
        <f>AA7*0.127</f>
        <v>0.50800000000000001</v>
      </c>
      <c r="X7" s="20">
        <f t="shared" si="0"/>
        <v>20</v>
      </c>
      <c r="Z7">
        <v>5</v>
      </c>
      <c r="AA7">
        <v>4</v>
      </c>
    </row>
    <row r="8" spans="13:27" x14ac:dyDescent="0.25">
      <c r="U8" t="s">
        <v>26</v>
      </c>
      <c r="W8" s="8">
        <v>2.1589999999999998</v>
      </c>
      <c r="X8" s="20">
        <f t="shared" si="0"/>
        <v>85</v>
      </c>
      <c r="AA8" s="7">
        <f>W8/0.127</f>
        <v>17</v>
      </c>
    </row>
    <row r="9" spans="13:27" x14ac:dyDescent="0.25">
      <c r="U9" t="s">
        <v>25</v>
      </c>
      <c r="W9" s="4">
        <f>AA9*0.127</f>
        <v>1.143</v>
      </c>
      <c r="X9" s="20">
        <f t="shared" si="0"/>
        <v>45</v>
      </c>
      <c r="Z9">
        <v>15</v>
      </c>
      <c r="AA9">
        <v>9</v>
      </c>
    </row>
    <row r="10" spans="13:27" x14ac:dyDescent="0.25">
      <c r="U10" t="s">
        <v>24</v>
      </c>
      <c r="W10" s="9">
        <v>12.7</v>
      </c>
      <c r="X10" s="20">
        <f t="shared" si="0"/>
        <v>500</v>
      </c>
      <c r="AA10" s="7">
        <f>W10/0.127</f>
        <v>100</v>
      </c>
    </row>
    <row r="11" spans="13:27" x14ac:dyDescent="0.25">
      <c r="W11" s="19">
        <f>SUM(W2:W10)</f>
        <v>28.478999999999996</v>
      </c>
      <c r="X11" s="7">
        <f>SUM(X2:X10)</f>
        <v>1121.2204724409448</v>
      </c>
    </row>
    <row r="14" spans="13:27" x14ac:dyDescent="0.25">
      <c r="M14" t="s">
        <v>23</v>
      </c>
      <c r="O14" t="s">
        <v>22</v>
      </c>
      <c r="P14">
        <v>4.5</v>
      </c>
    </row>
    <row r="15" spans="13:27" x14ac:dyDescent="0.25">
      <c r="O15" t="s">
        <v>21</v>
      </c>
      <c r="P15">
        <v>3.5000000000000003E-2</v>
      </c>
      <c r="Q15" t="s">
        <v>15</v>
      </c>
    </row>
    <row r="16" spans="13:27" x14ac:dyDescent="0.25">
      <c r="M16" s="7" t="s">
        <v>20</v>
      </c>
      <c r="N16" s="7" t="s">
        <v>19</v>
      </c>
      <c r="O16" s="7" t="s">
        <v>10</v>
      </c>
      <c r="Q16" s="7" t="s">
        <v>18</v>
      </c>
      <c r="S16" s="7" t="s">
        <v>17</v>
      </c>
      <c r="U16" t="s">
        <v>16</v>
      </c>
    </row>
    <row r="17" spans="6:23" x14ac:dyDescent="0.25">
      <c r="M17" s="1" t="s">
        <v>15</v>
      </c>
      <c r="N17" s="1" t="s">
        <v>15</v>
      </c>
      <c r="O17" s="1" t="s">
        <v>14</v>
      </c>
    </row>
    <row r="18" spans="6:23" x14ac:dyDescent="0.25">
      <c r="M18" s="1">
        <v>0.4</v>
      </c>
      <c r="N18" s="1">
        <v>0.7</v>
      </c>
      <c r="O18" s="3">
        <f>N18*1000/25.4</f>
        <v>27.559055118110237</v>
      </c>
      <c r="Q18" s="15">
        <f t="shared" ref="Q18:Q28" si="1">LN(5.98*M18/(0.8*N18 +$P$15)) * 87/SQRT($P$14+1.41)</f>
        <v>49.791326686477412</v>
      </c>
      <c r="S18" s="1">
        <v>0.63500000000000001</v>
      </c>
      <c r="T18" t="s">
        <v>15</v>
      </c>
      <c r="U18" s="1">
        <f>3*S18</f>
        <v>1.905</v>
      </c>
      <c r="V18" t="s">
        <v>15</v>
      </c>
    </row>
    <row r="19" spans="6:23" x14ac:dyDescent="0.25">
      <c r="M19" s="1">
        <v>0.6</v>
      </c>
      <c r="N19" s="1">
        <v>1.05</v>
      </c>
      <c r="O19" s="3">
        <f>N19*1000/25.4</f>
        <v>41.338582677165356</v>
      </c>
      <c r="Q19" s="15">
        <f t="shared" si="1"/>
        <v>50.500003666683071</v>
      </c>
      <c r="S19" s="3">
        <f>S18*1000/25.4</f>
        <v>25</v>
      </c>
      <c r="T19" t="s">
        <v>14</v>
      </c>
      <c r="U19" s="3">
        <f>U18*1000/25.4</f>
        <v>75</v>
      </c>
      <c r="V19" t="s">
        <v>14</v>
      </c>
    </row>
    <row r="20" spans="6:23" x14ac:dyDescent="0.25">
      <c r="M20" s="1">
        <v>0.8</v>
      </c>
      <c r="N20" s="18">
        <v>1.4350000000000001</v>
      </c>
      <c r="O20" s="3">
        <f>N20*1000/25.4</f>
        <v>56.496062992125985</v>
      </c>
      <c r="Q20" s="17">
        <f t="shared" si="1"/>
        <v>50.002460148649625</v>
      </c>
    </row>
    <row r="21" spans="6:23" x14ac:dyDescent="0.25">
      <c r="M21" s="7">
        <v>1</v>
      </c>
      <c r="N21" s="1">
        <f>O21*25.4/1000</f>
        <v>1.8033999999999999</v>
      </c>
      <c r="O21" s="48">
        <v>71</v>
      </c>
      <c r="Q21" s="15">
        <f t="shared" si="1"/>
        <v>50.027395717127064</v>
      </c>
    </row>
    <row r="22" spans="6:23" x14ac:dyDescent="0.25">
      <c r="M22" s="7">
        <v>1</v>
      </c>
      <c r="N22" s="16">
        <v>1.8049999999999999</v>
      </c>
      <c r="O22" s="3">
        <f>N22*1000/25.4</f>
        <v>71.062992125984252</v>
      </c>
      <c r="Q22" s="15">
        <f t="shared" si="1"/>
        <v>49.996410445645473</v>
      </c>
      <c r="S22" t="s">
        <v>13</v>
      </c>
    </row>
    <row r="23" spans="6:23" x14ac:dyDescent="0.25">
      <c r="M23" s="53">
        <v>1.2</v>
      </c>
      <c r="N23" s="54">
        <v>2.1589999999999998</v>
      </c>
      <c r="O23" s="55">
        <f>N23*1000/25.4</f>
        <v>85</v>
      </c>
      <c r="P23" s="56"/>
      <c r="Q23" s="57">
        <f t="shared" si="1"/>
        <v>50.251382645070869</v>
      </c>
      <c r="S23">
        <v>-2.14</v>
      </c>
      <c r="T23" t="s">
        <v>12</v>
      </c>
    </row>
    <row r="24" spans="6:23" x14ac:dyDescent="0.25">
      <c r="M24" s="49">
        <v>1.2</v>
      </c>
      <c r="N24" s="50">
        <f>O24*25.4/1000</f>
        <v>2.1844000000000001</v>
      </c>
      <c r="O24" s="51">
        <v>86</v>
      </c>
      <c r="P24" s="22"/>
      <c r="Q24" s="52">
        <f t="shared" si="1"/>
        <v>49.841082157519089</v>
      </c>
    </row>
    <row r="25" spans="6:23" x14ac:dyDescent="0.25">
      <c r="M25" s="7">
        <v>1.6</v>
      </c>
      <c r="N25" s="16">
        <v>2.9129999999999998</v>
      </c>
      <c r="O25" s="3">
        <f>N25*1000/25.4</f>
        <v>114.68503937007874</v>
      </c>
      <c r="Q25" s="15">
        <f t="shared" si="1"/>
        <v>50.011536621125686</v>
      </c>
    </row>
    <row r="26" spans="6:23" x14ac:dyDescent="0.25">
      <c r="M26" s="7">
        <v>1.6</v>
      </c>
      <c r="N26" s="1">
        <f>O26*25.4/1000</f>
        <v>2.9209999999999998</v>
      </c>
      <c r="O26" s="48">
        <v>115</v>
      </c>
      <c r="Q26" s="15">
        <f t="shared" si="1"/>
        <v>49.914839392899047</v>
      </c>
    </row>
    <row r="27" spans="6:23" x14ac:dyDescent="0.25">
      <c r="M27" s="7">
        <v>2</v>
      </c>
      <c r="N27" s="16">
        <v>3.653</v>
      </c>
      <c r="O27" s="3">
        <f>N27*1000/25.4</f>
        <v>143.81889763779529</v>
      </c>
      <c r="Q27" s="15">
        <f t="shared" si="1"/>
        <v>50.003670211982538</v>
      </c>
    </row>
    <row r="28" spans="6:23" x14ac:dyDescent="0.25">
      <c r="M28" s="7">
        <v>2</v>
      </c>
      <c r="N28" s="1">
        <f>O28*25.4/1000</f>
        <v>3.6576</v>
      </c>
      <c r="O28" s="48">
        <v>144</v>
      </c>
      <c r="Q28" s="15">
        <f t="shared" si="1"/>
        <v>49.959166811331109</v>
      </c>
    </row>
    <row r="30" spans="6:23" x14ac:dyDescent="0.25">
      <c r="F30" s="14"/>
      <c r="G30" s="13"/>
      <c r="Q30" s="7" t="s">
        <v>11</v>
      </c>
      <c r="R30" s="1"/>
      <c r="S30" s="1"/>
      <c r="T30" s="1"/>
      <c r="U30" s="1"/>
      <c r="V30" s="1"/>
      <c r="W30" s="1"/>
    </row>
    <row r="36" spans="2:2" x14ac:dyDescent="0.25">
      <c r="B36" t="s">
        <v>33</v>
      </c>
    </row>
    <row r="55" spans="2:15" x14ac:dyDescent="0.25">
      <c r="O55" t="s">
        <v>30</v>
      </c>
    </row>
    <row r="57" spans="2:15" x14ac:dyDescent="0.25">
      <c r="L57" t="s">
        <v>31</v>
      </c>
    </row>
    <row r="61" spans="2:15" x14ac:dyDescent="0.25">
      <c r="B61" t="s">
        <v>32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1:T36"/>
  <sheetViews>
    <sheetView zoomScale="115" zoomScaleNormal="115" zoomScaleSheetLayoutView="145" workbookViewId="0">
      <selection activeCell="G36" sqref="G36"/>
    </sheetView>
  </sheetViews>
  <sheetFormatPr defaultRowHeight="15" x14ac:dyDescent="0.25"/>
  <cols>
    <col min="9" max="9" width="10.7109375" style="1" customWidth="1"/>
    <col min="10" max="10" width="8.7109375" style="1" customWidth="1"/>
    <col min="11" max="11" width="7.7109375" style="1" customWidth="1"/>
    <col min="12" max="12" width="8.7109375" style="1" customWidth="1"/>
    <col min="13" max="13" width="1.7109375" customWidth="1"/>
    <col min="16" max="16" width="3.7109375" customWidth="1"/>
    <col min="17" max="17" width="9.140625" style="75"/>
  </cols>
  <sheetData>
    <row r="1" spans="9:20" x14ac:dyDescent="0.25">
      <c r="I1" s="7" t="s">
        <v>10</v>
      </c>
      <c r="J1" s="7" t="s">
        <v>9</v>
      </c>
      <c r="K1" s="7" t="s">
        <v>8</v>
      </c>
      <c r="L1" s="7" t="s">
        <v>7</v>
      </c>
      <c r="N1" s="7" t="s">
        <v>6</v>
      </c>
      <c r="O1" s="7" t="s">
        <v>5</v>
      </c>
      <c r="Q1" s="7" t="s">
        <v>78</v>
      </c>
    </row>
    <row r="2" spans="9:20" x14ac:dyDescent="0.25">
      <c r="I2" s="10">
        <f t="shared" ref="I2:I7" si="0">0.001*10^(K2/10)</f>
        <v>1E-3</v>
      </c>
      <c r="J2" s="9">
        <f t="shared" ref="J2:J8" si="1">SQRT(I2*50)</f>
        <v>0.22360679774997896</v>
      </c>
      <c r="K2" s="4">
        <v>0</v>
      </c>
      <c r="L2" s="3">
        <f t="shared" ref="L2:L7" si="2">($J$8+J2)/($J$8-J2)</f>
        <v>1.0653108640674351</v>
      </c>
      <c r="N2" s="3"/>
      <c r="Q2" s="75">
        <f>(L2-1)/(L2+1)</f>
        <v>3.1622776601683847E-2</v>
      </c>
    </row>
    <row r="3" spans="9:20" x14ac:dyDescent="0.25">
      <c r="I3" s="10">
        <f t="shared" si="0"/>
        <v>0.01</v>
      </c>
      <c r="J3" s="9">
        <f t="shared" si="1"/>
        <v>0.70710678118654757</v>
      </c>
      <c r="K3" s="4">
        <v>10</v>
      </c>
      <c r="L3" s="3">
        <f t="shared" si="2"/>
        <v>1.2222222222222223</v>
      </c>
      <c r="N3" s="3"/>
      <c r="Q3" s="75">
        <f t="shared" ref="Q3:Q18" si="3">(L3-1)/(L3+1)</f>
        <v>0.10000000000000003</v>
      </c>
      <c r="S3" t="s">
        <v>7</v>
      </c>
      <c r="T3" t="s">
        <v>79</v>
      </c>
    </row>
    <row r="4" spans="9:20" x14ac:dyDescent="0.25">
      <c r="I4" s="9">
        <f t="shared" si="0"/>
        <v>3.1622776601683805E-2</v>
      </c>
      <c r="J4" s="9">
        <f t="shared" si="1"/>
        <v>1.2574334296829357</v>
      </c>
      <c r="K4" s="4">
        <v>15</v>
      </c>
      <c r="L4" s="8">
        <f t="shared" si="2"/>
        <v>1.4325808425575166</v>
      </c>
      <c r="N4" s="3"/>
      <c r="Q4" s="9">
        <f t="shared" si="3"/>
        <v>0.17782794100389226</v>
      </c>
      <c r="S4" t="s">
        <v>80</v>
      </c>
    </row>
    <row r="5" spans="9:20" x14ac:dyDescent="0.25">
      <c r="I5" s="9">
        <f t="shared" si="0"/>
        <v>0.1</v>
      </c>
      <c r="J5" s="9">
        <f t="shared" si="1"/>
        <v>2.2360679774997898</v>
      </c>
      <c r="K5" s="4">
        <v>20</v>
      </c>
      <c r="L5" s="3">
        <f t="shared" si="2"/>
        <v>1.9249505911485287</v>
      </c>
      <c r="N5" s="3"/>
      <c r="Q5" s="9">
        <f t="shared" si="3"/>
        <v>0.31622776601683794</v>
      </c>
      <c r="S5" t="s">
        <v>81</v>
      </c>
    </row>
    <row r="6" spans="9:20" x14ac:dyDescent="0.25">
      <c r="I6" s="9">
        <f t="shared" si="0"/>
        <v>0.25118864315095807</v>
      </c>
      <c r="J6" s="9">
        <f t="shared" si="1"/>
        <v>3.5439289154197073</v>
      </c>
      <c r="K6" s="4">
        <v>24</v>
      </c>
      <c r="L6" s="12">
        <f t="shared" si="2"/>
        <v>3.0095204750744906</v>
      </c>
      <c r="N6" s="3"/>
      <c r="Q6" s="9">
        <f t="shared" si="3"/>
        <v>0.50118723362727235</v>
      </c>
      <c r="S6" t="s">
        <v>82</v>
      </c>
    </row>
    <row r="7" spans="9:20" x14ac:dyDescent="0.25">
      <c r="I7" s="9">
        <f t="shared" si="0"/>
        <v>0.50118723362727269</v>
      </c>
      <c r="J7" s="9">
        <f t="shared" si="1"/>
        <v>5.0059326485045359</v>
      </c>
      <c r="K7" s="4">
        <v>27</v>
      </c>
      <c r="L7" s="9">
        <f t="shared" si="2"/>
        <v>5.8480435928053689</v>
      </c>
      <c r="N7" s="3"/>
      <c r="Q7" s="9">
        <f t="shared" si="3"/>
        <v>0.70794578438413824</v>
      </c>
      <c r="S7" t="s">
        <v>83</v>
      </c>
    </row>
    <row r="8" spans="9:20" x14ac:dyDescent="0.25">
      <c r="I8" s="1">
        <v>1</v>
      </c>
      <c r="J8" s="5">
        <f t="shared" si="1"/>
        <v>7.0710678118654755</v>
      </c>
      <c r="K8" s="4">
        <v>30</v>
      </c>
      <c r="N8" s="3"/>
      <c r="O8" s="2"/>
      <c r="S8" t="s">
        <v>84</v>
      </c>
    </row>
    <row r="9" spans="9:20" x14ac:dyDescent="0.25">
      <c r="I9" s="10">
        <f t="shared" ref="I9:I18" si="4">J9^2 /50</f>
        <v>5.9488399762046523E-4</v>
      </c>
      <c r="J9" s="8">
        <f t="shared" ref="J9:J18" si="5">$J$8*(L9-1)/(L9+1)</f>
        <v>0.17246506858208493</v>
      </c>
      <c r="K9" s="1">
        <f t="shared" ref="K9:K18" si="6">10*LOG10(I9/0.001)</f>
        <v>-2.2556771343947011</v>
      </c>
      <c r="L9" s="11">
        <v>1.05</v>
      </c>
      <c r="N9" s="3"/>
      <c r="O9" s="2"/>
      <c r="Q9" s="3">
        <f t="shared" si="3"/>
        <v>2.439024390243905E-2</v>
      </c>
    </row>
    <row r="10" spans="9:20" x14ac:dyDescent="0.25">
      <c r="I10" s="10">
        <f t="shared" si="4"/>
        <v>2.2675736961451282E-3</v>
      </c>
      <c r="J10" s="8">
        <f t="shared" si="5"/>
        <v>0.3367175148507372</v>
      </c>
      <c r="K10" s="1">
        <f t="shared" si="6"/>
        <v>3.5556141053216219</v>
      </c>
      <c r="L10" s="4">
        <v>1.1000000000000001</v>
      </c>
      <c r="N10" s="3">
        <f t="shared" ref="N10:N19" si="7">J10*90/$J$8</f>
        <v>4.2857142857142891</v>
      </c>
      <c r="O10" s="2">
        <f t="shared" ref="O10:O19" si="8">N10-N9</f>
        <v>4.2857142857142891</v>
      </c>
      <c r="Q10" s="3">
        <f t="shared" si="3"/>
        <v>4.7619047619047658E-2</v>
      </c>
    </row>
    <row r="11" spans="9:20" x14ac:dyDescent="0.25">
      <c r="I11" s="10">
        <f t="shared" si="4"/>
        <v>9.9998200006300095E-3</v>
      </c>
      <c r="J11" s="8">
        <f t="shared" si="5"/>
        <v>0.70710041721915318</v>
      </c>
      <c r="K11" s="7">
        <f t="shared" si="6"/>
        <v>9.9999218265633054</v>
      </c>
      <c r="L11" s="6">
        <v>1.2222200000000001</v>
      </c>
      <c r="N11" s="3">
        <f t="shared" si="7"/>
        <v>8.9999189999190037</v>
      </c>
      <c r="O11" s="2">
        <f t="shared" si="8"/>
        <v>4.7142047142047145</v>
      </c>
      <c r="Q11" s="19">
        <f t="shared" si="3"/>
        <v>9.9999099999100033E-2</v>
      </c>
    </row>
    <row r="12" spans="9:20" x14ac:dyDescent="0.25">
      <c r="I12" s="9">
        <f t="shared" si="4"/>
        <v>2.7777777777777769E-2</v>
      </c>
      <c r="J12" s="8">
        <f t="shared" si="5"/>
        <v>1.178511301977579</v>
      </c>
      <c r="K12" s="1">
        <f t="shared" si="6"/>
        <v>14.436974992327125</v>
      </c>
      <c r="L12" s="4">
        <v>1.4</v>
      </c>
      <c r="N12" s="3">
        <f t="shared" si="7"/>
        <v>14.999999999999998</v>
      </c>
      <c r="O12" s="2">
        <f t="shared" si="8"/>
        <v>6.0000810000809945</v>
      </c>
      <c r="Q12" s="3">
        <f t="shared" si="3"/>
        <v>0.16666666666666663</v>
      </c>
    </row>
    <row r="13" spans="9:20" x14ac:dyDescent="0.25">
      <c r="I13" s="9">
        <f t="shared" si="4"/>
        <v>4.0000000000000008E-2</v>
      </c>
      <c r="J13" s="8">
        <f t="shared" si="5"/>
        <v>1.4142135623730951</v>
      </c>
      <c r="K13" s="1">
        <f t="shared" si="6"/>
        <v>16.020599913279625</v>
      </c>
      <c r="L13" s="4">
        <v>1.5</v>
      </c>
      <c r="N13" s="3">
        <f t="shared" si="7"/>
        <v>18</v>
      </c>
      <c r="O13" s="2">
        <f t="shared" si="8"/>
        <v>3.0000000000000018</v>
      </c>
      <c r="Q13" s="19">
        <f t="shared" si="3"/>
        <v>0.2</v>
      </c>
    </row>
    <row r="14" spans="9:20" x14ac:dyDescent="0.25">
      <c r="I14" s="9">
        <f t="shared" si="4"/>
        <v>9.9999912598370655E-2</v>
      </c>
      <c r="J14" s="8">
        <f t="shared" si="5"/>
        <v>2.2360670003196534</v>
      </c>
      <c r="K14" s="7">
        <f t="shared" si="6"/>
        <v>19.99999620419381</v>
      </c>
      <c r="L14" s="6">
        <v>1.9249499999999999</v>
      </c>
      <c r="N14" s="3">
        <f t="shared" si="7"/>
        <v>28.460486504042798</v>
      </c>
      <c r="O14" s="2">
        <f t="shared" si="8"/>
        <v>10.460486504042798</v>
      </c>
      <c r="Q14" s="3">
        <f t="shared" si="3"/>
        <v>0.31622762782269781</v>
      </c>
    </row>
    <row r="15" spans="9:20" x14ac:dyDescent="0.25">
      <c r="I15" s="9">
        <f t="shared" si="4"/>
        <v>0.18367346938775508</v>
      </c>
      <c r="J15" s="8">
        <f t="shared" si="5"/>
        <v>3.0304576336566322</v>
      </c>
      <c r="K15" s="1">
        <f t="shared" si="6"/>
        <v>22.640464294108114</v>
      </c>
      <c r="L15" s="4">
        <v>2.5</v>
      </c>
      <c r="N15" s="3">
        <f t="shared" si="7"/>
        <v>38.571428571428569</v>
      </c>
      <c r="O15" s="2">
        <f t="shared" si="8"/>
        <v>10.110942067385771</v>
      </c>
      <c r="Q15" s="3">
        <f t="shared" si="3"/>
        <v>0.42857142857142855</v>
      </c>
    </row>
    <row r="16" spans="9:20" x14ac:dyDescent="0.25">
      <c r="I16" s="1">
        <f t="shared" si="4"/>
        <v>0.25118858390798332</v>
      </c>
      <c r="J16" s="8">
        <f t="shared" si="5"/>
        <v>3.5439284975009255</v>
      </c>
      <c r="K16" s="7">
        <f t="shared" si="6"/>
        <v>23.999998975714043</v>
      </c>
      <c r="L16" s="6">
        <v>3.0095200000000002</v>
      </c>
      <c r="N16" s="3">
        <f t="shared" si="7"/>
        <v>45.106845707216827</v>
      </c>
      <c r="O16" s="2">
        <f t="shared" si="8"/>
        <v>6.5354171357882578</v>
      </c>
      <c r="Q16" s="19">
        <f t="shared" si="3"/>
        <v>0.50118717452463135</v>
      </c>
    </row>
    <row r="17" spans="9:17" x14ac:dyDescent="0.25">
      <c r="I17" s="1">
        <f t="shared" si="4"/>
        <v>0.3600000000000001</v>
      </c>
      <c r="J17" s="8">
        <f t="shared" si="5"/>
        <v>4.2426406871192857</v>
      </c>
      <c r="K17" s="1">
        <f t="shared" si="6"/>
        <v>25.563025007672874</v>
      </c>
      <c r="L17" s="4">
        <v>4</v>
      </c>
      <c r="N17" s="3">
        <f t="shared" si="7"/>
        <v>54.000000000000007</v>
      </c>
      <c r="O17" s="2">
        <f t="shared" si="8"/>
        <v>8.8931542927831799</v>
      </c>
      <c r="Q17" s="7">
        <f t="shared" si="3"/>
        <v>0.6</v>
      </c>
    </row>
    <row r="18" spans="9:17" x14ac:dyDescent="0.25">
      <c r="I18" s="9">
        <f t="shared" si="4"/>
        <v>0.50118460127522058</v>
      </c>
      <c r="J18" s="8">
        <f t="shared" si="5"/>
        <v>5.0059195023253249</v>
      </c>
      <c r="K18" s="7">
        <f t="shared" si="6"/>
        <v>26.999977189782662</v>
      </c>
      <c r="L18" s="6">
        <v>5.8479999999999999</v>
      </c>
      <c r="N18" s="3">
        <f t="shared" si="7"/>
        <v>63.714953271028037</v>
      </c>
      <c r="O18" s="2">
        <f t="shared" si="8"/>
        <v>9.7149532710280297</v>
      </c>
      <c r="Q18" s="19">
        <f t="shared" si="3"/>
        <v>0.7079439252336448</v>
      </c>
    </row>
    <row r="19" spans="9:17" x14ac:dyDescent="0.25">
      <c r="I19" s="1">
        <v>1</v>
      </c>
      <c r="J19" s="5">
        <f>SQRT(I19*50)</f>
        <v>7.0710678118654755</v>
      </c>
      <c r="K19" s="4">
        <v>30</v>
      </c>
      <c r="L19" s="1" t="s">
        <v>4</v>
      </c>
      <c r="N19" s="3">
        <f t="shared" si="7"/>
        <v>90</v>
      </c>
      <c r="O19" s="2">
        <f t="shared" si="8"/>
        <v>26.285046728971963</v>
      </c>
      <c r="Q19" s="3">
        <v>1</v>
      </c>
    </row>
    <row r="20" spans="9:17" x14ac:dyDescent="0.25">
      <c r="L20" s="1" t="s">
        <v>3</v>
      </c>
      <c r="O20" s="2">
        <v>270</v>
      </c>
    </row>
    <row r="21" spans="9:17" x14ac:dyDescent="0.25">
      <c r="J21" t="s">
        <v>2</v>
      </c>
    </row>
    <row r="22" spans="9:17" x14ac:dyDescent="0.25">
      <c r="J22"/>
    </row>
    <row r="23" spans="9:17" x14ac:dyDescent="0.25">
      <c r="J23" t="s">
        <v>1</v>
      </c>
    </row>
    <row r="24" spans="9:17" x14ac:dyDescent="0.25">
      <c r="J24" t="s">
        <v>0</v>
      </c>
    </row>
    <row r="26" spans="9:17" x14ac:dyDescent="0.25">
      <c r="I26" s="10">
        <f t="shared" ref="I26:I36" si="9">J26^2 /50</f>
        <v>0</v>
      </c>
      <c r="J26" s="8">
        <f t="shared" ref="J26:J36" si="10">$J$8*(L26-1)/(L26+1)</f>
        <v>0</v>
      </c>
      <c r="K26" s="3">
        <v>-30</v>
      </c>
      <c r="L26" s="1">
        <f>(1+Q26)/(1-Q26)</f>
        <v>1</v>
      </c>
      <c r="Q26" s="75">
        <v>0</v>
      </c>
    </row>
    <row r="27" spans="9:17" x14ac:dyDescent="0.25">
      <c r="I27" s="10">
        <f t="shared" si="9"/>
        <v>1.0000000000000007E-2</v>
      </c>
      <c r="J27" s="8">
        <f t="shared" si="10"/>
        <v>0.70710678118654779</v>
      </c>
      <c r="K27" s="3">
        <f t="shared" ref="K27:K35" si="11">10*LOG10(I27/0.001)-30</f>
        <v>-20</v>
      </c>
      <c r="L27" s="75">
        <f t="shared" ref="L27:L36" si="12">(1+Q27)/(1-Q27)</f>
        <v>1.2222222222222223</v>
      </c>
      <c r="Q27" s="75">
        <v>0.1</v>
      </c>
    </row>
    <row r="28" spans="9:17" x14ac:dyDescent="0.25">
      <c r="I28" s="10">
        <f t="shared" si="9"/>
        <v>3.9999999999999966E-2</v>
      </c>
      <c r="J28" s="8">
        <f t="shared" si="10"/>
        <v>1.4142135623730945</v>
      </c>
      <c r="K28" s="3">
        <f t="shared" si="11"/>
        <v>-13.979400086720378</v>
      </c>
      <c r="L28" s="75">
        <f t="shared" si="12"/>
        <v>1.4999999999999998</v>
      </c>
      <c r="Q28" s="75">
        <v>0.2</v>
      </c>
    </row>
    <row r="29" spans="9:17" x14ac:dyDescent="0.25">
      <c r="I29" s="10">
        <f t="shared" si="9"/>
        <v>9.0000000000000052E-2</v>
      </c>
      <c r="J29" s="8">
        <f t="shared" si="10"/>
        <v>2.1213203435596433</v>
      </c>
      <c r="K29" s="3">
        <f t="shared" si="11"/>
        <v>-10.457574905606748</v>
      </c>
      <c r="L29" s="75">
        <f t="shared" si="12"/>
        <v>1.8571428571428574</v>
      </c>
      <c r="Q29" s="75">
        <v>0.3</v>
      </c>
    </row>
    <row r="30" spans="9:17" x14ac:dyDescent="0.25">
      <c r="I30" s="10">
        <f t="shared" si="9"/>
        <v>0.16000000000000006</v>
      </c>
      <c r="J30" s="8">
        <f t="shared" si="10"/>
        <v>2.8284271247461907</v>
      </c>
      <c r="K30" s="3">
        <f t="shared" si="11"/>
        <v>-7.9588001734407499</v>
      </c>
      <c r="L30" s="75">
        <f t="shared" si="12"/>
        <v>2.3333333333333335</v>
      </c>
      <c r="Q30" s="75">
        <v>0.4</v>
      </c>
    </row>
    <row r="31" spans="9:17" x14ac:dyDescent="0.25">
      <c r="I31" s="10">
        <f t="shared" si="9"/>
        <v>0.25000000000000006</v>
      </c>
      <c r="J31" s="8">
        <f t="shared" si="10"/>
        <v>3.5355339059327378</v>
      </c>
      <c r="K31" s="3">
        <f t="shared" si="11"/>
        <v>-6.0205999132796251</v>
      </c>
      <c r="L31" s="75">
        <f t="shared" si="12"/>
        <v>3</v>
      </c>
      <c r="Q31" s="75">
        <v>0.5</v>
      </c>
    </row>
    <row r="32" spans="9:17" x14ac:dyDescent="0.25">
      <c r="I32" s="10">
        <f t="shared" si="9"/>
        <v>0.3600000000000001</v>
      </c>
      <c r="J32" s="8">
        <f t="shared" si="10"/>
        <v>4.2426406871192857</v>
      </c>
      <c r="K32" s="3">
        <f t="shared" si="11"/>
        <v>-4.4369749923271264</v>
      </c>
      <c r="L32" s="75">
        <f t="shared" si="12"/>
        <v>4</v>
      </c>
      <c r="Q32" s="75">
        <v>0.6</v>
      </c>
    </row>
    <row r="33" spans="9:17" x14ac:dyDescent="0.25">
      <c r="I33" s="10">
        <f t="shared" si="9"/>
        <v>0.48999999999999988</v>
      </c>
      <c r="J33" s="8">
        <f t="shared" si="10"/>
        <v>4.9497474683058318</v>
      </c>
      <c r="K33" s="3">
        <f t="shared" si="11"/>
        <v>-3.0980391997148651</v>
      </c>
      <c r="L33" s="75">
        <f t="shared" si="12"/>
        <v>5.6666666666666661</v>
      </c>
      <c r="Q33" s="75">
        <v>0.7</v>
      </c>
    </row>
    <row r="34" spans="9:17" x14ac:dyDescent="0.25">
      <c r="I34" s="10">
        <f t="shared" si="9"/>
        <v>0.64000000000000012</v>
      </c>
      <c r="J34" s="8">
        <f t="shared" si="10"/>
        <v>5.6568542494923806</v>
      </c>
      <c r="K34" s="3">
        <f t="shared" si="11"/>
        <v>-1.9382002601611283</v>
      </c>
      <c r="L34" s="75">
        <f t="shared" si="12"/>
        <v>9.0000000000000018</v>
      </c>
      <c r="Q34" s="75">
        <v>0.8</v>
      </c>
    </row>
    <row r="35" spans="9:17" x14ac:dyDescent="0.25">
      <c r="I35" s="10">
        <f t="shared" si="9"/>
        <v>0.81000000000000016</v>
      </c>
      <c r="J35" s="8">
        <f t="shared" si="10"/>
        <v>6.3639610306789285</v>
      </c>
      <c r="K35" s="3">
        <f t="shared" si="11"/>
        <v>-0.91514981121349948</v>
      </c>
      <c r="L35" s="75">
        <f t="shared" si="12"/>
        <v>19.000000000000004</v>
      </c>
      <c r="Q35" s="75">
        <v>0.9</v>
      </c>
    </row>
    <row r="36" spans="9:17" x14ac:dyDescent="0.25">
      <c r="I36" s="10" t="e">
        <f t="shared" si="9"/>
        <v>#DIV/0!</v>
      </c>
      <c r="J36" s="8" t="e">
        <f t="shared" si="10"/>
        <v>#DIV/0!</v>
      </c>
      <c r="K36" s="3">
        <v>0</v>
      </c>
      <c r="L36" s="75" t="e">
        <f t="shared" si="12"/>
        <v>#DIV/0!</v>
      </c>
      <c r="Q36" s="75">
        <v>1</v>
      </c>
    </row>
  </sheetData>
  <printOptions horizontalCentered="1"/>
  <pageMargins left="0.70866141732283472" right="0.70866141732283472" top="0.74803149606299213" bottom="0.74803149606299213" header="0.31496062992125984" footer="0.31496062992125984"/>
  <pageSetup paperSize="9" scale="12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Stockton</vt:lpstr>
      <vt:lpstr>PCB</vt:lpstr>
      <vt:lpstr>swr_schematic</vt:lpstr>
      <vt:lpstr>SWR_Label</vt:lpstr>
      <vt:lpstr>SWR_Label!Print_Area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2021-11-28T04:11:18Z</dcterms:modified>
</cp:coreProperties>
</file>