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7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khot_s_northeastern_edu/Documents/ALY6050 Enterprise Analytics/Evaluations/Module5/"/>
    </mc:Choice>
  </mc:AlternateContent>
  <xr:revisionPtr revIDLastSave="0" documentId="8_{C8D7354A-6D01-426F-8AF7-1776D9B47ACE}" xr6:coauthVersionLast="47" xr6:coauthVersionMax="47" xr10:uidLastSave="{00000000-0000-0000-0000-000000000000}"/>
  <bookViews>
    <workbookView xWindow="-93" yWindow="-93" windowWidth="21520" windowHeight="11586" firstSheet="3" activeTab="3" xr2:uid="{00000000-000D-0000-FFFF-FFFF00000000}"/>
  </bookViews>
  <sheets>
    <sheet name="Answer Report 1" sheetId="23" r:id="rId1"/>
    <sheet name="Sensitivity Report 1" sheetId="24" r:id="rId2"/>
    <sheet name="Limits Report 1" sheetId="25" r:id="rId3"/>
    <sheet name="Model" sheetId="1" r:id="rId4"/>
  </sheets>
  <definedNames>
    <definedName name="Cost_prices">Model!$E$10:$H$10</definedName>
    <definedName name="Generator_units">Model!$G$5</definedName>
    <definedName name="Gokart_units">Model!$F$5</definedName>
    <definedName name="Inventory_units">Model!$E$5:$H$5</definedName>
    <definedName name="Monthly_profits">Model!$E$6:$H$6</definedName>
    <definedName name="Net_monthly_profit">Model!$I$6</definedName>
    <definedName name="Pump_units">Model!$H$5</definedName>
    <definedName name="Purchasing_costs">Model!$E$13:$H$13</definedName>
    <definedName name="solver_adj" localSheetId="3" hidden="1">Model!$E$5:$H$5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Model!$I$13</definedName>
    <definedName name="solver_lhs2" localSheetId="3" hidden="1">Model!$I$14</definedName>
    <definedName name="solver_lhs3" localSheetId="3" hidden="1">Model!$I$15</definedName>
    <definedName name="solver_lhs4" localSheetId="3" hidden="1">Model!$I$16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Model!$I$6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hs1" localSheetId="3" hidden="1">Model!$K$13</definedName>
    <definedName name="solver_rhs2" localSheetId="3" hidden="1">Model!$K$14</definedName>
    <definedName name="solver_rhs3" localSheetId="3" hidden="1">Model!$K$15</definedName>
    <definedName name="solver_rhs4" localSheetId="3" hidden="1">Model!$K$16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  <definedName name="Unit_lengths">Model!$E$14:$H$14</definedName>
    <definedName name="Washer_units">Model!$E$5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 s="1"/>
  <c r="E6" i="1" s="1"/>
  <c r="K14" i="1"/>
  <c r="H14" i="1"/>
  <c r="G14" i="1"/>
  <c r="F14" i="1"/>
  <c r="E14" i="1"/>
  <c r="H10" i="1"/>
  <c r="N16" i="1"/>
  <c r="N15" i="1"/>
  <c r="I5" i="1"/>
  <c r="F8" i="1"/>
  <c r="F6" i="1" s="1"/>
  <c r="G8" i="1"/>
  <c r="G6" i="1" s="1"/>
  <c r="I15" i="1"/>
  <c r="L15" i="1" s="1"/>
  <c r="I16" i="1"/>
  <c r="L16" i="1" s="1"/>
  <c r="I14" i="1"/>
  <c r="E13" i="1" a="1"/>
  <c r="E13" i="1" s="1"/>
  <c r="H8" i="1" l="1"/>
  <c r="L14" i="1"/>
  <c r="H13" i="1"/>
  <c r="G13" i="1"/>
  <c r="F13" i="1"/>
  <c r="H6" i="1" l="1"/>
  <c r="I6" i="1" s="1"/>
  <c r="I13" i="1"/>
  <c r="L13" i="1" s="1"/>
</calcChain>
</file>

<file path=xl/sharedStrings.xml><?xml version="1.0" encoding="utf-8"?>
<sst xmlns="http://schemas.openxmlformats.org/spreadsheetml/2006/main" count="186" uniqueCount="111">
  <si>
    <t>Microsoft Excel 16.0 Answer Report</t>
  </si>
  <si>
    <t>Worksheet: [ALY6050_MOD5Project_KhotS.xlsx]Model</t>
  </si>
  <si>
    <t>Report Created: Mon, 27-Jun-22 6:46:41 PM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</si>
  <si>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</si>
  <si>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</si>
  <si>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</si>
  <si>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</si>
  <si>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3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</si>
  <si>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</si>
  <si>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</si>
  <si>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</si>
  <si>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</si>
  <si>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</si>
  <si>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</si>
  <si>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</si>
  <si>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</si>
  <si>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$I$6</t>
  </si>
  <si>
    <t>Net_monthly_profit</t>
  </si>
  <si>
    <t>Variable Cells</t>
  </si>
  <si>
    <t>Integer</t>
  </si>
  <si>
    <t>$E$5</t>
  </si>
  <si>
    <t>Washer_units</t>
  </si>
  <si>
    <t>Contin</t>
  </si>
  <si>
    <t>$F$5</t>
  </si>
  <si>
    <t>Gokart_units</t>
  </si>
  <si>
    <t>$G$5</t>
  </si>
  <si>
    <t>Generator_units</t>
  </si>
  <si>
    <t>$H$5</t>
  </si>
  <si>
    <t>Pump_units</t>
  </si>
  <si>
    <t>Constraints</t>
  </si>
  <si>
    <t>Cell Value</t>
  </si>
  <si>
    <t>Formula</t>
  </si>
  <si>
    <t>Status</t>
  </si>
  <si>
    <t>Slack</t>
  </si>
  <si>
    <t>$I$13</t>
  </si>
  <si>
    <t>Budget LHS</t>
  </si>
  <si>
    <t>$I$13&lt;=$K$13</t>
  </si>
  <si>
    <t>Binding</t>
  </si>
  <si>
    <t>$I$14</t>
  </si>
  <si>
    <t>Warehouse area in sq. ft. LHS</t>
  </si>
  <si>
    <t>$I$14&lt;=$K$14</t>
  </si>
  <si>
    <t>$I$15</t>
  </si>
  <si>
    <t>Washers + Karts ≥ 30% of total LHS</t>
  </si>
  <si>
    <t>$I$15&lt;=$K$15</t>
  </si>
  <si>
    <t>Not Binding</t>
  </si>
  <si>
    <t>$I$16</t>
  </si>
  <si>
    <t>Generators ≥ 2 Pumps LHS</t>
  </si>
  <si>
    <t>$I$16&lt;=$K$16</t>
  </si>
  <si>
    <t>Microsoft Excel 16.0 Sensitivity Report</t>
  </si>
  <si>
    <t>Final</t>
  </si>
  <si>
    <t>Reduced</t>
  </si>
  <si>
    <t>Objective</t>
  </si>
  <si>
    <t>Allowable</t>
  </si>
  <si>
    <t>Value</t>
  </si>
  <si>
    <t>Cost</t>
  </si>
  <si>
    <t>Coefficient</t>
  </si>
  <si>
    <t>Increase</t>
  </si>
  <si>
    <t>Decrease</t>
  </si>
  <si>
    <t>Shadow</t>
  </si>
  <si>
    <t>Constraint</t>
  </si>
  <si>
    <t>Price</t>
  </si>
  <si>
    <t>R.H. Side</t>
  </si>
  <si>
    <t>Microsoft Excel 16.0 Limits Report</t>
  </si>
  <si>
    <t>Report Created: Mon, 27-Jun-22 6:46:42 PM</t>
  </si>
  <si>
    <t>Variable</t>
  </si>
  <si>
    <t>Lower</t>
  </si>
  <si>
    <t>Upper</t>
  </si>
  <si>
    <t>Limit</t>
  </si>
  <si>
    <t>Result</t>
  </si>
  <si>
    <t>Product</t>
  </si>
  <si>
    <t>Model</t>
  </si>
  <si>
    <t>Quantity Type</t>
  </si>
  <si>
    <t>Quantity</t>
  </si>
  <si>
    <t>Pressure Washer</t>
  </si>
  <si>
    <t>Go-kart</t>
  </si>
  <si>
    <t>Generator</t>
  </si>
  <si>
    <t>One Water Pump</t>
  </si>
  <si>
    <t>Total</t>
  </si>
  <si>
    <t>Comment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</si>
  <si>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</si>
  <si>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</si>
  <si>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</si>
  <si>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</si>
  <si>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Decision variable</t>
  </si>
  <si>
    <t>Inventory unit/month</t>
  </si>
  <si>
    <r>
      <rPr>
        <b/>
        <sz val="11"/>
        <color theme="1"/>
        <rFont val="Calibri"/>
        <family val="2"/>
        <scheme val="minor"/>
      </rPr>
      <t>Maximise</t>
    </r>
    <r>
      <rPr>
        <sz val="11"/>
        <color theme="1"/>
        <rFont val="Calibri"/>
        <family val="2"/>
        <scheme val="minor"/>
      </rPr>
      <t>: Σ (x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* profit/unit)</t>
    </r>
  </si>
  <si>
    <t>Monthly profit</t>
  </si>
  <si>
    <t>Objective function to maximize</t>
  </si>
  <si>
    <t>(Computed)</t>
  </si>
  <si>
    <t>Profit/unit</t>
  </si>
  <si>
    <t>Profit = Selling price - Cost Price</t>
  </si>
  <si>
    <t>Parameter</t>
  </si>
  <si>
    <t>Selling price</t>
  </si>
  <si>
    <t>Cost price</t>
  </si>
  <si>
    <t>Cost of one water pump = cost of case / units per case</t>
  </si>
  <si>
    <t>Subject to:</t>
  </si>
  <si>
    <t>LHS</t>
  </si>
  <si>
    <t>RHS</t>
  </si>
  <si>
    <t>Maximum Budget</t>
  </si>
  <si>
    <t>Budget</t>
  </si>
  <si>
    <t>≤</t>
  </si>
  <si>
    <t>Available Space: Area = 82*30*5</t>
  </si>
  <si>
    <t>Warehouse area in sq. ft.</t>
  </si>
  <si>
    <t>Promotion 1: Washers + Karts</t>
  </si>
  <si>
    <t>Washers + Karts ≥ 30% of total</t>
  </si>
  <si>
    <t>Current allocation:</t>
  </si>
  <si>
    <t>Promotion 2: Generators vs. Pumps</t>
  </si>
  <si>
    <t>Generators ≥ 2 Pumps</t>
  </si>
  <si>
    <r>
      <t>Current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ratio:</t>
    </r>
  </si>
  <si>
    <t>All units non-negative</t>
  </si>
  <si>
    <t>(Included in Solver)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</si>
</sst>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/>
    <xf numFmtId="0" fontId="3" fillId="0" borderId="0" xfId="0" applyFont="1"/>
    <xf numFmtId="0" fontId="0" fillId="0" borderId="4" xfId="0" applyFill="1" applyBorder="1" applyAlignment="1"/>
    <xf numFmtId="0" fontId="6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44" fontId="0" fillId="0" borderId="4" xfId="0" applyNumberFormat="1" applyFill="1" applyBorder="1" applyAlignment="1"/>
    <xf numFmtId="2" fontId="0" fillId="0" borderId="5" xfId="0" applyNumberFormat="1" applyFill="1" applyBorder="1" applyAlignment="1"/>
    <xf numFmtId="2" fontId="0" fillId="0" borderId="4" xfId="0" applyNumberFormat="1" applyFill="1" applyBorder="1" applyAlignment="1"/>
    <xf numFmtId="44" fontId="0" fillId="0" borderId="5" xfId="0" applyNumberForma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10" xfId="0" applyBorder="1"/>
    <xf numFmtId="0" fontId="0" fillId="0" borderId="0" xfId="0" applyBorder="1"/>
    <xf numFmtId="2" fontId="0" fillId="0" borderId="0" xfId="0" applyNumberForma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/>
    <xf numFmtId="44" fontId="3" fillId="4" borderId="0" xfId="1" applyFont="1" applyFill="1" applyBorder="1" applyAlignment="1">
      <alignment horizontal="center"/>
    </xf>
    <xf numFmtId="0" fontId="5" fillId="0" borderId="0" xfId="0" applyFont="1" applyBorder="1"/>
    <xf numFmtId="44" fontId="0" fillId="0" borderId="0" xfId="1" applyNumberFormat="1" applyFont="1" applyBorder="1" applyAlignment="1"/>
    <xf numFmtId="0" fontId="0" fillId="0" borderId="11" xfId="0" applyBorder="1"/>
    <xf numFmtId="44" fontId="0" fillId="0" borderId="0" xfId="0" applyNumberFormat="1" applyBorder="1" applyAlignment="1"/>
    <xf numFmtId="44" fontId="0" fillId="0" borderId="11" xfId="0" applyNumberFormat="1" applyBorder="1" applyAlignment="1"/>
    <xf numFmtId="0" fontId="0" fillId="0" borderId="0" xfId="0" applyBorder="1" applyAlignment="1"/>
    <xf numFmtId="2" fontId="0" fillId="0" borderId="11" xfId="0" applyNumberFormat="1" applyBorder="1" applyAlignment="1"/>
    <xf numFmtId="0" fontId="5" fillId="0" borderId="13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/>
    <xf numFmtId="44" fontId="0" fillId="0" borderId="10" xfId="1" applyFont="1" applyBorder="1" applyAlignment="1">
      <alignment horizontal="center"/>
    </xf>
    <xf numFmtId="44" fontId="0" fillId="0" borderId="11" xfId="1" applyFont="1" applyBorder="1" applyAlignment="1">
      <alignment horizontal="center"/>
    </xf>
    <xf numFmtId="44" fontId="0" fillId="0" borderId="10" xfId="1" applyNumberFormat="1" applyFont="1" applyBorder="1" applyAlignment="1"/>
    <xf numFmtId="44" fontId="0" fillId="0" borderId="11" xfId="1" applyNumberFormat="1" applyFont="1" applyBorder="1" applyAlignment="1"/>
    <xf numFmtId="0" fontId="0" fillId="0" borderId="12" xfId="0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2" borderId="17" xfId="0" applyFill="1" applyBorder="1"/>
    <xf numFmtId="0" fontId="0" fillId="2" borderId="15" xfId="0" applyFill="1" applyBorder="1"/>
    <xf numFmtId="0" fontId="0" fillId="2" borderId="19" xfId="0" applyFill="1" applyBorder="1"/>
    <xf numFmtId="0" fontId="3" fillId="2" borderId="6" xfId="0" applyFont="1" applyFill="1" applyBorder="1" applyAlignment="1">
      <alignment horizontal="center" vertical="center"/>
    </xf>
    <xf numFmtId="0" fontId="0" fillId="0" borderId="21" xfId="0" applyBorder="1"/>
    <xf numFmtId="0" fontId="0" fillId="4" borderId="21" xfId="0" applyFont="1" applyFill="1" applyBorder="1" applyAlignment="1">
      <alignment horizontal="left"/>
    </xf>
    <xf numFmtId="0" fontId="3" fillId="4" borderId="21" xfId="0" applyFont="1" applyFill="1" applyBorder="1" applyAlignment="1">
      <alignment horizontal="left"/>
    </xf>
    <xf numFmtId="0" fontId="0" fillId="4" borderId="21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2" borderId="15" xfId="0" applyFont="1" applyFill="1" applyBorder="1"/>
    <xf numFmtId="2" fontId="0" fillId="0" borderId="0" xfId="0" applyNumberFormat="1"/>
    <xf numFmtId="2" fontId="0" fillId="0" borderId="0" xfId="0" applyNumberFormat="1" applyFill="1" applyBorder="1" applyAlignment="1"/>
    <xf numFmtId="0" fontId="0" fillId="0" borderId="7" xfId="0" applyBorder="1"/>
    <xf numFmtId="10" fontId="0" fillId="0" borderId="9" xfId="3" applyNumberFormat="1" applyFont="1" applyBorder="1"/>
    <xf numFmtId="2" fontId="0" fillId="0" borderId="14" xfId="0" applyNumberFormat="1" applyBorder="1"/>
    <xf numFmtId="43" fontId="0" fillId="0" borderId="5" xfId="2" applyFont="1" applyFill="1" applyBorder="1" applyAlignment="1"/>
    <xf numFmtId="43" fontId="0" fillId="0" borderId="4" xfId="2" applyFont="1" applyFill="1" applyBorder="1" applyAlignment="1"/>
    <xf numFmtId="44" fontId="0" fillId="0" borderId="10" xfId="1" applyNumberFormat="1" applyFont="1" applyFill="1" applyBorder="1" applyAlignment="1"/>
    <xf numFmtId="2" fontId="0" fillId="4" borderId="10" xfId="0" applyNumberFormat="1" applyFill="1" applyBorder="1" applyAlignment="1"/>
    <xf numFmtId="2" fontId="0" fillId="4" borderId="0" xfId="0" applyNumberFormat="1" applyFill="1" applyBorder="1" applyAlignment="1"/>
    <xf numFmtId="2" fontId="0" fillId="4" borderId="11" xfId="0" applyNumberFormat="1" applyFill="1" applyBorder="1" applyAlignment="1"/>
    <xf numFmtId="0" fontId="0" fillId="0" borderId="0" xfId="0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2448-E96B-4090-9967-FBE488F99766}">
  <dimension ref="A1:G32"/>
  <sheetViews>
    <sheetView showGridLines="0" workbookViewId="0"/>
  </sheetViews>
  <sheetFormatPr defaultRowHeight="14.45"/>
  <cols>
    <col min="1" max="1" width="2.140625" customWidth="1"/>
    <col min="2" max="2" width="5.28515625" bestFit="1" customWidth="1"/>
    <col min="3" max="3" width="28.28515625" bestFit="1" customWidth="1"/>
    <col min="4" max="5" width="12.140625" bestFit="1" customWidth="1"/>
    <col min="6" max="6" width="10" bestFit="1" customWidth="1"/>
    <col min="7" max="7" width="11.7109375" bestFit="1" customWidth="1"/>
  </cols>
  <sheetData>
    <row r="1" spans="1:5">
      <c r="A1" s="2" t="s">
        <v>0</v>
      </c>
    </row>
    <row r="2" spans="1:5">
      <c r="A2" s="2" t="s">
        <v>1</v>
      </c>
    </row>
    <row r="3" spans="1:5">
      <c r="A3" s="2" t="s">
        <v>2</v>
      </c>
    </row>
    <row r="4" spans="1:5">
      <c r="A4" s="2" t="s">
        <v>3</v>
      </c>
    </row>
    <row r="5" spans="1:5">
      <c r="A5" s="2" t="s">
        <v>4</v>
      </c>
    </row>
    <row r="6" spans="1:5">
      <c r="A6" s="2"/>
      <c r="B6" t="s">
        <v>5</v>
      </c>
    </row>
    <row r="7" spans="1:5">
      <c r="A7" s="2"/>
      <c r="B7" t="s">
        <v>6</v>
      </c>
    </row>
    <row r="8" spans="1:5">
      <c r="A8" s="2"/>
      <c r="B8" t="s">
        <v>7</v>
      </c>
    </row>
    <row r="9" spans="1:5">
      <c r="A9" s="2" t="s">
        <v>8</v>
      </c>
    </row>
    <row r="10" spans="1:5">
      <c r="B10" t="s">
        <v>9</v>
      </c>
    </row>
    <row r="11" spans="1:5">
      <c r="B11" t="s">
        <v>10</v>
      </c>
    </row>
    <row r="14" spans="1:5" ht="14.65" thickBot="1">
      <c r="A14" t="s">
        <v>11</v>
      </c>
    </row>
    <row r="15" spans="1:5" ht="14.65" thickBot="1">
      <c r="B15" s="4" t="s">
        <v>12</v>
      </c>
      <c r="C15" s="4" t="s">
        <v>13</v>
      </c>
      <c r="D15" s="4" t="s">
        <v>14</v>
      </c>
      <c r="E15" s="4" t="s">
        <v>15</v>
      </c>
    </row>
    <row r="16" spans="1:5" ht="14.65" thickBot="1">
      <c r="B16" s="3" t="s">
        <v>16</v>
      </c>
      <c r="C16" s="3" t="s">
        <v>17</v>
      </c>
      <c r="D16" s="6">
        <v>142050.70300000001</v>
      </c>
      <c r="E16" s="6">
        <v>142050.70300000001</v>
      </c>
    </row>
    <row r="19" spans="1:7" ht="14.65" thickBot="1">
      <c r="A19" t="s">
        <v>18</v>
      </c>
    </row>
    <row r="20" spans="1:7" ht="14.65" thickBot="1"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19</v>
      </c>
    </row>
    <row r="21" spans="1:7">
      <c r="B21" s="5" t="s">
        <v>20</v>
      </c>
      <c r="C21" s="5" t="s">
        <v>21</v>
      </c>
      <c r="D21" s="7">
        <v>0</v>
      </c>
      <c r="E21" s="7">
        <v>0</v>
      </c>
      <c r="F21" s="5" t="s">
        <v>22</v>
      </c>
    </row>
    <row r="22" spans="1:7">
      <c r="B22" s="5" t="s">
        <v>23</v>
      </c>
      <c r="C22" s="5" t="s">
        <v>24</v>
      </c>
      <c r="D22" s="7">
        <v>155.17906700145366</v>
      </c>
      <c r="E22" s="7">
        <v>155.17906700145366</v>
      </c>
      <c r="F22" s="5" t="s">
        <v>22</v>
      </c>
    </row>
    <row r="23" spans="1:7">
      <c r="B23" s="5" t="s">
        <v>25</v>
      </c>
      <c r="C23" s="5" t="s">
        <v>26</v>
      </c>
      <c r="D23" s="7">
        <v>237.76926126602353</v>
      </c>
      <c r="E23" s="7">
        <v>237.76926126602353</v>
      </c>
      <c r="F23" s="5" t="s">
        <v>22</v>
      </c>
    </row>
    <row r="24" spans="1:7" ht="14.65" thickBot="1">
      <c r="B24" s="3" t="s">
        <v>27</v>
      </c>
      <c r="C24" s="3" t="s">
        <v>28</v>
      </c>
      <c r="D24" s="8">
        <v>118.88463063301177</v>
      </c>
      <c r="E24" s="8">
        <v>118.88463063301177</v>
      </c>
      <c r="F24" s="3" t="s">
        <v>22</v>
      </c>
    </row>
    <row r="27" spans="1:7" ht="14.65" thickBot="1">
      <c r="A27" t="s">
        <v>29</v>
      </c>
    </row>
    <row r="28" spans="1:7" ht="14.65" thickBot="1">
      <c r="B28" s="4" t="s">
        <v>12</v>
      </c>
      <c r="C28" s="4" t="s">
        <v>13</v>
      </c>
      <c r="D28" s="4" t="s">
        <v>30</v>
      </c>
      <c r="E28" s="4" t="s">
        <v>31</v>
      </c>
      <c r="F28" s="4" t="s">
        <v>32</v>
      </c>
      <c r="G28" s="4" t="s">
        <v>33</v>
      </c>
    </row>
    <row r="29" spans="1:7">
      <c r="B29" s="5" t="s">
        <v>34</v>
      </c>
      <c r="C29" s="5" t="s">
        <v>35</v>
      </c>
      <c r="D29" s="9">
        <v>170000</v>
      </c>
      <c r="E29" s="5" t="s">
        <v>36</v>
      </c>
      <c r="F29" s="5" t="s">
        <v>37</v>
      </c>
      <c r="G29" s="5">
        <v>0</v>
      </c>
    </row>
    <row r="30" spans="1:7">
      <c r="B30" s="5" t="s">
        <v>38</v>
      </c>
      <c r="C30" s="5" t="s">
        <v>39</v>
      </c>
      <c r="D30" s="7">
        <v>12300</v>
      </c>
      <c r="E30" s="5" t="s">
        <v>40</v>
      </c>
      <c r="F30" s="5" t="s">
        <v>37</v>
      </c>
      <c r="G30" s="5">
        <v>0</v>
      </c>
    </row>
    <row r="31" spans="1:7">
      <c r="B31" s="5" t="s">
        <v>41</v>
      </c>
      <c r="C31" s="5" t="s">
        <v>42</v>
      </c>
      <c r="D31" s="7">
        <v>-1.6291793313069647</v>
      </c>
      <c r="E31" s="5" t="s">
        <v>43</v>
      </c>
      <c r="F31" s="5" t="s">
        <v>44</v>
      </c>
      <c r="G31" s="5">
        <v>1.6291793313069647</v>
      </c>
    </row>
    <row r="32" spans="1:7" ht="14.65" thickBot="1">
      <c r="B32" s="3" t="s">
        <v>45</v>
      </c>
      <c r="C32" s="3" t="s">
        <v>46</v>
      </c>
      <c r="D32" s="8">
        <v>0</v>
      </c>
      <c r="E32" s="3" t="s">
        <v>47</v>
      </c>
      <c r="F32" s="3" t="s">
        <v>37</v>
      </c>
      <c r="G3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90F-9B0C-409B-9866-401C93993B97}">
  <dimension ref="A1:H20"/>
  <sheetViews>
    <sheetView showGridLines="0" workbookViewId="0">
      <selection activeCell="G18" sqref="G18"/>
    </sheetView>
  </sheetViews>
  <sheetFormatPr defaultRowHeight="14.45"/>
  <cols>
    <col min="1" max="1" width="2.140625" customWidth="1"/>
    <col min="2" max="2" width="5.28515625" bestFit="1" customWidth="1"/>
    <col min="3" max="3" width="28.28515625" bestFit="1" customWidth="1"/>
    <col min="4" max="5" width="12.42578125" bestFit="1" customWidth="1"/>
    <col min="6" max="6" width="10.85546875" bestFit="1" customWidth="1"/>
    <col min="7" max="8" width="11.85546875" bestFit="1" customWidth="1"/>
  </cols>
  <sheetData>
    <row r="1" spans="1:8">
      <c r="A1" s="2" t="s">
        <v>48</v>
      </c>
    </row>
    <row r="2" spans="1:8">
      <c r="A2" s="2" t="s">
        <v>1</v>
      </c>
    </row>
    <row r="3" spans="1:8">
      <c r="A3" s="2" t="s">
        <v>2</v>
      </c>
    </row>
    <row r="6" spans="1:8" ht="14.65" thickBot="1">
      <c r="A6" t="s">
        <v>18</v>
      </c>
    </row>
    <row r="7" spans="1:8">
      <c r="B7" s="10"/>
      <c r="C7" s="10"/>
      <c r="D7" s="10" t="s">
        <v>49</v>
      </c>
      <c r="E7" s="10" t="s">
        <v>50</v>
      </c>
      <c r="F7" s="10" t="s">
        <v>51</v>
      </c>
      <c r="G7" s="10" t="s">
        <v>52</v>
      </c>
      <c r="H7" s="10" t="s">
        <v>52</v>
      </c>
    </row>
    <row r="8" spans="1:8" ht="14.65" thickBot="1">
      <c r="B8" s="11" t="s">
        <v>12</v>
      </c>
      <c r="C8" s="11" t="s">
        <v>13</v>
      </c>
      <c r="D8" s="11" t="s">
        <v>53</v>
      </c>
      <c r="E8" s="11" t="s">
        <v>54</v>
      </c>
      <c r="F8" s="11" t="s">
        <v>55</v>
      </c>
      <c r="G8" s="11" t="s">
        <v>56</v>
      </c>
      <c r="H8" s="11" t="s">
        <v>57</v>
      </c>
    </row>
    <row r="9" spans="1:8">
      <c r="B9" s="5" t="s">
        <v>20</v>
      </c>
      <c r="C9" s="5" t="s">
        <v>21</v>
      </c>
      <c r="D9" s="55">
        <v>0</v>
      </c>
      <c r="E9" s="55">
        <v>-110.07152372142197</v>
      </c>
      <c r="F9" s="55">
        <v>169.99</v>
      </c>
      <c r="G9" s="55">
        <v>110.07152372142197</v>
      </c>
      <c r="H9" s="5">
        <v>1E+30</v>
      </c>
    </row>
    <row r="10" spans="1:8">
      <c r="B10" s="5" t="s">
        <v>23</v>
      </c>
      <c r="C10" s="5" t="s">
        <v>24</v>
      </c>
      <c r="D10" s="55">
        <v>155.17906700145366</v>
      </c>
      <c r="E10" s="55">
        <v>0</v>
      </c>
      <c r="F10" s="55">
        <v>359.99</v>
      </c>
      <c r="G10" s="55">
        <v>205.84024390243903</v>
      </c>
      <c r="H10" s="55">
        <v>76.738785638859554</v>
      </c>
    </row>
    <row r="11" spans="1:8">
      <c r="B11" s="5" t="s">
        <v>25</v>
      </c>
      <c r="C11" s="5" t="s">
        <v>26</v>
      </c>
      <c r="D11" s="55">
        <v>237.76926126602353</v>
      </c>
      <c r="E11" s="55">
        <v>0</v>
      </c>
      <c r="F11" s="55">
        <v>290.99</v>
      </c>
      <c r="G11" s="55">
        <v>98.204905405405398</v>
      </c>
      <c r="H11" s="55">
        <v>131.86640625000001</v>
      </c>
    </row>
    <row r="12" spans="1:8" ht="14.65" thickBot="1">
      <c r="B12" s="3" t="s">
        <v>27</v>
      </c>
      <c r="C12" s="3" t="s">
        <v>28</v>
      </c>
      <c r="D12" s="56">
        <v>118.88463063301177</v>
      </c>
      <c r="E12" s="56">
        <v>0</v>
      </c>
      <c r="F12" s="56">
        <v>142.99</v>
      </c>
      <c r="G12" s="56">
        <v>196.4098108108108</v>
      </c>
      <c r="H12" s="56">
        <v>89.119657342657348</v>
      </c>
    </row>
    <row r="14" spans="1:8" ht="14.65" thickBot="1">
      <c r="A14" t="s">
        <v>29</v>
      </c>
    </row>
    <row r="15" spans="1:8">
      <c r="B15" s="10"/>
      <c r="C15" s="10"/>
      <c r="D15" s="10" t="s">
        <v>49</v>
      </c>
      <c r="E15" s="10" t="s">
        <v>58</v>
      </c>
      <c r="F15" s="10" t="s">
        <v>59</v>
      </c>
      <c r="G15" s="10" t="s">
        <v>52</v>
      </c>
      <c r="H15" s="10" t="s">
        <v>52</v>
      </c>
    </row>
    <row r="16" spans="1:8" ht="14.65" thickBot="1">
      <c r="B16" s="11" t="s">
        <v>12</v>
      </c>
      <c r="C16" s="11" t="s">
        <v>13</v>
      </c>
      <c r="D16" s="11" t="s">
        <v>53</v>
      </c>
      <c r="E16" s="11" t="s">
        <v>60</v>
      </c>
      <c r="F16" s="11" t="s">
        <v>61</v>
      </c>
      <c r="G16" s="11" t="s">
        <v>56</v>
      </c>
      <c r="H16" s="11" t="s">
        <v>57</v>
      </c>
    </row>
    <row r="17" spans="2:8">
      <c r="B17" s="5" t="s">
        <v>34</v>
      </c>
      <c r="C17" s="5" t="s">
        <v>35</v>
      </c>
      <c r="D17" s="55">
        <v>170000</v>
      </c>
      <c r="E17" s="55">
        <v>0.55764834148275411</v>
      </c>
      <c r="F17" s="55">
        <v>170000</v>
      </c>
      <c r="G17" s="55">
        <v>428.79999999999495</v>
      </c>
      <c r="H17" s="55">
        <v>56225</v>
      </c>
    </row>
    <row r="18" spans="2:8">
      <c r="B18" s="5" t="s">
        <v>38</v>
      </c>
      <c r="C18" s="5" t="s">
        <v>39</v>
      </c>
      <c r="D18" s="55">
        <v>12300</v>
      </c>
      <c r="E18" s="55">
        <v>3.8415028412845249</v>
      </c>
      <c r="F18" s="55">
        <v>12300</v>
      </c>
      <c r="G18" s="55">
        <v>6078.3783783783783</v>
      </c>
      <c r="H18" s="55">
        <v>30.946882217089708</v>
      </c>
    </row>
    <row r="19" spans="2:8">
      <c r="B19" s="5" t="s">
        <v>41</v>
      </c>
      <c r="C19" s="5" t="s">
        <v>42</v>
      </c>
      <c r="D19" s="55">
        <v>-1.6291793313069647</v>
      </c>
      <c r="E19" s="55">
        <v>0</v>
      </c>
      <c r="F19" s="55">
        <v>0</v>
      </c>
      <c r="G19" s="5">
        <v>1E+30</v>
      </c>
      <c r="H19" s="55">
        <v>1.6291793313069718</v>
      </c>
    </row>
    <row r="20" spans="2:8" ht="14.65" thickBot="1">
      <c r="B20" s="3" t="s">
        <v>45</v>
      </c>
      <c r="C20" s="3" t="s">
        <v>46</v>
      </c>
      <c r="D20" s="56">
        <v>0</v>
      </c>
      <c r="E20" s="56">
        <v>33.683391040042288</v>
      </c>
      <c r="F20" s="56">
        <v>0</v>
      </c>
      <c r="G20" s="56">
        <v>974.12019491066587</v>
      </c>
      <c r="H20" s="56">
        <v>27.916666666666327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7E36-A2B1-489F-9284-C8E4D7597BC2}">
  <dimension ref="A1:J16"/>
  <sheetViews>
    <sheetView showGridLines="0" workbookViewId="0"/>
  </sheetViews>
  <sheetFormatPr defaultRowHeight="14.45"/>
  <cols>
    <col min="1" max="1" width="2.140625" customWidth="1"/>
    <col min="2" max="2" width="5" bestFit="1" customWidth="1"/>
    <col min="3" max="3" width="16.42578125" bestFit="1" customWidth="1"/>
    <col min="4" max="4" width="11.85546875" bestFit="1" customWidth="1"/>
    <col min="5" max="5" width="2.140625" customWidth="1"/>
    <col min="6" max="6" width="6.28515625" bestFit="1" customWidth="1"/>
    <col min="7" max="7" width="9.28515625" bestFit="1" customWidth="1"/>
    <col min="8" max="8" width="2.140625" customWidth="1"/>
    <col min="9" max="9" width="6.28515625" bestFit="1" customWidth="1"/>
    <col min="10" max="10" width="9.28515625" bestFit="1" customWidth="1"/>
  </cols>
  <sheetData>
    <row r="1" spans="1:10">
      <c r="A1" s="2" t="s">
        <v>62</v>
      </c>
    </row>
    <row r="2" spans="1:10">
      <c r="A2" s="2" t="s">
        <v>1</v>
      </c>
    </row>
    <row r="3" spans="1:10">
      <c r="A3" s="2" t="s">
        <v>63</v>
      </c>
    </row>
    <row r="5" spans="1:10" ht="14.65" thickBot="1"/>
    <row r="6" spans="1:10">
      <c r="B6" s="10"/>
      <c r="C6" s="10" t="s">
        <v>51</v>
      </c>
      <c r="D6" s="10"/>
    </row>
    <row r="7" spans="1:10" ht="14.65" thickBot="1">
      <c r="B7" s="11" t="s">
        <v>12</v>
      </c>
      <c r="C7" s="11" t="s">
        <v>13</v>
      </c>
      <c r="D7" s="11" t="s">
        <v>53</v>
      </c>
    </row>
    <row r="8" spans="1:10" ht="14.65" thickBot="1">
      <c r="B8" s="3" t="s">
        <v>16</v>
      </c>
      <c r="C8" s="3" t="s">
        <v>17</v>
      </c>
      <c r="D8" s="6">
        <v>142050.70300000001</v>
      </c>
    </row>
    <row r="10" spans="1:10" ht="14.65" thickBot="1"/>
    <row r="11" spans="1:10">
      <c r="B11" s="10"/>
      <c r="C11" s="10" t="s">
        <v>64</v>
      </c>
      <c r="D11" s="10"/>
      <c r="F11" s="10" t="s">
        <v>65</v>
      </c>
      <c r="G11" s="10" t="s">
        <v>51</v>
      </c>
      <c r="I11" s="10" t="s">
        <v>66</v>
      </c>
      <c r="J11" s="10" t="s">
        <v>51</v>
      </c>
    </row>
    <row r="12" spans="1:10" ht="14.65" thickBot="1">
      <c r="B12" s="11" t="s">
        <v>12</v>
      </c>
      <c r="C12" s="11" t="s">
        <v>13</v>
      </c>
      <c r="D12" s="11" t="s">
        <v>53</v>
      </c>
      <c r="F12" s="11" t="s">
        <v>67</v>
      </c>
      <c r="G12" s="11" t="s">
        <v>68</v>
      </c>
      <c r="I12" s="11" t="s">
        <v>67</v>
      </c>
      <c r="J12" s="11" t="s">
        <v>68</v>
      </c>
    </row>
    <row r="13" spans="1:10">
      <c r="B13" s="5" t="s">
        <v>20</v>
      </c>
      <c r="C13" s="5" t="s">
        <v>21</v>
      </c>
      <c r="D13" s="7">
        <v>0</v>
      </c>
      <c r="F13" s="7">
        <v>0</v>
      </c>
      <c r="G13" s="7">
        <v>142050.70000000001</v>
      </c>
      <c r="I13" s="7">
        <v>0</v>
      </c>
      <c r="J13" s="7">
        <v>142050.70000000001</v>
      </c>
    </row>
    <row r="14" spans="1:10">
      <c r="B14" s="5" t="s">
        <v>23</v>
      </c>
      <c r="C14" s="5" t="s">
        <v>24</v>
      </c>
      <c r="D14" s="7">
        <v>155.17906700145366</v>
      </c>
      <c r="F14" s="7">
        <v>152.85166795672569</v>
      </c>
      <c r="G14" s="7">
        <v>141212.85999999999</v>
      </c>
      <c r="I14" s="7">
        <v>155.17906700145366</v>
      </c>
      <c r="J14" s="7">
        <v>142050.70000000001</v>
      </c>
    </row>
    <row r="15" spans="1:10">
      <c r="B15" s="5" t="s">
        <v>25</v>
      </c>
      <c r="C15" s="5" t="s">
        <v>26</v>
      </c>
      <c r="D15" s="7">
        <v>237.76926126602353</v>
      </c>
      <c r="F15" s="7">
        <v>237.76926126602353</v>
      </c>
      <c r="G15" s="7">
        <v>142050.70000000001</v>
      </c>
      <c r="I15" s="7">
        <v>237.76926126602353</v>
      </c>
      <c r="J15" s="7">
        <v>142050.70000000001</v>
      </c>
    </row>
    <row r="16" spans="1:10" ht="14.65" thickBot="1">
      <c r="B16" s="3" t="s">
        <v>27</v>
      </c>
      <c r="C16" s="3" t="s">
        <v>28</v>
      </c>
      <c r="D16" s="8">
        <v>118.88463063301177</v>
      </c>
      <c r="F16" s="8">
        <v>0</v>
      </c>
      <c r="G16" s="8">
        <v>125051.39</v>
      </c>
      <c r="I16" s="8">
        <v>118.8846306330117</v>
      </c>
      <c r="J16" s="8">
        <v>142050.70000000001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showGridLines="0" tabSelected="1" zoomScale="85" zoomScaleNormal="85" workbookViewId="0">
      <selection activeCell="P10" sqref="P10"/>
    </sheetView>
  </sheetViews>
  <sheetFormatPr defaultRowHeight="14.45"/>
  <cols>
    <col min="2" max="2" width="29" bestFit="1" customWidth="1"/>
    <col min="3" max="3" width="15" bestFit="1" customWidth="1"/>
    <col min="4" max="4" width="24.85546875" customWidth="1"/>
    <col min="5" max="8" width="11.85546875" bestFit="1" customWidth="1"/>
    <col min="9" max="9" width="12.7109375" customWidth="1"/>
    <col min="10" max="10" width="1.7109375" bestFit="1" customWidth="1"/>
    <col min="11" max="11" width="12.7109375" customWidth="1"/>
    <col min="12" max="12" width="11.85546875" bestFit="1" customWidth="1"/>
    <col min="13" max="13" width="15.5703125" bestFit="1" customWidth="1"/>
  </cols>
  <sheetData>
    <row r="2" spans="2:14">
      <c r="E2" s="64" t="s">
        <v>69</v>
      </c>
      <c r="F2" s="65"/>
      <c r="G2" s="65"/>
      <c r="H2" s="66"/>
    </row>
    <row r="3" spans="2:14" ht="28.9" customHeight="1">
      <c r="B3" s="42" t="s">
        <v>70</v>
      </c>
      <c r="C3" s="37" t="s">
        <v>71</v>
      </c>
      <c r="D3" s="62" t="s">
        <v>72</v>
      </c>
      <c r="E3" s="38" t="s">
        <v>73</v>
      </c>
      <c r="F3" s="37" t="s">
        <v>74</v>
      </c>
      <c r="G3" s="37" t="s">
        <v>75</v>
      </c>
      <c r="H3" s="63" t="s">
        <v>76</v>
      </c>
      <c r="I3" s="37" t="s">
        <v>77</v>
      </c>
      <c r="J3" s="69" t="s">
        <v>78</v>
      </c>
      <c r="K3" s="70"/>
      <c r="L3" s="71"/>
    </row>
    <row r="4" spans="2:14" ht="16.350000000000001">
      <c r="B4" s="43"/>
      <c r="C4" s="13"/>
      <c r="D4" s="61"/>
      <c r="E4" s="29" t="s">
        <v>79</v>
      </c>
      <c r="F4" s="14" t="s">
        <v>80</v>
      </c>
      <c r="G4" s="14" t="s">
        <v>81</v>
      </c>
      <c r="H4" s="30" t="s">
        <v>82</v>
      </c>
      <c r="I4" s="15"/>
      <c r="J4" s="67"/>
      <c r="K4" s="67"/>
      <c r="L4" s="68"/>
    </row>
    <row r="5" spans="2:14">
      <c r="B5" s="43"/>
      <c r="C5" s="16" t="s">
        <v>83</v>
      </c>
      <c r="D5" s="61" t="s">
        <v>84</v>
      </c>
      <c r="E5" s="58">
        <v>0</v>
      </c>
      <c r="F5" s="59">
        <v>155.17906700145366</v>
      </c>
      <c r="G5" s="59">
        <v>237.76926126602353</v>
      </c>
      <c r="H5" s="60">
        <v>118.88463063301177</v>
      </c>
      <c r="I5" s="17">
        <f>SUM(Inventory_units)</f>
        <v>511.83295890048896</v>
      </c>
      <c r="J5" s="67"/>
      <c r="K5" s="67"/>
      <c r="L5" s="68"/>
    </row>
    <row r="6" spans="2:14" ht="16.350000000000001">
      <c r="B6" s="44" t="s">
        <v>85</v>
      </c>
      <c r="C6" s="16" t="s">
        <v>51</v>
      </c>
      <c r="D6" s="61" t="s">
        <v>86</v>
      </c>
      <c r="E6" s="32">
        <f>E5*E8</f>
        <v>0</v>
      </c>
      <c r="F6" s="15">
        <f>F5*F8</f>
        <v>55862.912329853301</v>
      </c>
      <c r="G6" s="15">
        <f>G5*G8</f>
        <v>69188.477335800184</v>
      </c>
      <c r="H6" s="33">
        <f>H5*H8</f>
        <v>16999.313334214352</v>
      </c>
      <c r="I6" s="18">
        <f>SUM(Monthly_profits)</f>
        <v>142050.70299986785</v>
      </c>
      <c r="J6" s="67" t="s">
        <v>87</v>
      </c>
      <c r="K6" s="67"/>
      <c r="L6" s="68"/>
      <c r="M6" s="1"/>
    </row>
    <row r="7" spans="2:14">
      <c r="B7" s="43"/>
      <c r="C7" s="19"/>
      <c r="D7" s="61"/>
      <c r="E7" s="31"/>
      <c r="F7" s="17"/>
      <c r="G7" s="17"/>
      <c r="H7" s="25"/>
      <c r="I7" s="15"/>
      <c r="J7" s="67"/>
      <c r="K7" s="67"/>
      <c r="L7" s="68"/>
    </row>
    <row r="8" spans="2:14">
      <c r="B8" s="43"/>
      <c r="C8" s="16" t="s">
        <v>88</v>
      </c>
      <c r="D8" s="61" t="s">
        <v>89</v>
      </c>
      <c r="E8" s="34">
        <f>E9-E10</f>
        <v>169.99</v>
      </c>
      <c r="F8" s="20">
        <f>F9-F10</f>
        <v>359.99</v>
      </c>
      <c r="G8" s="20">
        <f>G9-G10</f>
        <v>290.99</v>
      </c>
      <c r="H8" s="35">
        <f>H9-H10</f>
        <v>142.99</v>
      </c>
      <c r="I8" s="13"/>
      <c r="J8" s="67" t="s">
        <v>90</v>
      </c>
      <c r="K8" s="67"/>
      <c r="L8" s="68"/>
    </row>
    <row r="9" spans="2:14">
      <c r="B9" s="43"/>
      <c r="C9" s="16" t="s">
        <v>91</v>
      </c>
      <c r="D9" s="61" t="s">
        <v>92</v>
      </c>
      <c r="E9" s="57">
        <f>499.99</f>
        <v>499.99</v>
      </c>
      <c r="F9" s="20">
        <v>729.99</v>
      </c>
      <c r="G9" s="20">
        <v>700.99</v>
      </c>
      <c r="H9" s="35">
        <v>269.99</v>
      </c>
      <c r="I9" s="13"/>
      <c r="J9" s="67"/>
      <c r="K9" s="67"/>
      <c r="L9" s="68"/>
    </row>
    <row r="10" spans="2:14">
      <c r="B10" s="43"/>
      <c r="C10" s="16" t="s">
        <v>91</v>
      </c>
      <c r="D10" s="61" t="s">
        <v>93</v>
      </c>
      <c r="E10" s="34">
        <v>330</v>
      </c>
      <c r="F10" s="20">
        <v>370</v>
      </c>
      <c r="G10" s="20">
        <v>410</v>
      </c>
      <c r="H10" s="35">
        <f>635/5</f>
        <v>127</v>
      </c>
      <c r="I10" s="13"/>
      <c r="J10" s="67" t="s">
        <v>94</v>
      </c>
      <c r="K10" s="67"/>
      <c r="L10" s="68"/>
    </row>
    <row r="11" spans="2:14">
      <c r="B11" s="43"/>
      <c r="C11" s="13"/>
      <c r="D11" s="13"/>
      <c r="E11" s="12"/>
      <c r="F11" s="13"/>
      <c r="G11" s="13"/>
      <c r="H11" s="21"/>
      <c r="I11" s="13"/>
      <c r="J11" s="24"/>
      <c r="K11" s="24"/>
      <c r="L11" s="21"/>
    </row>
    <row r="12" spans="2:14">
      <c r="B12" s="45" t="s">
        <v>95</v>
      </c>
      <c r="C12" s="49" t="s">
        <v>29</v>
      </c>
      <c r="D12" s="39"/>
      <c r="E12" s="40"/>
      <c r="F12" s="39"/>
      <c r="G12" s="39"/>
      <c r="H12" s="41"/>
      <c r="I12" s="37" t="s">
        <v>96</v>
      </c>
      <c r="J12" s="37"/>
      <c r="K12" s="37" t="s">
        <v>97</v>
      </c>
      <c r="L12" s="63" t="s">
        <v>33</v>
      </c>
    </row>
    <row r="13" spans="2:14">
      <c r="B13" s="46" t="s">
        <v>98</v>
      </c>
      <c r="C13" s="16" t="s">
        <v>91</v>
      </c>
      <c r="D13" s="61" t="s">
        <v>99</v>
      </c>
      <c r="E13" s="34">
        <f t="array" ref="E13:H13">Cost_prices</f>
        <v>330</v>
      </c>
      <c r="F13" s="20">
        <v>370</v>
      </c>
      <c r="G13" s="20">
        <v>410</v>
      </c>
      <c r="H13" s="35">
        <v>127</v>
      </c>
      <c r="I13" s="22">
        <f>SUMPRODUCT(Inventory_units,Purchasing_costs)</f>
        <v>170000</v>
      </c>
      <c r="J13" s="61" t="s">
        <v>100</v>
      </c>
      <c r="K13" s="20">
        <v>170000</v>
      </c>
      <c r="L13" s="23">
        <f>K13-I13</f>
        <v>0</v>
      </c>
    </row>
    <row r="14" spans="2:14">
      <c r="B14" s="46" t="s">
        <v>101</v>
      </c>
      <c r="C14" s="16" t="s">
        <v>91</v>
      </c>
      <c r="D14" s="61" t="s">
        <v>102</v>
      </c>
      <c r="E14" s="31">
        <f>5*5</f>
        <v>25</v>
      </c>
      <c r="F14" s="17">
        <f>8*5</f>
        <v>40</v>
      </c>
      <c r="G14" s="17">
        <f>5*5</f>
        <v>25</v>
      </c>
      <c r="H14" s="25">
        <f>5*5/(4*5)</f>
        <v>1.25</v>
      </c>
      <c r="I14" s="51">
        <f>SUMPRODUCT(Inventory_units,Unit_lengths)</f>
        <v>12300</v>
      </c>
      <c r="J14" s="61" t="s">
        <v>100</v>
      </c>
      <c r="K14" s="17">
        <f>82*30*5</f>
        <v>12300</v>
      </c>
      <c r="L14" s="23">
        <f>K14-I14</f>
        <v>0</v>
      </c>
    </row>
    <row r="15" spans="2:14">
      <c r="B15" s="46" t="s">
        <v>103</v>
      </c>
      <c r="C15" s="16" t="s">
        <v>88</v>
      </c>
      <c r="D15" s="61" t="s">
        <v>104</v>
      </c>
      <c r="E15" s="31">
        <v>-0.7</v>
      </c>
      <c r="F15" s="17">
        <v>-0.7</v>
      </c>
      <c r="G15" s="17">
        <v>0.3</v>
      </c>
      <c r="H15" s="25">
        <v>0.3</v>
      </c>
      <c r="I15" s="17">
        <f>SUMPRODUCT(Inventory_units,E15:H15)</f>
        <v>-1.6291793313069647</v>
      </c>
      <c r="J15" s="61" t="s">
        <v>100</v>
      </c>
      <c r="K15" s="17">
        <v>0</v>
      </c>
      <c r="L15" s="25">
        <f t="shared" ref="L15:L16" si="0">K15-I15</f>
        <v>1.6291793313069647</v>
      </c>
      <c r="M15" s="52" t="s">
        <v>105</v>
      </c>
      <c r="N15" s="53">
        <f>(Washer_units+Gokart_units)/SUM(Inventory_units)</f>
        <v>0.30318302935162039</v>
      </c>
    </row>
    <row r="16" spans="2:14" ht="16.350000000000001">
      <c r="B16" s="46" t="s">
        <v>106</v>
      </c>
      <c r="C16" s="16" t="s">
        <v>88</v>
      </c>
      <c r="D16" s="61" t="s">
        <v>107</v>
      </c>
      <c r="E16" s="31">
        <v>0</v>
      </c>
      <c r="F16" s="17">
        <v>0</v>
      </c>
      <c r="G16" s="17">
        <v>-1</v>
      </c>
      <c r="H16" s="25">
        <v>2</v>
      </c>
      <c r="I16" s="17">
        <f>SUMPRODUCT(Inventory_units,E16:H16)</f>
        <v>0</v>
      </c>
      <c r="J16" s="61" t="s">
        <v>100</v>
      </c>
      <c r="K16" s="17">
        <v>0</v>
      </c>
      <c r="L16" s="25">
        <f t="shared" si="0"/>
        <v>0</v>
      </c>
      <c r="M16" s="36" t="s">
        <v>108</v>
      </c>
      <c r="N16" s="54">
        <f>Generator_units/Pump_units</f>
        <v>2</v>
      </c>
    </row>
    <row r="17" spans="2:12">
      <c r="B17" s="47" t="s">
        <v>109</v>
      </c>
      <c r="C17" s="26"/>
      <c r="D17" s="48" t="s">
        <v>110</v>
      </c>
      <c r="E17" s="36"/>
      <c r="F17" s="27"/>
      <c r="G17" s="27"/>
      <c r="H17" s="28"/>
      <c r="I17" s="27"/>
      <c r="J17" s="27"/>
      <c r="K17" s="27"/>
      <c r="L17" s="28"/>
    </row>
    <row r="20" spans="2:12">
      <c r="F20" s="50"/>
    </row>
  </sheetData>
  <mergeCells count="9">
    <mergeCell ref="E2:H2"/>
    <mergeCell ref="J7:L7"/>
    <mergeCell ref="J8:L8"/>
    <mergeCell ref="J9:L9"/>
    <mergeCell ref="J10:L10"/>
    <mergeCell ref="J3:L3"/>
    <mergeCell ref="J6:L6"/>
    <mergeCell ref="J4:L4"/>
    <mergeCell ref="J5:L5"/>
  </mergeCells>
  <pageMargins left="0.7" right="0.7" top="0.75" bottom="0.75" header="0.3" footer="0.3"/>
  <ignoredErrors>
    <ignoredError sqref="F1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Sourabh Khot</dc:creator>
  <cp:keywords/>
  <dc:description/>
  <cp:lastModifiedBy>Sourabh Khot</cp:lastModifiedBy>
  <cp:revision/>
  <dcterms:created xsi:type="dcterms:W3CDTF">2015-06-05T18:17:20Z</dcterms:created>
  <dcterms:modified xsi:type="dcterms:W3CDTF">2023-03-13T09:29:59Z</dcterms:modified>
  <cp:category/>
  <cp:contentStatus/>
</cp:coreProperties>
</file>