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drawings/drawing6.xml" ContentType="application/vnd.openxmlformats-officedocument.drawing+xml"/>
  <Override PartName="/xl/ctrlProps/ctrlProp5.xml" ContentType="application/vnd.ms-excel.controlproperties+xml"/>
  <Override PartName="/xl/drawings/drawing7.xml" ContentType="application/vnd.openxmlformats-officedocument.drawing+xml"/>
  <Override PartName="/xl/ctrlProps/ctrlProp6.xml" ContentType="application/vnd.ms-excel.controlproperties+xml"/>
  <Override PartName="/xl/drawings/drawing8.xml" ContentType="application/vnd.openxmlformats-officedocument.drawing+xml"/>
  <Override PartName="/xl/charts/chart1.xml" ContentType="application/vnd.openxmlformats-officedocument.drawingml.chart+xml"/>
  <Override PartName="/xl/drawings/drawing9.xml" ContentType="application/vnd.openxmlformats-officedocument.drawingml.chartshapes+xml"/>
  <Override PartName="/xl/charts/chart2.xml" ContentType="application/vnd.openxmlformats-officedocument.drawingml.chart+xml"/>
  <Override PartName="/xl/drawings/drawing10.xml" ContentType="application/vnd.openxmlformats-officedocument.drawingml.chartshapes+xml"/>
  <Override PartName="/xl/charts/chart3.xml" ContentType="application/vnd.openxmlformats-officedocument.drawingml.chart+xml"/>
  <Override PartName="/xl/drawings/drawing11.xml" ContentType="application/vnd.openxmlformats-officedocument.drawingml.chartshapes+xml"/>
  <Override PartName="/xl/charts/chart4.xml" ContentType="application/vnd.openxmlformats-officedocument.drawingml.chart+xml"/>
  <Override PartName="/xl/drawings/drawing12.xml" ContentType="application/vnd.openxmlformats-officedocument.drawingml.chartshapes+xml"/>
  <Override PartName="/xl/charts/chart5.xml" ContentType="application/vnd.openxmlformats-officedocument.drawingml.chart+xml"/>
  <Override PartName="/xl/drawings/drawing13.xml" ContentType="application/vnd.openxmlformats-officedocument.drawingml.chartshapes+xml"/>
  <Override PartName="/xl/charts/chart6.xml" ContentType="application/vnd.openxmlformats-officedocument.drawingml.chart+xml"/>
  <Override PartName="/xl/drawings/drawing14.xml" ContentType="application/vnd.openxmlformats-officedocument.drawingml.chartshapes+xml"/>
  <Override PartName="/xl/drawings/drawing15.xml" ContentType="application/vnd.openxmlformats-officedocument.drawing+xml"/>
  <Override PartName="/xl/charts/chart7.xml" ContentType="application/vnd.openxmlformats-officedocument.drawingml.chart+xml"/>
  <Override PartName="/xl/drawings/drawing16.xml" ContentType="application/vnd.openxmlformats-officedocument.drawingml.chartshapes+xml"/>
  <Override PartName="/xl/charts/chart8.xml" ContentType="application/vnd.openxmlformats-officedocument.drawingml.chart+xml"/>
  <Override PartName="/xl/drawings/drawing17.xml" ContentType="application/vnd.openxmlformats-officedocument.drawingml.chartshapes+xml"/>
  <Override PartName="/xl/charts/chart9.xml" ContentType="application/vnd.openxmlformats-officedocument.drawingml.chart+xml"/>
  <Override PartName="/xl/drawings/drawing18.xml" ContentType="application/vnd.openxmlformats-officedocument.drawingml.chartshapes+xml"/>
  <Override PartName="/xl/charts/chart10.xml" ContentType="application/vnd.openxmlformats-officedocument.drawingml.chart+xml"/>
  <Override PartName="/xl/drawings/drawing19.xml" ContentType="application/vnd.openxmlformats-officedocument.drawingml.chartshapes+xml"/>
  <Override PartName="/xl/charts/chart11.xml" ContentType="application/vnd.openxmlformats-officedocument.drawingml.chart+xml"/>
  <Override PartName="/xl/drawings/drawing20.xml" ContentType="application/vnd.openxmlformats-officedocument.drawingml.chartshapes+xml"/>
  <Override PartName="/xl/charts/chart12.xml" ContentType="application/vnd.openxmlformats-officedocument.drawingml.chart+xml"/>
  <Override PartName="/xl/drawings/drawing21.xml" ContentType="application/vnd.openxmlformats-officedocument.drawingml.chartshapes+xml"/>
  <Override PartName="/xl/drawings/drawing22.xml" ContentType="application/vnd.openxmlformats-officedocument.drawing+xml"/>
  <Override PartName="/xl/charts/chart13.xml" ContentType="application/vnd.openxmlformats-officedocument.drawingml.chart+xml"/>
  <Override PartName="/xl/drawings/drawing23.xml" ContentType="application/vnd.openxmlformats-officedocument.drawingml.chartshapes+xml"/>
  <Override PartName="/xl/charts/chart14.xml" ContentType="application/vnd.openxmlformats-officedocument.drawingml.chart+xml"/>
  <Override PartName="/xl/drawings/drawing24.xml" ContentType="application/vnd.openxmlformats-officedocument.drawingml.chartshapes+xml"/>
  <Override PartName="/xl/charts/chart15.xml" ContentType="application/vnd.openxmlformats-officedocument.drawingml.chart+xml"/>
  <Override PartName="/xl/drawings/drawing25.xml" ContentType="application/vnd.openxmlformats-officedocument.drawingml.chartshapes+xml"/>
  <Override PartName="/xl/charts/chart16.xml" ContentType="application/vnd.openxmlformats-officedocument.drawingml.chart+xml"/>
  <Override PartName="/xl/drawings/drawing26.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cb8ae2282e894934" Type="http://schemas.microsoft.com/office/2006/relationships/ui/extensibility" Target="customUI/customUI.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1e449f6708734259"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0" yWindow="0" windowWidth="19200" windowHeight="11595" tabRatio="926" firstSheet="1" activeTab="14"/>
  </bookViews>
  <sheets>
    <sheet name="Instructions" sheetId="178" r:id="rId1"/>
    <sheet name="Projects" sheetId="154" r:id="rId2"/>
    <sheet name="SEI Data" sheetId="57" r:id="rId3"/>
    <sheet name="settings" sheetId="17" state="veryHidden" r:id="rId4"/>
    <sheet name="SortingSheet" sheetId="127" state="veryHidden" r:id="rId5"/>
    <sheet name="FEI Data" sheetId="60" r:id="rId6"/>
    <sheet name="FEI Wts" sheetId="281" r:id="rId7"/>
    <sheet name="SEI Wts" sheetId="282" r:id="rId8"/>
    <sheet name="SEI Wts2" sheetId="283" r:id="rId9"/>
    <sheet name="FEI Wts2" sheetId="284" r:id="rId10"/>
    <sheet name="SEI Wts3" sheetId="285" r:id="rId11"/>
    <sheet name="FEI Wts3" sheetId="286" r:id="rId12"/>
    <sheet name="SEI Rank" sheetId="287" r:id="rId13"/>
    <sheet name="FEI Rank" sheetId="288" r:id="rId14"/>
    <sheet name="IPF Matrix" sheetId="289" r:id="rId15"/>
    <sheet name="FormData" sheetId="2" state="veryHidden" r:id="rId16"/>
    <sheet name="PrioritizationData" sheetId="153" state="veryHidden" r:id="rId17"/>
  </sheets>
  <functionGroups builtInGroupCount="17"/>
  <definedNames>
    <definedName name="constrained_sol_loadings" localSheetId="6">'FEI Wts'!$J$21:$J$23</definedName>
    <definedName name="constrained_sol_loadings" localSheetId="9">'FEI Wts2'!$J$21:$J$23</definedName>
    <definedName name="constrained_sol_loadings" localSheetId="11">'FEI Wts3'!$J$21:$J$23</definedName>
    <definedName name="constrained_sol_loadings" localSheetId="7">'SEI Wts'!$J$25:$J$29</definedName>
    <definedName name="constrained_sol_loadings" localSheetId="8">'SEI Wts2'!$J$35:$J$44</definedName>
    <definedName name="constrained_sol_loadings" localSheetId="10">'SEI Wts3'!$J$35:$J$44</definedName>
    <definedName name="constrained_sol_loadings_pct" localSheetId="6">'FEI Wts'!$J$10:$J$12</definedName>
    <definedName name="constrained_sol_loadings_pct" localSheetId="9">'FEI Wts2'!$J$10:$J$12</definedName>
    <definedName name="constrained_sol_loadings_pct" localSheetId="11">'FEI Wts3'!$J$10:$J$12</definedName>
    <definedName name="constrained_sol_loadings_pct" localSheetId="7">'SEI Wts'!$J$12:$J$16</definedName>
    <definedName name="constrained_sol_loadings_pct" localSheetId="8">'SEI Wts2'!$J$17:$J$26</definedName>
    <definedName name="constrained_sol_loadings_pct" localSheetId="10">'SEI Wts3'!$J$17:$J$26</definedName>
    <definedName name="constrained_sol_loadings_scenario_1" localSheetId="6">'FEI Wts'!$G$21:$G$23</definedName>
    <definedName name="constrained_sol_loadings_scenario_1" localSheetId="9">'FEI Wts2'!$G$21:$G$23</definedName>
    <definedName name="constrained_sol_loadings_scenario_1" localSheetId="11">'FEI Wts3'!$G$21:$G$23</definedName>
    <definedName name="constrained_sol_loadings_scenario_1" localSheetId="7">'SEI Wts'!$G$25:$G$29</definedName>
    <definedName name="constrained_sol_loadings_scenario_1" localSheetId="8">'SEI Wts2'!$G$35:$G$44</definedName>
    <definedName name="constrained_sol_loadings_scenario_1" localSheetId="10">'SEI Wts3'!$G$35:$G$44</definedName>
    <definedName name="constrained_sol_loadings_scenario_1_calced" localSheetId="9">"FLAG"</definedName>
    <definedName name="constrained_sol_loadings_scenario_1_calced" localSheetId="11">"FLAG"</definedName>
    <definedName name="constrained_sol_loadings_scenario_1_calced" localSheetId="7">"FLAG"</definedName>
    <definedName name="constrained_sol_loadings_scenario_1_calced" localSheetId="8">"FLAG"</definedName>
    <definedName name="constrained_sol_loadings_scenario_1_calced" localSheetId="10">"FLAG"</definedName>
    <definedName name="constrained_sol_loadings_scenario_1_pct" localSheetId="6">'FEI Wts'!$G$10:$G$12</definedName>
    <definedName name="constrained_sol_loadings_scenario_1_pct" localSheetId="9">'FEI Wts2'!$G$10:$G$12</definedName>
    <definedName name="constrained_sol_loadings_scenario_1_pct" localSheetId="11">'FEI Wts3'!$G$10:$G$12</definedName>
    <definedName name="constrained_sol_loadings_scenario_1_pct" localSheetId="7">'SEI Wts'!$G$12:$G$16</definedName>
    <definedName name="constrained_sol_loadings_scenario_1_pct" localSheetId="8">'SEI Wts2'!$G$17:$G$26</definedName>
    <definedName name="constrained_sol_loadings_scenario_1_pct" localSheetId="10">'SEI Wts3'!$G$17:$G$26</definedName>
    <definedName name="constrained_sol_loadings_scenario_2" localSheetId="6">'FEI Wts'!$H$21:$H$23</definedName>
    <definedName name="constrained_sol_loadings_scenario_2" localSheetId="9">'FEI Wts2'!$H$21:$H$23</definedName>
    <definedName name="constrained_sol_loadings_scenario_2" localSheetId="11">'FEI Wts3'!$H$21:$H$23</definedName>
    <definedName name="constrained_sol_loadings_scenario_2" localSheetId="7">'SEI Wts'!$H$25:$H$29</definedName>
    <definedName name="constrained_sol_loadings_scenario_2" localSheetId="8">'SEI Wts2'!$H$35:$H$44</definedName>
    <definedName name="constrained_sol_loadings_scenario_2" localSheetId="10">'SEI Wts3'!$H$35:$H$44</definedName>
    <definedName name="constrained_sol_loadings_scenario_2_calced" localSheetId="11">"FLAG"</definedName>
    <definedName name="constrained_sol_loadings_scenario_2_calced" localSheetId="7">"FLAG"</definedName>
    <definedName name="constrained_sol_loadings_scenario_2_calced" localSheetId="8">"FLAG"</definedName>
    <definedName name="constrained_sol_loadings_scenario_2_calced" localSheetId="10">"FLAG"</definedName>
    <definedName name="constrained_sol_loadings_scenario_2_pct" localSheetId="6">'FEI Wts'!$H$10:$H$12</definedName>
    <definedName name="constrained_sol_loadings_scenario_2_pct" localSheetId="9">'FEI Wts2'!$H$10:$H$12</definedName>
    <definedName name="constrained_sol_loadings_scenario_2_pct" localSheetId="11">'FEI Wts3'!$H$10:$H$12</definedName>
    <definedName name="constrained_sol_loadings_scenario_2_pct" localSheetId="7">'SEI Wts'!$H$12:$H$16</definedName>
    <definedName name="constrained_sol_loadings_scenario_2_pct" localSheetId="8">'SEI Wts2'!$H$17:$H$26</definedName>
    <definedName name="constrained_sol_loadings_scenario_2_pct" localSheetId="10">'SEI Wts3'!$H$17:$H$26</definedName>
    <definedName name="constrained_sol_loadings_scenario_3" localSheetId="6">'FEI Wts'!$I$21:$I$23</definedName>
    <definedName name="constrained_sol_loadings_scenario_3" localSheetId="9">'FEI Wts2'!$I$21:$I$23</definedName>
    <definedName name="constrained_sol_loadings_scenario_3" localSheetId="11">'FEI Wts3'!$I$21:$I$23</definedName>
    <definedName name="constrained_sol_loadings_scenario_3" localSheetId="7">'SEI Wts'!$I$25:$I$29</definedName>
    <definedName name="constrained_sol_loadings_scenario_3" localSheetId="8">'SEI Wts2'!$I$35:$I$44</definedName>
    <definedName name="constrained_sol_loadings_scenario_3" localSheetId="10">'SEI Wts3'!$I$35:$I$44</definedName>
    <definedName name="constrained_sol_loadings_scenario_3_calced" localSheetId="7">"FLAG"</definedName>
    <definedName name="constrained_sol_loadings_scenario_3_calced" localSheetId="8">"FLAG"</definedName>
    <definedName name="constrained_sol_loadings_scenario_3_pct" localSheetId="6">'FEI Wts'!$I$10:$I$12</definedName>
    <definedName name="constrained_sol_loadings_scenario_3_pct" localSheetId="9">'FEI Wts2'!$I$10:$I$12</definedName>
    <definedName name="constrained_sol_loadings_scenario_3_pct" localSheetId="11">'FEI Wts3'!$I$10:$I$12</definedName>
    <definedName name="constrained_sol_loadings_scenario_3_pct" localSheetId="7">'SEI Wts'!$I$12:$I$16</definedName>
    <definedName name="constrained_sol_loadings_scenario_3_pct" localSheetId="8">'SEI Wts2'!$I$17:$I$26</definedName>
    <definedName name="constrained_sol_loadings_scenario_3_pct" localSheetId="10">'SEI Wts3'!$I$17:$I$26</definedName>
    <definedName name="constraint_func" localSheetId="6">'FEI Wts'!$L$15</definedName>
    <definedName name="constraint_func" localSheetId="9">'FEI Wts2'!$L$15</definedName>
    <definedName name="constraint_func" localSheetId="11">'FEI Wts3'!$L$15</definedName>
    <definedName name="constraint_func" localSheetId="7">'SEI Wts'!$L$17</definedName>
    <definedName name="constraint_func" localSheetId="8">'SEI Wts2'!$L$22</definedName>
    <definedName name="constraint_func" localSheetId="10">'SEI Wts3'!$L$22</definedName>
    <definedName name="CS1_0" localSheetId="13">'FEI Rank'!$C$4:$C$31</definedName>
    <definedName name="CS1_0" localSheetId="12">'SEI Rank'!$C$4:$C$31</definedName>
    <definedName name="CS1_0_loading" localSheetId="13">'FEI Rank'!$C$34</definedName>
    <definedName name="CS1_0_loading" localSheetId="12">'SEI Rank'!$C$34</definedName>
    <definedName name="CS1_0_std" localSheetId="13">'FEI Rank'!$F$4:$F$31</definedName>
    <definedName name="CS1_0_std" localSheetId="12">'SEI Rank'!$M$4:$M$31</definedName>
    <definedName name="CS1_1" localSheetId="13">'FEI Rank'!$D$4:$D$31</definedName>
    <definedName name="CS1_1" localSheetId="12">'SEI Rank'!$D$4:$D$31</definedName>
    <definedName name="CS1_1_loading" localSheetId="13">'FEI Rank'!$D$34</definedName>
    <definedName name="CS1_1_loading" localSheetId="12">'SEI Rank'!$D$34</definedName>
    <definedName name="CS1_1_std" localSheetId="13">'FEI Rank'!$G$4:$G$31</definedName>
    <definedName name="CS1_1_std" localSheetId="12">'SEI Rank'!$N$4:$N$31</definedName>
    <definedName name="CS1_2" localSheetId="13">'FEI Rank'!$E$4:$E$31</definedName>
    <definedName name="CS1_2" localSheetId="12">'SEI Rank'!$E$4:$E$31</definedName>
    <definedName name="CS1_2_loading" localSheetId="13">'FEI Rank'!$E$34</definedName>
    <definedName name="CS1_2_loading" localSheetId="12">'SEI Rank'!$E$34</definedName>
    <definedName name="CS1_2_std" localSheetId="13">'FEI Rank'!$H$4:$H$31</definedName>
    <definedName name="CS1_2_std" localSheetId="12">'SEI Rank'!$O$4:$O$31</definedName>
    <definedName name="CS1_3" localSheetId="12">'SEI Rank'!$F$4:$F$31</definedName>
    <definedName name="CS1_3_loading" localSheetId="12">'SEI Rank'!$F$34</definedName>
    <definedName name="CS1_3_std" localSheetId="12">'SEI Rank'!$P$4:$P$31</definedName>
    <definedName name="CS1_4" localSheetId="12">'SEI Rank'!$G$4:$G$31</definedName>
    <definedName name="CS1_4_loading" localSheetId="12">'SEI Rank'!$G$34</definedName>
    <definedName name="CS1_4_std" localSheetId="12">'SEI Rank'!$Q$4:$Q$31</definedName>
    <definedName name="CS1_5" localSheetId="12">'SEI Rank'!$H$4:$H$31</definedName>
    <definedName name="CS1_5_loading" localSheetId="12">'SEI Rank'!$H$34</definedName>
    <definedName name="CS1_5_std" localSheetId="12">'SEI Rank'!$R$4:$R$31</definedName>
    <definedName name="CS1_6" localSheetId="12">'SEI Rank'!$I$4:$I$31</definedName>
    <definedName name="CS1_6_loading" localSheetId="12">'SEI Rank'!$I$34</definedName>
    <definedName name="CS1_6_std" localSheetId="12">'SEI Rank'!$S$4:$S$31</definedName>
    <definedName name="CS1_7" localSheetId="12">'SEI Rank'!$J$4:$J$31</definedName>
    <definedName name="CS1_7_loading" localSheetId="12">'SEI Rank'!$J$34</definedName>
    <definedName name="CS1_7_std" localSheetId="12">'SEI Rank'!$T$4:$T$31</definedName>
    <definedName name="CS1_8" localSheetId="12">'SEI Rank'!$K$4:$K$31</definedName>
    <definedName name="CS1_8_loading" localSheetId="12">'SEI Rank'!$K$34</definedName>
    <definedName name="CS1_8_std" localSheetId="12">'SEI Rank'!$U$4:$U$31</definedName>
    <definedName name="CS1_9" localSheetId="12">'SEI Rank'!$L$4:$L$31</definedName>
    <definedName name="CS1_9_loading" localSheetId="12">'SEI Rank'!$L$34</definedName>
    <definedName name="CS1_9_std" localSheetId="12">'SEI Rank'!$V$4:$V$31</definedName>
    <definedName name="CS1_FEI_Results_1" localSheetId="14">'IPF Matrix'!$D$3:$F$30</definedName>
    <definedName name="CS1_FEI_Values_1" localSheetId="14">'IPF Matrix'!$J$3:$J$30</definedName>
    <definedName name="CS1_I" localSheetId="13">'FEI Rank'!$J$4:$J$31</definedName>
    <definedName name="CS1_I" localSheetId="12">'SEI Rank'!$X$4:$X$31</definedName>
    <definedName name="CS1_I_ALL" localSheetId="13">'FEI Rank'!$J$3:$J$31</definedName>
    <definedName name="CS1_I_ALL" localSheetId="12">'SEI Rank'!$X$3:$X$31</definedName>
    <definedName name="CS1_I_Sorted" localSheetId="13">'FEI Rank'!$M$4:$M$31</definedName>
    <definedName name="CS1_I_Sorted" localSheetId="12">'SEI Rank'!$AA$4:$AA$31</definedName>
    <definedName name="CS1_I_STD" localSheetId="13">'FEI Rank'!$I$4:$I$31</definedName>
    <definedName name="CS1_I_STD" localSheetId="12">'SEI Rank'!$W$4:$W$31</definedName>
    <definedName name="CS1_I_STD_ALL" localSheetId="13">'FEI Rank'!$I$3:$I$31</definedName>
    <definedName name="CS1_I_STD_ALL" localSheetId="12">'SEI Rank'!$W$3:$W$31</definedName>
    <definedName name="CS1_MIN_0" localSheetId="13">'FEI Rank'!$C$3</definedName>
    <definedName name="CS1_MIN_0" localSheetId="12">'SEI Rank'!$C$3</definedName>
    <definedName name="CS1_MIN_0_std" localSheetId="13">'FEI Rank'!$F$3</definedName>
    <definedName name="CS1_MIN_0_std" localSheetId="12">'SEI Rank'!$M$3</definedName>
    <definedName name="CS1_MIN_1" localSheetId="13">'FEI Rank'!$D$3</definedName>
    <definedName name="CS1_MIN_1" localSheetId="12">'SEI Rank'!$D$3</definedName>
    <definedName name="CS1_MIN_1_std" localSheetId="13">'FEI Rank'!$G$3</definedName>
    <definedName name="CS1_MIN_1_std" localSheetId="12">'SEI Rank'!$N$3</definedName>
    <definedName name="CS1_MIN_2" localSheetId="13">'FEI Rank'!$E$3</definedName>
    <definedName name="CS1_MIN_2" localSheetId="12">'SEI Rank'!$E$3</definedName>
    <definedName name="CS1_MIN_2_std" localSheetId="13">'FEI Rank'!$H$3</definedName>
    <definedName name="CS1_MIN_2_std" localSheetId="12">'SEI Rank'!$O$3</definedName>
    <definedName name="CS1_MIN_3" localSheetId="12">'SEI Rank'!$F$3</definedName>
    <definedName name="CS1_MIN_3_std" localSheetId="12">'SEI Rank'!$P$3</definedName>
    <definedName name="CS1_MIN_4" localSheetId="12">'SEI Rank'!$G$3</definedName>
    <definedName name="CS1_MIN_4_std" localSheetId="12">'SEI Rank'!$Q$3</definedName>
    <definedName name="CS1_MIN_5" localSheetId="12">'SEI Rank'!$H$3</definedName>
    <definedName name="CS1_MIN_5_std" localSheetId="12">'SEI Rank'!$R$3</definedName>
    <definedName name="CS1_MIN_6" localSheetId="12">'SEI Rank'!$I$3</definedName>
    <definedName name="CS1_MIN_6_std" localSheetId="12">'SEI Rank'!$S$3</definedName>
    <definedName name="CS1_MIN_7" localSheetId="12">'SEI Rank'!$J$3</definedName>
    <definedName name="CS1_MIN_7_std" localSheetId="12">'SEI Rank'!$T$3</definedName>
    <definedName name="CS1_MIN_8" localSheetId="12">'SEI Rank'!$K$3</definedName>
    <definedName name="CS1_MIN_8_std" localSheetId="12">'SEI Rank'!$U$3</definedName>
    <definedName name="CS1_MIN_9" localSheetId="12">'SEI Rank'!$L$3</definedName>
    <definedName name="CS1_MIN_9_std" localSheetId="12">'SEI Rank'!$V$3</definedName>
    <definedName name="CS1_MIN_I" localSheetId="13">'FEI Rank'!$J$3</definedName>
    <definedName name="CS1_MIN_I" localSheetId="12">'SEI Rank'!$X$3</definedName>
    <definedName name="CS1_MIN_I_STD" localSheetId="13">'FEI Rank'!$I$3</definedName>
    <definedName name="CS1_MIN_I_STD" localSheetId="12">'SEI Rank'!$W$3</definedName>
    <definedName name="CS1_ProjectBudgets" localSheetId="13">'FEI Rank'!$B$4:$B$31</definedName>
    <definedName name="CS1_ProjectBudgets" localSheetId="12">'SEI Rank'!$B$4:$B$31</definedName>
    <definedName name="CS1_ProjectBudgets_Sorted" localSheetId="13">'FEI Rank'!$L$4:$L$31</definedName>
    <definedName name="CS1_ProjectBudgets_Sorted" localSheetId="12">'SEI Rank'!$Z$4:$Z$31</definedName>
    <definedName name="CS1_ProjectNames" localSheetId="13">'FEI Rank'!$A$4:$A$31</definedName>
    <definedName name="CS1_ProjectNames" localSheetId="12">'SEI Rank'!$A$4:$A$31</definedName>
    <definedName name="CS1_ProjectNames_Sorted" localSheetId="13">'FEI Rank'!$K$4:$K$31</definedName>
    <definedName name="CS1_ProjectNames_Sorted" localSheetId="12">'SEI Rank'!$Y$4:$Y$31</definedName>
    <definedName name="CS1_Rankings_Results" localSheetId="13">'FEI Rank'!$K$4:$M$31</definedName>
    <definedName name="CS1_Rankings_Results" localSheetId="12">'SEI Rank'!$Y$4:$AA$31</definedName>
    <definedName name="CS2_0" localSheetId="13">'FEI Rank'!$P$4:$P$31</definedName>
    <definedName name="CS2_0" localSheetId="12">'SEI Rank'!$AD$4:$AD$31</definedName>
    <definedName name="CS2_0_loading" localSheetId="13">'FEI Rank'!$P$34</definedName>
    <definedName name="CS2_0_loading" localSheetId="12">'SEI Rank'!$AD$34</definedName>
    <definedName name="CS2_0_std" localSheetId="13">'FEI Rank'!$S$4:$S$31</definedName>
    <definedName name="CS2_0_std" localSheetId="12">'SEI Rank'!$AN$4:$AN$31</definedName>
    <definedName name="CS2_1" localSheetId="13">'FEI Rank'!$Q$4:$Q$31</definedName>
    <definedName name="CS2_1" localSheetId="12">'SEI Rank'!$AE$4:$AE$31</definedName>
    <definedName name="CS2_1_loading" localSheetId="13">'FEI Rank'!$Q$34</definedName>
    <definedName name="CS2_1_loading" localSheetId="12">'SEI Rank'!$AE$34</definedName>
    <definedName name="CS2_1_std" localSheetId="13">'FEI Rank'!$T$4:$T$31</definedName>
    <definedName name="CS2_1_std" localSheetId="12">'SEI Rank'!$AO$4:$AO$31</definedName>
    <definedName name="CS2_2" localSheetId="13">'FEI Rank'!$R$4:$R$31</definedName>
    <definedName name="CS2_2" localSheetId="12">'SEI Rank'!$AF$4:$AF$31</definedName>
    <definedName name="CS2_2_loading" localSheetId="13">'FEI Rank'!$R$34</definedName>
    <definedName name="CS2_2_loading" localSheetId="12">'SEI Rank'!$AF$34</definedName>
    <definedName name="CS2_2_std" localSheetId="13">'FEI Rank'!$U$4:$U$31</definedName>
    <definedName name="CS2_2_std" localSheetId="12">'SEI Rank'!$AP$4:$AP$31</definedName>
    <definedName name="CS2_3" localSheetId="12">'SEI Rank'!$AG$4:$AG$31</definedName>
    <definedName name="CS2_3_loading" localSheetId="12">'SEI Rank'!$AG$34</definedName>
    <definedName name="CS2_3_std" localSheetId="12">'SEI Rank'!$AQ$4:$AQ$31</definedName>
    <definedName name="CS2_4" localSheetId="12">'SEI Rank'!$AH$4:$AH$31</definedName>
    <definedName name="CS2_4_loading" localSheetId="12">'SEI Rank'!$AH$34</definedName>
    <definedName name="CS2_4_std" localSheetId="12">'SEI Rank'!$AR$4:$AR$31</definedName>
    <definedName name="CS2_5" localSheetId="12">'SEI Rank'!$AI$4:$AI$31</definedName>
    <definedName name="CS2_5_loading" localSheetId="12">'SEI Rank'!$AI$34</definedName>
    <definedName name="CS2_5_std" localSheetId="12">'SEI Rank'!$AS$4:$AS$31</definedName>
    <definedName name="CS2_6" localSheetId="12">'SEI Rank'!$AJ$4:$AJ$31</definedName>
    <definedName name="CS2_6_loading" localSheetId="12">'SEI Rank'!$AJ$34</definedName>
    <definedName name="CS2_6_std" localSheetId="12">'SEI Rank'!$AT$4:$AT$31</definedName>
    <definedName name="CS2_7" localSheetId="12">'SEI Rank'!$AK$4:$AK$31</definedName>
    <definedName name="CS2_7_loading" localSheetId="12">'SEI Rank'!$AK$34</definedName>
    <definedName name="CS2_7_std" localSheetId="12">'SEI Rank'!$AU$4:$AU$31</definedName>
    <definedName name="CS2_8" localSheetId="12">'SEI Rank'!$AL$4:$AL$31</definedName>
    <definedName name="CS2_8_loading" localSheetId="12">'SEI Rank'!$AL$34</definedName>
    <definedName name="CS2_8_std" localSheetId="12">'SEI Rank'!$AV$4:$AV$31</definedName>
    <definedName name="CS2_9" localSheetId="12">'SEI Rank'!$AM$4:$AM$31</definedName>
    <definedName name="CS2_9_loading" localSheetId="12">'SEI Rank'!$AM$34</definedName>
    <definedName name="CS2_9_std" localSheetId="12">'SEI Rank'!$AW$4:$AW$31</definedName>
    <definedName name="CS2_I" localSheetId="13">'FEI Rank'!$W$4:$W$31</definedName>
    <definedName name="CS2_I" localSheetId="12">'SEI Rank'!$AY$4:$AY$31</definedName>
    <definedName name="CS2_I_ALL" localSheetId="13">'FEI Rank'!$W$3:$W$31</definedName>
    <definedName name="CS2_I_ALL" localSheetId="12">'SEI Rank'!$AY$3:$AY$31</definedName>
    <definedName name="CS2_I_Sorted" localSheetId="13">'FEI Rank'!$Z$4:$Z$31</definedName>
    <definedName name="CS2_I_Sorted" localSheetId="12">'SEI Rank'!$BB$4:$BB$31</definedName>
    <definedName name="CS2_I_STD" localSheetId="13">'FEI Rank'!$V$4:$V$31</definedName>
    <definedName name="CS2_I_STD" localSheetId="12">'SEI Rank'!$AX$4:$AX$31</definedName>
    <definedName name="CS2_I_STD_ALL" localSheetId="13">'FEI Rank'!$V$3:$V$31</definedName>
    <definedName name="CS2_I_STD_ALL" localSheetId="12">'SEI Rank'!$AX$3:$AX$31</definedName>
    <definedName name="CS2_MIN_0" localSheetId="13">'FEI Rank'!$P$3</definedName>
    <definedName name="CS2_MIN_0" localSheetId="12">'SEI Rank'!$AD$3</definedName>
    <definedName name="CS2_MIN_0_std" localSheetId="13">'FEI Rank'!$S$3</definedName>
    <definedName name="CS2_MIN_0_std" localSheetId="12">'SEI Rank'!$AN$3</definedName>
    <definedName name="CS2_MIN_1" localSheetId="13">'FEI Rank'!$Q$3</definedName>
    <definedName name="CS2_MIN_1" localSheetId="12">'SEI Rank'!$AE$3</definedName>
    <definedName name="CS2_MIN_1_std" localSheetId="13">'FEI Rank'!$T$3</definedName>
    <definedName name="CS2_MIN_1_std" localSheetId="12">'SEI Rank'!$AO$3</definedName>
    <definedName name="CS2_MIN_2" localSheetId="13">'FEI Rank'!$R$3</definedName>
    <definedName name="CS2_MIN_2" localSheetId="12">'SEI Rank'!$AF$3</definedName>
    <definedName name="CS2_MIN_2_std" localSheetId="13">'FEI Rank'!$U$3</definedName>
    <definedName name="CS2_MIN_2_std" localSheetId="12">'SEI Rank'!$AP$3</definedName>
    <definedName name="CS2_MIN_3" localSheetId="12">'SEI Rank'!$AG$3</definedName>
    <definedName name="CS2_MIN_3_std" localSheetId="12">'SEI Rank'!$AQ$3</definedName>
    <definedName name="CS2_MIN_4" localSheetId="12">'SEI Rank'!$AH$3</definedName>
    <definedName name="CS2_MIN_4_std" localSheetId="12">'SEI Rank'!$AR$3</definedName>
    <definedName name="CS2_MIN_5" localSheetId="12">'SEI Rank'!$AI$3</definedName>
    <definedName name="CS2_MIN_5_std" localSheetId="12">'SEI Rank'!$AS$3</definedName>
    <definedName name="CS2_MIN_6" localSheetId="12">'SEI Rank'!$AJ$3</definedName>
    <definedName name="CS2_MIN_6_std" localSheetId="12">'SEI Rank'!$AT$3</definedName>
    <definedName name="CS2_MIN_7" localSheetId="12">'SEI Rank'!$AK$3</definedName>
    <definedName name="CS2_MIN_7_std" localSheetId="12">'SEI Rank'!$AU$3</definedName>
    <definedName name="CS2_MIN_8" localSheetId="12">'SEI Rank'!$AL$3</definedName>
    <definedName name="CS2_MIN_8_std" localSheetId="12">'SEI Rank'!$AV$3</definedName>
    <definedName name="CS2_MIN_9" localSheetId="12">'SEI Rank'!$AM$3</definedName>
    <definedName name="CS2_MIN_9_std" localSheetId="12">'SEI Rank'!$AW$3</definedName>
    <definedName name="CS2_MIN_I" localSheetId="13">'FEI Rank'!$W$3</definedName>
    <definedName name="CS2_MIN_I" localSheetId="12">'SEI Rank'!$AY$3</definedName>
    <definedName name="CS2_MIN_I_STD" localSheetId="13">'FEI Rank'!$V$3</definedName>
    <definedName name="CS2_MIN_I_STD" localSheetId="12">'SEI Rank'!$AX$3</definedName>
    <definedName name="CS2_ProjectBudgets" localSheetId="13">'FEI Rank'!$O$4:$O$31</definedName>
    <definedName name="CS2_ProjectBudgets" localSheetId="12">'SEI Rank'!$AC$4:$AC$31</definedName>
    <definedName name="CS2_ProjectBudgets_1" localSheetId="14">'IPF Matrix'!$H$3:$H$30</definedName>
    <definedName name="CS2_ProjectBudgets_2" localSheetId="14">'IPF Matrix'!$R$3:$R$30</definedName>
    <definedName name="CS2_ProjectBudgets_Sorted" localSheetId="13">'FEI Rank'!$Y$4:$Y$31</definedName>
    <definedName name="CS2_ProjectBudgets_Sorted" localSheetId="12">'SEI Rank'!$BA$4:$BA$31</definedName>
    <definedName name="CS2_ProjectNames" localSheetId="13">'FEI Rank'!$N$4:$N$31</definedName>
    <definedName name="CS2_ProjectNames" localSheetId="12">'SEI Rank'!$AB$4:$AB$31</definedName>
    <definedName name="CS2_ProjectNames_1" localSheetId="14">'IPF Matrix'!$G$3:$G$30</definedName>
    <definedName name="CS2_ProjectNames_2" localSheetId="14">'IPF Matrix'!$Q$3:$Q$30</definedName>
    <definedName name="CS2_ProjectNames_Sorted" localSheetId="13">'FEI Rank'!$X$4:$X$31</definedName>
    <definedName name="CS2_ProjectNames_Sorted" localSheetId="12">'SEI Rank'!$AZ$4:$AZ$31</definedName>
    <definedName name="CS2_Rankings_Results" localSheetId="13">'FEI Rank'!$X$4:$Z$31</definedName>
    <definedName name="CS2_Rankings_Results" localSheetId="12">'SEI Rank'!$AZ$4:$BB$31</definedName>
    <definedName name="CS2_SEI_Results_1" localSheetId="14">'IPF Matrix'!$A$3:$C$30</definedName>
    <definedName name="CS2_SEI_Results_2" localSheetId="14">'IPF Matrix'!$K$3:$M$30</definedName>
    <definedName name="CS2_SEI_Values_1" localSheetId="14">'IPF Matrix'!$I$3:$I$30</definedName>
    <definedName name="CS2_SEI_Values_2" localSheetId="14">'IPF Matrix'!$S$3:$S$30</definedName>
    <definedName name="curr_sol_per_exp" localSheetId="6">'FEI Wts'!$J$25</definedName>
    <definedName name="curr_sol_per_exp" localSheetId="9">'FEI Wts2'!$J$25</definedName>
    <definedName name="curr_sol_per_exp" localSheetId="11">'FEI Wts3'!$J$25</definedName>
    <definedName name="curr_sol_per_exp" localSheetId="7">'SEI Wts'!$J$31</definedName>
    <definedName name="curr_sol_per_exp" localSheetId="8">'SEI Wts2'!$J$46</definedName>
    <definedName name="curr_sol_per_exp" localSheetId="10">'SEI Wts3'!$J$46</definedName>
    <definedName name="curr_sol_per_exp_pct" localSheetId="6">'FEI Wts'!$J$14</definedName>
    <definedName name="curr_sol_per_exp_pct" localSheetId="9">'FEI Wts2'!$J$14</definedName>
    <definedName name="curr_sol_per_exp_pct" localSheetId="11">'FEI Wts3'!$J$14</definedName>
    <definedName name="curr_sol_per_exp_pct" localSheetId="7">'SEI Wts'!$J$18</definedName>
    <definedName name="curr_sol_per_exp_pct" localSheetId="8">'SEI Wts2'!$J$28</definedName>
    <definedName name="curr_sol_per_exp_pct" localSheetId="10">'SEI Wts3'!$J$28</definedName>
    <definedName name="curr_sol_ret_var" localSheetId="6">'FEI Wts'!$J$24</definedName>
    <definedName name="curr_sol_ret_var" localSheetId="9">'FEI Wts2'!$J$24</definedName>
    <definedName name="curr_sol_ret_var" localSheetId="11">'FEI Wts3'!$J$24</definedName>
    <definedName name="curr_sol_ret_var" localSheetId="7">'SEI Wts'!$J$30</definedName>
    <definedName name="curr_sol_ret_var" localSheetId="8">'SEI Wts2'!$J$45</definedName>
    <definedName name="curr_sol_ret_var" localSheetId="10">'SEI Wts3'!$J$45</definedName>
    <definedName name="curr_sol_ret_var_pct" localSheetId="6">'FEI Wts'!$J$13</definedName>
    <definedName name="curr_sol_ret_var_pct" localSheetId="9">'FEI Wts2'!$J$13</definedName>
    <definedName name="curr_sol_ret_var_pct" localSheetId="11">'FEI Wts3'!$J$13</definedName>
    <definedName name="curr_sol_ret_var_pct" localSheetId="7">'SEI Wts'!$J$17</definedName>
    <definedName name="curr_sol_ret_var_pct" localSheetId="8">'SEI Wts2'!$J$27</definedName>
    <definedName name="curr_sol_ret_var_pct" localSheetId="10">'SEI Wts3'!$J$27</definedName>
    <definedName name="DECorrelationOptSettings" localSheetId="3">settings!$B$4:$C$16</definedName>
    <definedName name="DEFactorLoadingsOptSettings" localSheetId="3">settings!$B$20:$C$32</definedName>
    <definedName name="equal_to" localSheetId="6">'FEI Wts'!$AA$9:$AA$11</definedName>
    <definedName name="equal_to" localSheetId="9">'FEI Wts2'!$AA$9:$AA$11</definedName>
    <definedName name="equal_to" localSheetId="11">'FEI Wts3'!$AA$9:$AA$11</definedName>
    <definedName name="equal_to" localSheetId="7">'SEI Wts'!$AA$11:$AA$15</definedName>
    <definedName name="equal_to" localSheetId="8">'SEI Wts2'!$AA$16:$AA$25</definedName>
    <definedName name="equal_to" localSheetId="10">'SEI Wts3'!$AA$16:$AA$25</definedName>
    <definedName name="FE_Rankings_Anchor" localSheetId="16">PrioritizationData!$B$3</definedName>
    <definedName name="FormDataAnchor" localSheetId="15">FormData!$B$11</definedName>
    <definedName name="greater_than" localSheetId="6">'FEI Wts'!$Z$9:$Z$11</definedName>
    <definedName name="greater_than" localSheetId="9">'FEI Wts2'!$Z$9:$Z$11</definedName>
    <definedName name="greater_than" localSheetId="11">'FEI Wts3'!$Z$9:$Z$11</definedName>
    <definedName name="greater_than" localSheetId="7">'SEI Wts'!$Z$11:$Z$15</definedName>
    <definedName name="greater_than" localSheetId="8">'SEI Wts2'!$Z$16:$Z$25</definedName>
    <definedName name="greater_than" localSheetId="10">'SEI Wts3'!$Z$16:$Z$25</definedName>
    <definedName name="greater_than_eq" localSheetId="6">'FEI Wts'!$Y$9:$Y$11</definedName>
    <definedName name="greater_than_eq" localSheetId="9">'FEI Wts2'!$Y$9:$Y$11</definedName>
    <definedName name="greater_than_eq" localSheetId="11">'FEI Wts3'!$Y$9:$Y$11</definedName>
    <definedName name="greater_than_eq" localSheetId="7">'SEI Wts'!$Y$11:$Y$15</definedName>
    <definedName name="greater_than_eq" localSheetId="8">'SEI Wts2'!$Y$16:$Y$25</definedName>
    <definedName name="greater_than_eq" localSheetId="10">'SEI Wts3'!$Y$16:$Y$25</definedName>
    <definedName name="gt_g_per_exp" localSheetId="6">'FEI Wts'!$E$25</definedName>
    <definedName name="gt_g_per_exp" localSheetId="9">'FEI Wts2'!$E$25</definedName>
    <definedName name="gt_g_per_exp" localSheetId="11">'FEI Wts3'!$E$25</definedName>
    <definedName name="gt_g_per_exp" localSheetId="7">'SEI Wts'!$E$31</definedName>
    <definedName name="gt_g_per_exp" localSheetId="8">'SEI Wts2'!$E$46</definedName>
    <definedName name="gt_g_per_exp" localSheetId="10">'SEI Wts3'!$E$46</definedName>
    <definedName name="gt_g_per_exp_pct" localSheetId="6">'FEI Wts'!$E$14</definedName>
    <definedName name="gt_g_per_exp_pct" localSheetId="9">'FEI Wts2'!$E$14</definedName>
    <definedName name="gt_g_per_exp_pct" localSheetId="11">'FEI Wts3'!$E$14</definedName>
    <definedName name="gt_g_per_exp_pct" localSheetId="7">'SEI Wts'!$E$18</definedName>
    <definedName name="gt_g_per_exp_pct" localSheetId="8">'SEI Wts2'!$E$28</definedName>
    <definedName name="gt_g_per_exp_pct" localSheetId="10">'SEI Wts3'!$E$28</definedName>
    <definedName name="index_name_0" localSheetId="6">"NRW"</definedName>
    <definedName name="index_name_0" localSheetId="9">"NRW"</definedName>
    <definedName name="index_name_0" localSheetId="11">"NRW"</definedName>
    <definedName name="index_name_0" localSheetId="7">"BEN_INV"</definedName>
    <definedName name="index_name_0" localSheetId="8">"BEN_INV"</definedName>
    <definedName name="index_name_0" localSheetId="10">"BEN_INV"</definedName>
    <definedName name="index_name_1" localSheetId="6">"BCR"</definedName>
    <definedName name="index_name_1" localSheetId="9">"BCR"</definedName>
    <definedName name="index_name_1" localSheetId="11">"BCR"</definedName>
    <definedName name="index_name_1" localSheetId="7">"JOB_INV"</definedName>
    <definedName name="index_name_1" localSheetId="8">"JOB_INV"</definedName>
    <definedName name="index_name_1" localSheetId="10">"JOB_INV"</definedName>
    <definedName name="index_name_2" localSheetId="6">"YIELD"</definedName>
    <definedName name="index_name_2" localSheetId="9">"YIELD"</definedName>
    <definedName name="index_name_2" localSheetId="11">"YIELD"</definedName>
    <definedName name="index_name_2" localSheetId="7">"POVERTY"</definedName>
    <definedName name="index_name_2" localSheetId="8">"POVERTY"</definedName>
    <definedName name="index_name_2" localSheetId="10">"POVERTY"</definedName>
    <definedName name="index_name_3" localSheetId="7">"SUPPLY"</definedName>
    <definedName name="index_name_3" localSheetId="8">"SUPPLY"</definedName>
    <definedName name="index_name_3" localSheetId="10">"SUPPLY"</definedName>
    <definedName name="index_name_4" localSheetId="7">"QUALITY"</definedName>
    <definedName name="index_name_4" localSheetId="8">"QUALITY"</definedName>
    <definedName name="index_name_4" localSheetId="10">"QUALITY"</definedName>
    <definedName name="index_name_5" localSheetId="8">"INV_COV"</definedName>
    <definedName name="index_name_5" localSheetId="10">"INV_COV"</definedName>
    <definedName name="index_name_6" localSheetId="8">"DISEASES"</definedName>
    <definedName name="index_name_6" localSheetId="10">"DISEASES"</definedName>
    <definedName name="index_name_7" localSheetId="8">"QUALITY2"</definedName>
    <definedName name="index_name_7" localSheetId="10">"QUALITY2"</definedName>
    <definedName name="index_name_8" localSheetId="8">"INV_COV2"</definedName>
    <definedName name="index_name_8" localSheetId="10">"INV_COV2"</definedName>
    <definedName name="index_name_9" localSheetId="8">"DISEASES2"</definedName>
    <definedName name="index_name_9" localSheetId="10">"DISEASES2"</definedName>
    <definedName name="index_range_0" localSheetId="6">'FEI Data'!$C$2:$C$29</definedName>
    <definedName name="index_range_0" localSheetId="9">'FEI Data'!$C$2:$C$29</definedName>
    <definedName name="index_range_0" localSheetId="11">'FEI Data'!$C$2:$C$29</definedName>
    <definedName name="index_range_0" localSheetId="7">'SEI Data'!$C$2:$C$29</definedName>
    <definedName name="index_range_0" localSheetId="8">'SEI Data'!$C$2:$C$29</definedName>
    <definedName name="index_range_0" localSheetId="10">'SEI Data'!$C$2:$C$29</definedName>
    <definedName name="index_range_1" localSheetId="6">'FEI Data'!$D$2:$D$29</definedName>
    <definedName name="index_range_1" localSheetId="9">'FEI Data'!$D$2:$D$29</definedName>
    <definedName name="index_range_1" localSheetId="11">'FEI Data'!$D$2:$D$29</definedName>
    <definedName name="index_range_1" localSheetId="7">'SEI Data'!$D$2:$D$29</definedName>
    <definedName name="index_range_1" localSheetId="8">'SEI Data'!$D$2:$D$29</definedName>
    <definedName name="index_range_1" localSheetId="10">'SEI Data'!$D$2:$D$29</definedName>
    <definedName name="index_range_2" localSheetId="6">'FEI Data'!$E$2:$E$29</definedName>
    <definedName name="index_range_2" localSheetId="9">'FEI Data'!$E$2:$E$29</definedName>
    <definedName name="index_range_2" localSheetId="11">'FEI Data'!$E$2:$E$29</definedName>
    <definedName name="index_range_2" localSheetId="7">'SEI Data'!$E$2:$E$29</definedName>
    <definedName name="index_range_2" localSheetId="8">'SEI Data'!$E$2:$E$29</definedName>
    <definedName name="index_range_2" localSheetId="10">'SEI Data'!$E$2:$E$29</definedName>
    <definedName name="index_range_3" localSheetId="7">'SEI Data'!$F$2:$F$29</definedName>
    <definedName name="index_range_3" localSheetId="8">'SEI Data'!$F$2:$F$29</definedName>
    <definedName name="index_range_3" localSheetId="10">'SEI Data'!$F$2:$F$29</definedName>
    <definedName name="index_range_4" localSheetId="7">'SEI Data'!$G$2:$G$29</definedName>
    <definedName name="index_range_4" localSheetId="8">'SEI Data'!$G$2:$G$29</definedName>
    <definedName name="index_range_4" localSheetId="10">'SEI Data'!$G$2:$G$29</definedName>
    <definedName name="index_range_5" localSheetId="8">'SEI Data'!$H$2:$H$29</definedName>
    <definedName name="index_range_5" localSheetId="10">'SEI Data'!$H$2:$H$29</definedName>
    <definedName name="index_range_6" localSheetId="8">'SEI Data'!$I$2:$I$29</definedName>
    <definedName name="index_range_6" localSheetId="10">'SEI Data'!$I$2:$I$29</definedName>
    <definedName name="index_range_7" localSheetId="8">'SEI Data'!$J$2:$J$29</definedName>
    <definedName name="index_range_7" localSheetId="10">'SEI Data'!$J$2:$J$29</definedName>
    <definedName name="index_range_8" localSheetId="8">'SEI Data'!$K$2:$K$29</definedName>
    <definedName name="index_range_8" localSheetId="10">'SEI Data'!$K$2:$K$29</definedName>
    <definedName name="index_range_9" localSheetId="8">'SEI Data'!$L$2:$L$29</definedName>
    <definedName name="index_range_9" localSheetId="10">'SEI Data'!$L$2:$L$29</definedName>
    <definedName name="IndicatorsSheetType" localSheetId="13">"FEI"</definedName>
    <definedName name="IndicatorsSheetType" localSheetId="12">"SEI"</definedName>
    <definedName name="IndicatorsType" localSheetId="6">"Financial"</definedName>
    <definedName name="IndicatorsType" localSheetId="9">"Financial"</definedName>
    <definedName name="IndicatorsType" localSheetId="11">"Financial"</definedName>
    <definedName name="IndicatorsType" localSheetId="7">"Social"</definedName>
    <definedName name="IndicatorsType" localSheetId="8">"Social"</definedName>
    <definedName name="IndicatorsType" localSheetId="10">"Social"</definedName>
    <definedName name="kt_gr_eq_loadings" localSheetId="6">'FEI Wts'!$D$21:$D$23</definedName>
    <definedName name="kt_gr_eq_loadings" localSheetId="9">'FEI Wts2'!$D$21:$D$23</definedName>
    <definedName name="kt_gr_eq_loadings" localSheetId="11">'FEI Wts3'!$D$21:$D$23</definedName>
    <definedName name="kt_gr_eq_loadings" localSheetId="7">'SEI Wts'!$D$25:$D$29</definedName>
    <definedName name="kt_gr_eq_loadings" localSheetId="8">'SEI Wts2'!$D$35:$D$44</definedName>
    <definedName name="kt_gr_eq_loadings" localSheetId="10">'SEI Wts3'!$D$35:$D$44</definedName>
    <definedName name="kt_gr_eq_loadings_calced" localSheetId="6">"FLAG"</definedName>
    <definedName name="kt_gr_eq_loadings_calced" localSheetId="9">"FLAG"</definedName>
    <definedName name="kt_gr_eq_loadings_calced" localSheetId="11">"FLAG"</definedName>
    <definedName name="kt_gr_eq_loadings_calced" localSheetId="7">"FLAG"</definedName>
    <definedName name="kt_gr_eq_loadings_calced" localSheetId="8">"FLAG"</definedName>
    <definedName name="kt_gr_eq_loadings_calced" localSheetId="10">"FLAG"</definedName>
    <definedName name="kt_gr_eq_loadings_pct" localSheetId="6">'FEI Wts'!$D$10:$D$12</definedName>
    <definedName name="kt_gr_eq_loadings_pct" localSheetId="9">'FEI Wts2'!$D$10:$D$12</definedName>
    <definedName name="kt_gr_eq_loadings_pct" localSheetId="11">'FEI Wts3'!$D$10:$D$12</definedName>
    <definedName name="kt_gr_eq_loadings_pct" localSheetId="7">'SEI Wts'!$D$12:$D$16</definedName>
    <definedName name="kt_gr_eq_loadings_pct" localSheetId="8">'SEI Wts2'!$D$17:$D$26</definedName>
    <definedName name="kt_gr_eq_loadings_pct" localSheetId="10">'SEI Wts3'!$D$17:$D$26</definedName>
    <definedName name="kt_gr_loadings" localSheetId="6">'FEI Wts'!$E$21:$E$23</definedName>
    <definedName name="kt_gr_loadings" localSheetId="9">'FEI Wts2'!$E$21:$E$23</definedName>
    <definedName name="kt_gr_loadings" localSheetId="11">'FEI Wts3'!$E$21:$E$23</definedName>
    <definedName name="kt_gr_loadings" localSheetId="7">'SEI Wts'!$E$25:$E$29</definedName>
    <definedName name="kt_gr_loadings" localSheetId="8">'SEI Wts2'!$E$35:$E$44</definedName>
    <definedName name="kt_gr_loadings" localSheetId="10">'SEI Wts3'!$E$35:$E$44</definedName>
    <definedName name="kt_gr_loadings_calced" localSheetId="6">"FLAG"</definedName>
    <definedName name="kt_gr_loadings_calced" localSheetId="9">"FLAG"</definedName>
    <definedName name="kt_gr_loadings_calced" localSheetId="11">"FLAG"</definedName>
    <definedName name="kt_gr_loadings_calced" localSheetId="7">"FLAG"</definedName>
    <definedName name="kt_gr_loadings_calced" localSheetId="8">"FLAG"</definedName>
    <definedName name="kt_gr_loadings_calced" localSheetId="10">"FLAG"</definedName>
    <definedName name="kt_gr_loadings_pct" localSheetId="6">'FEI Wts'!$E$10:$E$12</definedName>
    <definedName name="kt_gr_loadings_pct" localSheetId="9">'FEI Wts2'!$E$10:$E$12</definedName>
    <definedName name="kt_gr_loadings_pct" localSheetId="11">'FEI Wts3'!$E$10:$E$12</definedName>
    <definedName name="kt_gr_loadings_pct" localSheetId="7">'SEI Wts'!$E$12:$E$16</definedName>
    <definedName name="kt_gr_loadings_pct" localSheetId="8">'SEI Wts2'!$E$17:$E$26</definedName>
    <definedName name="kt_gr_loadings_pct" localSheetId="10">'SEI Wts3'!$E$17:$E$26</definedName>
    <definedName name="KTGET_0" localSheetId="13">'FEI Rank'!$AP$4:$AP$31</definedName>
    <definedName name="KTGET_0" localSheetId="12">'SEI Rank'!$CF$4:$CF$31</definedName>
    <definedName name="KTGET_0_loading" localSheetId="13">'FEI Rank'!$AP$34</definedName>
    <definedName name="KTGET_0_loading" localSheetId="12">'SEI Rank'!$CF$34</definedName>
    <definedName name="KTGET_0_std" localSheetId="13">'FEI Rank'!$AS$4:$AS$31</definedName>
    <definedName name="KTGET_0_std" localSheetId="12">'SEI Rank'!$CP$4:$CP$31</definedName>
    <definedName name="KTGET_1" localSheetId="13">'FEI Rank'!$AQ$4:$AQ$31</definedName>
    <definedName name="KTGET_1" localSheetId="12">'SEI Rank'!$CG$4:$CG$31</definedName>
    <definedName name="KTGET_1_loading" localSheetId="13">'FEI Rank'!$AQ$34</definedName>
    <definedName name="KTGET_1_loading" localSheetId="12">'SEI Rank'!$CG$34</definedName>
    <definedName name="KTGET_1_std" localSheetId="13">'FEI Rank'!$AT$4:$AT$31</definedName>
    <definedName name="KTGET_1_std" localSheetId="12">'SEI Rank'!$CQ$4:$CQ$31</definedName>
    <definedName name="KTGET_2" localSheetId="13">'FEI Rank'!$AR$4:$AR$31</definedName>
    <definedName name="KTGET_2" localSheetId="12">'SEI Rank'!$CH$4:$CH$31</definedName>
    <definedName name="KTGET_2_loading" localSheetId="13">'FEI Rank'!$AR$34</definedName>
    <definedName name="KTGET_2_loading" localSheetId="12">'SEI Rank'!$CH$34</definedName>
    <definedName name="KTGET_2_std" localSheetId="13">'FEI Rank'!$AU$4:$AU$31</definedName>
    <definedName name="KTGET_2_std" localSheetId="12">'SEI Rank'!$CR$4:$CR$31</definedName>
    <definedName name="KTGET_3" localSheetId="12">'SEI Rank'!$CI$4:$CI$31</definedName>
    <definedName name="KTGET_3_loading" localSheetId="12">'SEI Rank'!$CI$34</definedName>
    <definedName name="KTGET_3_std" localSheetId="12">'SEI Rank'!$CS$4:$CS$31</definedName>
    <definedName name="KTGET_4" localSheetId="12">'SEI Rank'!$CJ$4:$CJ$31</definedName>
    <definedName name="KTGET_4_loading" localSheetId="12">'SEI Rank'!$CJ$34</definedName>
    <definedName name="KTGET_4_std" localSheetId="12">'SEI Rank'!$CT$4:$CT$31</definedName>
    <definedName name="KTGET_5" localSheetId="12">'SEI Rank'!$CK$4:$CK$31</definedName>
    <definedName name="KTGET_5_loading" localSheetId="12">'SEI Rank'!$CK$34</definedName>
    <definedName name="KTGET_5_std" localSheetId="12">'SEI Rank'!$CU$4:$CU$31</definedName>
    <definedName name="KTGET_6" localSheetId="12">'SEI Rank'!$CL$4:$CL$31</definedName>
    <definedName name="KTGET_6_loading" localSheetId="12">'SEI Rank'!$CL$34</definedName>
    <definedName name="KTGET_6_std" localSheetId="12">'SEI Rank'!$CV$4:$CV$31</definedName>
    <definedName name="KTGET_7" localSheetId="12">'SEI Rank'!$CM$4:$CM$31</definedName>
    <definedName name="KTGET_7_loading" localSheetId="12">'SEI Rank'!$CM$34</definedName>
    <definedName name="KTGET_7_std" localSheetId="12">'SEI Rank'!$CW$4:$CW$31</definedName>
    <definedName name="KTGET_8" localSheetId="12">'SEI Rank'!$CN$4:$CN$31</definedName>
    <definedName name="KTGET_8_loading" localSheetId="12">'SEI Rank'!$CN$34</definedName>
    <definedName name="KTGET_8_std" localSheetId="12">'SEI Rank'!$CX$4:$CX$31</definedName>
    <definedName name="KTGET_9" localSheetId="12">'SEI Rank'!$CO$4:$CO$31</definedName>
    <definedName name="KTGET_9_loading" localSheetId="12">'SEI Rank'!$CO$34</definedName>
    <definedName name="KTGET_9_std" localSheetId="12">'SEI Rank'!$CY$4:$CY$31</definedName>
    <definedName name="KTGET_I" localSheetId="13">'FEI Rank'!$AW$4:$AW$31</definedName>
    <definedName name="KTGET_I" localSheetId="12">'SEI Rank'!$DA$4:$DA$31</definedName>
    <definedName name="KTGET_I_ALL" localSheetId="13">'FEI Rank'!$AW$3:$AW$31</definedName>
    <definedName name="KTGET_I_ALL" localSheetId="12">'SEI Rank'!$DA$3:$DA$31</definedName>
    <definedName name="KTGET_I_Sorted" localSheetId="13">'FEI Rank'!$AZ$4:$AZ$31</definedName>
    <definedName name="KTGET_I_Sorted" localSheetId="12">'SEI Rank'!$DD$4:$DD$31</definedName>
    <definedName name="KTGET_I_STD" localSheetId="13">'FEI Rank'!$AV$4:$AV$31</definedName>
    <definedName name="KTGET_I_STD" localSheetId="12">'SEI Rank'!$CZ$4:$CZ$31</definedName>
    <definedName name="KTGET_I_STD_ALL" localSheetId="13">'FEI Rank'!$AV$3:$AV$31</definedName>
    <definedName name="KTGET_I_STD_ALL" localSheetId="12">'SEI Rank'!$CZ$3:$CZ$31</definedName>
    <definedName name="KTGET_MIN_0" localSheetId="13">'FEI Rank'!$AP$3</definedName>
    <definedName name="KTGET_MIN_0" localSheetId="12">'SEI Rank'!$CF$3</definedName>
    <definedName name="KTGET_MIN_0_std" localSheetId="13">'FEI Rank'!$AS$3</definedName>
    <definedName name="KTGET_MIN_0_std" localSheetId="12">'SEI Rank'!$CP$3</definedName>
    <definedName name="KTGET_MIN_1" localSheetId="13">'FEI Rank'!$AQ$3</definedName>
    <definedName name="KTGET_MIN_1" localSheetId="12">'SEI Rank'!$CG$3</definedName>
    <definedName name="KTGET_MIN_1_std" localSheetId="13">'FEI Rank'!$AT$3</definedName>
    <definedName name="KTGET_MIN_1_std" localSheetId="12">'SEI Rank'!$CQ$3</definedName>
    <definedName name="KTGET_MIN_2" localSheetId="13">'FEI Rank'!$AR$3</definedName>
    <definedName name="KTGET_MIN_2" localSheetId="12">'SEI Rank'!$CH$3</definedName>
    <definedName name="KTGET_MIN_2_std" localSheetId="13">'FEI Rank'!$AU$3</definedName>
    <definedName name="KTGET_MIN_2_std" localSheetId="12">'SEI Rank'!$CR$3</definedName>
    <definedName name="KTGET_MIN_3" localSheetId="12">'SEI Rank'!$CI$3</definedName>
    <definedName name="KTGET_MIN_3_std" localSheetId="12">'SEI Rank'!$CS$3</definedName>
    <definedName name="KTGET_MIN_4" localSheetId="12">'SEI Rank'!$CJ$3</definedName>
    <definedName name="KTGET_MIN_4_std" localSheetId="12">'SEI Rank'!$CT$3</definedName>
    <definedName name="KTGET_MIN_5" localSheetId="12">'SEI Rank'!$CK$3</definedName>
    <definedName name="KTGET_MIN_5_std" localSheetId="12">'SEI Rank'!$CU$3</definedName>
    <definedName name="KTGET_MIN_6" localSheetId="12">'SEI Rank'!$CL$3</definedName>
    <definedName name="KTGET_MIN_6_std" localSheetId="12">'SEI Rank'!$CV$3</definedName>
    <definedName name="KTGET_MIN_7" localSheetId="12">'SEI Rank'!$CM$3</definedName>
    <definedName name="KTGET_MIN_7_std" localSheetId="12">'SEI Rank'!$CW$3</definedName>
    <definedName name="KTGET_MIN_8" localSheetId="12">'SEI Rank'!$CN$3</definedName>
    <definedName name="KTGET_MIN_8_std" localSheetId="12">'SEI Rank'!$CX$3</definedName>
    <definedName name="KTGET_MIN_9" localSheetId="12">'SEI Rank'!$CO$3</definedName>
    <definedName name="KTGET_MIN_9_std" localSheetId="12">'SEI Rank'!$CY$3</definedName>
    <definedName name="KTGET_MIN_I" localSheetId="13">'FEI Rank'!$AW$3</definedName>
    <definedName name="KTGET_MIN_I" localSheetId="12">'SEI Rank'!$DA$3</definedName>
    <definedName name="KTGET_MIN_I_STD" localSheetId="13">'FEI Rank'!$AV$3</definedName>
    <definedName name="KTGET_MIN_I_STD" localSheetId="12">'SEI Rank'!$CZ$3</definedName>
    <definedName name="KTGET_ProjectBudgets" localSheetId="13">'FEI Rank'!$AO$4:$AO$31</definedName>
    <definedName name="KTGET_ProjectBudgets" localSheetId="12">'SEI Rank'!$CE$4:$CE$31</definedName>
    <definedName name="KTGET_ProjectBudgets_3" localSheetId="14">'IPF Matrix'!$AB$3:$AB$30</definedName>
    <definedName name="KTGET_ProjectBudgets_4" localSheetId="14">'IPF Matrix'!$AL$3:$AL$30</definedName>
    <definedName name="KTGET_ProjectBudgets_Sorted" localSheetId="13">'FEI Rank'!$AY$4:$AY$31</definedName>
    <definedName name="KTGET_ProjectBudgets_Sorted" localSheetId="12">'SEI Rank'!$DC$4:$DC$31</definedName>
    <definedName name="KTGET_ProjectNames" localSheetId="13">'FEI Rank'!$AN$4:$AN$31</definedName>
    <definedName name="KTGET_ProjectNames" localSheetId="12">'SEI Rank'!$CD$4:$CD$31</definedName>
    <definedName name="KTGET_ProjectNames_3" localSheetId="14">'IPF Matrix'!$AA$3:$AA$30</definedName>
    <definedName name="KTGET_ProjectNames_4" localSheetId="14">'IPF Matrix'!$AK$3:$AK$30</definedName>
    <definedName name="KTGET_ProjectNames_Sorted" localSheetId="13">'FEI Rank'!$AX$4:$AX$31</definedName>
    <definedName name="KTGET_ProjectNames_Sorted" localSheetId="12">'SEI Rank'!$DB$4:$DB$31</definedName>
    <definedName name="KTGET_Rankings_Results" localSheetId="13">'FEI Rank'!$AX$4:$AZ$31</definedName>
    <definedName name="KTGET_Rankings_Results" localSheetId="12">'SEI Rank'!$DB$4:$DD$31</definedName>
    <definedName name="KTGET_SEI_Results_3" localSheetId="14">'IPF Matrix'!$U$3:$W$30</definedName>
    <definedName name="KTGET_SEI_Results_4" localSheetId="14">'IPF Matrix'!$AE$3:$AG$30</definedName>
    <definedName name="KTGET_SEI_Values_3" localSheetId="14">'IPF Matrix'!$AC$3:$AC$30</definedName>
    <definedName name="KTGET_SEI_Values_4" localSheetId="14">'IPF Matrix'!$AM$3:$AM$30</definedName>
    <definedName name="KTGT_0" localSheetId="13">'FEI Rank'!$BC$4:$BC$31</definedName>
    <definedName name="KTGT_0" localSheetId="12">'SEI Rank'!$DG$4:$DG$31</definedName>
    <definedName name="KTGT_0_loading" localSheetId="13">'FEI Rank'!$BC$34</definedName>
    <definedName name="KTGT_0_loading" localSheetId="12">'SEI Rank'!$DG$34</definedName>
    <definedName name="KTGT_0_std" localSheetId="13">'FEI Rank'!$BF$4:$BF$31</definedName>
    <definedName name="KTGT_0_std" localSheetId="12">'SEI Rank'!$DQ$4:$DQ$31</definedName>
    <definedName name="KTGT_1" localSheetId="13">'FEI Rank'!$BD$4:$BD$31</definedName>
    <definedName name="KTGT_1" localSheetId="12">'SEI Rank'!$DH$4:$DH$31</definedName>
    <definedName name="KTGT_1_loading" localSheetId="13">'FEI Rank'!$BD$34</definedName>
    <definedName name="KTGT_1_loading" localSheetId="12">'SEI Rank'!$DH$34</definedName>
    <definedName name="KTGT_1_std" localSheetId="13">'FEI Rank'!$BG$4:$BG$31</definedName>
    <definedName name="KTGT_1_std" localSheetId="12">'SEI Rank'!$DR$4:$DR$31</definedName>
    <definedName name="KTGT_2" localSheetId="13">'FEI Rank'!$BE$4:$BE$31</definedName>
    <definedName name="KTGT_2" localSheetId="12">'SEI Rank'!$DI$4:$DI$31</definedName>
    <definedName name="KTGT_2_loading" localSheetId="13">'FEI Rank'!$BE$34</definedName>
    <definedName name="KTGT_2_loading" localSheetId="12">'SEI Rank'!$DI$34</definedName>
    <definedName name="KTGT_2_std" localSheetId="13">'FEI Rank'!$BH$4:$BH$31</definedName>
    <definedName name="KTGT_2_std" localSheetId="12">'SEI Rank'!$DS$4:$DS$31</definedName>
    <definedName name="KTGT_3" localSheetId="12">'SEI Rank'!$DJ$4:$DJ$31</definedName>
    <definedName name="KTGT_3_loading" localSheetId="12">'SEI Rank'!$DJ$34</definedName>
    <definedName name="KTGT_3_std" localSheetId="12">'SEI Rank'!$DT$4:$DT$31</definedName>
    <definedName name="KTGT_4" localSheetId="12">'SEI Rank'!$DK$4:$DK$31</definedName>
    <definedName name="KTGT_4_loading" localSheetId="12">'SEI Rank'!$DK$34</definedName>
    <definedName name="KTGT_4_std" localSheetId="12">'SEI Rank'!$DU$4:$DU$31</definedName>
    <definedName name="KTGT_5" localSheetId="12">'SEI Rank'!$DL$4:$DL$31</definedName>
    <definedName name="KTGT_5_loading" localSheetId="12">'SEI Rank'!$DL$34</definedName>
    <definedName name="KTGT_5_std" localSheetId="12">'SEI Rank'!$DV$4:$DV$31</definedName>
    <definedName name="KTGT_6" localSheetId="12">'SEI Rank'!$DM$4:$DM$31</definedName>
    <definedName name="KTGT_6_loading" localSheetId="12">'SEI Rank'!$DM$34</definedName>
    <definedName name="KTGT_6_std" localSheetId="12">'SEI Rank'!$DW$4:$DW$31</definedName>
    <definedName name="KTGT_7" localSheetId="12">'SEI Rank'!$DN$4:$DN$31</definedName>
    <definedName name="KTGT_7_loading" localSheetId="12">'SEI Rank'!$DN$34</definedName>
    <definedName name="KTGT_7_std" localSheetId="12">'SEI Rank'!$DX$4:$DX$31</definedName>
    <definedName name="KTGT_8" localSheetId="12">'SEI Rank'!$DO$4:$DO$31</definedName>
    <definedName name="KTGT_8_loading" localSheetId="12">'SEI Rank'!$DO$34</definedName>
    <definedName name="KTGT_8_std" localSheetId="12">'SEI Rank'!$DY$4:$DY$31</definedName>
    <definedName name="KTGT_9" localSheetId="12">'SEI Rank'!$DP$4:$DP$31</definedName>
    <definedName name="KTGT_9_loading" localSheetId="12">'SEI Rank'!$DP$34</definedName>
    <definedName name="KTGT_9_std" localSheetId="12">'SEI Rank'!$DZ$4:$DZ$31</definedName>
    <definedName name="KTGT_FEI_Results_4" localSheetId="14">'IPF Matrix'!$AH$3:$AJ$30</definedName>
    <definedName name="KTGT_FEI_Values_4" localSheetId="14">'IPF Matrix'!$AN$3:$AN$30</definedName>
    <definedName name="KTGT_I" localSheetId="13">'FEI Rank'!$BJ$4:$BJ$31</definedName>
    <definedName name="KTGT_I" localSheetId="12">'SEI Rank'!$EB$4:$EB$31</definedName>
    <definedName name="KTGT_I_ALL" localSheetId="13">'FEI Rank'!$BJ$3:$BJ$31</definedName>
    <definedName name="KTGT_I_ALL" localSheetId="12">'SEI Rank'!$EB$3:$EB$31</definedName>
    <definedName name="KTGT_I_Sorted" localSheetId="13">'FEI Rank'!$BM$4:$BM$31</definedName>
    <definedName name="KTGT_I_Sorted" localSheetId="12">'SEI Rank'!$EE$4:$EE$31</definedName>
    <definedName name="KTGT_I_STD" localSheetId="13">'FEI Rank'!$BI$4:$BI$31</definedName>
    <definedName name="KTGT_I_STD" localSheetId="12">'SEI Rank'!$EA$4:$EA$31</definedName>
    <definedName name="KTGT_I_STD_ALL" localSheetId="13">'FEI Rank'!$BI$3:$BI$31</definedName>
    <definedName name="KTGT_I_STD_ALL" localSheetId="12">'SEI Rank'!$EA$3:$EA$31</definedName>
    <definedName name="KTGT_MIN_0" localSheetId="13">'FEI Rank'!$BC$3</definedName>
    <definedName name="KTGT_MIN_0" localSheetId="12">'SEI Rank'!$DG$3</definedName>
    <definedName name="KTGT_MIN_0_std" localSheetId="13">'FEI Rank'!$BF$3</definedName>
    <definedName name="KTGT_MIN_0_std" localSheetId="12">'SEI Rank'!$DQ$3</definedName>
    <definedName name="KTGT_MIN_1" localSheetId="13">'FEI Rank'!$BD$3</definedName>
    <definedName name="KTGT_MIN_1" localSheetId="12">'SEI Rank'!$DH$3</definedName>
    <definedName name="KTGT_MIN_1_std" localSheetId="13">'FEI Rank'!$BG$3</definedName>
    <definedName name="KTGT_MIN_1_std" localSheetId="12">'SEI Rank'!$DR$3</definedName>
    <definedName name="KTGT_MIN_2" localSheetId="13">'FEI Rank'!$BE$3</definedName>
    <definedName name="KTGT_MIN_2" localSheetId="12">'SEI Rank'!$DI$3</definedName>
    <definedName name="KTGT_MIN_2_std" localSheetId="13">'FEI Rank'!$BH$3</definedName>
    <definedName name="KTGT_MIN_2_std" localSheetId="12">'SEI Rank'!$DS$3</definedName>
    <definedName name="KTGT_MIN_3" localSheetId="12">'SEI Rank'!$DJ$3</definedName>
    <definedName name="KTGT_MIN_3_std" localSheetId="12">'SEI Rank'!$DT$3</definedName>
    <definedName name="KTGT_MIN_4" localSheetId="12">'SEI Rank'!$DK$3</definedName>
    <definedName name="KTGT_MIN_4_std" localSheetId="12">'SEI Rank'!$DU$3</definedName>
    <definedName name="KTGT_MIN_5" localSheetId="12">'SEI Rank'!$DL$3</definedName>
    <definedName name="KTGT_MIN_5_std" localSheetId="12">'SEI Rank'!$DV$3</definedName>
    <definedName name="KTGT_MIN_6" localSheetId="12">'SEI Rank'!$DM$3</definedName>
    <definedName name="KTGT_MIN_6_std" localSheetId="12">'SEI Rank'!$DW$3</definedName>
    <definedName name="KTGT_MIN_7" localSheetId="12">'SEI Rank'!$DN$3</definedName>
    <definedName name="KTGT_MIN_7_std" localSheetId="12">'SEI Rank'!$DX$3</definedName>
    <definedName name="KTGT_MIN_8" localSheetId="12">'SEI Rank'!$DO$3</definedName>
    <definedName name="KTGT_MIN_8_std" localSheetId="12">'SEI Rank'!$DY$3</definedName>
    <definedName name="KTGT_MIN_9" localSheetId="12">'SEI Rank'!$DP$3</definedName>
    <definedName name="KTGT_MIN_9_std" localSheetId="12">'SEI Rank'!$DZ$3</definedName>
    <definedName name="KTGT_MIN_I" localSheetId="13">'FEI Rank'!$BJ$3</definedName>
    <definedName name="KTGT_MIN_I" localSheetId="12">'SEI Rank'!$EB$3</definedName>
    <definedName name="KTGT_MIN_I_STD" localSheetId="13">'FEI Rank'!$BI$3</definedName>
    <definedName name="KTGT_MIN_I_STD" localSheetId="12">'SEI Rank'!$EA$3</definedName>
    <definedName name="KTGT_ProjectBudgets" localSheetId="13">'FEI Rank'!$BB$4:$BB$31</definedName>
    <definedName name="KTGT_ProjectBudgets" localSheetId="12">'SEI Rank'!$DF$4:$DF$31</definedName>
    <definedName name="KTGT_ProjectBudgets_Sorted" localSheetId="13">'FEI Rank'!$BL$4:$BL$31</definedName>
    <definedName name="KTGT_ProjectBudgets_Sorted" localSheetId="12">'SEI Rank'!$ED$4:$ED$31</definedName>
    <definedName name="KTGT_ProjectNames" localSheetId="13">'FEI Rank'!$BA$4:$BA$31</definedName>
    <definedName name="KTGT_ProjectNames" localSheetId="12">'SEI Rank'!$DE$4:$DE$31</definedName>
    <definedName name="KTGT_ProjectNames_Sorted" localSheetId="13">'FEI Rank'!$BK$4:$BK$31</definedName>
    <definedName name="KTGT_ProjectNames_Sorted" localSheetId="12">'SEI Rank'!$EC$4:$EC$31</definedName>
    <definedName name="KTGT_Rankings_Results" localSheetId="13">'FEI Rank'!$BK$4:$BM$31</definedName>
    <definedName name="KTGT_Rankings_Results" localSheetId="12">'SEI Rank'!$EC$4:$EE$31</definedName>
    <definedName name="less_than" localSheetId="6">'FEI Wts'!$AB$9:$AB$11</definedName>
    <definedName name="less_than" localSheetId="9">'FEI Wts2'!$AB$9:$AB$11</definedName>
    <definedName name="less_than" localSheetId="11">'FEI Wts3'!$AB$9:$AB$11</definedName>
    <definedName name="less_than" localSheetId="7">'SEI Wts'!$AB$11:$AB$15</definedName>
    <definedName name="less_than" localSheetId="8">'SEI Wts2'!$AB$16:$AB$25</definedName>
    <definedName name="less_than" localSheetId="10">'SEI Wts3'!$AB$16:$AB$25</definedName>
    <definedName name="less_than_eq" localSheetId="6">'FEI Wts'!$AC$9:$AC$11</definedName>
    <definedName name="less_than_eq" localSheetId="9">'FEI Wts2'!$AC$9:$AC$11</definedName>
    <definedName name="less_than_eq" localSheetId="11">'FEI Wts3'!$AC$9:$AC$11</definedName>
    <definedName name="less_than_eq" localSheetId="7">'SEI Wts'!$AC$11:$AC$15</definedName>
    <definedName name="less_than_eq" localSheetId="8">'SEI Wts2'!$AC$16:$AC$25</definedName>
    <definedName name="less_than_eq" localSheetId="10">'SEI Wts3'!$AC$16:$AC$25</definedName>
    <definedName name="loadings_constraints" localSheetId="6">'FEI Wts'!$W$9:$AC$11</definedName>
    <definedName name="loadings_constraints" localSheetId="9">'FEI Wts2'!$W$9:$AC$11</definedName>
    <definedName name="loadings_constraints" localSheetId="11">'FEI Wts3'!$W$9:$AC$11</definedName>
    <definedName name="loadings_constraints" localSheetId="7">'SEI Wts'!$W$11:$AC$15</definedName>
    <definedName name="loadings_constraints" localSheetId="8">'SEI Wts2'!$W$16:$AC$25</definedName>
    <definedName name="loadings_constraints" localSheetId="10">'SEI Wts3'!$W$16:$AC$25</definedName>
    <definedName name="loadings_headers" localSheetId="6">'FEI Wts'!$V$9:$V$11</definedName>
    <definedName name="loadings_headers" localSheetId="9">'FEI Wts2'!$V$9:$V$11</definedName>
    <definedName name="loadings_headers" localSheetId="11">'FEI Wts3'!$V$9:$V$11</definedName>
    <definedName name="loadings_headers" localSheetId="7">'SEI Wts'!$V$11:$V$15</definedName>
    <definedName name="loadings_headers" localSheetId="8">'SEI Wts2'!$V$16:$V$25</definedName>
    <definedName name="loadings_headers" localSheetId="10">'SEI Wts3'!$V$16:$V$25</definedName>
    <definedName name="message" localSheetId="6">'FEI Wts'!$L$21</definedName>
    <definedName name="message" localSheetId="9">'FEI Wts2'!$L$21</definedName>
    <definedName name="message" localSheetId="11">'FEI Wts3'!$L$21</definedName>
    <definedName name="message" localSheetId="7">'SEI Wts'!$L$23</definedName>
    <definedName name="message" localSheetId="8">'SEI Wts2'!$L$28</definedName>
    <definedName name="message" localSheetId="10">'SEI Wts3'!$L$28</definedName>
    <definedName name="objective_func" localSheetId="6">'FEI Wts'!$L$12</definedName>
    <definedName name="objective_func" localSheetId="9">'FEI Wts2'!$L$12</definedName>
    <definedName name="objective_func" localSheetId="11">'FEI Wts3'!$L$12</definedName>
    <definedName name="objective_func" localSheetId="7">'SEI Wts'!$L$14</definedName>
    <definedName name="objective_func" localSheetId="8">'SEI Wts2'!$L$19</definedName>
    <definedName name="objective_func" localSheetId="10">'SEI Wts3'!$L$19</definedName>
    <definedName name="optimizer_iters" localSheetId="6">'FEI Wts'!$L$18</definedName>
    <definedName name="optimizer_iters" localSheetId="9">'FEI Wts2'!$L$18</definedName>
    <definedName name="optimizer_iters" localSheetId="11">'FEI Wts3'!$L$18</definedName>
    <definedName name="optimizer_iters" localSheetId="7">'SEI Wts'!$L$20</definedName>
    <definedName name="optimizer_iters" localSheetId="8">'SEI Wts2'!$L$25</definedName>
    <definedName name="optimizer_iters" localSheetId="10">'SEI Wts3'!$L$25</definedName>
    <definedName name="p" localSheetId="6">'FEI Wts'!$AD$9:$AD$11</definedName>
    <definedName name="p" localSheetId="9">'FEI Wts2'!$AD$9:$AD$11</definedName>
    <definedName name="p" localSheetId="11">'FEI Wts3'!$AD$9:$AD$11</definedName>
    <definedName name="p" localSheetId="7">'SEI Wts'!$AD$11:$AD$15</definedName>
    <definedName name="p" localSheetId="8">'SEI Wts2'!$AD$16:$AD$25</definedName>
    <definedName name="p" localSheetId="10">'SEI Wts3'!$AD$16:$AD$25</definedName>
    <definedName name="p_max" localSheetId="6">'FEI Wts'!$X$9:$X$11</definedName>
    <definedName name="p_max" localSheetId="9">'FEI Wts2'!$X$9:$X$11</definedName>
    <definedName name="p_max" localSheetId="11">'FEI Wts3'!$X$9:$X$11</definedName>
    <definedName name="p_max" localSheetId="7">'SEI Wts'!$X$11:$X$15</definedName>
    <definedName name="p_max" localSheetId="8">'SEI Wts2'!$X$16:$X$25</definedName>
    <definedName name="p_max" localSheetId="10">'SEI Wts3'!$X$16:$X$25</definedName>
    <definedName name="p_min" localSheetId="6">'FEI Wts'!$W$9:$W$11</definedName>
    <definedName name="p_min" localSheetId="9">'FEI Wts2'!$W$9:$W$11</definedName>
    <definedName name="p_min" localSheetId="11">'FEI Wts3'!$W$9:$W$11</definedName>
    <definedName name="p_min" localSheetId="7">'SEI Wts'!$W$11:$W$15</definedName>
    <definedName name="p_min" localSheetId="8">'SEI Wts2'!$W$16:$W$25</definedName>
    <definedName name="p_min" localSheetId="10">'SEI Wts3'!$W$16:$W$25</definedName>
    <definedName name="PCA_0" localSheetId="13">'FEI Rank'!$AC$4:$AC$31</definedName>
    <definedName name="PCA_0" localSheetId="12">'SEI Rank'!$BE$4:$BE$31</definedName>
    <definedName name="PCA_0_loading" localSheetId="13">'FEI Rank'!$AC$34</definedName>
    <definedName name="PCA_0_loading" localSheetId="12">'SEI Rank'!$BE$34</definedName>
    <definedName name="PCA_0_std" localSheetId="13">'FEI Rank'!$AF$4:$AF$31</definedName>
    <definedName name="PCA_0_std" localSheetId="12">'SEI Rank'!$BO$4:$BO$31</definedName>
    <definedName name="PCA_1" localSheetId="13">'FEI Rank'!$AD$4:$AD$31</definedName>
    <definedName name="PCA_1" localSheetId="12">'SEI Rank'!$BF$4:$BF$31</definedName>
    <definedName name="PCA_1_loading" localSheetId="13">'FEI Rank'!$AD$34</definedName>
    <definedName name="PCA_1_loading" localSheetId="12">'SEI Rank'!$BF$34</definedName>
    <definedName name="PCA_1_std" localSheetId="13">'FEI Rank'!$AG$4:$AG$31</definedName>
    <definedName name="PCA_1_std" localSheetId="12">'SEI Rank'!$BP$4:$BP$31</definedName>
    <definedName name="PCA_2" localSheetId="13">'FEI Rank'!$AE$4:$AE$31</definedName>
    <definedName name="PCA_2" localSheetId="12">'SEI Rank'!$BG$4:$BG$31</definedName>
    <definedName name="PCA_2_loading" localSheetId="13">'FEI Rank'!$AE$34</definedName>
    <definedName name="PCA_2_loading" localSheetId="12">'SEI Rank'!$BG$34</definedName>
    <definedName name="PCA_2_std" localSheetId="13">'FEI Rank'!$AH$4:$AH$31</definedName>
    <definedName name="PCA_2_std" localSheetId="12">'SEI Rank'!$BQ$4:$BQ$31</definedName>
    <definedName name="PCA_3" localSheetId="12">'SEI Rank'!$BH$4:$BH$31</definedName>
    <definedName name="PCA_3_loading" localSheetId="12">'SEI Rank'!$BH$34</definedName>
    <definedName name="PCA_3_std" localSheetId="12">'SEI Rank'!$BR$4:$BR$31</definedName>
    <definedName name="PCA_4" localSheetId="12">'SEI Rank'!$BI$4:$BI$31</definedName>
    <definedName name="PCA_4_loading" localSheetId="12">'SEI Rank'!$BI$34</definedName>
    <definedName name="PCA_4_std" localSheetId="12">'SEI Rank'!$BS$4:$BS$31</definedName>
    <definedName name="PCA_5" localSheetId="12">'SEI Rank'!$BJ$4:$BJ$31</definedName>
    <definedName name="PCA_5_loading" localSheetId="12">'SEI Rank'!$BJ$34</definedName>
    <definedName name="PCA_5_std" localSheetId="12">'SEI Rank'!$BT$4:$BT$31</definedName>
    <definedName name="PCA_6" localSheetId="12">'SEI Rank'!$BK$4:$BK$31</definedName>
    <definedName name="PCA_6_loading" localSheetId="12">'SEI Rank'!$BK$34</definedName>
    <definedName name="PCA_6_std" localSheetId="12">'SEI Rank'!$BU$4:$BU$31</definedName>
    <definedName name="PCA_7" localSheetId="12">'SEI Rank'!$BL$4:$BL$31</definedName>
    <definedName name="PCA_7_loading" localSheetId="12">'SEI Rank'!$BL$34</definedName>
    <definedName name="PCA_7_std" localSheetId="12">'SEI Rank'!$BV$4:$BV$31</definedName>
    <definedName name="PCA_8" localSheetId="12">'SEI Rank'!$BM$4:$BM$31</definedName>
    <definedName name="PCA_8_loading" localSheetId="12">'SEI Rank'!$BM$34</definedName>
    <definedName name="PCA_8_std" localSheetId="12">'SEI Rank'!$BW$4:$BW$31</definedName>
    <definedName name="PCA_9" localSheetId="12">'SEI Rank'!$BN$4:$BN$31</definedName>
    <definedName name="PCA_9_loading" localSheetId="12">'SEI Rank'!$BN$34</definedName>
    <definedName name="PCA_9_std" localSheetId="12">'SEI Rank'!$BX$4:$BX$31</definedName>
    <definedName name="PCA_FEI_Results_2" localSheetId="14">'IPF Matrix'!$N$3:$P$30</definedName>
    <definedName name="PCA_FEI_Results_3" localSheetId="14">'IPF Matrix'!$X$3:$Z$30</definedName>
    <definedName name="PCA_FEI_Values_2" localSheetId="14">'IPF Matrix'!$T$3:$T$30</definedName>
    <definedName name="PCA_FEI_Values_3" localSheetId="14">'IPF Matrix'!$AD$3:$AD$30</definedName>
    <definedName name="PCA_I" localSheetId="13">'FEI Rank'!$AJ$4:$AJ$31</definedName>
    <definedName name="PCA_I" localSheetId="12">'SEI Rank'!$BZ$4:$BZ$31</definedName>
    <definedName name="PCA_I_ALL" localSheetId="13">'FEI Rank'!$AJ$3:$AJ$31</definedName>
    <definedName name="PCA_I_ALL" localSheetId="12">'SEI Rank'!$BZ$3:$BZ$31</definedName>
    <definedName name="PCA_I_Sorted" localSheetId="13">'FEI Rank'!$AM$4:$AM$31</definedName>
    <definedName name="PCA_I_Sorted" localSheetId="12">'SEI Rank'!$CC$4:$CC$31</definedName>
    <definedName name="PCA_I_STD" localSheetId="13">'FEI Rank'!$AI$4:$AI$31</definedName>
    <definedName name="PCA_I_STD" localSheetId="12">'SEI Rank'!$BY$4:$BY$31</definedName>
    <definedName name="PCA_I_STD_ALL" localSheetId="13">'FEI Rank'!$AI$3:$AI$31</definedName>
    <definedName name="PCA_I_STD_ALL" localSheetId="12">'SEI Rank'!$BY$3:$BY$31</definedName>
    <definedName name="pca_loadings" localSheetId="6">'FEI Wts'!$C$21:$C$23</definedName>
    <definedName name="pca_loadings" localSheetId="9">'FEI Wts2'!$C$21:$C$23</definedName>
    <definedName name="pca_loadings" localSheetId="11">'FEI Wts3'!$C$21:$C$23</definedName>
    <definedName name="pca_loadings" localSheetId="7">'SEI Wts'!$C$25:$C$29</definedName>
    <definedName name="pca_loadings" localSheetId="8">'SEI Wts2'!$C$35:$C$44</definedName>
    <definedName name="pca_loadings" localSheetId="10">'SEI Wts3'!$C$35:$C$44</definedName>
    <definedName name="pca_loadings_calced" localSheetId="6">"FLAG"</definedName>
    <definedName name="pca_loadings_calced" localSheetId="9">"FLAG"</definedName>
    <definedName name="pca_loadings_calced" localSheetId="11">"FLAG"</definedName>
    <definedName name="pca_loadings_calced" localSheetId="7">"FLAG"</definedName>
    <definedName name="pca_loadings_calced" localSheetId="8">"FLAG"</definedName>
    <definedName name="pca_loadings_calced" localSheetId="10">"FLAG"</definedName>
    <definedName name="pca_loadings_pct" localSheetId="6">'FEI Wts'!$C$10:$C$12</definedName>
    <definedName name="pca_loadings_pct" localSheetId="9">'FEI Wts2'!$C$10:$C$12</definedName>
    <definedName name="pca_loadings_pct" localSheetId="11">'FEI Wts3'!$C$10:$C$12</definedName>
    <definedName name="pca_loadings_pct" localSheetId="7">'SEI Wts'!$C$12:$C$16</definedName>
    <definedName name="pca_loadings_pct" localSheetId="8">'SEI Wts2'!$C$17:$C$26</definedName>
    <definedName name="pca_loadings_pct" localSheetId="10">'SEI Wts3'!$C$17:$C$26</definedName>
    <definedName name="PCA_MIN_0" localSheetId="13">'FEI Rank'!$AC$3</definedName>
    <definedName name="PCA_MIN_0" localSheetId="12">'SEI Rank'!$BE$3</definedName>
    <definedName name="PCA_MIN_0_std" localSheetId="13">'FEI Rank'!$AF$3</definedName>
    <definedName name="PCA_MIN_0_std" localSheetId="12">'SEI Rank'!$BO$3</definedName>
    <definedName name="PCA_MIN_1" localSheetId="13">'FEI Rank'!$AD$3</definedName>
    <definedName name="PCA_MIN_1" localSheetId="12">'SEI Rank'!$BF$3</definedName>
    <definedName name="PCA_MIN_1_std" localSheetId="13">'FEI Rank'!$AG$3</definedName>
    <definedName name="PCA_MIN_1_std" localSheetId="12">'SEI Rank'!$BP$3</definedName>
    <definedName name="PCA_MIN_2" localSheetId="13">'FEI Rank'!$AE$3</definedName>
    <definedName name="PCA_MIN_2" localSheetId="12">'SEI Rank'!$BG$3</definedName>
    <definedName name="PCA_MIN_2_std" localSheetId="13">'FEI Rank'!$AH$3</definedName>
    <definedName name="PCA_MIN_2_std" localSheetId="12">'SEI Rank'!$BQ$3</definedName>
    <definedName name="PCA_MIN_3" localSheetId="12">'SEI Rank'!$BH$3</definedName>
    <definedName name="PCA_MIN_3_std" localSheetId="12">'SEI Rank'!$BR$3</definedName>
    <definedName name="PCA_MIN_4" localSheetId="12">'SEI Rank'!$BI$3</definedName>
    <definedName name="PCA_MIN_4_std" localSheetId="12">'SEI Rank'!$BS$3</definedName>
    <definedName name="PCA_MIN_5" localSheetId="12">'SEI Rank'!$BJ$3</definedName>
    <definedName name="PCA_MIN_5_std" localSheetId="12">'SEI Rank'!$BT$3</definedName>
    <definedName name="PCA_MIN_6" localSheetId="12">'SEI Rank'!$BK$3</definedName>
    <definedName name="PCA_MIN_6_std" localSheetId="12">'SEI Rank'!$BU$3</definedName>
    <definedName name="PCA_MIN_7" localSheetId="12">'SEI Rank'!$BL$3</definedName>
    <definedName name="PCA_MIN_7_std" localSheetId="12">'SEI Rank'!$BV$3</definedName>
    <definedName name="PCA_MIN_8" localSheetId="12">'SEI Rank'!$BM$3</definedName>
    <definedName name="PCA_MIN_8_std" localSheetId="12">'SEI Rank'!$BW$3</definedName>
    <definedName name="PCA_MIN_9" localSheetId="12">'SEI Rank'!$BN$3</definedName>
    <definedName name="PCA_MIN_9_std" localSheetId="12">'SEI Rank'!$BX$3</definedName>
    <definedName name="PCA_MIN_I" localSheetId="13">'FEI Rank'!$AJ$3</definedName>
    <definedName name="PCA_MIN_I" localSheetId="12">'SEI Rank'!$BZ$3</definedName>
    <definedName name="PCA_MIN_I_STD" localSheetId="13">'FEI Rank'!$AI$3</definedName>
    <definedName name="PCA_MIN_I_STD" localSheetId="12">'SEI Rank'!$BY$3</definedName>
    <definedName name="pca_per_exp" localSheetId="6">'FEI Wts'!$C$25</definedName>
    <definedName name="pca_per_exp" localSheetId="9">'FEI Wts2'!$C$25</definedName>
    <definedName name="pca_per_exp" localSheetId="11">'FEI Wts3'!$C$25</definedName>
    <definedName name="pca_per_exp" localSheetId="7">'SEI Wts'!$C$31</definedName>
    <definedName name="pca_per_exp" localSheetId="8">'SEI Wts2'!$C$46</definedName>
    <definedName name="pca_per_exp" localSheetId="10">'SEI Wts3'!$C$46</definedName>
    <definedName name="pca_per_exp_pct" localSheetId="6">'FEI Wts'!$C$14</definedName>
    <definedName name="pca_per_exp_pct" localSheetId="9">'FEI Wts2'!$C$14</definedName>
    <definedName name="pca_per_exp_pct" localSheetId="11">'FEI Wts3'!$C$14</definedName>
    <definedName name="pca_per_exp_pct" localSheetId="7">'SEI Wts'!$C$18</definedName>
    <definedName name="pca_per_exp_pct" localSheetId="8">'SEI Wts2'!$C$28</definedName>
    <definedName name="pca_per_exp_pct" localSheetId="10">'SEI Wts3'!$C$28</definedName>
    <definedName name="PCA_ProjectBudgets" localSheetId="13">'FEI Rank'!$AB$4:$AB$31</definedName>
    <definedName name="PCA_ProjectBudgets" localSheetId="12">'SEI Rank'!$BD$4:$BD$31</definedName>
    <definedName name="PCA_ProjectBudgets_Sorted" localSheetId="13">'FEI Rank'!$AL$4:$AL$31</definedName>
    <definedName name="PCA_ProjectBudgets_Sorted" localSheetId="12">'SEI Rank'!$CB$4:$CB$31</definedName>
    <definedName name="PCA_ProjectNames" localSheetId="13">'FEI Rank'!$AA$4:$AA$31</definedName>
    <definedName name="PCA_ProjectNames" localSheetId="12">'SEI Rank'!$BC$4:$BC$31</definedName>
    <definedName name="PCA_ProjectNames_Sorted" localSheetId="13">'FEI Rank'!$AK$4:$AK$31</definedName>
    <definedName name="PCA_ProjectNames_Sorted" localSheetId="12">'SEI Rank'!$CA$4:$CA$31</definedName>
    <definedName name="PCA_Rankings_Results" localSheetId="13">'FEI Rank'!$AK$4:$AM$31</definedName>
    <definedName name="PCA_Rankings_Results" localSheetId="12">'SEI Rank'!$CA$4:$CC$31</definedName>
    <definedName name="pca_ret_var" localSheetId="6">'FEI Wts'!$C$24</definedName>
    <definedName name="pca_ret_var" localSheetId="9">'FEI Wts2'!$C$24</definedName>
    <definedName name="pca_ret_var" localSheetId="11">'FEI Wts3'!$C$24</definedName>
    <definedName name="pca_ret_var" localSheetId="7">'SEI Wts'!$C$30</definedName>
    <definedName name="pca_ret_var" localSheetId="8">'SEI Wts2'!$C$45</definedName>
    <definedName name="pca_ret_var" localSheetId="10">'SEI Wts3'!$C$45</definedName>
    <definedName name="pca_ret_var_pct" localSheetId="6">'FEI Wts'!$C$13</definedName>
    <definedName name="pca_ret_var_pct" localSheetId="9">'FEI Wts2'!$C$13</definedName>
    <definedName name="pca_ret_var_pct" localSheetId="11">'FEI Wts3'!$C$13</definedName>
    <definedName name="pca_ret_var_pct" localSheetId="7">'SEI Wts'!$C$17</definedName>
    <definedName name="pca_ret_var_pct" localSheetId="8">'SEI Wts2'!$C$27</definedName>
    <definedName name="pca_ret_var_pct" localSheetId="10">'SEI Wts3'!$C$27</definedName>
    <definedName name="pervar_explained_headers" localSheetId="6">'FEI Wts'!$B$21:$B$23</definedName>
    <definedName name="pervar_explained_headers" localSheetId="9">'FEI Wts2'!$B$21:$B$23</definedName>
    <definedName name="pervar_explained_headers" localSheetId="11">'FEI Wts3'!$B$21:$B$23</definedName>
    <definedName name="pervar_explained_headers" localSheetId="7">'SEI Wts'!$B$25:$B$29</definedName>
    <definedName name="pervar_explained_headers" localSheetId="8">'SEI Wts2'!$B$35:$B$44</definedName>
    <definedName name="pervar_explained_headers" localSheetId="10">'SEI Wts3'!$B$35:$B$44</definedName>
    <definedName name="pervar_explained_headers_pct" localSheetId="6">'FEI Wts'!$B$10:$B$12</definedName>
    <definedName name="pervar_explained_headers_pct" localSheetId="9">'FEI Wts2'!$B$10:$B$12</definedName>
    <definedName name="pervar_explained_headers_pct" localSheetId="11">'FEI Wts3'!$B$10:$B$12</definedName>
    <definedName name="pervar_explained_headers_pct" localSheetId="7">'SEI Wts'!$B$12:$B$16</definedName>
    <definedName name="pervar_explained_headers_pct" localSheetId="8">'SEI Wts2'!$B$17:$B$26</definedName>
    <definedName name="pervar_explained_headers_pct" localSheetId="10">'SEI Wts3'!$B$17:$B$26</definedName>
    <definedName name="ProjectBudgets" localSheetId="6">'FEI Data'!$B$2:$B$29</definedName>
    <definedName name="ProjectBudgets" localSheetId="9">'FEI Data'!$B$2:$B$29</definedName>
    <definedName name="ProjectBudgets" localSheetId="11">'FEI Data'!$B$2:$B$29</definedName>
    <definedName name="ProjectBudgets" localSheetId="7">'SEI Data'!$B$2:$B$29</definedName>
    <definedName name="ProjectBudgets" localSheetId="8">'SEI Data'!$B$2:$B$29</definedName>
    <definedName name="ProjectBudgets" localSheetId="10">'SEI Data'!$B$2:$B$29</definedName>
    <definedName name="projectBudgetsAnchor" localSheetId="15">FormData!$B$7</definedName>
    <definedName name="ProjectNames" localSheetId="6">'FEI Data'!$A$2:$A$29</definedName>
    <definedName name="ProjectNames" localSheetId="9">'FEI Data'!$A$2:$A$29</definedName>
    <definedName name="ProjectNames" localSheetId="11">'FEI Data'!$A$2:$A$29</definedName>
    <definedName name="ProjectNames" localSheetId="7">'SEI Data'!$A$2:$A$29</definedName>
    <definedName name="ProjectNames" localSheetId="8">'SEI Data'!$A$2:$A$29</definedName>
    <definedName name="ProjectNames" localSheetId="10">'SEI Data'!$A$2:$A$29</definedName>
    <definedName name="projectNamesAnchor" localSheetId="15">FormData!$B$3</definedName>
    <definedName name="Q" localSheetId="6">'FEI Wts'!$C$3:$E$5</definedName>
    <definedName name="Q" localSheetId="9">'FEI Wts2'!$C$3:$E$5</definedName>
    <definedName name="Q" localSheetId="11">'FEI Wts3'!$C$3:$E$5</definedName>
    <definedName name="Q" localSheetId="7">'SEI Wts'!$C$3:$G$7</definedName>
    <definedName name="Q" localSheetId="8">'SEI Wts2'!$C$3:$L$12</definedName>
    <definedName name="Q" localSheetId="10">'SEI Wts3'!$C$3:$L$12</definedName>
    <definedName name="qt_g_eq_per_exp" localSheetId="6">'FEI Wts'!$D$25</definedName>
    <definedName name="qt_g_eq_per_exp" localSheetId="9">'FEI Wts2'!$D$25</definedName>
    <definedName name="qt_g_eq_per_exp" localSheetId="11">'FEI Wts3'!$D$25</definedName>
    <definedName name="qt_g_eq_per_exp" localSheetId="7">'SEI Wts'!$D$31</definedName>
    <definedName name="qt_g_eq_per_exp" localSheetId="8">'SEI Wts2'!$D$46</definedName>
    <definedName name="qt_g_eq_per_exp" localSheetId="10">'SEI Wts3'!$D$46</definedName>
    <definedName name="qt_g_eq_per_exp_pct" localSheetId="6">'FEI Wts'!$D$14</definedName>
    <definedName name="qt_g_eq_per_exp_pct" localSheetId="9">'FEI Wts2'!$D$14</definedName>
    <definedName name="qt_g_eq_per_exp_pct" localSheetId="11">'FEI Wts3'!$D$14</definedName>
    <definedName name="qt_g_eq_per_exp_pct" localSheetId="7">'SEI Wts'!$D$18</definedName>
    <definedName name="qt_g_eq_per_exp_pct" localSheetId="8">'SEI Wts2'!$D$28</definedName>
    <definedName name="qt_g_eq_per_exp_pct" localSheetId="10">'SEI Wts3'!$D$28</definedName>
    <definedName name="qt_g_eq_ret_var" localSheetId="6">'FEI Wts'!$D$24</definedName>
    <definedName name="qt_g_eq_ret_var" localSheetId="9">'FEI Wts2'!$D$24</definedName>
    <definedName name="qt_g_eq_ret_var" localSheetId="11">'FEI Wts3'!$D$24</definedName>
    <definedName name="qt_g_eq_ret_var" localSheetId="7">'SEI Wts'!$D$30</definedName>
    <definedName name="qt_g_eq_ret_var" localSheetId="8">'SEI Wts2'!$D$45</definedName>
    <definedName name="qt_g_eq_ret_var" localSheetId="10">'SEI Wts3'!$D$45</definedName>
    <definedName name="qt_g_eq_ret_var_pct" localSheetId="6">'FEI Wts'!$D$13</definedName>
    <definedName name="qt_g_eq_ret_var_pct" localSheetId="9">'FEI Wts2'!$D$13</definedName>
    <definedName name="qt_g_eq_ret_var_pct" localSheetId="11">'FEI Wts3'!$D$13</definedName>
    <definedName name="qt_g_eq_ret_var_pct" localSheetId="7">'SEI Wts'!$D$17</definedName>
    <definedName name="qt_g_eq_ret_var_pct" localSheetId="8">'SEI Wts2'!$D$27</definedName>
    <definedName name="qt_g_eq_ret_var_pct" localSheetId="10">'SEI Wts3'!$D$27</definedName>
    <definedName name="qt_g_ret_var" localSheetId="6">'FEI Wts'!$E$24</definedName>
    <definedName name="qt_g_ret_var" localSheetId="9">'FEI Wts2'!$E$24</definedName>
    <definedName name="qt_g_ret_var" localSheetId="11">'FEI Wts3'!$E$24</definedName>
    <definedName name="qt_g_ret_var" localSheetId="7">'SEI Wts'!$E$30</definedName>
    <definedName name="qt_g_ret_var" localSheetId="8">'SEI Wts2'!$E$45</definedName>
    <definedName name="qt_g_ret_var" localSheetId="10">'SEI Wts3'!$E$45</definedName>
    <definedName name="qt_g_ret_var_pct" localSheetId="6">'FEI Wts'!$E$13</definedName>
    <definedName name="qt_g_ret_var_pct" localSheetId="9">'FEI Wts2'!$E$13</definedName>
    <definedName name="qt_g_ret_var_pct" localSheetId="11">'FEI Wts3'!$E$13</definedName>
    <definedName name="qt_g_ret_var_pct" localSheetId="7">'SEI Wts'!$E$17</definedName>
    <definedName name="qt_g_ret_var_pct" localSheetId="8">'SEI Wts2'!$E$27</definedName>
    <definedName name="qt_g_ret_var_pct" localSheetId="10">'SEI Wts3'!$E$27</definedName>
    <definedName name="SA_0" localSheetId="13">'FEI Rank'!$BP$4:$BP$31</definedName>
    <definedName name="SA_0" localSheetId="12">'SEI Rank'!$EH$4:$EH$31</definedName>
    <definedName name="SA_0_loading" localSheetId="13">'FEI Rank'!$BP$34</definedName>
    <definedName name="SA_0_loading" localSheetId="12">'SEI Rank'!$EH$34</definedName>
    <definedName name="SA_0_std" localSheetId="13">'FEI Rank'!$BS$4:$BS$31</definedName>
    <definedName name="SA_0_std" localSheetId="12">'SEI Rank'!$ER$4:$ER$31</definedName>
    <definedName name="SA_1" localSheetId="13">'FEI Rank'!$BQ$4:$BQ$31</definedName>
    <definedName name="SA_1" localSheetId="12">'SEI Rank'!$EI$4:$EI$31</definedName>
    <definedName name="SA_1_loading" localSheetId="13">'FEI Rank'!$BQ$34</definedName>
    <definedName name="SA_1_loading" localSheetId="12">'SEI Rank'!$EI$34</definedName>
    <definedName name="SA_1_std" localSheetId="13">'FEI Rank'!$BT$4:$BT$31</definedName>
    <definedName name="SA_1_std" localSheetId="12">'SEI Rank'!$ES$4:$ES$31</definedName>
    <definedName name="SA_2" localSheetId="13">'FEI Rank'!$BR$4:$BR$31</definedName>
    <definedName name="SA_2" localSheetId="12">'SEI Rank'!$EJ$4:$EJ$31</definedName>
    <definedName name="SA_2_loading" localSheetId="13">'FEI Rank'!$BR$34</definedName>
    <definedName name="SA_2_loading" localSheetId="12">'SEI Rank'!$EJ$34</definedName>
    <definedName name="SA_2_std" localSheetId="13">'FEI Rank'!$BU$4:$BU$31</definedName>
    <definedName name="SA_2_std" localSheetId="12">'SEI Rank'!$ET$4:$ET$31</definedName>
    <definedName name="SA_3" localSheetId="12">'SEI Rank'!$EK$4:$EK$31</definedName>
    <definedName name="SA_3_loading" localSheetId="12">'SEI Rank'!$EK$34</definedName>
    <definedName name="SA_3_std" localSheetId="12">'SEI Rank'!$EU$4:$EU$31</definedName>
    <definedName name="SA_4" localSheetId="12">'SEI Rank'!$EL$4:$EL$31</definedName>
    <definedName name="SA_4_loading" localSheetId="12">'SEI Rank'!$EL$34</definedName>
    <definedName name="SA_4_std" localSheetId="12">'SEI Rank'!$EV$4:$EV$31</definedName>
    <definedName name="SA_5" localSheetId="12">'SEI Rank'!$EM$4:$EM$31</definedName>
    <definedName name="SA_5_loading" localSheetId="12">'SEI Rank'!$EM$34</definedName>
    <definedName name="SA_5_std" localSheetId="12">'SEI Rank'!$EW$4:$EW$31</definedName>
    <definedName name="SA_6" localSheetId="12">'SEI Rank'!$EN$4:$EN$31</definedName>
    <definedName name="SA_6_loading" localSheetId="12">'SEI Rank'!$EN$34</definedName>
    <definedName name="SA_6_std" localSheetId="12">'SEI Rank'!$EX$4:$EX$31</definedName>
    <definedName name="SA_7" localSheetId="12">'SEI Rank'!$EO$4:$EO$31</definedName>
    <definedName name="SA_7_loading" localSheetId="12">'SEI Rank'!$EO$34</definedName>
    <definedName name="SA_7_std" localSheetId="12">'SEI Rank'!$EY$4:$EY$31</definedName>
    <definedName name="SA_8" localSheetId="12">'SEI Rank'!$EP$4:$EP$31</definedName>
    <definedName name="SA_8_loading" localSheetId="12">'SEI Rank'!$EP$34</definedName>
    <definedName name="SA_8_std" localSheetId="12">'SEI Rank'!$EZ$4:$EZ$31</definedName>
    <definedName name="SA_9" localSheetId="12">'SEI Rank'!$EQ$4:$EQ$31</definedName>
    <definedName name="SA_9_loading" localSheetId="12">'SEI Rank'!$EQ$34</definedName>
    <definedName name="SA_9_std" localSheetId="12">'SEI Rank'!$FA$4:$FA$31</definedName>
    <definedName name="SA_I" localSheetId="13">'FEI Rank'!$BW$4:$BW$31</definedName>
    <definedName name="SA_I" localSheetId="12">'SEI Rank'!$FC$4:$FC$31</definedName>
    <definedName name="SA_I_ALL" localSheetId="13">'FEI Rank'!$BW$3:$BW$31</definedName>
    <definedName name="SA_I_ALL" localSheetId="12">'SEI Rank'!$FC$3:$FC$31</definedName>
    <definedName name="SA_I_Sorted" localSheetId="13">'FEI Rank'!$BZ$4:$BZ$31</definedName>
    <definedName name="SA_I_Sorted" localSheetId="12">'SEI Rank'!$FF$4:$FF$31</definedName>
    <definedName name="SA_I_STD" localSheetId="13">'FEI Rank'!$BV$4:$BV$31</definedName>
    <definedName name="SA_I_STD" localSheetId="12">'SEI Rank'!$FB$4:$FB$31</definedName>
    <definedName name="SA_I_STD_ALL" localSheetId="13">'FEI Rank'!$BV$3:$BV$31</definedName>
    <definedName name="SA_I_STD_ALL" localSheetId="12">'SEI Rank'!$FB$3:$FB$31</definedName>
    <definedName name="SA_MIN_0" localSheetId="13">'FEI Rank'!$BP$3</definedName>
    <definedName name="SA_MIN_0" localSheetId="12">'SEI Rank'!$EH$3</definedName>
    <definedName name="SA_MIN_0_std" localSheetId="13">'FEI Rank'!$BS$3</definedName>
    <definedName name="SA_MIN_0_std" localSheetId="12">'SEI Rank'!$ER$3</definedName>
    <definedName name="SA_MIN_1" localSheetId="13">'FEI Rank'!$BQ$3</definedName>
    <definedName name="SA_MIN_1" localSheetId="12">'SEI Rank'!$EI$3</definedName>
    <definedName name="SA_MIN_1_std" localSheetId="13">'FEI Rank'!$BT$3</definedName>
    <definedName name="SA_MIN_1_std" localSheetId="12">'SEI Rank'!$ES$3</definedName>
    <definedName name="SA_MIN_2" localSheetId="13">'FEI Rank'!$BR$3</definedName>
    <definedName name="SA_MIN_2" localSheetId="12">'SEI Rank'!$EJ$3</definedName>
    <definedName name="SA_MIN_2_std" localSheetId="13">'FEI Rank'!$BU$3</definedName>
    <definedName name="SA_MIN_2_std" localSheetId="12">'SEI Rank'!$ET$3</definedName>
    <definedName name="SA_MIN_3" localSheetId="12">'SEI Rank'!$EK$3</definedName>
    <definedName name="SA_MIN_3_std" localSheetId="12">'SEI Rank'!$EU$3</definedName>
    <definedName name="SA_MIN_4" localSheetId="12">'SEI Rank'!$EL$3</definedName>
    <definedName name="SA_MIN_4_std" localSheetId="12">'SEI Rank'!$EV$3</definedName>
    <definedName name="SA_MIN_5" localSheetId="12">'SEI Rank'!$EM$3</definedName>
    <definedName name="SA_MIN_5_std" localSheetId="12">'SEI Rank'!$EW$3</definedName>
    <definedName name="SA_MIN_6" localSheetId="12">'SEI Rank'!$EN$3</definedName>
    <definedName name="SA_MIN_6_std" localSheetId="12">'SEI Rank'!$EX$3</definedName>
    <definedName name="SA_MIN_7" localSheetId="12">'SEI Rank'!$EO$3</definedName>
    <definedName name="SA_MIN_7_std" localSheetId="12">'SEI Rank'!$EY$3</definedName>
    <definedName name="SA_MIN_8" localSheetId="12">'SEI Rank'!$EP$3</definedName>
    <definedName name="SA_MIN_8_std" localSheetId="12">'SEI Rank'!$EZ$3</definedName>
    <definedName name="SA_MIN_9" localSheetId="12">'SEI Rank'!$EQ$3</definedName>
    <definedName name="SA_MIN_9_std" localSheetId="12">'SEI Rank'!$FA$3</definedName>
    <definedName name="SA_MIN_I" localSheetId="13">'FEI Rank'!$BW$3</definedName>
    <definedName name="SA_MIN_I" localSheetId="12">'SEI Rank'!$FC$3</definedName>
    <definedName name="SA_MIN_I_STD" localSheetId="13">'FEI Rank'!$BV$3</definedName>
    <definedName name="SA_MIN_I_STD" localSheetId="12">'SEI Rank'!$FB$3</definedName>
    <definedName name="SA_ProjectBudgets" localSheetId="13">'FEI Rank'!$BO$4:$BO$31</definedName>
    <definedName name="SA_ProjectBudgets" localSheetId="12">'SEI Rank'!$EG$4:$EG$31</definedName>
    <definedName name="SA_ProjectBudgets_Sorted" localSheetId="13">'FEI Rank'!$BY$4:$BY$31</definedName>
    <definedName name="SA_ProjectBudgets_Sorted" localSheetId="12">'SEI Rank'!$FE$4:$FE$31</definedName>
    <definedName name="SA_ProjectNames" localSheetId="13">'FEI Rank'!$BN$4:$BN$31</definedName>
    <definedName name="SA_ProjectNames" localSheetId="12">'SEI Rank'!$EF$4:$EF$31</definedName>
    <definedName name="SA_ProjectNames_Sorted" localSheetId="13">'FEI Rank'!$BX$4:$BX$31</definedName>
    <definedName name="SA_ProjectNames_Sorted" localSheetId="12">'SEI Rank'!$FD$4:$FD$31</definedName>
    <definedName name="SA_Rankings_Results" localSheetId="13">'FEI Rank'!$BX$4:$BZ$31</definedName>
    <definedName name="SA_Rankings_Results" localSheetId="12">'SEI Rank'!$FD$4:$FF$31</definedName>
    <definedName name="scenario_1_per_exp" localSheetId="6">'FEI Wts'!$G$25</definedName>
    <definedName name="scenario_1_per_exp" localSheetId="9">'FEI Wts2'!$G$25</definedName>
    <definedName name="scenario_1_per_exp" localSheetId="11">'FEI Wts3'!$G$25</definedName>
    <definedName name="scenario_1_per_exp" localSheetId="7">'SEI Wts'!$G$31</definedName>
    <definedName name="scenario_1_per_exp" localSheetId="8">'SEI Wts2'!$G$46</definedName>
    <definedName name="scenario_1_per_exp" localSheetId="10">'SEI Wts3'!$G$46</definedName>
    <definedName name="scenario_1_per_exp_pct" localSheetId="6">'FEI Wts'!$G$14</definedName>
    <definedName name="scenario_1_per_exp_pct" localSheetId="9">'FEI Wts2'!$G$14</definedName>
    <definedName name="scenario_1_per_exp_pct" localSheetId="11">'FEI Wts3'!$G$14</definedName>
    <definedName name="scenario_1_per_exp_pct" localSheetId="7">'SEI Wts'!$G$18</definedName>
    <definedName name="scenario_1_per_exp_pct" localSheetId="8">'SEI Wts2'!$G$28</definedName>
    <definedName name="scenario_1_per_exp_pct" localSheetId="10">'SEI Wts3'!$G$28</definedName>
    <definedName name="scenario_1_ret_var" localSheetId="6">'FEI Wts'!$G$24</definedName>
    <definedName name="scenario_1_ret_var" localSheetId="9">'FEI Wts2'!$G$24</definedName>
    <definedName name="scenario_1_ret_var" localSheetId="11">'FEI Wts3'!$G$24</definedName>
    <definedName name="scenario_1_ret_var" localSheetId="7">'SEI Wts'!$G$30</definedName>
    <definedName name="scenario_1_ret_var" localSheetId="8">'SEI Wts2'!$G$45</definedName>
    <definedName name="scenario_1_ret_var" localSheetId="10">'SEI Wts3'!$G$45</definedName>
    <definedName name="scenario_1_ret_var_pct" localSheetId="6">'FEI Wts'!$G$13</definedName>
    <definedName name="scenario_1_ret_var_pct" localSheetId="9">'FEI Wts2'!$G$13</definedName>
    <definedName name="scenario_1_ret_var_pct" localSheetId="11">'FEI Wts3'!$G$13</definedName>
    <definedName name="scenario_1_ret_var_pct" localSheetId="7">'SEI Wts'!$G$17</definedName>
    <definedName name="scenario_1_ret_var_pct" localSheetId="8">'SEI Wts2'!$G$27</definedName>
    <definedName name="scenario_1_ret_var_pct" localSheetId="10">'SEI Wts3'!$G$27</definedName>
    <definedName name="scenario_2_per_exp" localSheetId="6">'FEI Wts'!$H$25</definedName>
    <definedName name="scenario_2_per_exp" localSheetId="9">'FEI Wts2'!$H$25</definedName>
    <definedName name="scenario_2_per_exp" localSheetId="11">'FEI Wts3'!$H$25</definedName>
    <definedName name="scenario_2_per_exp" localSheetId="7">'SEI Wts'!$H$31</definedName>
    <definedName name="scenario_2_per_exp" localSheetId="8">'SEI Wts2'!$H$46</definedName>
    <definedName name="scenario_2_per_exp" localSheetId="10">'SEI Wts3'!$H$46</definedName>
    <definedName name="scenario_2_per_exp_pct" localSheetId="6">'FEI Wts'!$H$14</definedName>
    <definedName name="scenario_2_per_exp_pct" localSheetId="9">'FEI Wts2'!$H$14</definedName>
    <definedName name="scenario_2_per_exp_pct" localSheetId="11">'FEI Wts3'!$H$14</definedName>
    <definedName name="scenario_2_per_exp_pct" localSheetId="7">'SEI Wts'!$H$18</definedName>
    <definedName name="scenario_2_per_exp_pct" localSheetId="8">'SEI Wts2'!$H$28</definedName>
    <definedName name="scenario_2_per_exp_pct" localSheetId="10">'SEI Wts3'!$H$28</definedName>
    <definedName name="scenario_2_ret_var" localSheetId="6">'FEI Wts'!$H$24</definedName>
    <definedName name="scenario_2_ret_var" localSheetId="9">'FEI Wts2'!$H$24</definedName>
    <definedName name="scenario_2_ret_var" localSheetId="11">'FEI Wts3'!$H$24</definedName>
    <definedName name="scenario_2_ret_var" localSheetId="7">'SEI Wts'!$H$30</definedName>
    <definedName name="scenario_2_ret_var" localSheetId="8">'SEI Wts2'!$H$45</definedName>
    <definedName name="scenario_2_ret_var" localSheetId="10">'SEI Wts3'!$H$45</definedName>
    <definedName name="scenario_2_ret_var_pct" localSheetId="6">'FEI Wts'!$H$13</definedName>
    <definedName name="scenario_2_ret_var_pct" localSheetId="9">'FEI Wts2'!$H$13</definedName>
    <definedName name="scenario_2_ret_var_pct" localSheetId="11">'FEI Wts3'!$H$13</definedName>
    <definedName name="scenario_2_ret_var_pct" localSheetId="7">'SEI Wts'!$H$17</definedName>
    <definedName name="scenario_2_ret_var_pct" localSheetId="8">'SEI Wts2'!$H$27</definedName>
    <definedName name="scenario_2_ret_var_pct" localSheetId="10">'SEI Wts3'!$H$27</definedName>
    <definedName name="scenario_3_per_exp" localSheetId="6">'FEI Wts'!$I$25</definedName>
    <definedName name="scenario_3_per_exp" localSheetId="9">'FEI Wts2'!$I$25</definedName>
    <definedName name="scenario_3_per_exp" localSheetId="11">'FEI Wts3'!$I$25</definedName>
    <definedName name="scenario_3_per_exp" localSheetId="7">'SEI Wts'!$I$31</definedName>
    <definedName name="scenario_3_per_exp" localSheetId="8">'SEI Wts2'!$I$46</definedName>
    <definedName name="scenario_3_per_exp" localSheetId="10">'SEI Wts3'!$I$46</definedName>
    <definedName name="scenario_3_per_exp_pct" localSheetId="6">'FEI Wts'!$I$14</definedName>
    <definedName name="scenario_3_per_exp_pct" localSheetId="9">'FEI Wts2'!$I$14</definedName>
    <definedName name="scenario_3_per_exp_pct" localSheetId="11">'FEI Wts3'!$I$14</definedName>
    <definedName name="scenario_3_per_exp_pct" localSheetId="7">'SEI Wts'!$I$18</definedName>
    <definedName name="scenario_3_per_exp_pct" localSheetId="8">'SEI Wts2'!$I$28</definedName>
    <definedName name="scenario_3_per_exp_pct" localSheetId="10">'SEI Wts3'!$I$28</definedName>
    <definedName name="scenario_3_ret_var" localSheetId="6">'FEI Wts'!$I$24</definedName>
    <definedName name="scenario_3_ret_var" localSheetId="9">'FEI Wts2'!$I$24</definedName>
    <definedName name="scenario_3_ret_var" localSheetId="11">'FEI Wts3'!$I$24</definedName>
    <definedName name="scenario_3_ret_var" localSheetId="7">'SEI Wts'!$I$30</definedName>
    <definedName name="scenario_3_ret_var" localSheetId="8">'SEI Wts2'!$I$45</definedName>
    <definedName name="scenario_3_ret_var" localSheetId="10">'SEI Wts3'!$I$45</definedName>
    <definedName name="scenario_3_ret_var_pct" localSheetId="6">'FEI Wts'!$I$13</definedName>
    <definedName name="scenario_3_ret_var_pct" localSheetId="9">'FEI Wts2'!$I$13</definedName>
    <definedName name="scenario_3_ret_var_pct" localSheetId="11">'FEI Wts3'!$I$13</definedName>
    <definedName name="scenario_3_ret_var_pct" localSheetId="7">'SEI Wts'!$I$17</definedName>
    <definedName name="scenario_3_ret_var_pct" localSheetId="8">'SEI Wts2'!$I$27</definedName>
    <definedName name="scenario_3_ret_var_pct" localSheetId="10">'SEI Wts3'!$I$27</definedName>
    <definedName name="SE_Rankings_Anchor" localSheetId="16">PrioritizationData!$B$101</definedName>
    <definedName name="simple_av_loadings" localSheetId="6">'FEI Wts'!$F$21:$F$23</definedName>
    <definedName name="simple_av_loadings" localSheetId="9">'FEI Wts2'!$F$21:$F$23</definedName>
    <definedName name="simple_av_loadings" localSheetId="11">'FEI Wts3'!$F$21:$F$23</definedName>
    <definedName name="simple_av_loadings" localSheetId="7">'SEI Wts'!$F$25:$F$29</definedName>
    <definedName name="simple_av_loadings" localSheetId="8">'SEI Wts2'!$F$35:$F$44</definedName>
    <definedName name="simple_av_loadings" localSheetId="10">'SEI Wts3'!$F$35:$F$44</definedName>
    <definedName name="simple_av_loadings_calced" localSheetId="6">"FLAG"</definedName>
    <definedName name="simple_av_loadings_calced" localSheetId="9">"FLAG"</definedName>
    <definedName name="simple_av_loadings_calced" localSheetId="11">"FLAG"</definedName>
    <definedName name="simple_av_loadings_calced" localSheetId="7">"FLAG"</definedName>
    <definedName name="simple_av_loadings_calced" localSheetId="8">"FLAG"</definedName>
    <definedName name="simple_av_loadings_calced" localSheetId="10">"FLAG"</definedName>
    <definedName name="simple_av_loadings_pct" localSheetId="6">'FEI Wts'!$F$10:$F$12</definedName>
    <definedName name="simple_av_loadings_pct" localSheetId="9">'FEI Wts2'!$F$10:$F$12</definedName>
    <definedName name="simple_av_loadings_pct" localSheetId="11">'FEI Wts3'!$F$10:$F$12</definedName>
    <definedName name="simple_av_loadings_pct" localSheetId="7">'SEI Wts'!$F$12:$F$16</definedName>
    <definedName name="simple_av_loadings_pct" localSheetId="8">'SEI Wts2'!$F$17:$F$26</definedName>
    <definedName name="simple_av_loadings_pct" localSheetId="10">'SEI Wts3'!$F$17:$F$26</definedName>
    <definedName name="simple_av_per_exp" localSheetId="6">'FEI Wts'!$F$25</definedName>
    <definedName name="simple_av_per_exp" localSheetId="9">'FEI Wts2'!$F$25</definedName>
    <definedName name="simple_av_per_exp" localSheetId="11">'FEI Wts3'!$F$25</definedName>
    <definedName name="simple_av_per_exp" localSheetId="7">'SEI Wts'!$F$31</definedName>
    <definedName name="simple_av_per_exp" localSheetId="8">'SEI Wts2'!$F$46</definedName>
    <definedName name="simple_av_per_exp" localSheetId="10">'SEI Wts3'!$F$46</definedName>
    <definedName name="simple_av_per_exp_pct" localSheetId="6">'FEI Wts'!$F$14</definedName>
    <definedName name="simple_av_per_exp_pct" localSheetId="9">'FEI Wts2'!$F$14</definedName>
    <definedName name="simple_av_per_exp_pct" localSheetId="11">'FEI Wts3'!$F$14</definedName>
    <definedName name="simple_av_per_exp_pct" localSheetId="7">'SEI Wts'!$F$18</definedName>
    <definedName name="simple_av_per_exp_pct" localSheetId="8">'SEI Wts2'!$F$28</definedName>
    <definedName name="simple_av_per_exp_pct" localSheetId="10">'SEI Wts3'!$F$28</definedName>
    <definedName name="simple_av_ret_var" localSheetId="6">'FEI Wts'!$F$24</definedName>
    <definedName name="simple_av_ret_var" localSheetId="9">'FEI Wts2'!$F$24</definedName>
    <definedName name="simple_av_ret_var" localSheetId="11">'FEI Wts3'!$F$24</definedName>
    <definedName name="simple_av_ret_var" localSheetId="7">'SEI Wts'!$F$30</definedName>
    <definedName name="simple_av_ret_var" localSheetId="8">'SEI Wts2'!$F$45</definedName>
    <definedName name="simple_av_ret_var" localSheetId="10">'SEI Wts3'!$F$45</definedName>
    <definedName name="simple_av_ret_var_pct" localSheetId="6">'FEI Wts'!$F$13</definedName>
    <definedName name="simple_av_ret_var_pct" localSheetId="9">'FEI Wts2'!$F$13</definedName>
    <definedName name="simple_av_ret_var_pct" localSheetId="11">'FEI Wts3'!$F$13</definedName>
    <definedName name="simple_av_ret_var_pct" localSheetId="7">'SEI Wts'!$F$17</definedName>
    <definedName name="simple_av_ret_var_pct" localSheetId="8">'SEI Wts2'!$F$27</definedName>
    <definedName name="simple_av_ret_var_pct" localSheetId="10">'SEI Wts3'!$F$27</definedName>
    <definedName name="solver_adj" localSheetId="6" hidden="1">'FEI Wts'!$AD$9:$AD$11</definedName>
    <definedName name="solver_adj" localSheetId="9" hidden="1">'FEI Wts2'!$AD$9:$AD$11</definedName>
    <definedName name="solver_adj" localSheetId="11" hidden="1">'FEI Wts3'!$AD$9:$AD$11</definedName>
    <definedName name="solver_adj" localSheetId="7" hidden="1">'SEI Wts'!$AD$11:$AD$15</definedName>
    <definedName name="solver_adj" localSheetId="8" hidden="1">'SEI Wts2'!$AD$16:$AD$25</definedName>
    <definedName name="solver_adj" localSheetId="10" hidden="1">'SEI Wts3'!$AD$16:$AD$25</definedName>
    <definedName name="solver_cvg" localSheetId="7" hidden="1">0.0001</definedName>
    <definedName name="solver_cvg" localSheetId="8" hidden="1">0.0001</definedName>
    <definedName name="solver_drv" localSheetId="7" hidden="1">2</definedName>
    <definedName name="solver_drv" localSheetId="8" hidden="1">2</definedName>
    <definedName name="solver_eng" localSheetId="6" hidden="1">1</definedName>
    <definedName name="solver_eng" localSheetId="9" hidden="1">1</definedName>
    <definedName name="solver_eng" localSheetId="11" hidden="1">1</definedName>
    <definedName name="solver_eng" localSheetId="7" hidden="1">1</definedName>
    <definedName name="solver_eng" localSheetId="8" hidden="1">1</definedName>
    <definedName name="solver_eng" localSheetId="10" hidden="1">1</definedName>
    <definedName name="solver_est" localSheetId="7" hidden="1">1</definedName>
    <definedName name="solver_est" localSheetId="8" hidden="1">1</definedName>
    <definedName name="solver_itr" localSheetId="7" hidden="1">2147483647</definedName>
    <definedName name="solver_itr" localSheetId="8" hidden="1">2147483647</definedName>
    <definedName name="solver_lhs1" localSheetId="6" hidden="1">'FEI Wts'!$L$15</definedName>
    <definedName name="solver_lhs1" localSheetId="9" hidden="1">'FEI Wts2'!$AD$10</definedName>
    <definedName name="solver_lhs1" localSheetId="11" hidden="1">'FEI Wts3'!$AD$10</definedName>
    <definedName name="solver_lhs1" localSheetId="7" hidden="1">'SEI Wts'!$AD$12</definedName>
    <definedName name="solver_lhs1" localSheetId="8" hidden="1">'SEI Wts2'!$AD$16</definedName>
    <definedName name="solver_lhs1" localSheetId="10" hidden="1">'SEI Wts3'!$AD$21</definedName>
    <definedName name="solver_lhs2" localSheetId="6" hidden="1">'FEI Wts'!$AD$9:$AD$11</definedName>
    <definedName name="solver_lhs2" localSheetId="9" hidden="1">'FEI Wts2'!$L$15</definedName>
    <definedName name="solver_lhs2" localSheetId="11" hidden="1">'FEI Wts3'!$AD$9</definedName>
    <definedName name="solver_lhs2" localSheetId="7" hidden="1">'SEI Wts'!$AD$11</definedName>
    <definedName name="solver_lhs2" localSheetId="8" hidden="1">'SEI Wts2'!$AD$17</definedName>
    <definedName name="solver_lhs2" localSheetId="10" hidden="1">'SEI Wts3'!$AD$19</definedName>
    <definedName name="solver_lhs3" localSheetId="6" hidden="1">'FEI Wts'!$AD$9:$AD$11</definedName>
    <definedName name="solver_lhs3" localSheetId="9" hidden="1">'FEI Wts2'!$AD$9:$AD$11</definedName>
    <definedName name="solver_lhs3" localSheetId="11" hidden="1">'FEI Wts3'!$L$15</definedName>
    <definedName name="solver_lhs3" localSheetId="7" hidden="1">'SEI Wts'!$L$17</definedName>
    <definedName name="solver_lhs3" localSheetId="8" hidden="1">'SEI Wts2'!$AD$21</definedName>
    <definedName name="solver_lhs3" localSheetId="10" hidden="1">'SEI Wts3'!$L$22</definedName>
    <definedName name="solver_lhs4" localSheetId="9" hidden="1">'FEI Wts2'!$AD$9:$AD$11</definedName>
    <definedName name="solver_lhs4" localSheetId="11" hidden="1">'FEI Wts3'!$AD$9:$AD$11</definedName>
    <definedName name="solver_lhs4" localSheetId="7" hidden="1">'SEI Wts'!$AD$11:$AD$15</definedName>
    <definedName name="solver_lhs4" localSheetId="8" hidden="1">'SEI Wts2'!$AD$22</definedName>
    <definedName name="solver_lhs4" localSheetId="10" hidden="1">'SEI Wts3'!$AD$16:$AD$25</definedName>
    <definedName name="solver_lhs5" localSheetId="11" hidden="1">'FEI Wts3'!$AD$9:$AD$11</definedName>
    <definedName name="solver_lhs5" localSheetId="7" hidden="1">'SEI Wts'!$AD$11:$AD$15</definedName>
    <definedName name="solver_lhs5" localSheetId="8" hidden="1">'SEI Wts2'!$L$22</definedName>
    <definedName name="solver_lhs5" localSheetId="10" hidden="1">'SEI Wts3'!$AD$16:$AD$25</definedName>
    <definedName name="solver_lhs6" localSheetId="8" hidden="1">'SEI Wts2'!$AD$16:$AD$25</definedName>
    <definedName name="solver_lhs7" localSheetId="8" hidden="1">'SEI Wts2'!$AD$16:$AD$25</definedName>
    <definedName name="solver_mip" localSheetId="7" hidden="1">2147483647</definedName>
    <definedName name="solver_mip" localSheetId="8" hidden="1">2147483647</definedName>
    <definedName name="solver_mni" localSheetId="7" hidden="1">30</definedName>
    <definedName name="solver_mni" localSheetId="8" hidden="1">30</definedName>
    <definedName name="solver_mrt" localSheetId="7" hidden="1">0.075</definedName>
    <definedName name="solver_mrt" localSheetId="8" hidden="1">0.075</definedName>
    <definedName name="solver_msl" localSheetId="7" hidden="1">2</definedName>
    <definedName name="solver_msl" localSheetId="8" hidden="1">2</definedName>
    <definedName name="solver_neg" localSheetId="6" hidden="1">1</definedName>
    <definedName name="solver_neg" localSheetId="9" hidden="1">1</definedName>
    <definedName name="solver_neg" localSheetId="11" hidden="1">1</definedName>
    <definedName name="solver_neg" localSheetId="7" hidden="1">1</definedName>
    <definedName name="solver_neg" localSheetId="8" hidden="1">1</definedName>
    <definedName name="solver_neg" localSheetId="10" hidden="1">1</definedName>
    <definedName name="solver_nod" localSheetId="7" hidden="1">2147483647</definedName>
    <definedName name="solver_nod" localSheetId="8" hidden="1">2147483647</definedName>
    <definedName name="solver_num" localSheetId="6" hidden="1">3</definedName>
    <definedName name="solver_num" localSheetId="9" hidden="1">4</definedName>
    <definedName name="solver_num" localSheetId="11" hidden="1">5</definedName>
    <definedName name="solver_num" localSheetId="7" hidden="1">5</definedName>
    <definedName name="solver_num" localSheetId="8" hidden="1">7</definedName>
    <definedName name="solver_num" localSheetId="10" hidden="1">5</definedName>
    <definedName name="solver_nwt" localSheetId="7" hidden="1">1</definedName>
    <definedName name="solver_nwt" localSheetId="8" hidden="1">1</definedName>
    <definedName name="solver_opt" localSheetId="6" hidden="1">'FEI Wts'!$L$12</definedName>
    <definedName name="solver_opt" localSheetId="9" hidden="1">'FEI Wts2'!$L$12</definedName>
    <definedName name="solver_opt" localSheetId="11" hidden="1">'FEI Wts3'!$L$12</definedName>
    <definedName name="solver_opt" localSheetId="7" hidden="1">'SEI Wts'!$L$14</definedName>
    <definedName name="solver_opt" localSheetId="8" hidden="1">'SEI Wts2'!$L$19</definedName>
    <definedName name="solver_opt" localSheetId="10" hidden="1">'SEI Wts3'!$L$19</definedName>
    <definedName name="solver_pre" localSheetId="7" hidden="1">0.000001</definedName>
    <definedName name="solver_pre" localSheetId="8" hidden="1">0.000001</definedName>
    <definedName name="solver_rbv" localSheetId="7" hidden="1">2</definedName>
    <definedName name="solver_rbv" localSheetId="8" hidden="1">2</definedName>
    <definedName name="solver_rel1" localSheetId="6" hidden="1">2</definedName>
    <definedName name="solver_rel1" localSheetId="9" hidden="1">3</definedName>
    <definedName name="solver_rel1" localSheetId="11" hidden="1">3</definedName>
    <definedName name="solver_rel1" localSheetId="7" hidden="1">3</definedName>
    <definedName name="solver_rel1" localSheetId="8" hidden="1">3</definedName>
    <definedName name="solver_rel1" localSheetId="10" hidden="1">3</definedName>
    <definedName name="solver_rel2" localSheetId="6" hidden="1">3</definedName>
    <definedName name="solver_rel2" localSheetId="9" hidden="1">2</definedName>
    <definedName name="solver_rel2" localSheetId="11" hidden="1">1</definedName>
    <definedName name="solver_rel2" localSheetId="7" hidden="1">1</definedName>
    <definedName name="solver_rel2" localSheetId="8" hidden="1">3</definedName>
    <definedName name="solver_rel2" localSheetId="10" hidden="1">3</definedName>
    <definedName name="solver_rel3" localSheetId="6" hidden="1">1</definedName>
    <definedName name="solver_rel3" localSheetId="9" hidden="1">3</definedName>
    <definedName name="solver_rel3" localSheetId="11" hidden="1">2</definedName>
    <definedName name="solver_rel3" localSheetId="7" hidden="1">2</definedName>
    <definedName name="solver_rel3" localSheetId="8" hidden="1">1</definedName>
    <definedName name="solver_rel3" localSheetId="10" hidden="1">2</definedName>
    <definedName name="solver_rel4" localSheetId="9" hidden="1">1</definedName>
    <definedName name="solver_rel4" localSheetId="11" hidden="1">3</definedName>
    <definedName name="solver_rel4" localSheetId="7" hidden="1">3</definedName>
    <definedName name="solver_rel4" localSheetId="8" hidden="1">1</definedName>
    <definedName name="solver_rel4" localSheetId="10" hidden="1">3</definedName>
    <definedName name="solver_rel5" localSheetId="11" hidden="1">1</definedName>
    <definedName name="solver_rel5" localSheetId="7" hidden="1">1</definedName>
    <definedName name="solver_rel5" localSheetId="8" hidden="1">2</definedName>
    <definedName name="solver_rel5" localSheetId="10" hidden="1">1</definedName>
    <definedName name="solver_rel6" localSheetId="8" hidden="1">3</definedName>
    <definedName name="solver_rel7" localSheetId="8" hidden="1">1</definedName>
    <definedName name="solver_rhs1" localSheetId="6" hidden="1">1 * 1</definedName>
    <definedName name="solver_rhs1" localSheetId="9" hidden="1">0.251 * 1</definedName>
    <definedName name="solver_rhs1" localSheetId="11" hidden="1">0.051 * 1</definedName>
    <definedName name="solver_rhs1" localSheetId="7" hidden="1">0.251 * 1</definedName>
    <definedName name="solver_rhs1" localSheetId="8" hidden="1">0.101 * 1</definedName>
    <definedName name="solver_rhs1" localSheetId="10" hidden="1">0.201 * 1</definedName>
    <definedName name="solver_rhs2" localSheetId="6" hidden="1">'FEI Wts'!$W$9:$W$11</definedName>
    <definedName name="solver_rhs2" localSheetId="9" hidden="1">1 * 1</definedName>
    <definedName name="solver_rhs2" localSheetId="11" hidden="1">0.399 * 1</definedName>
    <definedName name="solver_rhs2" localSheetId="7" hidden="1">0.249 * 1</definedName>
    <definedName name="solver_rhs2" localSheetId="8" hidden="1">0.101 * 1</definedName>
    <definedName name="solver_rhs2" localSheetId="10" hidden="1">0.101 * 1</definedName>
    <definedName name="solver_rhs3" localSheetId="6" hidden="1">'FEI Wts'!$X$9:$X$11</definedName>
    <definedName name="solver_rhs3" localSheetId="9" hidden="1">-1 * 1</definedName>
    <definedName name="solver_rhs3" localSheetId="11" hidden="1">1 * 1</definedName>
    <definedName name="solver_rhs3" localSheetId="7" hidden="1">1 * 1</definedName>
    <definedName name="solver_rhs3" localSheetId="8" hidden="1">0.099 * 1</definedName>
    <definedName name="solver_rhs3" localSheetId="10" hidden="1">1 * 1</definedName>
    <definedName name="solver_rhs4" localSheetId="9" hidden="1">1 * 1</definedName>
    <definedName name="solver_rhs4" localSheetId="11" hidden="1">-1 * 1</definedName>
    <definedName name="solver_rhs4" localSheetId="7" hidden="1">-1 * 1</definedName>
    <definedName name="solver_rhs4" localSheetId="8" hidden="1">0.099 * 1</definedName>
    <definedName name="solver_rhs4" localSheetId="10" hidden="1">-1 * 1</definedName>
    <definedName name="solver_rhs5" localSheetId="11" hidden="1">1 * 1</definedName>
    <definedName name="solver_rhs5" localSheetId="7" hidden="1">1 * 1</definedName>
    <definedName name="solver_rhs5" localSheetId="8" hidden="1">1 * 1</definedName>
    <definedName name="solver_rhs5" localSheetId="10" hidden="1">1 * 1</definedName>
    <definedName name="solver_rhs6" localSheetId="8" hidden="1">-1 * 1</definedName>
    <definedName name="solver_rhs7" localSheetId="8" hidden="1">1 * 1</definedName>
    <definedName name="solver_rlx" localSheetId="7" hidden="1">2</definedName>
    <definedName name="solver_rlx" localSheetId="8" hidden="1">2</definedName>
    <definedName name="solver_rsd" localSheetId="7" hidden="1">0</definedName>
    <definedName name="solver_rsd" localSheetId="8" hidden="1">0</definedName>
    <definedName name="solver_scl" localSheetId="7" hidden="1">2</definedName>
    <definedName name="solver_scl" localSheetId="8" hidden="1">2</definedName>
    <definedName name="solver_sho" localSheetId="7" hidden="1">2</definedName>
    <definedName name="solver_sho" localSheetId="8" hidden="1">2</definedName>
    <definedName name="solver_ssz" localSheetId="7" hidden="1">100</definedName>
    <definedName name="solver_ssz" localSheetId="8" hidden="1">100</definedName>
    <definedName name="solver_tim" localSheetId="7" hidden="1">2147483647</definedName>
    <definedName name="solver_tim" localSheetId="8" hidden="1">2147483647</definedName>
    <definedName name="solver_tol" localSheetId="7" hidden="1">0.01</definedName>
    <definedName name="solver_tol" localSheetId="8" hidden="1">0.01</definedName>
    <definedName name="solver_typ" localSheetId="6" hidden="1">1</definedName>
    <definedName name="solver_typ" localSheetId="9" hidden="1">1</definedName>
    <definedName name="solver_typ" localSheetId="11" hidden="1">1</definedName>
    <definedName name="solver_typ" localSheetId="7" hidden="1">1</definedName>
    <definedName name="solver_typ" localSheetId="8" hidden="1">1</definedName>
    <definedName name="solver_typ" localSheetId="10" hidden="1">1</definedName>
    <definedName name="solver_val" localSheetId="6" hidden="1">0</definedName>
    <definedName name="solver_val" localSheetId="9" hidden="1">0</definedName>
    <definedName name="solver_val" localSheetId="11" hidden="1">0</definedName>
    <definedName name="solver_val" localSheetId="7" hidden="1">0</definedName>
    <definedName name="solver_val" localSheetId="8" hidden="1">0</definedName>
    <definedName name="solver_val" localSheetId="10" hidden="1">0</definedName>
    <definedName name="solver_ver" localSheetId="6" hidden="1">3</definedName>
    <definedName name="solver_ver" localSheetId="9" hidden="1">3</definedName>
    <definedName name="solver_ver" localSheetId="11" hidden="1">3</definedName>
    <definedName name="solver_ver" localSheetId="7" hidden="1">3</definedName>
    <definedName name="solver_ver" localSheetId="8" hidden="1">3</definedName>
    <definedName name="solver_ver" localSheetId="10" hidden="1">3</definedName>
    <definedName name="TotalBudget" localSheetId="13">500</definedName>
    <definedName name="TotalBudget" localSheetId="6">500</definedName>
    <definedName name="TotalBudget" localSheetId="9">500</definedName>
    <definedName name="TotalBudget" localSheetId="11">500</definedName>
    <definedName name="TotalBudget" localSheetId="12">500</definedName>
    <definedName name="TotalBudget" localSheetId="7">500</definedName>
    <definedName name="TotalBudget" localSheetId="8">500</definedName>
    <definedName name="TotalBudget" localSheetId="10">500</definedName>
    <definedName name="TotalProjects" localSheetId="13">28</definedName>
    <definedName name="TotalProjects" localSheetId="12">28</definedName>
    <definedName name="x" localSheetId="6">'FEI Wts'!$AE$9:$AE$11</definedName>
    <definedName name="x" localSheetId="9">'FEI Wts2'!$AE$9:$AE$11</definedName>
    <definedName name="x" localSheetId="11">'FEI Wts3'!$AE$9:$AE$11</definedName>
    <definedName name="x" localSheetId="7">'SEI Wts'!$AE$11:$AE$15</definedName>
    <definedName name="x" localSheetId="8">'SEI Wts2'!$AE$16:$AE$25</definedName>
    <definedName name="x" localSheetId="10">'SEI Wts3'!$AE$16:$AE$25</definedName>
  </definedNames>
  <calcPr calcId="145621"/>
</workbook>
</file>

<file path=xl/calcChain.xml><?xml version="1.0" encoding="utf-8"?>
<calcChain xmlns="http://schemas.openxmlformats.org/spreadsheetml/2006/main">
  <c r="BU4" i="288" l="1"/>
  <c r="BU3" i="288" s="1"/>
  <c r="BU5" i="288"/>
  <c r="BU6" i="288"/>
  <c r="BU7" i="288"/>
  <c r="BU8" i="288"/>
  <c r="BU9" i="288"/>
  <c r="BU10" i="288"/>
  <c r="BU11" i="288"/>
  <c r="BU12" i="288"/>
  <c r="BU13" i="288"/>
  <c r="BU14" i="288"/>
  <c r="BU15" i="288"/>
  <c r="BU16" i="288"/>
  <c r="BU17" i="288"/>
  <c r="BU18" i="288"/>
  <c r="BU19" i="288"/>
  <c r="BU20" i="288"/>
  <c r="BU21" i="288"/>
  <c r="BU22" i="288"/>
  <c r="BU23" i="288"/>
  <c r="BU24" i="288"/>
  <c r="BU25" i="288"/>
  <c r="BU26" i="288"/>
  <c r="BU27" i="288"/>
  <c r="BU28" i="288"/>
  <c r="BU29" i="288"/>
  <c r="BU30" i="288"/>
  <c r="BU31" i="288"/>
  <c r="BT4" i="288"/>
  <c r="BT3" i="288" s="1"/>
  <c r="BT5" i="288"/>
  <c r="BT6" i="288"/>
  <c r="BT7" i="288"/>
  <c r="BT8" i="288"/>
  <c r="BT9" i="288"/>
  <c r="BT10" i="288"/>
  <c r="BT11" i="288"/>
  <c r="BT12" i="288"/>
  <c r="BT13" i="288"/>
  <c r="BT14" i="288"/>
  <c r="BT15" i="288"/>
  <c r="BT16" i="288"/>
  <c r="BT17" i="288"/>
  <c r="BT18" i="288"/>
  <c r="BT19" i="288"/>
  <c r="BT20" i="288"/>
  <c r="BT21" i="288"/>
  <c r="BT22" i="288"/>
  <c r="BT23" i="288"/>
  <c r="BT24" i="288"/>
  <c r="BT25" i="288"/>
  <c r="BT26" i="288"/>
  <c r="BT27" i="288"/>
  <c r="BT28" i="288"/>
  <c r="BT29" i="288"/>
  <c r="BT30" i="288"/>
  <c r="BT31" i="288"/>
  <c r="BS4" i="288"/>
  <c r="BS3" i="288" s="1"/>
  <c r="BV3" i="288" s="1"/>
  <c r="BS5" i="288"/>
  <c r="BV5" i="288" s="1"/>
  <c r="BS6" i="288"/>
  <c r="BV6" i="288" s="1"/>
  <c r="BS7" i="288"/>
  <c r="BV7" i="288" s="1"/>
  <c r="BS8" i="288"/>
  <c r="BV8" i="288" s="1"/>
  <c r="BS9" i="288"/>
  <c r="BV9" i="288" s="1"/>
  <c r="BS10" i="288"/>
  <c r="BV10" i="288" s="1"/>
  <c r="BS11" i="288"/>
  <c r="BV11" i="288" s="1"/>
  <c r="BS12" i="288"/>
  <c r="BV12" i="288" s="1"/>
  <c r="BS13" i="288"/>
  <c r="BV13" i="288" s="1"/>
  <c r="BS14" i="288"/>
  <c r="BV14" i="288" s="1"/>
  <c r="BS15" i="288"/>
  <c r="BV15" i="288" s="1"/>
  <c r="BS16" i="288"/>
  <c r="BV16" i="288" s="1"/>
  <c r="BS17" i="288"/>
  <c r="BV17" i="288" s="1"/>
  <c r="BS18" i="288"/>
  <c r="BV18" i="288" s="1"/>
  <c r="BS19" i="288"/>
  <c r="BV19" i="288" s="1"/>
  <c r="BS20" i="288"/>
  <c r="BV20" i="288" s="1"/>
  <c r="BS21" i="288"/>
  <c r="BV21" i="288" s="1"/>
  <c r="BS22" i="288"/>
  <c r="BV22" i="288" s="1"/>
  <c r="BS23" i="288"/>
  <c r="BV23" i="288" s="1"/>
  <c r="BS24" i="288"/>
  <c r="BV24" i="288" s="1"/>
  <c r="BS25" i="288"/>
  <c r="BV25" i="288" s="1"/>
  <c r="BS26" i="288"/>
  <c r="BV26" i="288" s="1"/>
  <c r="BS27" i="288"/>
  <c r="BV27" i="288" s="1"/>
  <c r="BS28" i="288"/>
  <c r="BV28" i="288" s="1"/>
  <c r="BS29" i="288"/>
  <c r="BV29" i="288" s="1"/>
  <c r="BS30" i="288"/>
  <c r="BV30" i="288" s="1"/>
  <c r="BS31" i="288"/>
  <c r="BV31" i="288" s="1"/>
  <c r="BR3" i="288"/>
  <c r="BQ3" i="288"/>
  <c r="BP3" i="288"/>
  <c r="BH4" i="288"/>
  <c r="BH3" i="288" s="1"/>
  <c r="BH5" i="288"/>
  <c r="BH6" i="288"/>
  <c r="BH7" i="288"/>
  <c r="BH8" i="288"/>
  <c r="BH9" i="288"/>
  <c r="BH10" i="288"/>
  <c r="BH11" i="288"/>
  <c r="BH12" i="288"/>
  <c r="BH13" i="288"/>
  <c r="BH14" i="288"/>
  <c r="BH15" i="288"/>
  <c r="BH16" i="288"/>
  <c r="BH17" i="288"/>
  <c r="BH18" i="288"/>
  <c r="BH19" i="288"/>
  <c r="BH20" i="288"/>
  <c r="BH21" i="288"/>
  <c r="BH22" i="288"/>
  <c r="BH23" i="288"/>
  <c r="BH24" i="288"/>
  <c r="BH25" i="288"/>
  <c r="BH26" i="288"/>
  <c r="BH27" i="288"/>
  <c r="BH28" i="288"/>
  <c r="BH29" i="288"/>
  <c r="BH30" i="288"/>
  <c r="BH31" i="288"/>
  <c r="BG4" i="288"/>
  <c r="BG3" i="288" s="1"/>
  <c r="BG5" i="288"/>
  <c r="BG6" i="288"/>
  <c r="BG7" i="288"/>
  <c r="BG8" i="288"/>
  <c r="BG9" i="288"/>
  <c r="BG10" i="288"/>
  <c r="BG11" i="288"/>
  <c r="BG12" i="288"/>
  <c r="BG13" i="288"/>
  <c r="BG14" i="288"/>
  <c r="BG15" i="288"/>
  <c r="BG16" i="288"/>
  <c r="BG17" i="288"/>
  <c r="BG18" i="288"/>
  <c r="BG19" i="288"/>
  <c r="BG20" i="288"/>
  <c r="BG21" i="288"/>
  <c r="BG22" i="288"/>
  <c r="BG23" i="288"/>
  <c r="BG24" i="288"/>
  <c r="BG25" i="288"/>
  <c r="BG26" i="288"/>
  <c r="BG27" i="288"/>
  <c r="BG28" i="288"/>
  <c r="BG29" i="288"/>
  <c r="BG30" i="288"/>
  <c r="BG31" i="288"/>
  <c r="BF4" i="288"/>
  <c r="BF3" i="288" s="1"/>
  <c r="BI3" i="288" s="1"/>
  <c r="BF5" i="288"/>
  <c r="BI5" i="288" s="1"/>
  <c r="BF6" i="288"/>
  <c r="BI6" i="288" s="1"/>
  <c r="BF7" i="288"/>
  <c r="BI7" i="288" s="1"/>
  <c r="BF8" i="288"/>
  <c r="BI8" i="288" s="1"/>
  <c r="BF9" i="288"/>
  <c r="BI9" i="288" s="1"/>
  <c r="BF10" i="288"/>
  <c r="BI10" i="288" s="1"/>
  <c r="BF11" i="288"/>
  <c r="BI11" i="288" s="1"/>
  <c r="BF12" i="288"/>
  <c r="BI12" i="288" s="1"/>
  <c r="BF13" i="288"/>
  <c r="BI13" i="288" s="1"/>
  <c r="BF14" i="288"/>
  <c r="BI14" i="288" s="1"/>
  <c r="BF15" i="288"/>
  <c r="BI15" i="288" s="1"/>
  <c r="BF16" i="288"/>
  <c r="BI16" i="288" s="1"/>
  <c r="BF17" i="288"/>
  <c r="BI17" i="288" s="1"/>
  <c r="BF18" i="288"/>
  <c r="BI18" i="288" s="1"/>
  <c r="BF19" i="288"/>
  <c r="BI19" i="288" s="1"/>
  <c r="BF20" i="288"/>
  <c r="BI20" i="288" s="1"/>
  <c r="BF21" i="288"/>
  <c r="BI21" i="288" s="1"/>
  <c r="BF22" i="288"/>
  <c r="BI22" i="288" s="1"/>
  <c r="BF23" i="288"/>
  <c r="BI23" i="288" s="1"/>
  <c r="BF24" i="288"/>
  <c r="BI24" i="288" s="1"/>
  <c r="BF25" i="288"/>
  <c r="BI25" i="288" s="1"/>
  <c r="BF26" i="288"/>
  <c r="BI26" i="288" s="1"/>
  <c r="BF27" i="288"/>
  <c r="BI27" i="288" s="1"/>
  <c r="BF28" i="288"/>
  <c r="BI28" i="288" s="1"/>
  <c r="BF29" i="288"/>
  <c r="BI29" i="288" s="1"/>
  <c r="BF30" i="288"/>
  <c r="BI30" i="288" s="1"/>
  <c r="BF31" i="288"/>
  <c r="BI31" i="288" s="1"/>
  <c r="BE3" i="288"/>
  <c r="BD3" i="288"/>
  <c r="BC3" i="288"/>
  <c r="AU4" i="288"/>
  <c r="AU5" i="288"/>
  <c r="AU6" i="288"/>
  <c r="AU7" i="288"/>
  <c r="AU3" i="288" s="1"/>
  <c r="AU8" i="288"/>
  <c r="AU9" i="288"/>
  <c r="AU10" i="288"/>
  <c r="AU11" i="288"/>
  <c r="AU12" i="288"/>
  <c r="AU13" i="288"/>
  <c r="AU14" i="288"/>
  <c r="AU15" i="288"/>
  <c r="AU16" i="288"/>
  <c r="AU17" i="288"/>
  <c r="AU18" i="288"/>
  <c r="AU19" i="288"/>
  <c r="AU20" i="288"/>
  <c r="AU21" i="288"/>
  <c r="AU22" i="288"/>
  <c r="AU23" i="288"/>
  <c r="AU24" i="288"/>
  <c r="AU25" i="288"/>
  <c r="AU26" i="288"/>
  <c r="AU27" i="288"/>
  <c r="AU28" i="288"/>
  <c r="AU29" i="288"/>
  <c r="AU30" i="288"/>
  <c r="AU31" i="288"/>
  <c r="AT4" i="288"/>
  <c r="AT3" i="288" s="1"/>
  <c r="AT5" i="288"/>
  <c r="AT6" i="288"/>
  <c r="AT7" i="288"/>
  <c r="AT8" i="288"/>
  <c r="AT9" i="288"/>
  <c r="AT10" i="288"/>
  <c r="AT11" i="288"/>
  <c r="AT12" i="288"/>
  <c r="AT13" i="288"/>
  <c r="AT14" i="288"/>
  <c r="AT15" i="288"/>
  <c r="AT16" i="288"/>
  <c r="AT17" i="288"/>
  <c r="AT18" i="288"/>
  <c r="AT19" i="288"/>
  <c r="AT20" i="288"/>
  <c r="AT21" i="288"/>
  <c r="AT22" i="288"/>
  <c r="AT23" i="288"/>
  <c r="AT24" i="288"/>
  <c r="AT25" i="288"/>
  <c r="AT26" i="288"/>
  <c r="AT27" i="288"/>
  <c r="AT28" i="288"/>
  <c r="AT29" i="288"/>
  <c r="AT30" i="288"/>
  <c r="AT31" i="288"/>
  <c r="AS4" i="288"/>
  <c r="AV4" i="288" s="1"/>
  <c r="AS5" i="288"/>
  <c r="AS3" i="288" s="1"/>
  <c r="AS6" i="288"/>
  <c r="AV6" i="288" s="1"/>
  <c r="AS7" i="288"/>
  <c r="AV7" i="288" s="1"/>
  <c r="AS8" i="288"/>
  <c r="AV8" i="288" s="1"/>
  <c r="AS9" i="288"/>
  <c r="AV9" i="288" s="1"/>
  <c r="AS10" i="288"/>
  <c r="AV10" i="288" s="1"/>
  <c r="AS11" i="288"/>
  <c r="AV11" i="288" s="1"/>
  <c r="AS12" i="288"/>
  <c r="AV12" i="288" s="1"/>
  <c r="AS13" i="288"/>
  <c r="AV13" i="288" s="1"/>
  <c r="AS14" i="288"/>
  <c r="AV14" i="288" s="1"/>
  <c r="AS15" i="288"/>
  <c r="AV15" i="288" s="1"/>
  <c r="AS16" i="288"/>
  <c r="AV16" i="288" s="1"/>
  <c r="AS17" i="288"/>
  <c r="AV17" i="288" s="1"/>
  <c r="AS18" i="288"/>
  <c r="AV18" i="288" s="1"/>
  <c r="AS19" i="288"/>
  <c r="AV19" i="288" s="1"/>
  <c r="AS20" i="288"/>
  <c r="AV20" i="288" s="1"/>
  <c r="AS21" i="288"/>
  <c r="AV21" i="288" s="1"/>
  <c r="AS22" i="288"/>
  <c r="AV22" i="288" s="1"/>
  <c r="AS23" i="288"/>
  <c r="AV23" i="288" s="1"/>
  <c r="AS24" i="288"/>
  <c r="AV24" i="288" s="1"/>
  <c r="AS25" i="288"/>
  <c r="AV25" i="288" s="1"/>
  <c r="AS26" i="288"/>
  <c r="AV26" i="288" s="1"/>
  <c r="AS27" i="288"/>
  <c r="AV27" i="288" s="1"/>
  <c r="AS28" i="288"/>
  <c r="AV28" i="288" s="1"/>
  <c r="AS29" i="288"/>
  <c r="AV29" i="288" s="1"/>
  <c r="AS30" i="288"/>
  <c r="AV30" i="288" s="1"/>
  <c r="AS31" i="288"/>
  <c r="AV31" i="288" s="1"/>
  <c r="AR3" i="288"/>
  <c r="AQ3" i="288"/>
  <c r="AP3" i="288"/>
  <c r="AH4" i="288"/>
  <c r="AH5" i="288"/>
  <c r="AH3" i="288" s="1"/>
  <c r="AH6" i="288"/>
  <c r="AH7" i="288"/>
  <c r="AH8" i="288"/>
  <c r="AH9" i="288"/>
  <c r="AH10" i="288"/>
  <c r="AH11" i="288"/>
  <c r="AH12" i="288"/>
  <c r="AH13" i="288"/>
  <c r="AH14" i="288"/>
  <c r="AH15" i="288"/>
  <c r="AH16" i="288"/>
  <c r="AH17" i="288"/>
  <c r="AH18" i="288"/>
  <c r="AH19" i="288"/>
  <c r="AH20" i="288"/>
  <c r="AH21" i="288"/>
  <c r="AH22" i="288"/>
  <c r="AH23" i="288"/>
  <c r="AH24" i="288"/>
  <c r="AH25" i="288"/>
  <c r="AH26" i="288"/>
  <c r="AH27" i="288"/>
  <c r="AH28" i="288"/>
  <c r="AH29" i="288"/>
  <c r="AH30" i="288"/>
  <c r="AH31" i="288"/>
  <c r="AG4" i="288"/>
  <c r="AG3" i="288" s="1"/>
  <c r="AG5" i="288"/>
  <c r="AG6" i="288"/>
  <c r="AG7" i="288"/>
  <c r="AG8" i="288"/>
  <c r="AG9" i="288"/>
  <c r="AG10" i="288"/>
  <c r="AG11" i="288"/>
  <c r="AG12" i="288"/>
  <c r="AG13" i="288"/>
  <c r="AG14" i="288"/>
  <c r="AG15" i="288"/>
  <c r="AG16" i="288"/>
  <c r="AG17" i="288"/>
  <c r="AG18" i="288"/>
  <c r="AG19" i="288"/>
  <c r="AG20" i="288"/>
  <c r="AG21" i="288"/>
  <c r="AG22" i="288"/>
  <c r="AG23" i="288"/>
  <c r="AG24" i="288"/>
  <c r="AG25" i="288"/>
  <c r="AG26" i="288"/>
  <c r="AG27" i="288"/>
  <c r="AG28" i="288"/>
  <c r="AG29" i="288"/>
  <c r="AG30" i="288"/>
  <c r="AG31" i="288"/>
  <c r="AF4" i="288"/>
  <c r="AI4" i="288" s="1"/>
  <c r="AF5" i="288"/>
  <c r="AF3" i="288" s="1"/>
  <c r="AF6" i="288"/>
  <c r="AI6" i="288" s="1"/>
  <c r="AF7" i="288"/>
  <c r="AI7" i="288" s="1"/>
  <c r="AF8" i="288"/>
  <c r="AI8" i="288" s="1"/>
  <c r="AF9" i="288"/>
  <c r="AI9" i="288" s="1"/>
  <c r="AF10" i="288"/>
  <c r="AI10" i="288" s="1"/>
  <c r="AF11" i="288"/>
  <c r="AI11" i="288" s="1"/>
  <c r="AF12" i="288"/>
  <c r="AI12" i="288" s="1"/>
  <c r="AF13" i="288"/>
  <c r="AI13" i="288" s="1"/>
  <c r="AF14" i="288"/>
  <c r="AI14" i="288" s="1"/>
  <c r="AF15" i="288"/>
  <c r="AI15" i="288" s="1"/>
  <c r="AF16" i="288"/>
  <c r="AI16" i="288" s="1"/>
  <c r="AF17" i="288"/>
  <c r="AI17" i="288" s="1"/>
  <c r="AF18" i="288"/>
  <c r="AI18" i="288" s="1"/>
  <c r="AF19" i="288"/>
  <c r="AI19" i="288" s="1"/>
  <c r="AF20" i="288"/>
  <c r="AI20" i="288" s="1"/>
  <c r="AF21" i="288"/>
  <c r="AI21" i="288" s="1"/>
  <c r="AF22" i="288"/>
  <c r="AI22" i="288" s="1"/>
  <c r="AF23" i="288"/>
  <c r="AI23" i="288" s="1"/>
  <c r="AF24" i="288"/>
  <c r="AI24" i="288" s="1"/>
  <c r="AF25" i="288"/>
  <c r="AI25" i="288" s="1"/>
  <c r="AF26" i="288"/>
  <c r="AI26" i="288" s="1"/>
  <c r="AF27" i="288"/>
  <c r="AI27" i="288" s="1"/>
  <c r="AF28" i="288"/>
  <c r="AI28" i="288" s="1"/>
  <c r="AF29" i="288"/>
  <c r="AI29" i="288" s="1"/>
  <c r="AF30" i="288"/>
  <c r="AI30" i="288" s="1"/>
  <c r="AF31" i="288"/>
  <c r="AI31" i="288" s="1"/>
  <c r="AE3" i="288"/>
  <c r="AD3" i="288"/>
  <c r="AC3" i="288"/>
  <c r="U4" i="288"/>
  <c r="U5" i="288"/>
  <c r="U3" i="288" s="1"/>
  <c r="U6" i="288"/>
  <c r="U7" i="288"/>
  <c r="U8" i="288"/>
  <c r="U9" i="288"/>
  <c r="U10" i="288"/>
  <c r="U11" i="288"/>
  <c r="U12" i="288"/>
  <c r="U13" i="288"/>
  <c r="U14" i="288"/>
  <c r="U15" i="288"/>
  <c r="U16" i="288"/>
  <c r="U17" i="288"/>
  <c r="U18" i="288"/>
  <c r="U19" i="288"/>
  <c r="U20" i="288"/>
  <c r="U21" i="288"/>
  <c r="U22" i="288"/>
  <c r="U23" i="288"/>
  <c r="U24" i="288"/>
  <c r="U25" i="288"/>
  <c r="U26" i="288"/>
  <c r="U27" i="288"/>
  <c r="U28" i="288"/>
  <c r="U29" i="288"/>
  <c r="U30" i="288"/>
  <c r="U31" i="288"/>
  <c r="T4" i="288"/>
  <c r="T3" i="288" s="1"/>
  <c r="T5" i="288"/>
  <c r="T6" i="288"/>
  <c r="T7" i="288"/>
  <c r="T8" i="288"/>
  <c r="T9" i="288"/>
  <c r="T10" i="288"/>
  <c r="T11" i="288"/>
  <c r="T12" i="288"/>
  <c r="T13" i="288"/>
  <c r="T14" i="288"/>
  <c r="T15" i="288"/>
  <c r="T16" i="288"/>
  <c r="T17" i="288"/>
  <c r="T18" i="288"/>
  <c r="T19" i="288"/>
  <c r="T20" i="288"/>
  <c r="T21" i="288"/>
  <c r="T22" i="288"/>
  <c r="T23" i="288"/>
  <c r="T24" i="288"/>
  <c r="T25" i="288"/>
  <c r="T26" i="288"/>
  <c r="T27" i="288"/>
  <c r="T28" i="288"/>
  <c r="T29" i="288"/>
  <c r="T30" i="288"/>
  <c r="T31" i="288"/>
  <c r="S4" i="288"/>
  <c r="V4" i="288" s="1"/>
  <c r="S5" i="288"/>
  <c r="S3" i="288" s="1"/>
  <c r="V3" i="288" s="1"/>
  <c r="S6" i="288"/>
  <c r="V6" i="288" s="1"/>
  <c r="S7" i="288"/>
  <c r="V7" i="288" s="1"/>
  <c r="S8" i="288"/>
  <c r="V8" i="288" s="1"/>
  <c r="S9" i="288"/>
  <c r="V9" i="288" s="1"/>
  <c r="S10" i="288"/>
  <c r="V10" i="288" s="1"/>
  <c r="S11" i="288"/>
  <c r="V11" i="288" s="1"/>
  <c r="S12" i="288"/>
  <c r="V12" i="288" s="1"/>
  <c r="S13" i="288"/>
  <c r="V13" i="288" s="1"/>
  <c r="S14" i="288"/>
  <c r="V14" i="288" s="1"/>
  <c r="S15" i="288"/>
  <c r="V15" i="288" s="1"/>
  <c r="S16" i="288"/>
  <c r="V16" i="288" s="1"/>
  <c r="S17" i="288"/>
  <c r="V17" i="288" s="1"/>
  <c r="S18" i="288"/>
  <c r="V18" i="288" s="1"/>
  <c r="S19" i="288"/>
  <c r="V19" i="288" s="1"/>
  <c r="S20" i="288"/>
  <c r="V20" i="288" s="1"/>
  <c r="S21" i="288"/>
  <c r="V21" i="288" s="1"/>
  <c r="S22" i="288"/>
  <c r="V22" i="288" s="1"/>
  <c r="S23" i="288"/>
  <c r="V23" i="288" s="1"/>
  <c r="S24" i="288"/>
  <c r="V24" i="288" s="1"/>
  <c r="S25" i="288"/>
  <c r="V25" i="288" s="1"/>
  <c r="S26" i="288"/>
  <c r="V26" i="288" s="1"/>
  <c r="S27" i="288"/>
  <c r="V27" i="288" s="1"/>
  <c r="S28" i="288"/>
  <c r="V28" i="288" s="1"/>
  <c r="S29" i="288"/>
  <c r="V29" i="288" s="1"/>
  <c r="S30" i="288"/>
  <c r="V30" i="288" s="1"/>
  <c r="S31" i="288"/>
  <c r="V31" i="288" s="1"/>
  <c r="R3" i="288"/>
  <c r="Q3" i="288"/>
  <c r="P3" i="288"/>
  <c r="H4" i="288"/>
  <c r="H5" i="288"/>
  <c r="H6" i="288"/>
  <c r="H3" i="288" s="1"/>
  <c r="H7" i="288"/>
  <c r="H8" i="288"/>
  <c r="H9" i="288"/>
  <c r="H10" i="288"/>
  <c r="H11" i="288"/>
  <c r="H12" i="288"/>
  <c r="H13" i="288"/>
  <c r="H14" i="288"/>
  <c r="H15" i="288"/>
  <c r="I15" i="288" s="1"/>
  <c r="H16" i="288"/>
  <c r="H17" i="288"/>
  <c r="H18" i="288"/>
  <c r="H19" i="288"/>
  <c r="I19" i="288" s="1"/>
  <c r="H20" i="288"/>
  <c r="H21" i="288"/>
  <c r="H22" i="288"/>
  <c r="H23" i="288"/>
  <c r="I23" i="288" s="1"/>
  <c r="H24" i="288"/>
  <c r="H25" i="288"/>
  <c r="H26" i="288"/>
  <c r="H27" i="288"/>
  <c r="I27" i="288" s="1"/>
  <c r="H28" i="288"/>
  <c r="H29" i="288"/>
  <c r="H30" i="288"/>
  <c r="H31" i="288"/>
  <c r="G4" i="288"/>
  <c r="G3" i="288" s="1"/>
  <c r="G5" i="288"/>
  <c r="G6" i="288"/>
  <c r="G7" i="288"/>
  <c r="G8" i="288"/>
  <c r="G9" i="288"/>
  <c r="G10" i="288"/>
  <c r="I10" i="288" s="1"/>
  <c r="G11" i="288"/>
  <c r="G12" i="288"/>
  <c r="G13" i="288"/>
  <c r="G14" i="288"/>
  <c r="G15" i="288"/>
  <c r="G16" i="288"/>
  <c r="G17" i="288"/>
  <c r="G18" i="288"/>
  <c r="G19" i="288"/>
  <c r="G20" i="288"/>
  <c r="G21" i="288"/>
  <c r="G22" i="288"/>
  <c r="G23" i="288"/>
  <c r="G24" i="288"/>
  <c r="G25" i="288"/>
  <c r="G26" i="288"/>
  <c r="G27" i="288"/>
  <c r="G28" i="288"/>
  <c r="G29" i="288"/>
  <c r="G30" i="288"/>
  <c r="G31" i="288"/>
  <c r="F4" i="288"/>
  <c r="I4" i="288" s="1"/>
  <c r="F5" i="288"/>
  <c r="I5" i="288" s="1"/>
  <c r="F6" i="288"/>
  <c r="I6" i="288" s="1"/>
  <c r="F7" i="288"/>
  <c r="F8" i="288"/>
  <c r="I8" i="288" s="1"/>
  <c r="F9" i="288"/>
  <c r="I9" i="288" s="1"/>
  <c r="F10" i="288"/>
  <c r="F11" i="288"/>
  <c r="F12" i="288"/>
  <c r="I12" i="288" s="1"/>
  <c r="F13" i="288"/>
  <c r="I13" i="288" s="1"/>
  <c r="F14" i="288"/>
  <c r="I14" i="288" s="1"/>
  <c r="F15" i="288"/>
  <c r="F16" i="288"/>
  <c r="I16" i="288" s="1"/>
  <c r="F17" i="288"/>
  <c r="I17" i="288" s="1"/>
  <c r="F18" i="288"/>
  <c r="I18" i="288" s="1"/>
  <c r="F19" i="288"/>
  <c r="F20" i="288"/>
  <c r="I20" i="288" s="1"/>
  <c r="F21" i="288"/>
  <c r="I21" i="288" s="1"/>
  <c r="F22" i="288"/>
  <c r="I22" i="288" s="1"/>
  <c r="F23" i="288"/>
  <c r="F24" i="288"/>
  <c r="I24" i="288" s="1"/>
  <c r="F25" i="288"/>
  <c r="I25" i="288" s="1"/>
  <c r="F26" i="288"/>
  <c r="I26" i="288" s="1"/>
  <c r="F27" i="288"/>
  <c r="F28" i="288"/>
  <c r="I28" i="288" s="1"/>
  <c r="F29" i="288"/>
  <c r="I29" i="288" s="1"/>
  <c r="F30" i="288"/>
  <c r="I30" i="288" s="1"/>
  <c r="F31" i="288"/>
  <c r="I31" i="288" s="1"/>
  <c r="E3" i="288"/>
  <c r="D3" i="288"/>
  <c r="C3" i="288"/>
  <c r="FA4" i="287"/>
  <c r="FA3" i="287" s="1"/>
  <c r="FA5" i="287"/>
  <c r="FA6" i="287"/>
  <c r="FA7" i="287"/>
  <c r="FA8" i="287"/>
  <c r="FA9" i="287"/>
  <c r="FA10" i="287"/>
  <c r="FA11" i="287"/>
  <c r="FA12" i="287"/>
  <c r="FA13" i="287"/>
  <c r="FA14" i="287"/>
  <c r="FA15" i="287"/>
  <c r="FA16" i="287"/>
  <c r="FA17" i="287"/>
  <c r="FA18" i="287"/>
  <c r="FA19" i="287"/>
  <c r="FA20" i="287"/>
  <c r="FA21" i="287"/>
  <c r="FA22" i="287"/>
  <c r="FA23" i="287"/>
  <c r="FA24" i="287"/>
  <c r="FA25" i="287"/>
  <c r="FA26" i="287"/>
  <c r="FA27" i="287"/>
  <c r="FA28" i="287"/>
  <c r="FA29" i="287"/>
  <c r="FA30" i="287"/>
  <c r="FA31" i="287"/>
  <c r="EZ4" i="287"/>
  <c r="EZ3" i="287" s="1"/>
  <c r="EZ5" i="287"/>
  <c r="EZ6" i="287"/>
  <c r="EZ7" i="287"/>
  <c r="EZ8" i="287"/>
  <c r="EZ9" i="287"/>
  <c r="EZ10" i="287"/>
  <c r="EZ11" i="287"/>
  <c r="EZ12" i="287"/>
  <c r="EZ13" i="287"/>
  <c r="EZ14" i="287"/>
  <c r="EZ15" i="287"/>
  <c r="EZ16" i="287"/>
  <c r="EZ17" i="287"/>
  <c r="EZ18" i="287"/>
  <c r="EZ19" i="287"/>
  <c r="EZ20" i="287"/>
  <c r="EZ21" i="287"/>
  <c r="EZ22" i="287"/>
  <c r="EZ23" i="287"/>
  <c r="EZ24" i="287"/>
  <c r="EZ25" i="287"/>
  <c r="EZ26" i="287"/>
  <c r="EZ27" i="287"/>
  <c r="EZ28" i="287"/>
  <c r="EZ29" i="287"/>
  <c r="EZ30" i="287"/>
  <c r="EZ31" i="287"/>
  <c r="EY4" i="287"/>
  <c r="EY3" i="287" s="1"/>
  <c r="EY5" i="287"/>
  <c r="EY6" i="287"/>
  <c r="EY7" i="287"/>
  <c r="EY8" i="287"/>
  <c r="EY9" i="287"/>
  <c r="EY10" i="287"/>
  <c r="EY11" i="287"/>
  <c r="EY12" i="287"/>
  <c r="EY13" i="287"/>
  <c r="EY14" i="287"/>
  <c r="EY15" i="287"/>
  <c r="EY16" i="287"/>
  <c r="EY17" i="287"/>
  <c r="EY18" i="287"/>
  <c r="EY19" i="287"/>
  <c r="EY20" i="287"/>
  <c r="EY21" i="287"/>
  <c r="EY22" i="287"/>
  <c r="EY23" i="287"/>
  <c r="EY24" i="287"/>
  <c r="EY25" i="287"/>
  <c r="EY26" i="287"/>
  <c r="EY27" i="287"/>
  <c r="EY28" i="287"/>
  <c r="EY29" i="287"/>
  <c r="EY30" i="287"/>
  <c r="EY31" i="287"/>
  <c r="EX4" i="287"/>
  <c r="EX5" i="287"/>
  <c r="EX6" i="287"/>
  <c r="EX3" i="287" s="1"/>
  <c r="EX7" i="287"/>
  <c r="EX8" i="287"/>
  <c r="EX9" i="287"/>
  <c r="EX10" i="287"/>
  <c r="EX11" i="287"/>
  <c r="EX12" i="287"/>
  <c r="EX13" i="287"/>
  <c r="EX14" i="287"/>
  <c r="EX15" i="287"/>
  <c r="EX16" i="287"/>
  <c r="EX17" i="287"/>
  <c r="EX18" i="287"/>
  <c r="EX19" i="287"/>
  <c r="EX20" i="287"/>
  <c r="EX21" i="287"/>
  <c r="EX22" i="287"/>
  <c r="EX23" i="287"/>
  <c r="EX24" i="287"/>
  <c r="EX25" i="287"/>
  <c r="EX26" i="287"/>
  <c r="EX27" i="287"/>
  <c r="EX28" i="287"/>
  <c r="EX29" i="287"/>
  <c r="EX30" i="287"/>
  <c r="EX31" i="287"/>
  <c r="EW4" i="287"/>
  <c r="EW3" i="287" s="1"/>
  <c r="EW5" i="287"/>
  <c r="EW6" i="287"/>
  <c r="EW7" i="287"/>
  <c r="EW8" i="287"/>
  <c r="EW9" i="287"/>
  <c r="EW10" i="287"/>
  <c r="EW11" i="287"/>
  <c r="EW12" i="287"/>
  <c r="EW13" i="287"/>
  <c r="EW14" i="287"/>
  <c r="EW15" i="287"/>
  <c r="EW16" i="287"/>
  <c r="EW17" i="287"/>
  <c r="EW18" i="287"/>
  <c r="EW19" i="287"/>
  <c r="EW20" i="287"/>
  <c r="EW21" i="287"/>
  <c r="EW22" i="287"/>
  <c r="EW23" i="287"/>
  <c r="EW24" i="287"/>
  <c r="EW25" i="287"/>
  <c r="EW26" i="287"/>
  <c r="EW27" i="287"/>
  <c r="EW28" i="287"/>
  <c r="EW29" i="287"/>
  <c r="EW30" i="287"/>
  <c r="EW31" i="287"/>
  <c r="EV4" i="287"/>
  <c r="EV3" i="287" s="1"/>
  <c r="EV5" i="287"/>
  <c r="EV6" i="287"/>
  <c r="EV7" i="287"/>
  <c r="EV8" i="287"/>
  <c r="EV9" i="287"/>
  <c r="EV10" i="287"/>
  <c r="EV11" i="287"/>
  <c r="EV12" i="287"/>
  <c r="EV13" i="287"/>
  <c r="EV14" i="287"/>
  <c r="EV15" i="287"/>
  <c r="EV16" i="287"/>
  <c r="EV17" i="287"/>
  <c r="EV18" i="287"/>
  <c r="EV19" i="287"/>
  <c r="EV20" i="287"/>
  <c r="EV21" i="287"/>
  <c r="EV22" i="287"/>
  <c r="EV23" i="287"/>
  <c r="EV24" i="287"/>
  <c r="EV25" i="287"/>
  <c r="EV26" i="287"/>
  <c r="EV27" i="287"/>
  <c r="EV28" i="287"/>
  <c r="EV29" i="287"/>
  <c r="EV30" i="287"/>
  <c r="EV31" i="287"/>
  <c r="EU4" i="287"/>
  <c r="EU5" i="287"/>
  <c r="EU6" i="287"/>
  <c r="EU7" i="287"/>
  <c r="EU3" i="287" s="1"/>
  <c r="EU8" i="287"/>
  <c r="EU9" i="287"/>
  <c r="EU10" i="287"/>
  <c r="EU11" i="287"/>
  <c r="EU12" i="287"/>
  <c r="EU13" i="287"/>
  <c r="EU14" i="287"/>
  <c r="EU15" i="287"/>
  <c r="EU16" i="287"/>
  <c r="EU17" i="287"/>
  <c r="EU18" i="287"/>
  <c r="EU19" i="287"/>
  <c r="EU20" i="287"/>
  <c r="EU21" i="287"/>
  <c r="EU22" i="287"/>
  <c r="EU23" i="287"/>
  <c r="EU24" i="287"/>
  <c r="EU25" i="287"/>
  <c r="EU26" i="287"/>
  <c r="EU27" i="287"/>
  <c r="EU28" i="287"/>
  <c r="EU29" i="287"/>
  <c r="EU30" i="287"/>
  <c r="EU31" i="287"/>
  <c r="ET4" i="287"/>
  <c r="ET5" i="287"/>
  <c r="ET6" i="287"/>
  <c r="ET3" i="287" s="1"/>
  <c r="ET7" i="287"/>
  <c r="ET8" i="287"/>
  <c r="ET9" i="287"/>
  <c r="ET10" i="287"/>
  <c r="ET11" i="287"/>
  <c r="ET12" i="287"/>
  <c r="ET13" i="287"/>
  <c r="ET14" i="287"/>
  <c r="ET15" i="287"/>
  <c r="ET16" i="287"/>
  <c r="ET17" i="287"/>
  <c r="ET18" i="287"/>
  <c r="ET19" i="287"/>
  <c r="ET20" i="287"/>
  <c r="ET21" i="287"/>
  <c r="ET22" i="287"/>
  <c r="ET23" i="287"/>
  <c r="ET24" i="287"/>
  <c r="ET25" i="287"/>
  <c r="ET26" i="287"/>
  <c r="ET27" i="287"/>
  <c r="ET28" i="287"/>
  <c r="ET29" i="287"/>
  <c r="ET30" i="287"/>
  <c r="ET31" i="287"/>
  <c r="ES4" i="287"/>
  <c r="ES3" i="287" s="1"/>
  <c r="ES5" i="287"/>
  <c r="ES6" i="287"/>
  <c r="ES7" i="287"/>
  <c r="ES8" i="287"/>
  <c r="ES9" i="287"/>
  <c r="ES10" i="287"/>
  <c r="ES11" i="287"/>
  <c r="ES12" i="287"/>
  <c r="ES13" i="287"/>
  <c r="ES14" i="287"/>
  <c r="ES15" i="287"/>
  <c r="ES16" i="287"/>
  <c r="ES17" i="287"/>
  <c r="ES18" i="287"/>
  <c r="ES19" i="287"/>
  <c r="ES20" i="287"/>
  <c r="ES21" i="287"/>
  <c r="ES22" i="287"/>
  <c r="ES23" i="287"/>
  <c r="ES24" i="287"/>
  <c r="ES25" i="287"/>
  <c r="ES26" i="287"/>
  <c r="ES27" i="287"/>
  <c r="ES28" i="287"/>
  <c r="ES29" i="287"/>
  <c r="ES30" i="287"/>
  <c r="ES31" i="287"/>
  <c r="ER4" i="287"/>
  <c r="FB4" i="287" s="1"/>
  <c r="ER5" i="287"/>
  <c r="FB5" i="287" s="1"/>
  <c r="ER6" i="287"/>
  <c r="FB6" i="287" s="1"/>
  <c r="ER7" i="287"/>
  <c r="FB7" i="287" s="1"/>
  <c r="ER8" i="287"/>
  <c r="FB8" i="287" s="1"/>
  <c r="ER9" i="287"/>
  <c r="FB9" i="287" s="1"/>
  <c r="ER10" i="287"/>
  <c r="FB10" i="287" s="1"/>
  <c r="ER11" i="287"/>
  <c r="FB11" i="287" s="1"/>
  <c r="ER12" i="287"/>
  <c r="FB12" i="287" s="1"/>
  <c r="ER13" i="287"/>
  <c r="FB13" i="287" s="1"/>
  <c r="ER14" i="287"/>
  <c r="FB14" i="287" s="1"/>
  <c r="ER15" i="287"/>
  <c r="FB15" i="287" s="1"/>
  <c r="ER16" i="287"/>
  <c r="FB16" i="287" s="1"/>
  <c r="ER17" i="287"/>
  <c r="FB17" i="287" s="1"/>
  <c r="ER18" i="287"/>
  <c r="FB18" i="287" s="1"/>
  <c r="ER19" i="287"/>
  <c r="FB19" i="287" s="1"/>
  <c r="ER20" i="287"/>
  <c r="FB20" i="287" s="1"/>
  <c r="ER21" i="287"/>
  <c r="FB21" i="287" s="1"/>
  <c r="ER22" i="287"/>
  <c r="FB22" i="287" s="1"/>
  <c r="ER23" i="287"/>
  <c r="FB23" i="287" s="1"/>
  <c r="ER24" i="287"/>
  <c r="FB24" i="287" s="1"/>
  <c r="ER25" i="287"/>
  <c r="FB25" i="287" s="1"/>
  <c r="ER26" i="287"/>
  <c r="FB26" i="287" s="1"/>
  <c r="ER27" i="287"/>
  <c r="FB27" i="287" s="1"/>
  <c r="ER28" i="287"/>
  <c r="FB28" i="287" s="1"/>
  <c r="ER29" i="287"/>
  <c r="FB29" i="287" s="1"/>
  <c r="ER30" i="287"/>
  <c r="FB30" i="287" s="1"/>
  <c r="ER31" i="287"/>
  <c r="FB31" i="287" s="1"/>
  <c r="EQ3" i="287"/>
  <c r="EP3" i="287"/>
  <c r="EO3" i="287"/>
  <c r="EN3" i="287"/>
  <c r="EM3" i="287"/>
  <c r="EL3" i="287"/>
  <c r="EK3" i="287"/>
  <c r="EJ3" i="287"/>
  <c r="EI3" i="287"/>
  <c r="EH3" i="287"/>
  <c r="DZ4" i="287"/>
  <c r="DZ3" i="287" s="1"/>
  <c r="DZ5" i="287"/>
  <c r="DZ6" i="287"/>
  <c r="DZ7" i="287"/>
  <c r="DZ8" i="287"/>
  <c r="DZ9" i="287"/>
  <c r="DZ10" i="287"/>
  <c r="DZ11" i="287"/>
  <c r="DZ12" i="287"/>
  <c r="DZ13" i="287"/>
  <c r="DZ14" i="287"/>
  <c r="DZ15" i="287"/>
  <c r="DZ16" i="287"/>
  <c r="DZ17" i="287"/>
  <c r="DZ18" i="287"/>
  <c r="DZ19" i="287"/>
  <c r="DZ20" i="287"/>
  <c r="DZ21" i="287"/>
  <c r="DZ22" i="287"/>
  <c r="DZ23" i="287"/>
  <c r="DZ24" i="287"/>
  <c r="DZ25" i="287"/>
  <c r="DZ26" i="287"/>
  <c r="DZ27" i="287"/>
  <c r="DZ28" i="287"/>
  <c r="DZ29" i="287"/>
  <c r="DZ30" i="287"/>
  <c r="DZ31" i="287"/>
  <c r="DY4" i="287"/>
  <c r="DY5" i="287"/>
  <c r="DY6" i="287"/>
  <c r="DY3" i="287" s="1"/>
  <c r="DY7" i="287"/>
  <c r="DY8" i="287"/>
  <c r="DY9" i="287"/>
  <c r="DY10" i="287"/>
  <c r="DY11" i="287"/>
  <c r="DY12" i="287"/>
  <c r="DY13" i="287"/>
  <c r="DY14" i="287"/>
  <c r="DY15" i="287"/>
  <c r="DY16" i="287"/>
  <c r="DY17" i="287"/>
  <c r="DY18" i="287"/>
  <c r="DY19" i="287"/>
  <c r="DY20" i="287"/>
  <c r="DY21" i="287"/>
  <c r="DY22" i="287"/>
  <c r="DY23" i="287"/>
  <c r="DY24" i="287"/>
  <c r="DY25" i="287"/>
  <c r="DY26" i="287"/>
  <c r="DY27" i="287"/>
  <c r="DY28" i="287"/>
  <c r="DY29" i="287"/>
  <c r="DY30" i="287"/>
  <c r="DY31" i="287"/>
  <c r="DX4" i="287"/>
  <c r="DX3" i="287" s="1"/>
  <c r="DX5" i="287"/>
  <c r="DX6" i="287"/>
  <c r="DX7" i="287"/>
  <c r="DX8" i="287"/>
  <c r="DX9" i="287"/>
  <c r="DX10" i="287"/>
  <c r="DX11" i="287"/>
  <c r="DX12" i="287"/>
  <c r="DX13" i="287"/>
  <c r="DX14" i="287"/>
  <c r="DX15" i="287"/>
  <c r="DX16" i="287"/>
  <c r="DX17" i="287"/>
  <c r="DX18" i="287"/>
  <c r="DX19" i="287"/>
  <c r="DX20" i="287"/>
  <c r="DX21" i="287"/>
  <c r="DX22" i="287"/>
  <c r="DX23" i="287"/>
  <c r="DX24" i="287"/>
  <c r="DX25" i="287"/>
  <c r="DX26" i="287"/>
  <c r="DX27" i="287"/>
  <c r="DX28" i="287"/>
  <c r="DX29" i="287"/>
  <c r="DX30" i="287"/>
  <c r="DX31" i="287"/>
  <c r="DW4" i="287"/>
  <c r="DW3" i="287" s="1"/>
  <c r="DW5" i="287"/>
  <c r="DW6" i="287"/>
  <c r="DW7" i="287"/>
  <c r="DW8" i="287"/>
  <c r="DW9" i="287"/>
  <c r="DW10" i="287"/>
  <c r="DW11" i="287"/>
  <c r="DW12" i="287"/>
  <c r="DW13" i="287"/>
  <c r="DW14" i="287"/>
  <c r="DW15" i="287"/>
  <c r="DW16" i="287"/>
  <c r="DW17" i="287"/>
  <c r="DW18" i="287"/>
  <c r="DW19" i="287"/>
  <c r="DW20" i="287"/>
  <c r="DW21" i="287"/>
  <c r="DW22" i="287"/>
  <c r="DW23" i="287"/>
  <c r="DW24" i="287"/>
  <c r="DW25" i="287"/>
  <c r="DW26" i="287"/>
  <c r="DW27" i="287"/>
  <c r="DW28" i="287"/>
  <c r="DW29" i="287"/>
  <c r="DW30" i="287"/>
  <c r="DW31" i="287"/>
  <c r="DV4" i="287"/>
  <c r="DV3" i="287" s="1"/>
  <c r="DV5" i="287"/>
  <c r="DV6" i="287"/>
  <c r="DV7" i="287"/>
  <c r="DV8" i="287"/>
  <c r="DV9" i="287"/>
  <c r="DV10" i="287"/>
  <c r="DV11" i="287"/>
  <c r="DV12" i="287"/>
  <c r="DV13" i="287"/>
  <c r="DV14" i="287"/>
  <c r="DV15" i="287"/>
  <c r="DV16" i="287"/>
  <c r="DV17" i="287"/>
  <c r="DV18" i="287"/>
  <c r="DV19" i="287"/>
  <c r="DV20" i="287"/>
  <c r="DV21" i="287"/>
  <c r="DV22" i="287"/>
  <c r="DV23" i="287"/>
  <c r="DV24" i="287"/>
  <c r="DV25" i="287"/>
  <c r="DV26" i="287"/>
  <c r="DV27" i="287"/>
  <c r="DV28" i="287"/>
  <c r="DV29" i="287"/>
  <c r="DV30" i="287"/>
  <c r="DV31" i="287"/>
  <c r="DU4" i="287"/>
  <c r="DU5" i="287"/>
  <c r="DU6" i="287"/>
  <c r="DU3" i="287" s="1"/>
  <c r="DU7" i="287"/>
  <c r="DU8" i="287"/>
  <c r="DU9" i="287"/>
  <c r="DU10" i="287"/>
  <c r="DU11" i="287"/>
  <c r="DU12" i="287"/>
  <c r="DU13" i="287"/>
  <c r="DU14" i="287"/>
  <c r="DU15" i="287"/>
  <c r="DU16" i="287"/>
  <c r="DU17" i="287"/>
  <c r="DU18" i="287"/>
  <c r="DU19" i="287"/>
  <c r="DU20" i="287"/>
  <c r="DU21" i="287"/>
  <c r="DU22" i="287"/>
  <c r="DU23" i="287"/>
  <c r="DU24" i="287"/>
  <c r="DU25" i="287"/>
  <c r="DU26" i="287"/>
  <c r="DU27" i="287"/>
  <c r="DU28" i="287"/>
  <c r="DU29" i="287"/>
  <c r="DU30" i="287"/>
  <c r="DU31" i="287"/>
  <c r="DT4" i="287"/>
  <c r="DT3" i="287" s="1"/>
  <c r="DT5" i="287"/>
  <c r="DT6" i="287"/>
  <c r="DT7" i="287"/>
  <c r="DT8" i="287"/>
  <c r="DT9" i="287"/>
  <c r="DT10" i="287"/>
  <c r="DT11" i="287"/>
  <c r="DT12" i="287"/>
  <c r="DT13" i="287"/>
  <c r="DT14" i="287"/>
  <c r="DT15" i="287"/>
  <c r="DT16" i="287"/>
  <c r="DT17" i="287"/>
  <c r="DT18" i="287"/>
  <c r="DT19" i="287"/>
  <c r="DT20" i="287"/>
  <c r="DT21" i="287"/>
  <c r="DT22" i="287"/>
  <c r="DT23" i="287"/>
  <c r="DT24" i="287"/>
  <c r="DT25" i="287"/>
  <c r="DT26" i="287"/>
  <c r="DT27" i="287"/>
  <c r="DT28" i="287"/>
  <c r="DT29" i="287"/>
  <c r="DT30" i="287"/>
  <c r="DT31" i="287"/>
  <c r="DS4" i="287"/>
  <c r="DS3" i="287" s="1"/>
  <c r="DS5" i="287"/>
  <c r="DS6" i="287"/>
  <c r="DS7" i="287"/>
  <c r="DS8" i="287"/>
  <c r="DS9" i="287"/>
  <c r="DS10" i="287"/>
  <c r="DS11" i="287"/>
  <c r="DS12" i="287"/>
  <c r="DS13" i="287"/>
  <c r="DS14" i="287"/>
  <c r="DS15" i="287"/>
  <c r="DS16" i="287"/>
  <c r="DS17" i="287"/>
  <c r="DS18" i="287"/>
  <c r="DS19" i="287"/>
  <c r="DS20" i="287"/>
  <c r="DS21" i="287"/>
  <c r="DS22" i="287"/>
  <c r="DS23" i="287"/>
  <c r="DS24" i="287"/>
  <c r="DS25" i="287"/>
  <c r="DS26" i="287"/>
  <c r="DS27" i="287"/>
  <c r="DS28" i="287"/>
  <c r="DS29" i="287"/>
  <c r="DS30" i="287"/>
  <c r="DS31" i="287"/>
  <c r="DR4" i="287"/>
  <c r="DR3" i="287" s="1"/>
  <c r="DR5" i="287"/>
  <c r="DR6" i="287"/>
  <c r="DR7" i="287"/>
  <c r="DR8" i="287"/>
  <c r="DR9" i="287"/>
  <c r="DR10" i="287"/>
  <c r="DR11" i="287"/>
  <c r="DR12" i="287"/>
  <c r="DR13" i="287"/>
  <c r="DR14" i="287"/>
  <c r="DR15" i="287"/>
  <c r="DR16" i="287"/>
  <c r="DR17" i="287"/>
  <c r="DR18" i="287"/>
  <c r="DR19" i="287"/>
  <c r="DR20" i="287"/>
  <c r="DR21" i="287"/>
  <c r="DR22" i="287"/>
  <c r="DR23" i="287"/>
  <c r="DR24" i="287"/>
  <c r="DR25" i="287"/>
  <c r="DR26" i="287"/>
  <c r="DR27" i="287"/>
  <c r="DR28" i="287"/>
  <c r="DR29" i="287"/>
  <c r="DR30" i="287"/>
  <c r="DR31" i="287"/>
  <c r="DQ4" i="287"/>
  <c r="EA4" i="287" s="1"/>
  <c r="DQ5" i="287"/>
  <c r="EA5" i="287" s="1"/>
  <c r="DQ6" i="287"/>
  <c r="DQ3" i="287" s="1"/>
  <c r="DQ7" i="287"/>
  <c r="EA7" i="287" s="1"/>
  <c r="DQ8" i="287"/>
  <c r="EA8" i="287" s="1"/>
  <c r="DQ9" i="287"/>
  <c r="EA9" i="287" s="1"/>
  <c r="DQ10" i="287"/>
  <c r="EA10" i="287" s="1"/>
  <c r="DQ11" i="287"/>
  <c r="EA11" i="287" s="1"/>
  <c r="DQ12" i="287"/>
  <c r="EA12" i="287" s="1"/>
  <c r="DQ13" i="287"/>
  <c r="EA13" i="287" s="1"/>
  <c r="DQ14" i="287"/>
  <c r="EA14" i="287" s="1"/>
  <c r="DQ15" i="287"/>
  <c r="EA15" i="287" s="1"/>
  <c r="DQ16" i="287"/>
  <c r="EA16" i="287" s="1"/>
  <c r="DQ17" i="287"/>
  <c r="EA17" i="287" s="1"/>
  <c r="DQ18" i="287"/>
  <c r="EA18" i="287" s="1"/>
  <c r="DQ19" i="287"/>
  <c r="EA19" i="287" s="1"/>
  <c r="DQ20" i="287"/>
  <c r="EA20" i="287" s="1"/>
  <c r="DQ21" i="287"/>
  <c r="EA21" i="287" s="1"/>
  <c r="DQ22" i="287"/>
  <c r="EA22" i="287" s="1"/>
  <c r="DQ23" i="287"/>
  <c r="EA23" i="287" s="1"/>
  <c r="DQ24" i="287"/>
  <c r="EA24" i="287" s="1"/>
  <c r="DQ25" i="287"/>
  <c r="EA25" i="287" s="1"/>
  <c r="DQ26" i="287"/>
  <c r="EA26" i="287" s="1"/>
  <c r="DQ27" i="287"/>
  <c r="EA27" i="287" s="1"/>
  <c r="DQ28" i="287"/>
  <c r="EA28" i="287" s="1"/>
  <c r="DQ29" i="287"/>
  <c r="EA29" i="287" s="1"/>
  <c r="DQ30" i="287"/>
  <c r="EA30" i="287" s="1"/>
  <c r="DQ31" i="287"/>
  <c r="EA31" i="287" s="1"/>
  <c r="DP3" i="287"/>
  <c r="DO3" i="287"/>
  <c r="DN3" i="287"/>
  <c r="DM3" i="287"/>
  <c r="DL3" i="287"/>
  <c r="DK3" i="287"/>
  <c r="DJ3" i="287"/>
  <c r="DI3" i="287"/>
  <c r="DH3" i="287"/>
  <c r="DG3" i="287"/>
  <c r="CY4" i="287"/>
  <c r="CY3" i="287" s="1"/>
  <c r="CY5" i="287"/>
  <c r="CY6" i="287"/>
  <c r="CY7" i="287"/>
  <c r="CY8" i="287"/>
  <c r="CY9" i="287"/>
  <c r="CY10" i="287"/>
  <c r="CY11" i="287"/>
  <c r="CY12" i="287"/>
  <c r="CY13" i="287"/>
  <c r="CY14" i="287"/>
  <c r="CY15" i="287"/>
  <c r="CY16" i="287"/>
  <c r="CY17" i="287"/>
  <c r="CY18" i="287"/>
  <c r="CY19" i="287"/>
  <c r="CY20" i="287"/>
  <c r="CY21" i="287"/>
  <c r="CY22" i="287"/>
  <c r="CY23" i="287"/>
  <c r="CY24" i="287"/>
  <c r="CY25" i="287"/>
  <c r="CY26" i="287"/>
  <c r="CY27" i="287"/>
  <c r="CY28" i="287"/>
  <c r="CY29" i="287"/>
  <c r="CY30" i="287"/>
  <c r="CY31" i="287"/>
  <c r="CX4" i="287"/>
  <c r="CX3" i="287" s="1"/>
  <c r="CX5" i="287"/>
  <c r="CX6" i="287"/>
  <c r="CX7" i="287"/>
  <c r="CX8" i="287"/>
  <c r="CX9" i="287"/>
  <c r="CX10" i="287"/>
  <c r="CX11" i="287"/>
  <c r="CX12" i="287"/>
  <c r="CX13" i="287"/>
  <c r="CX14" i="287"/>
  <c r="CX15" i="287"/>
  <c r="CX16" i="287"/>
  <c r="CX17" i="287"/>
  <c r="CX18" i="287"/>
  <c r="CX19" i="287"/>
  <c r="CX20" i="287"/>
  <c r="CX21" i="287"/>
  <c r="CX22" i="287"/>
  <c r="CX23" i="287"/>
  <c r="CX24" i="287"/>
  <c r="CX25" i="287"/>
  <c r="CX26" i="287"/>
  <c r="CX27" i="287"/>
  <c r="CX28" i="287"/>
  <c r="CX29" i="287"/>
  <c r="CX30" i="287"/>
  <c r="CX31" i="287"/>
  <c r="CW4" i="287"/>
  <c r="CW3" i="287" s="1"/>
  <c r="CW5" i="287"/>
  <c r="CW6" i="287"/>
  <c r="CW7" i="287"/>
  <c r="CW8" i="287"/>
  <c r="CW9" i="287"/>
  <c r="CW10" i="287"/>
  <c r="CW11" i="287"/>
  <c r="CW12" i="287"/>
  <c r="CW13" i="287"/>
  <c r="CW14" i="287"/>
  <c r="CW15" i="287"/>
  <c r="CW16" i="287"/>
  <c r="CW17" i="287"/>
  <c r="CW18" i="287"/>
  <c r="CW19" i="287"/>
  <c r="CW20" i="287"/>
  <c r="CW21" i="287"/>
  <c r="CW22" i="287"/>
  <c r="CW23" i="287"/>
  <c r="CW24" i="287"/>
  <c r="CW25" i="287"/>
  <c r="CW26" i="287"/>
  <c r="CW27" i="287"/>
  <c r="CW28" i="287"/>
  <c r="CW29" i="287"/>
  <c r="CW30" i="287"/>
  <c r="CW31" i="287"/>
  <c r="CV4" i="287"/>
  <c r="CV5" i="287"/>
  <c r="CV6" i="287"/>
  <c r="CV3" i="287" s="1"/>
  <c r="CV7" i="287"/>
  <c r="CV8" i="287"/>
  <c r="CV9" i="287"/>
  <c r="CV10" i="287"/>
  <c r="CV11" i="287"/>
  <c r="CV12" i="287"/>
  <c r="CV13" i="287"/>
  <c r="CV14" i="287"/>
  <c r="CV15" i="287"/>
  <c r="CV16" i="287"/>
  <c r="CV17" i="287"/>
  <c r="CV18" i="287"/>
  <c r="CV19" i="287"/>
  <c r="CV20" i="287"/>
  <c r="CV21" i="287"/>
  <c r="CV22" i="287"/>
  <c r="CV23" i="287"/>
  <c r="CV24" i="287"/>
  <c r="CV25" i="287"/>
  <c r="CV26" i="287"/>
  <c r="CV27" i="287"/>
  <c r="CV28" i="287"/>
  <c r="CV29" i="287"/>
  <c r="CV30" i="287"/>
  <c r="CV31" i="287"/>
  <c r="CU4" i="287"/>
  <c r="CU3" i="287" s="1"/>
  <c r="CU5" i="287"/>
  <c r="CU6" i="287"/>
  <c r="CU7" i="287"/>
  <c r="CU8" i="287"/>
  <c r="CU9" i="287"/>
  <c r="CU10" i="287"/>
  <c r="CU11" i="287"/>
  <c r="CU12" i="287"/>
  <c r="CU13" i="287"/>
  <c r="CU14" i="287"/>
  <c r="CU15" i="287"/>
  <c r="CU16" i="287"/>
  <c r="CU17" i="287"/>
  <c r="CU18" i="287"/>
  <c r="CU19" i="287"/>
  <c r="CU20" i="287"/>
  <c r="CU21" i="287"/>
  <c r="CU22" i="287"/>
  <c r="CU23" i="287"/>
  <c r="CU24" i="287"/>
  <c r="CU25" i="287"/>
  <c r="CU26" i="287"/>
  <c r="CU27" i="287"/>
  <c r="CU28" i="287"/>
  <c r="CU29" i="287"/>
  <c r="CU30" i="287"/>
  <c r="CU31" i="287"/>
  <c r="CT4" i="287"/>
  <c r="CT3" i="287" s="1"/>
  <c r="CT5" i="287"/>
  <c r="CT6" i="287"/>
  <c r="CT7" i="287"/>
  <c r="CT8" i="287"/>
  <c r="CT9" i="287"/>
  <c r="CT10" i="287"/>
  <c r="CT11" i="287"/>
  <c r="CT12" i="287"/>
  <c r="CT13" i="287"/>
  <c r="CT14" i="287"/>
  <c r="CT15" i="287"/>
  <c r="CT16" i="287"/>
  <c r="CT17" i="287"/>
  <c r="CT18" i="287"/>
  <c r="CT19" i="287"/>
  <c r="CT20" i="287"/>
  <c r="CT21" i="287"/>
  <c r="CT22" i="287"/>
  <c r="CT23" i="287"/>
  <c r="CT24" i="287"/>
  <c r="CT25" i="287"/>
  <c r="CT26" i="287"/>
  <c r="CT27" i="287"/>
  <c r="CT28" i="287"/>
  <c r="CT29" i="287"/>
  <c r="CT30" i="287"/>
  <c r="CT31" i="287"/>
  <c r="CS4" i="287"/>
  <c r="CS5" i="287"/>
  <c r="CS6" i="287"/>
  <c r="CS7" i="287"/>
  <c r="CS3" i="287" s="1"/>
  <c r="CS8" i="287"/>
  <c r="CS9" i="287"/>
  <c r="CS10" i="287"/>
  <c r="CS11" i="287"/>
  <c r="CS12" i="287"/>
  <c r="CS13" i="287"/>
  <c r="CS14" i="287"/>
  <c r="CS15" i="287"/>
  <c r="CS16" i="287"/>
  <c r="CS17" i="287"/>
  <c r="CS18" i="287"/>
  <c r="CS19" i="287"/>
  <c r="CS20" i="287"/>
  <c r="CS21" i="287"/>
  <c r="CS22" i="287"/>
  <c r="CS23" i="287"/>
  <c r="CS24" i="287"/>
  <c r="CS25" i="287"/>
  <c r="CS26" i="287"/>
  <c r="CS27" i="287"/>
  <c r="CS28" i="287"/>
  <c r="CS29" i="287"/>
  <c r="CS30" i="287"/>
  <c r="CS31" i="287"/>
  <c r="CR4" i="287"/>
  <c r="CR5" i="287"/>
  <c r="CR6" i="287"/>
  <c r="CR3" i="287" s="1"/>
  <c r="CR7" i="287"/>
  <c r="CR8" i="287"/>
  <c r="CR9" i="287"/>
  <c r="CR10" i="287"/>
  <c r="CR11" i="287"/>
  <c r="CR12" i="287"/>
  <c r="CR13" i="287"/>
  <c r="CR14" i="287"/>
  <c r="CR15" i="287"/>
  <c r="CR16" i="287"/>
  <c r="CR17" i="287"/>
  <c r="CR18" i="287"/>
  <c r="CR19" i="287"/>
  <c r="CR20" i="287"/>
  <c r="CR21" i="287"/>
  <c r="CR22" i="287"/>
  <c r="CR23" i="287"/>
  <c r="CR24" i="287"/>
  <c r="CR25" i="287"/>
  <c r="CR26" i="287"/>
  <c r="CR27" i="287"/>
  <c r="CR28" i="287"/>
  <c r="CR29" i="287"/>
  <c r="CR30" i="287"/>
  <c r="CR31" i="287"/>
  <c r="CQ4" i="287"/>
  <c r="CQ3" i="287" s="1"/>
  <c r="CQ5" i="287"/>
  <c r="CQ6" i="287"/>
  <c r="CQ7" i="287"/>
  <c r="CQ8" i="287"/>
  <c r="CQ9" i="287"/>
  <c r="CQ10" i="287"/>
  <c r="CQ11" i="287"/>
  <c r="CQ12" i="287"/>
  <c r="CQ13" i="287"/>
  <c r="CQ14" i="287"/>
  <c r="CQ15" i="287"/>
  <c r="CQ16" i="287"/>
  <c r="CQ17" i="287"/>
  <c r="CQ18" i="287"/>
  <c r="CQ19" i="287"/>
  <c r="CQ20" i="287"/>
  <c r="CQ21" i="287"/>
  <c r="CQ22" i="287"/>
  <c r="CQ23" i="287"/>
  <c r="CQ24" i="287"/>
  <c r="CQ25" i="287"/>
  <c r="CQ26" i="287"/>
  <c r="CQ27" i="287"/>
  <c r="CQ28" i="287"/>
  <c r="CQ29" i="287"/>
  <c r="CQ30" i="287"/>
  <c r="CQ31" i="287"/>
  <c r="CP4" i="287"/>
  <c r="CZ4" i="287" s="1"/>
  <c r="CP5" i="287"/>
  <c r="CZ5" i="287" s="1"/>
  <c r="CP6" i="287"/>
  <c r="CZ6" i="287" s="1"/>
  <c r="CP7" i="287"/>
  <c r="CZ7" i="287" s="1"/>
  <c r="CP8" i="287"/>
  <c r="CZ8" i="287" s="1"/>
  <c r="CP9" i="287"/>
  <c r="CZ9" i="287" s="1"/>
  <c r="CP10" i="287"/>
  <c r="CZ10" i="287" s="1"/>
  <c r="CP11" i="287"/>
  <c r="CZ11" i="287" s="1"/>
  <c r="CP12" i="287"/>
  <c r="CZ12" i="287" s="1"/>
  <c r="CP13" i="287"/>
  <c r="CZ13" i="287" s="1"/>
  <c r="CP14" i="287"/>
  <c r="CZ14" i="287" s="1"/>
  <c r="CP15" i="287"/>
  <c r="CZ15" i="287" s="1"/>
  <c r="CP16" i="287"/>
  <c r="CZ16" i="287" s="1"/>
  <c r="CP17" i="287"/>
  <c r="CZ17" i="287" s="1"/>
  <c r="CP18" i="287"/>
  <c r="CZ18" i="287" s="1"/>
  <c r="CP19" i="287"/>
  <c r="CZ19" i="287" s="1"/>
  <c r="CP20" i="287"/>
  <c r="CZ20" i="287" s="1"/>
  <c r="CP21" i="287"/>
  <c r="CZ21" i="287" s="1"/>
  <c r="CP22" i="287"/>
  <c r="CZ22" i="287" s="1"/>
  <c r="CP23" i="287"/>
  <c r="CZ23" i="287" s="1"/>
  <c r="CP24" i="287"/>
  <c r="CZ24" i="287" s="1"/>
  <c r="CP25" i="287"/>
  <c r="CZ25" i="287" s="1"/>
  <c r="CP26" i="287"/>
  <c r="CZ26" i="287" s="1"/>
  <c r="CP27" i="287"/>
  <c r="CZ27" i="287" s="1"/>
  <c r="CP28" i="287"/>
  <c r="CZ28" i="287" s="1"/>
  <c r="CP29" i="287"/>
  <c r="CZ29" i="287" s="1"/>
  <c r="CP30" i="287"/>
  <c r="CZ30" i="287" s="1"/>
  <c r="CP31" i="287"/>
  <c r="CZ31" i="287" s="1"/>
  <c r="CO3" i="287"/>
  <c r="CN3" i="287"/>
  <c r="CM3" i="287"/>
  <c r="CL3" i="287"/>
  <c r="CK3" i="287"/>
  <c r="CJ3" i="287"/>
  <c r="CI3" i="287"/>
  <c r="CH3" i="287"/>
  <c r="CG3" i="287"/>
  <c r="CF3" i="287"/>
  <c r="BX4" i="287"/>
  <c r="BX3" i="287" s="1"/>
  <c r="BX5" i="287"/>
  <c r="BX6" i="287"/>
  <c r="BX7" i="287"/>
  <c r="BX8" i="287"/>
  <c r="BX9" i="287"/>
  <c r="BX10" i="287"/>
  <c r="BX11" i="287"/>
  <c r="BX12" i="287"/>
  <c r="BX13" i="287"/>
  <c r="BX14" i="287"/>
  <c r="BX15" i="287"/>
  <c r="BX16" i="287"/>
  <c r="BX17" i="287"/>
  <c r="BX18" i="287"/>
  <c r="BX19" i="287"/>
  <c r="BX20" i="287"/>
  <c r="BX21" i="287"/>
  <c r="BX22" i="287"/>
  <c r="BX23" i="287"/>
  <c r="BX24" i="287"/>
  <c r="BX25" i="287"/>
  <c r="BX26" i="287"/>
  <c r="BX27" i="287"/>
  <c r="BX28" i="287"/>
  <c r="BX29" i="287"/>
  <c r="BX30" i="287"/>
  <c r="BX31" i="287"/>
  <c r="BW4" i="287"/>
  <c r="BW5" i="287"/>
  <c r="BW6" i="287"/>
  <c r="BW3" i="287" s="1"/>
  <c r="BW7" i="287"/>
  <c r="BW8" i="287"/>
  <c r="BW9" i="287"/>
  <c r="BW10" i="287"/>
  <c r="BW11" i="287"/>
  <c r="BW12" i="287"/>
  <c r="BW13" i="287"/>
  <c r="BW14" i="287"/>
  <c r="BW15" i="287"/>
  <c r="BW16" i="287"/>
  <c r="BW17" i="287"/>
  <c r="BW18" i="287"/>
  <c r="BW19" i="287"/>
  <c r="BW20" i="287"/>
  <c r="BW21" i="287"/>
  <c r="BW22" i="287"/>
  <c r="BW23" i="287"/>
  <c r="BW24" i="287"/>
  <c r="BW25" i="287"/>
  <c r="BW26" i="287"/>
  <c r="BW27" i="287"/>
  <c r="BW28" i="287"/>
  <c r="BW29" i="287"/>
  <c r="BW30" i="287"/>
  <c r="BW31" i="287"/>
  <c r="BV4" i="287"/>
  <c r="BV3" i="287" s="1"/>
  <c r="BV5" i="287"/>
  <c r="BV6" i="287"/>
  <c r="BV7" i="287"/>
  <c r="BV8" i="287"/>
  <c r="BV9" i="287"/>
  <c r="BV10" i="287"/>
  <c r="BV11" i="287"/>
  <c r="BV12" i="287"/>
  <c r="BV13" i="287"/>
  <c r="BV14" i="287"/>
  <c r="BV15" i="287"/>
  <c r="BV16" i="287"/>
  <c r="BV17" i="287"/>
  <c r="BV18" i="287"/>
  <c r="BV19" i="287"/>
  <c r="BV20" i="287"/>
  <c r="BV21" i="287"/>
  <c r="BV22" i="287"/>
  <c r="BV23" i="287"/>
  <c r="BV24" i="287"/>
  <c r="BV25" i="287"/>
  <c r="BV26" i="287"/>
  <c r="BV27" i="287"/>
  <c r="BV28" i="287"/>
  <c r="BV29" i="287"/>
  <c r="BV30" i="287"/>
  <c r="BV31" i="287"/>
  <c r="BU4" i="287"/>
  <c r="BU3" i="287" s="1"/>
  <c r="BU5" i="287"/>
  <c r="BU6" i="287"/>
  <c r="BU7" i="287"/>
  <c r="BU8" i="287"/>
  <c r="BU9" i="287"/>
  <c r="BU10" i="287"/>
  <c r="BU11" i="287"/>
  <c r="BU12" i="287"/>
  <c r="BU13" i="287"/>
  <c r="BU14" i="287"/>
  <c r="BU15" i="287"/>
  <c r="BU16" i="287"/>
  <c r="BU17" i="287"/>
  <c r="BU18" i="287"/>
  <c r="BU19" i="287"/>
  <c r="BU20" i="287"/>
  <c r="BU21" i="287"/>
  <c r="BU22" i="287"/>
  <c r="BU23" i="287"/>
  <c r="BU24" i="287"/>
  <c r="BU25" i="287"/>
  <c r="BU26" i="287"/>
  <c r="BU27" i="287"/>
  <c r="BU28" i="287"/>
  <c r="BU29" i="287"/>
  <c r="BU30" i="287"/>
  <c r="BU31" i="287"/>
  <c r="BT4" i="287"/>
  <c r="BT5" i="287"/>
  <c r="BT6" i="287"/>
  <c r="BT7" i="287"/>
  <c r="BT3" i="287" s="1"/>
  <c r="BT8" i="287"/>
  <c r="BT9" i="287"/>
  <c r="BT10" i="287"/>
  <c r="BT11" i="287"/>
  <c r="BT12" i="287"/>
  <c r="BT13" i="287"/>
  <c r="BT14" i="287"/>
  <c r="BT15" i="287"/>
  <c r="BT16" i="287"/>
  <c r="BT17" i="287"/>
  <c r="BT18" i="287"/>
  <c r="BT19" i="287"/>
  <c r="BT20" i="287"/>
  <c r="BT21" i="287"/>
  <c r="BT22" i="287"/>
  <c r="BT23" i="287"/>
  <c r="BT24" i="287"/>
  <c r="BT25" i="287"/>
  <c r="BT26" i="287"/>
  <c r="BT27" i="287"/>
  <c r="BT28" i="287"/>
  <c r="BT29" i="287"/>
  <c r="BT30" i="287"/>
  <c r="BT31" i="287"/>
  <c r="BS4" i="287"/>
  <c r="BS5" i="287"/>
  <c r="BS6" i="287"/>
  <c r="BS3" i="287" s="1"/>
  <c r="BS7" i="287"/>
  <c r="BS8" i="287"/>
  <c r="BS9" i="287"/>
  <c r="BS10" i="287"/>
  <c r="BS11" i="287"/>
  <c r="BS12" i="287"/>
  <c r="BS13" i="287"/>
  <c r="BS14" i="287"/>
  <c r="BS15" i="287"/>
  <c r="BS16" i="287"/>
  <c r="BS17" i="287"/>
  <c r="BS18" i="287"/>
  <c r="BS19" i="287"/>
  <c r="BS20" i="287"/>
  <c r="BS21" i="287"/>
  <c r="BS22" i="287"/>
  <c r="BS23" i="287"/>
  <c r="BS24" i="287"/>
  <c r="BS25" i="287"/>
  <c r="BS26" i="287"/>
  <c r="BS27" i="287"/>
  <c r="BS28" i="287"/>
  <c r="BS29" i="287"/>
  <c r="BS30" i="287"/>
  <c r="BS31" i="287"/>
  <c r="BR4" i="287"/>
  <c r="BR3" i="287" s="1"/>
  <c r="BR5" i="287"/>
  <c r="BR6" i="287"/>
  <c r="BR7" i="287"/>
  <c r="BR8" i="287"/>
  <c r="BR9" i="287"/>
  <c r="BR10" i="287"/>
  <c r="BR11" i="287"/>
  <c r="BR12" i="287"/>
  <c r="BR13" i="287"/>
  <c r="BR14" i="287"/>
  <c r="BR15" i="287"/>
  <c r="BR16" i="287"/>
  <c r="BR17" i="287"/>
  <c r="BR18" i="287"/>
  <c r="BR19" i="287"/>
  <c r="BR20" i="287"/>
  <c r="BR21" i="287"/>
  <c r="BR22" i="287"/>
  <c r="BR23" i="287"/>
  <c r="BR24" i="287"/>
  <c r="BR25" i="287"/>
  <c r="BR26" i="287"/>
  <c r="BR27" i="287"/>
  <c r="BR28" i="287"/>
  <c r="BR29" i="287"/>
  <c r="BR30" i="287"/>
  <c r="BR31" i="287"/>
  <c r="BQ4" i="287"/>
  <c r="BQ3" i="287" s="1"/>
  <c r="BQ5" i="287"/>
  <c r="BQ6" i="287"/>
  <c r="BQ7" i="287"/>
  <c r="BQ8" i="287"/>
  <c r="BQ9" i="287"/>
  <c r="BQ10" i="287"/>
  <c r="BQ11" i="287"/>
  <c r="BQ12" i="287"/>
  <c r="BQ13" i="287"/>
  <c r="BQ14" i="287"/>
  <c r="BQ15" i="287"/>
  <c r="BQ16" i="287"/>
  <c r="BQ17" i="287"/>
  <c r="BQ18" i="287"/>
  <c r="BQ19" i="287"/>
  <c r="BQ20" i="287"/>
  <c r="BQ21" i="287"/>
  <c r="BQ22" i="287"/>
  <c r="BQ23" i="287"/>
  <c r="BQ24" i="287"/>
  <c r="BQ25" i="287"/>
  <c r="BQ26" i="287"/>
  <c r="BQ27" i="287"/>
  <c r="BQ28" i="287"/>
  <c r="BQ29" i="287"/>
  <c r="BQ30" i="287"/>
  <c r="BQ31" i="287"/>
  <c r="BP4" i="287"/>
  <c r="BP5" i="287"/>
  <c r="BP6" i="287"/>
  <c r="BP7" i="287"/>
  <c r="BP3" i="287" s="1"/>
  <c r="BP8" i="287"/>
  <c r="BP9" i="287"/>
  <c r="BP10" i="287"/>
  <c r="BP11" i="287"/>
  <c r="BP12" i="287"/>
  <c r="BP13" i="287"/>
  <c r="BP14" i="287"/>
  <c r="BP15" i="287"/>
  <c r="BP16" i="287"/>
  <c r="BP17" i="287"/>
  <c r="BP18" i="287"/>
  <c r="BP19" i="287"/>
  <c r="BP20" i="287"/>
  <c r="BP21" i="287"/>
  <c r="BP22" i="287"/>
  <c r="BP23" i="287"/>
  <c r="BP24" i="287"/>
  <c r="BP25" i="287"/>
  <c r="BP26" i="287"/>
  <c r="BP27" i="287"/>
  <c r="BP28" i="287"/>
  <c r="BP29" i="287"/>
  <c r="BP30" i="287"/>
  <c r="BP31" i="287"/>
  <c r="BO4" i="287"/>
  <c r="BY4" i="287" s="1"/>
  <c r="BO5" i="287"/>
  <c r="BY5" i="287" s="1"/>
  <c r="BO6" i="287"/>
  <c r="BO3" i="287" s="1"/>
  <c r="BY3" i="287" s="1"/>
  <c r="BO7" i="287"/>
  <c r="BY7" i="287" s="1"/>
  <c r="BO8" i="287"/>
  <c r="BY8" i="287" s="1"/>
  <c r="BO9" i="287"/>
  <c r="BY9" i="287" s="1"/>
  <c r="BO10" i="287"/>
  <c r="BY10" i="287" s="1"/>
  <c r="BO11" i="287"/>
  <c r="BY11" i="287" s="1"/>
  <c r="BO12" i="287"/>
  <c r="BY12" i="287" s="1"/>
  <c r="BO13" i="287"/>
  <c r="BY13" i="287" s="1"/>
  <c r="BO14" i="287"/>
  <c r="BY14" i="287" s="1"/>
  <c r="BO15" i="287"/>
  <c r="BY15" i="287" s="1"/>
  <c r="BO16" i="287"/>
  <c r="BY16" i="287" s="1"/>
  <c r="BO17" i="287"/>
  <c r="BY17" i="287" s="1"/>
  <c r="BO18" i="287"/>
  <c r="BY18" i="287" s="1"/>
  <c r="BO19" i="287"/>
  <c r="BY19" i="287" s="1"/>
  <c r="BO20" i="287"/>
  <c r="BY20" i="287" s="1"/>
  <c r="BO21" i="287"/>
  <c r="BY21" i="287" s="1"/>
  <c r="BO22" i="287"/>
  <c r="BY22" i="287" s="1"/>
  <c r="BO23" i="287"/>
  <c r="BY23" i="287" s="1"/>
  <c r="BO24" i="287"/>
  <c r="BY24" i="287" s="1"/>
  <c r="BO25" i="287"/>
  <c r="BY25" i="287" s="1"/>
  <c r="BO26" i="287"/>
  <c r="BY26" i="287" s="1"/>
  <c r="BO27" i="287"/>
  <c r="BY27" i="287" s="1"/>
  <c r="BO28" i="287"/>
  <c r="BY28" i="287" s="1"/>
  <c r="BO29" i="287"/>
  <c r="BY29" i="287" s="1"/>
  <c r="BO30" i="287"/>
  <c r="BY30" i="287" s="1"/>
  <c r="BO31" i="287"/>
  <c r="BY31" i="287" s="1"/>
  <c r="BN3" i="287"/>
  <c r="BM3" i="287"/>
  <c r="BL3" i="287"/>
  <c r="BK3" i="287"/>
  <c r="BJ3" i="287"/>
  <c r="BI3" i="287"/>
  <c r="BH3" i="287"/>
  <c r="BG3" i="287"/>
  <c r="BF3" i="287"/>
  <c r="BE3" i="287"/>
  <c r="AW4" i="287"/>
  <c r="AW3" i="287" s="1"/>
  <c r="AW5" i="287"/>
  <c r="AW6" i="287"/>
  <c r="AW7" i="287"/>
  <c r="AW8" i="287"/>
  <c r="AW9" i="287"/>
  <c r="AW10" i="287"/>
  <c r="AW11" i="287"/>
  <c r="AW12" i="287"/>
  <c r="AW13" i="287"/>
  <c r="AW14" i="287"/>
  <c r="AW15" i="287"/>
  <c r="AW16" i="287"/>
  <c r="AW17" i="287"/>
  <c r="AW18" i="287"/>
  <c r="AW19" i="287"/>
  <c r="AW20" i="287"/>
  <c r="AW21" i="287"/>
  <c r="AW22" i="287"/>
  <c r="AW23" i="287"/>
  <c r="AW24" i="287"/>
  <c r="AW25" i="287"/>
  <c r="AW26" i="287"/>
  <c r="AW27" i="287"/>
  <c r="AW28" i="287"/>
  <c r="AW29" i="287"/>
  <c r="AW30" i="287"/>
  <c r="AW31" i="287"/>
  <c r="AV4" i="287"/>
  <c r="AV3" i="287" s="1"/>
  <c r="AV5" i="287"/>
  <c r="AV6" i="287"/>
  <c r="AV7" i="287"/>
  <c r="AV8" i="287"/>
  <c r="AV9" i="287"/>
  <c r="AV10" i="287"/>
  <c r="AV11" i="287"/>
  <c r="AV12" i="287"/>
  <c r="AV13" i="287"/>
  <c r="AV14" i="287"/>
  <c r="AV15" i="287"/>
  <c r="AV16" i="287"/>
  <c r="AV17" i="287"/>
  <c r="AV18" i="287"/>
  <c r="AV19" i="287"/>
  <c r="AV20" i="287"/>
  <c r="AV21" i="287"/>
  <c r="AV22" i="287"/>
  <c r="AV23" i="287"/>
  <c r="AV24" i="287"/>
  <c r="AV25" i="287"/>
  <c r="AV26" i="287"/>
  <c r="AV27" i="287"/>
  <c r="AV28" i="287"/>
  <c r="AV29" i="287"/>
  <c r="AV30" i="287"/>
  <c r="AV31" i="287"/>
  <c r="AU4" i="287"/>
  <c r="AU3" i="287" s="1"/>
  <c r="AU5" i="287"/>
  <c r="AU6" i="287"/>
  <c r="AU7" i="287"/>
  <c r="AU8" i="287"/>
  <c r="AU9" i="287"/>
  <c r="AU10" i="287"/>
  <c r="AU11" i="287"/>
  <c r="AU12" i="287"/>
  <c r="AU13" i="287"/>
  <c r="AU14" i="287"/>
  <c r="AU15" i="287"/>
  <c r="AU16" i="287"/>
  <c r="AU17" i="287"/>
  <c r="AU18" i="287"/>
  <c r="AU19" i="287"/>
  <c r="AU20" i="287"/>
  <c r="AU21" i="287"/>
  <c r="AU22" i="287"/>
  <c r="AU23" i="287"/>
  <c r="AU24" i="287"/>
  <c r="AU25" i="287"/>
  <c r="AU26" i="287"/>
  <c r="AU27" i="287"/>
  <c r="AU28" i="287"/>
  <c r="AU29" i="287"/>
  <c r="AU30" i="287"/>
  <c r="AU31" i="287"/>
  <c r="AT4" i="287"/>
  <c r="AT5" i="287"/>
  <c r="AT6" i="287"/>
  <c r="AT3" i="287" s="1"/>
  <c r="AT7" i="287"/>
  <c r="AT8" i="287"/>
  <c r="AT9" i="287"/>
  <c r="AT10" i="287"/>
  <c r="AT11" i="287"/>
  <c r="AT12" i="287"/>
  <c r="AT13" i="287"/>
  <c r="AT14" i="287"/>
  <c r="AT15" i="287"/>
  <c r="AT16" i="287"/>
  <c r="AT17" i="287"/>
  <c r="AT18" i="287"/>
  <c r="AT19" i="287"/>
  <c r="AT20" i="287"/>
  <c r="AT21" i="287"/>
  <c r="AT22" i="287"/>
  <c r="AT23" i="287"/>
  <c r="AT24" i="287"/>
  <c r="AT25" i="287"/>
  <c r="AT26" i="287"/>
  <c r="AT27" i="287"/>
  <c r="AT28" i="287"/>
  <c r="AT29" i="287"/>
  <c r="AT30" i="287"/>
  <c r="AT31" i="287"/>
  <c r="AS4" i="287"/>
  <c r="AS3" i="287" s="1"/>
  <c r="AS5" i="287"/>
  <c r="AS6" i="287"/>
  <c r="AS7" i="287"/>
  <c r="AS8" i="287"/>
  <c r="AS9" i="287"/>
  <c r="AS10" i="287"/>
  <c r="AS11" i="287"/>
  <c r="AS12" i="287"/>
  <c r="AS13" i="287"/>
  <c r="AS14" i="287"/>
  <c r="AS15" i="287"/>
  <c r="AS16" i="287"/>
  <c r="AS17" i="287"/>
  <c r="AS18" i="287"/>
  <c r="AS19" i="287"/>
  <c r="AS20" i="287"/>
  <c r="AS21" i="287"/>
  <c r="AS22" i="287"/>
  <c r="AS23" i="287"/>
  <c r="AS24" i="287"/>
  <c r="AS25" i="287"/>
  <c r="AS26" i="287"/>
  <c r="AS27" i="287"/>
  <c r="AS28" i="287"/>
  <c r="AS29" i="287"/>
  <c r="AS30" i="287"/>
  <c r="AS31" i="287"/>
  <c r="AR4" i="287"/>
  <c r="AR5" i="287"/>
  <c r="AR6" i="287"/>
  <c r="AR7" i="287"/>
  <c r="AR8" i="287"/>
  <c r="AR9" i="287"/>
  <c r="AR10" i="287"/>
  <c r="AR11" i="287"/>
  <c r="AR12" i="287"/>
  <c r="AR13" i="287"/>
  <c r="AR14" i="287"/>
  <c r="AR15" i="287"/>
  <c r="AR16" i="287"/>
  <c r="AR17" i="287"/>
  <c r="AR18" i="287"/>
  <c r="AR19" i="287"/>
  <c r="AR20" i="287"/>
  <c r="AR21" i="287"/>
  <c r="AR22" i="287"/>
  <c r="AR23" i="287"/>
  <c r="AR24" i="287"/>
  <c r="AR25" i="287"/>
  <c r="AR26" i="287"/>
  <c r="AR27" i="287"/>
  <c r="AR28" i="287"/>
  <c r="AR29" i="287"/>
  <c r="AR30" i="287"/>
  <c r="AR31" i="287"/>
  <c r="AQ4" i="287"/>
  <c r="AQ5" i="287"/>
  <c r="AQ6" i="287"/>
  <c r="AQ7" i="287"/>
  <c r="AQ3" i="287" s="1"/>
  <c r="AQ8" i="287"/>
  <c r="AQ9" i="287"/>
  <c r="AQ10" i="287"/>
  <c r="AQ11" i="287"/>
  <c r="AQ12" i="287"/>
  <c r="AQ13" i="287"/>
  <c r="AQ14" i="287"/>
  <c r="AQ15" i="287"/>
  <c r="AQ16" i="287"/>
  <c r="AQ17" i="287"/>
  <c r="AQ18" i="287"/>
  <c r="AQ19" i="287"/>
  <c r="AQ20" i="287"/>
  <c r="AQ21" i="287"/>
  <c r="AQ22" i="287"/>
  <c r="AQ23" i="287"/>
  <c r="AQ24" i="287"/>
  <c r="AQ25" i="287"/>
  <c r="AQ26" i="287"/>
  <c r="AQ27" i="287"/>
  <c r="AQ28" i="287"/>
  <c r="AQ29" i="287"/>
  <c r="AQ30" i="287"/>
  <c r="AQ31" i="287"/>
  <c r="AP4" i="287"/>
  <c r="AP5" i="287"/>
  <c r="AP6" i="287"/>
  <c r="AP3" i="287" s="1"/>
  <c r="AP7" i="287"/>
  <c r="AP8" i="287"/>
  <c r="AP9" i="287"/>
  <c r="AP10" i="287"/>
  <c r="AP11" i="287"/>
  <c r="AP12" i="287"/>
  <c r="AP13" i="287"/>
  <c r="AP14" i="287"/>
  <c r="AP15" i="287"/>
  <c r="AP16" i="287"/>
  <c r="AP17" i="287"/>
  <c r="AP18" i="287"/>
  <c r="AP19" i="287"/>
  <c r="AP20" i="287"/>
  <c r="AP21" i="287"/>
  <c r="AP22" i="287"/>
  <c r="AP23" i="287"/>
  <c r="AP24" i="287"/>
  <c r="AP25" i="287"/>
  <c r="AP26" i="287"/>
  <c r="AP27" i="287"/>
  <c r="AP28" i="287"/>
  <c r="AP29" i="287"/>
  <c r="AP30" i="287"/>
  <c r="AP31" i="287"/>
  <c r="AO4" i="287"/>
  <c r="AO5" i="287"/>
  <c r="AO6" i="287"/>
  <c r="AO7" i="287"/>
  <c r="AO8" i="287"/>
  <c r="AO9" i="287"/>
  <c r="AO10" i="287"/>
  <c r="AO11" i="287"/>
  <c r="AO12" i="287"/>
  <c r="AO13" i="287"/>
  <c r="AO14" i="287"/>
  <c r="AO15" i="287"/>
  <c r="AO16" i="287"/>
  <c r="AO17" i="287"/>
  <c r="AO18" i="287"/>
  <c r="AO19" i="287"/>
  <c r="AO20" i="287"/>
  <c r="AO21" i="287"/>
  <c r="AO22" i="287"/>
  <c r="AO23" i="287"/>
  <c r="AO24" i="287"/>
  <c r="AO25" i="287"/>
  <c r="AO26" i="287"/>
  <c r="AO27" i="287"/>
  <c r="AO28" i="287"/>
  <c r="AO29" i="287"/>
  <c r="AO30" i="287"/>
  <c r="AO31" i="287"/>
  <c r="AN4" i="287"/>
  <c r="AX4" i="287" s="1"/>
  <c r="AN5" i="287"/>
  <c r="AX5" i="287" s="1"/>
  <c r="AN6" i="287"/>
  <c r="AN7" i="287"/>
  <c r="AN8" i="287"/>
  <c r="AX8" i="287" s="1"/>
  <c r="AN9" i="287"/>
  <c r="AX9" i="287" s="1"/>
  <c r="AN10" i="287"/>
  <c r="AN11" i="287"/>
  <c r="AN12" i="287"/>
  <c r="AX12" i="287" s="1"/>
  <c r="AN13" i="287"/>
  <c r="AX13" i="287" s="1"/>
  <c r="AN14" i="287"/>
  <c r="AX14" i="287" s="1"/>
  <c r="AN15" i="287"/>
  <c r="AN16" i="287"/>
  <c r="AX16" i="287" s="1"/>
  <c r="AN17" i="287"/>
  <c r="AX17" i="287" s="1"/>
  <c r="AN18" i="287"/>
  <c r="AX18" i="287" s="1"/>
  <c r="AN19" i="287"/>
  <c r="AN20" i="287"/>
  <c r="AX20" i="287" s="1"/>
  <c r="AN21" i="287"/>
  <c r="AX21" i="287" s="1"/>
  <c r="AN22" i="287"/>
  <c r="AX22" i="287" s="1"/>
  <c r="AN23" i="287"/>
  <c r="AN24" i="287"/>
  <c r="AX24" i="287" s="1"/>
  <c r="AN25" i="287"/>
  <c r="AX25" i="287" s="1"/>
  <c r="AN26" i="287"/>
  <c r="AX26" i="287" s="1"/>
  <c r="AN27" i="287"/>
  <c r="AN28" i="287"/>
  <c r="AX28" i="287" s="1"/>
  <c r="AN29" i="287"/>
  <c r="AX29" i="287" s="1"/>
  <c r="AN30" i="287"/>
  <c r="AX30" i="287" s="1"/>
  <c r="AN31" i="287"/>
  <c r="AM3" i="287"/>
  <c r="AL3" i="287"/>
  <c r="AK3" i="287"/>
  <c r="AJ3" i="287"/>
  <c r="AI3" i="287"/>
  <c r="AH3" i="287"/>
  <c r="AG3" i="287"/>
  <c r="AF3" i="287"/>
  <c r="AE3" i="287"/>
  <c r="AD3" i="287"/>
  <c r="V4" i="287"/>
  <c r="V3" i="287" s="1"/>
  <c r="V5" i="287"/>
  <c r="V6" i="287"/>
  <c r="V7" i="287"/>
  <c r="V8" i="287"/>
  <c r="V9" i="287"/>
  <c r="V10" i="287"/>
  <c r="V11" i="287"/>
  <c r="V12" i="287"/>
  <c r="V13" i="287"/>
  <c r="V14" i="287"/>
  <c r="V15" i="287"/>
  <c r="V16" i="287"/>
  <c r="V17" i="287"/>
  <c r="V18" i="287"/>
  <c r="V19" i="287"/>
  <c r="V20" i="287"/>
  <c r="V21" i="287"/>
  <c r="V22" i="287"/>
  <c r="V23" i="287"/>
  <c r="V24" i="287"/>
  <c r="V25" i="287"/>
  <c r="V26" i="287"/>
  <c r="V27" i="287"/>
  <c r="V28" i="287"/>
  <c r="V29" i="287"/>
  <c r="V30" i="287"/>
  <c r="V31" i="287"/>
  <c r="U4" i="287"/>
  <c r="U5" i="287"/>
  <c r="U6" i="287"/>
  <c r="U7" i="287"/>
  <c r="U3" i="287" s="1"/>
  <c r="U8" i="287"/>
  <c r="U9" i="287"/>
  <c r="U10" i="287"/>
  <c r="U11" i="287"/>
  <c r="U12" i="287"/>
  <c r="U13" i="287"/>
  <c r="U14" i="287"/>
  <c r="U15" i="287"/>
  <c r="U16" i="287"/>
  <c r="U17" i="287"/>
  <c r="U18" i="287"/>
  <c r="U19" i="287"/>
  <c r="U20" i="287"/>
  <c r="U21" i="287"/>
  <c r="U22" i="287"/>
  <c r="U23" i="287"/>
  <c r="U24" i="287"/>
  <c r="U25" i="287"/>
  <c r="U26" i="287"/>
  <c r="U27" i="287"/>
  <c r="U28" i="287"/>
  <c r="U29" i="287"/>
  <c r="U30" i="287"/>
  <c r="U31" i="287"/>
  <c r="T4" i="287"/>
  <c r="T5" i="287"/>
  <c r="T6" i="287"/>
  <c r="T3" i="287" s="1"/>
  <c r="T7" i="287"/>
  <c r="T8" i="287"/>
  <c r="T9" i="287"/>
  <c r="T10" i="287"/>
  <c r="T11" i="287"/>
  <c r="T12" i="287"/>
  <c r="T13" i="287"/>
  <c r="T14" i="287"/>
  <c r="T15" i="287"/>
  <c r="T16" i="287"/>
  <c r="T17" i="287"/>
  <c r="T18" i="287"/>
  <c r="T19" i="287"/>
  <c r="T20" i="287"/>
  <c r="T21" i="287"/>
  <c r="T22" i="287"/>
  <c r="T23" i="287"/>
  <c r="T24" i="287"/>
  <c r="T25" i="287"/>
  <c r="T26" i="287"/>
  <c r="T27" i="287"/>
  <c r="T28" i="287"/>
  <c r="T29" i="287"/>
  <c r="T30" i="287"/>
  <c r="T31" i="287"/>
  <c r="S4" i="287"/>
  <c r="S3" i="287" s="1"/>
  <c r="S5" i="287"/>
  <c r="S6" i="287"/>
  <c r="S7" i="287"/>
  <c r="S8" i="287"/>
  <c r="S9" i="287"/>
  <c r="S10" i="287"/>
  <c r="S11" i="287"/>
  <c r="S12" i="287"/>
  <c r="S13" i="287"/>
  <c r="S14" i="287"/>
  <c r="S15" i="287"/>
  <c r="S16" i="287"/>
  <c r="S17" i="287"/>
  <c r="S18" i="287"/>
  <c r="S19" i="287"/>
  <c r="S20" i="287"/>
  <c r="S21" i="287"/>
  <c r="S22" i="287"/>
  <c r="S23" i="287"/>
  <c r="S24" i="287"/>
  <c r="S25" i="287"/>
  <c r="S26" i="287"/>
  <c r="S27" i="287"/>
  <c r="S28" i="287"/>
  <c r="S29" i="287"/>
  <c r="S30" i="287"/>
  <c r="S31" i="287"/>
  <c r="R4" i="287"/>
  <c r="R3" i="287" s="1"/>
  <c r="R5" i="287"/>
  <c r="R6" i="287"/>
  <c r="R7" i="287"/>
  <c r="R8" i="287"/>
  <c r="R9" i="287"/>
  <c r="R10" i="287"/>
  <c r="R11" i="287"/>
  <c r="R12" i="287"/>
  <c r="R13" i="287"/>
  <c r="R14" i="287"/>
  <c r="R15" i="287"/>
  <c r="R16" i="287"/>
  <c r="R17" i="287"/>
  <c r="R18" i="287"/>
  <c r="R19" i="287"/>
  <c r="R20" i="287"/>
  <c r="R21" i="287"/>
  <c r="R22" i="287"/>
  <c r="R23" i="287"/>
  <c r="R24" i="287"/>
  <c r="R25" i="287"/>
  <c r="R26" i="287"/>
  <c r="R27" i="287"/>
  <c r="R28" i="287"/>
  <c r="R29" i="287"/>
  <c r="R30" i="287"/>
  <c r="R31" i="287"/>
  <c r="Q4" i="287"/>
  <c r="Q5" i="287"/>
  <c r="Q6" i="287"/>
  <c r="Q7" i="287"/>
  <c r="Q3" i="287" s="1"/>
  <c r="Q8" i="287"/>
  <c r="Q9" i="287"/>
  <c r="Q10" i="287"/>
  <c r="Q11" i="287"/>
  <c r="Q12" i="287"/>
  <c r="Q13" i="287"/>
  <c r="Q14" i="287"/>
  <c r="Q15" i="287"/>
  <c r="Q16" i="287"/>
  <c r="Q17" i="287"/>
  <c r="Q18" i="287"/>
  <c r="Q19" i="287"/>
  <c r="Q20" i="287"/>
  <c r="Q21" i="287"/>
  <c r="Q22" i="287"/>
  <c r="Q23" i="287"/>
  <c r="Q24" i="287"/>
  <c r="Q25" i="287"/>
  <c r="Q26" i="287"/>
  <c r="Q27" i="287"/>
  <c r="Q28" i="287"/>
  <c r="Q29" i="287"/>
  <c r="Q30" i="287"/>
  <c r="Q31" i="287"/>
  <c r="P4" i="287"/>
  <c r="P5" i="287"/>
  <c r="P6" i="287"/>
  <c r="P3" i="287" s="1"/>
  <c r="P7" i="287"/>
  <c r="P8" i="287"/>
  <c r="P9" i="287"/>
  <c r="P10" i="287"/>
  <c r="P11" i="287"/>
  <c r="P12" i="287"/>
  <c r="P13" i="287"/>
  <c r="P14" i="287"/>
  <c r="P15" i="287"/>
  <c r="P16" i="287"/>
  <c r="P17" i="287"/>
  <c r="P18" i="287"/>
  <c r="P19" i="287"/>
  <c r="P20" i="287"/>
  <c r="P21" i="287"/>
  <c r="P22" i="287"/>
  <c r="P23" i="287"/>
  <c r="P24" i="287"/>
  <c r="P25" i="287"/>
  <c r="P26" i="287"/>
  <c r="P27" i="287"/>
  <c r="P28" i="287"/>
  <c r="P29" i="287"/>
  <c r="P30" i="287"/>
  <c r="P31" i="287"/>
  <c r="O4" i="287"/>
  <c r="O3" i="287" s="1"/>
  <c r="O5" i="287"/>
  <c r="O6" i="287"/>
  <c r="O7" i="287"/>
  <c r="O8" i="287"/>
  <c r="O9" i="287"/>
  <c r="O10" i="287"/>
  <c r="O11" i="287"/>
  <c r="O12" i="287"/>
  <c r="O13" i="287"/>
  <c r="O14" i="287"/>
  <c r="O15" i="287"/>
  <c r="O16" i="287"/>
  <c r="O17" i="287"/>
  <c r="O18" i="287"/>
  <c r="O19" i="287"/>
  <c r="O20" i="287"/>
  <c r="O21" i="287"/>
  <c r="O22" i="287"/>
  <c r="O23" i="287"/>
  <c r="O24" i="287"/>
  <c r="O25" i="287"/>
  <c r="O26" i="287"/>
  <c r="O27" i="287"/>
  <c r="O28" i="287"/>
  <c r="O29" i="287"/>
  <c r="O30" i="287"/>
  <c r="O31" i="287"/>
  <c r="N4" i="287"/>
  <c r="N3" i="287" s="1"/>
  <c r="N5" i="287"/>
  <c r="N6" i="287"/>
  <c r="N7" i="287"/>
  <c r="N8" i="287"/>
  <c r="N9" i="287"/>
  <c r="N10" i="287"/>
  <c r="N11" i="287"/>
  <c r="N12" i="287"/>
  <c r="N13" i="287"/>
  <c r="N14" i="287"/>
  <c r="N15" i="287"/>
  <c r="N16" i="287"/>
  <c r="N17" i="287"/>
  <c r="N18" i="287"/>
  <c r="N19" i="287"/>
  <c r="N20" i="287"/>
  <c r="N21" i="287"/>
  <c r="N22" i="287"/>
  <c r="N23" i="287"/>
  <c r="N24" i="287"/>
  <c r="N25" i="287"/>
  <c r="N26" i="287"/>
  <c r="N27" i="287"/>
  <c r="N28" i="287"/>
  <c r="N29" i="287"/>
  <c r="N30" i="287"/>
  <c r="N31" i="287"/>
  <c r="M4" i="287"/>
  <c r="W4" i="287" s="1"/>
  <c r="M5" i="287"/>
  <c r="W5" i="287" s="1"/>
  <c r="M6" i="287"/>
  <c r="W6" i="287" s="1"/>
  <c r="M7" i="287"/>
  <c r="W7" i="287" s="1"/>
  <c r="M8" i="287"/>
  <c r="W8" i="287" s="1"/>
  <c r="M9" i="287"/>
  <c r="W9" i="287" s="1"/>
  <c r="M10" i="287"/>
  <c r="W10" i="287" s="1"/>
  <c r="M11" i="287"/>
  <c r="W11" i="287" s="1"/>
  <c r="M12" i="287"/>
  <c r="W12" i="287" s="1"/>
  <c r="M13" i="287"/>
  <c r="W13" i="287" s="1"/>
  <c r="M14" i="287"/>
  <c r="W14" i="287" s="1"/>
  <c r="M15" i="287"/>
  <c r="W15" i="287" s="1"/>
  <c r="M16" i="287"/>
  <c r="W16" i="287" s="1"/>
  <c r="M17" i="287"/>
  <c r="W17" i="287" s="1"/>
  <c r="M18" i="287"/>
  <c r="W18" i="287" s="1"/>
  <c r="M19" i="287"/>
  <c r="W19" i="287" s="1"/>
  <c r="M20" i="287"/>
  <c r="W20" i="287" s="1"/>
  <c r="M21" i="287"/>
  <c r="W21" i="287" s="1"/>
  <c r="M22" i="287"/>
  <c r="W22" i="287" s="1"/>
  <c r="M23" i="287"/>
  <c r="W23" i="287" s="1"/>
  <c r="M24" i="287"/>
  <c r="W24" i="287" s="1"/>
  <c r="M25" i="287"/>
  <c r="W25" i="287" s="1"/>
  <c r="M26" i="287"/>
  <c r="W26" i="287" s="1"/>
  <c r="M27" i="287"/>
  <c r="W27" i="287" s="1"/>
  <c r="M28" i="287"/>
  <c r="W28" i="287" s="1"/>
  <c r="M29" i="287"/>
  <c r="W29" i="287" s="1"/>
  <c r="M30" i="287"/>
  <c r="W30" i="287" s="1"/>
  <c r="M31" i="287"/>
  <c r="W31" i="287" s="1"/>
  <c r="L3" i="287"/>
  <c r="K3" i="287"/>
  <c r="J3" i="287"/>
  <c r="I3" i="287"/>
  <c r="H3" i="287"/>
  <c r="G3" i="287"/>
  <c r="F3" i="287"/>
  <c r="E3" i="287"/>
  <c r="D3" i="287"/>
  <c r="C3" i="287"/>
  <c r="F10" i="286" a="1"/>
  <c r="F10" i="286" s="1"/>
  <c r="F11" i="286"/>
  <c r="L15" i="286" a="1"/>
  <c r="L15" i="286" s="1"/>
  <c r="L12" i="286" a="1"/>
  <c r="L12" i="286" s="1"/>
  <c r="I25" i="286"/>
  <c r="I24" i="286" a="1"/>
  <c r="I24" i="286" s="1"/>
  <c r="H24" i="286" a="1"/>
  <c r="H24" i="286" s="1"/>
  <c r="H25" i="286" s="1"/>
  <c r="G25" i="286"/>
  <c r="G24" i="286" a="1"/>
  <c r="G24" i="286" s="1"/>
  <c r="E24" i="286" a="1"/>
  <c r="E24" i="286" s="1"/>
  <c r="E14" i="286" s="1"/>
  <c r="D24" i="286" a="1"/>
  <c r="D24" i="286" s="1"/>
  <c r="D25" i="286" s="1"/>
  <c r="C24" i="286" a="1"/>
  <c r="C24" i="286" s="1"/>
  <c r="C14" i="286" s="1"/>
  <c r="I13" i="286" a="1"/>
  <c r="I13" i="286" s="1"/>
  <c r="I14" i="286" s="1"/>
  <c r="H13" i="286" a="1"/>
  <c r="H13" i="286" s="1"/>
  <c r="H14" i="286" s="1"/>
  <c r="G13" i="286" a="1"/>
  <c r="G13" i="286" s="1"/>
  <c r="G14" i="286" s="1"/>
  <c r="E13" i="286" a="1"/>
  <c r="E13" i="286" s="1"/>
  <c r="D13" i="286" a="1"/>
  <c r="D13" i="286" s="1"/>
  <c r="C13" i="286" a="1"/>
  <c r="C13" i="286" s="1"/>
  <c r="J10" i="286" a="1"/>
  <c r="J10" i="286" s="1"/>
  <c r="AE9" i="286" a="1"/>
  <c r="AE9" i="286" s="1"/>
  <c r="F17" i="285" a="1"/>
  <c r="F17" i="285" s="1"/>
  <c r="L22" i="285" a="1"/>
  <c r="L22" i="285" s="1"/>
  <c r="L19" i="285" a="1"/>
  <c r="L19" i="285" s="1"/>
  <c r="I46" i="285"/>
  <c r="I45" i="285" a="1"/>
  <c r="I45" i="285" s="1"/>
  <c r="H45" i="285" a="1"/>
  <c r="H45" i="285" s="1"/>
  <c r="H46" i="285" s="1"/>
  <c r="G45" i="285" a="1"/>
  <c r="G45" i="285" s="1"/>
  <c r="G46" i="285" s="1"/>
  <c r="E45" i="285" a="1"/>
  <c r="E45" i="285" s="1"/>
  <c r="E28" i="285" s="1"/>
  <c r="D45" i="285" a="1"/>
  <c r="D45" i="285" s="1"/>
  <c r="D46" i="285" s="1"/>
  <c r="C45" i="285" a="1"/>
  <c r="C45" i="285" s="1"/>
  <c r="C46" i="285" s="1"/>
  <c r="I27" i="285" a="1"/>
  <c r="I27" i="285" s="1"/>
  <c r="I28" i="285" s="1"/>
  <c r="H27" i="285" a="1"/>
  <c r="H27" i="285" s="1"/>
  <c r="H28" i="285" s="1"/>
  <c r="G27" i="285" a="1"/>
  <c r="G27" i="285" s="1"/>
  <c r="G28" i="285" s="1"/>
  <c r="E27" i="285" a="1"/>
  <c r="E27" i="285" s="1"/>
  <c r="D27" i="285" a="1"/>
  <c r="D27" i="285" s="1"/>
  <c r="C27" i="285" a="1"/>
  <c r="C27" i="285" s="1"/>
  <c r="J17" i="285" a="1"/>
  <c r="J17" i="285" s="1"/>
  <c r="AE16" i="285" a="1"/>
  <c r="AE17" i="285" s="1"/>
  <c r="I11" i="288" l="1"/>
  <c r="J11" i="288" s="1"/>
  <c r="I7" i="288"/>
  <c r="F3" i="288"/>
  <c r="I3" i="288" s="1"/>
  <c r="AV3" i="288"/>
  <c r="AW29" i="288" s="1"/>
  <c r="AI3" i="288"/>
  <c r="AJ22" i="288" s="1"/>
  <c r="J5" i="288"/>
  <c r="AW31" i="288"/>
  <c r="AW15" i="288"/>
  <c r="AJ31" i="288"/>
  <c r="AJ19" i="288"/>
  <c r="AJ15" i="288"/>
  <c r="AW30" i="288"/>
  <c r="AW26" i="288"/>
  <c r="AW14" i="288"/>
  <c r="AW10" i="288"/>
  <c r="BJ21" i="288"/>
  <c r="BJ5" i="288"/>
  <c r="V5" i="288"/>
  <c r="W5" i="288" s="1"/>
  <c r="AI5" i="288"/>
  <c r="AJ5" i="288" s="1"/>
  <c r="AV5" i="288"/>
  <c r="AW5" i="288" s="1"/>
  <c r="BI4" i="288"/>
  <c r="BJ4" i="288" s="1"/>
  <c r="BV4" i="288"/>
  <c r="BW4" i="288" s="1"/>
  <c r="M3" i="287"/>
  <c r="W3" i="287" s="1"/>
  <c r="X3" i="287" s="1"/>
  <c r="AX31" i="287"/>
  <c r="AX27" i="287"/>
  <c r="AX23" i="287"/>
  <c r="AX19" i="287"/>
  <c r="AX15" i="287"/>
  <c r="AX11" i="287"/>
  <c r="AX7" i="287"/>
  <c r="AN3" i="287"/>
  <c r="AO3" i="287"/>
  <c r="AX10" i="287"/>
  <c r="AX6" i="287"/>
  <c r="BZ31" i="287"/>
  <c r="BZ15" i="287"/>
  <c r="FC17" i="287"/>
  <c r="AR3" i="287"/>
  <c r="BZ30" i="287"/>
  <c r="BZ14" i="287"/>
  <c r="EA3" i="287"/>
  <c r="EB3" i="287" s="1"/>
  <c r="FC16" i="287"/>
  <c r="CP3" i="287"/>
  <c r="CZ3" i="287" s="1"/>
  <c r="DA3" i="287" s="1"/>
  <c r="ER3" i="287"/>
  <c r="FB3" i="287" s="1"/>
  <c r="FC3" i="287" s="1"/>
  <c r="BY6" i="287"/>
  <c r="BZ6" i="287" s="1"/>
  <c r="EA6" i="287"/>
  <c r="F12" i="286"/>
  <c r="F21" i="286" s="1" a="1"/>
  <c r="C25" i="286"/>
  <c r="E25" i="286"/>
  <c r="D14" i="286"/>
  <c r="J12" i="286"/>
  <c r="J11" i="286"/>
  <c r="AE11" i="286"/>
  <c r="AE10" i="286"/>
  <c r="F21" i="285"/>
  <c r="F24" i="285"/>
  <c r="F20" i="285"/>
  <c r="F23" i="285"/>
  <c r="F19" i="285"/>
  <c r="F26" i="285"/>
  <c r="F22" i="285"/>
  <c r="F18" i="285"/>
  <c r="F25" i="285"/>
  <c r="C28" i="285"/>
  <c r="E46" i="285"/>
  <c r="D28" i="285"/>
  <c r="J24" i="285"/>
  <c r="J20" i="285"/>
  <c r="J23" i="285"/>
  <c r="J19" i="285"/>
  <c r="J26" i="285"/>
  <c r="J22" i="285"/>
  <c r="J18" i="285"/>
  <c r="J25" i="285"/>
  <c r="J21" i="285"/>
  <c r="AE24" i="285"/>
  <c r="AE20" i="285"/>
  <c r="AE16" i="285"/>
  <c r="AE23" i="285"/>
  <c r="AE19" i="285"/>
  <c r="AE18" i="285"/>
  <c r="AE22" i="285"/>
  <c r="AE25" i="285"/>
  <c r="AE21" i="285"/>
  <c r="F10" i="284" a="1"/>
  <c r="F10" i="284" s="1"/>
  <c r="L15" i="284" a="1"/>
  <c r="L15" i="284" s="1"/>
  <c r="L12" i="284" a="1"/>
  <c r="L12" i="284" s="1"/>
  <c r="I25" i="284"/>
  <c r="I24" i="284" a="1"/>
  <c r="I24" i="284" s="1"/>
  <c r="H25" i="284"/>
  <c r="H24" i="284" a="1"/>
  <c r="H24" i="284" s="1"/>
  <c r="G24" i="284" a="1"/>
  <c r="G24" i="284" s="1"/>
  <c r="G25" i="284" s="1"/>
  <c r="E24" i="284" a="1"/>
  <c r="E24" i="284" s="1"/>
  <c r="E14" i="284" s="1"/>
  <c r="D24" i="284" a="1"/>
  <c r="D24" i="284" s="1"/>
  <c r="D25" i="284" s="1"/>
  <c r="C25" i="284"/>
  <c r="C24" i="284" a="1"/>
  <c r="C24" i="284" s="1"/>
  <c r="C14" i="284" s="1"/>
  <c r="I13" i="284" a="1"/>
  <c r="I13" i="284" s="1"/>
  <c r="I14" i="284" s="1"/>
  <c r="H13" i="284" a="1"/>
  <c r="H13" i="284" s="1"/>
  <c r="H14" i="284" s="1"/>
  <c r="G13" i="284" a="1"/>
  <c r="G13" i="284" s="1"/>
  <c r="G14" i="284" s="1"/>
  <c r="E13" i="284" a="1"/>
  <c r="E13" i="284" s="1"/>
  <c r="D13" i="284" a="1"/>
  <c r="D13" i="284" s="1"/>
  <c r="C13" i="284" a="1"/>
  <c r="C13" i="284" s="1"/>
  <c r="J10" i="284" a="1"/>
  <c r="J10" i="284" s="1"/>
  <c r="AE9" i="284" a="1"/>
  <c r="AE10" i="284" s="1"/>
  <c r="F17" i="283" a="1"/>
  <c r="F18" i="283" s="1"/>
  <c r="F17" i="283"/>
  <c r="F21" i="283"/>
  <c r="F25" i="283"/>
  <c r="L22" i="283" a="1"/>
  <c r="L22" i="283" s="1"/>
  <c r="L19" i="283" a="1"/>
  <c r="L19" i="283" s="1"/>
  <c r="I45" i="283" a="1"/>
  <c r="I45" i="283" s="1"/>
  <c r="I46" i="283" s="1"/>
  <c r="H45" i="283" a="1"/>
  <c r="H45" i="283" s="1"/>
  <c r="H46" i="283" s="1"/>
  <c r="G46" i="283"/>
  <c r="G45" i="283" a="1"/>
  <c r="G45" i="283" s="1"/>
  <c r="E45" i="283" a="1"/>
  <c r="E45" i="283" s="1"/>
  <c r="E46" i="283" s="1"/>
  <c r="D45" i="283" a="1"/>
  <c r="D45" i="283" s="1"/>
  <c r="D46" i="283" s="1"/>
  <c r="C45" i="283" a="1"/>
  <c r="C45" i="283" s="1"/>
  <c r="C46" i="283" s="1"/>
  <c r="I27" i="283" a="1"/>
  <c r="I27" i="283" s="1"/>
  <c r="I28" i="283" s="1"/>
  <c r="H27" i="283" a="1"/>
  <c r="H27" i="283" s="1"/>
  <c r="H28" i="283" s="1"/>
  <c r="G27" i="283" a="1"/>
  <c r="G27" i="283" s="1"/>
  <c r="G28" i="283" s="1"/>
  <c r="E27" i="283" a="1"/>
  <c r="E27" i="283" s="1"/>
  <c r="D27" i="283" a="1"/>
  <c r="D27" i="283" s="1"/>
  <c r="C27" i="283" a="1"/>
  <c r="C27" i="283" s="1"/>
  <c r="J17" i="283" a="1"/>
  <c r="J17" i="283" s="1"/>
  <c r="AE16" i="283" a="1"/>
  <c r="AE16" i="283" s="1"/>
  <c r="BW16" i="288" l="1"/>
  <c r="BW8" i="288"/>
  <c r="BW24" i="288"/>
  <c r="BJ13" i="288"/>
  <c r="BJ29" i="288"/>
  <c r="AW18" i="288"/>
  <c r="AJ7" i="288"/>
  <c r="AJ23" i="288"/>
  <c r="W8" i="288"/>
  <c r="W24" i="288"/>
  <c r="BW13" i="288"/>
  <c r="BW29" i="288"/>
  <c r="BJ18" i="288"/>
  <c r="AW7" i="288"/>
  <c r="AW23" i="288"/>
  <c r="AJ8" i="288"/>
  <c r="AJ24" i="288"/>
  <c r="W13" i="288"/>
  <c r="W29" i="288"/>
  <c r="BW14" i="288"/>
  <c r="BW30" i="288"/>
  <c r="BJ19" i="288"/>
  <c r="AW4" i="288"/>
  <c r="AW20" i="288"/>
  <c r="AJ9" i="288"/>
  <c r="AJ25" i="288"/>
  <c r="W14" i="288"/>
  <c r="W30" i="288"/>
  <c r="BW19" i="288"/>
  <c r="BJ3" i="288"/>
  <c r="BJ20" i="288"/>
  <c r="AW9" i="288"/>
  <c r="AW25" i="288"/>
  <c r="AJ14" i="288"/>
  <c r="AJ30" i="288"/>
  <c r="W19" i="288"/>
  <c r="J3" i="288"/>
  <c r="J13" i="288"/>
  <c r="J6" i="288"/>
  <c r="J26" i="288"/>
  <c r="J23" i="288"/>
  <c r="J4" i="288"/>
  <c r="J20" i="288"/>
  <c r="BW3" i="288"/>
  <c r="BW20" i="288"/>
  <c r="BJ9" i="288"/>
  <c r="BJ25" i="288"/>
  <c r="BW12" i="288"/>
  <c r="BW28" i="288"/>
  <c r="BJ17" i="288"/>
  <c r="AW6" i="288"/>
  <c r="AW22" i="288"/>
  <c r="AJ11" i="288"/>
  <c r="AJ27" i="288"/>
  <c r="W12" i="288"/>
  <c r="W28" i="288"/>
  <c r="BW17" i="288"/>
  <c r="BJ6" i="288"/>
  <c r="BJ22" i="288"/>
  <c r="AW11" i="288"/>
  <c r="AW27" i="288"/>
  <c r="AJ12" i="288"/>
  <c r="AJ28" i="288"/>
  <c r="W17" i="288"/>
  <c r="BW18" i="288"/>
  <c r="BJ7" i="288"/>
  <c r="BJ23" i="288"/>
  <c r="AW8" i="288"/>
  <c r="AW24" i="288"/>
  <c r="AJ13" i="288"/>
  <c r="AJ29" i="288"/>
  <c r="W18" i="288"/>
  <c r="BW7" i="288"/>
  <c r="BW23" i="288"/>
  <c r="BJ8" i="288"/>
  <c r="BJ24" i="288"/>
  <c r="AW13" i="288"/>
  <c r="AJ18" i="288"/>
  <c r="W7" i="288"/>
  <c r="W23" i="288"/>
  <c r="J7" i="288"/>
  <c r="J25" i="288"/>
  <c r="J14" i="288"/>
  <c r="J30" i="288"/>
  <c r="J27" i="288"/>
  <c r="J8" i="288"/>
  <c r="J24" i="288"/>
  <c r="W16" i="288"/>
  <c r="BW5" i="288"/>
  <c r="BW21" i="288"/>
  <c r="BJ10" i="288"/>
  <c r="BJ26" i="288"/>
  <c r="AJ16" i="288"/>
  <c r="W3" i="288"/>
  <c r="W21" i="288"/>
  <c r="BW6" i="288"/>
  <c r="BW22" i="288"/>
  <c r="BJ11" i="288"/>
  <c r="BJ27" i="288"/>
  <c r="AW12" i="288"/>
  <c r="AW28" i="288"/>
  <c r="AJ17" i="288"/>
  <c r="W6" i="288"/>
  <c r="W22" i="288"/>
  <c r="BW11" i="288"/>
  <c r="BW27" i="288"/>
  <c r="BJ12" i="288"/>
  <c r="BJ28" i="288"/>
  <c r="AW17" i="288"/>
  <c r="AJ6" i="288"/>
  <c r="W11" i="288"/>
  <c r="W27" i="288"/>
  <c r="J29" i="288"/>
  <c r="J18" i="288"/>
  <c r="J15" i="288"/>
  <c r="J31" i="288"/>
  <c r="J12" i="288"/>
  <c r="J28" i="288"/>
  <c r="W4" i="288"/>
  <c r="W20" i="288"/>
  <c r="BW9" i="288"/>
  <c r="BW25" i="288"/>
  <c r="BJ14" i="288"/>
  <c r="BJ30" i="288"/>
  <c r="AW19" i="288"/>
  <c r="AJ4" i="288"/>
  <c r="AJ20" i="288"/>
  <c r="W9" i="288"/>
  <c r="W25" i="288"/>
  <c r="BW10" i="288"/>
  <c r="BW26" i="288"/>
  <c r="BJ15" i="288"/>
  <c r="BJ31" i="288"/>
  <c r="AW16" i="288"/>
  <c r="AJ3" i="288"/>
  <c r="AJ21" i="288"/>
  <c r="W10" i="288"/>
  <c r="W26" i="288"/>
  <c r="BW15" i="288"/>
  <c r="BW31" i="288"/>
  <c r="BJ16" i="288"/>
  <c r="AW3" i="288"/>
  <c r="AW21" i="288"/>
  <c r="AJ10" i="288"/>
  <c r="AJ26" i="288"/>
  <c r="W15" i="288"/>
  <c r="W31" i="288"/>
  <c r="J9" i="288"/>
  <c r="J10" i="288"/>
  <c r="J22" i="288"/>
  <c r="J19" i="288"/>
  <c r="J17" i="288"/>
  <c r="J16" i="288"/>
  <c r="J21" i="288"/>
  <c r="EB7" i="287"/>
  <c r="DA25" i="287"/>
  <c r="EB6" i="287"/>
  <c r="FC4" i="287"/>
  <c r="FC20" i="287"/>
  <c r="EB10" i="287"/>
  <c r="EB26" i="287"/>
  <c r="DA12" i="287"/>
  <c r="DA28" i="287"/>
  <c r="BZ18" i="287"/>
  <c r="FC5" i="287"/>
  <c r="FC21" i="287"/>
  <c r="EB11" i="287"/>
  <c r="EB27" i="287"/>
  <c r="DA13" i="287"/>
  <c r="DA29" i="287"/>
  <c r="BZ19" i="287"/>
  <c r="FC10" i="287"/>
  <c r="FC26" i="287"/>
  <c r="EB12" i="287"/>
  <c r="EB28" i="287"/>
  <c r="DA18" i="287"/>
  <c r="BZ4" i="287"/>
  <c r="BZ20" i="287"/>
  <c r="AX3" i="287"/>
  <c r="AY19" i="287"/>
  <c r="FC7" i="287"/>
  <c r="FC23" i="287"/>
  <c r="EB9" i="287"/>
  <c r="EB25" i="287"/>
  <c r="DA15" i="287"/>
  <c r="DA31" i="287"/>
  <c r="BZ17" i="287"/>
  <c r="X6" i="287"/>
  <c r="X22" i="287"/>
  <c r="X11" i="287"/>
  <c r="X27" i="287"/>
  <c r="X12" i="287"/>
  <c r="X28" i="287"/>
  <c r="X17" i="287"/>
  <c r="DA24" i="287"/>
  <c r="EB23" i="287"/>
  <c r="DA9" i="287"/>
  <c r="FC8" i="287"/>
  <c r="FC24" i="287"/>
  <c r="EB14" i="287"/>
  <c r="EB30" i="287"/>
  <c r="DA16" i="287"/>
  <c r="BZ3" i="287"/>
  <c r="BZ22" i="287"/>
  <c r="FC9" i="287"/>
  <c r="FC25" i="287"/>
  <c r="EB15" i="287"/>
  <c r="EB31" i="287"/>
  <c r="DA17" i="287"/>
  <c r="BZ7" i="287"/>
  <c r="BZ23" i="287"/>
  <c r="AY10" i="287"/>
  <c r="FC14" i="287"/>
  <c r="FC30" i="287"/>
  <c r="EB16" i="287"/>
  <c r="DA6" i="287"/>
  <c r="DA22" i="287"/>
  <c r="BZ8" i="287"/>
  <c r="BZ24" i="287"/>
  <c r="AY7" i="287"/>
  <c r="AY23" i="287"/>
  <c r="FC11" i="287"/>
  <c r="FC27" i="287"/>
  <c r="EB13" i="287"/>
  <c r="EB29" i="287"/>
  <c r="DA19" i="287"/>
  <c r="BZ5" i="287"/>
  <c r="BZ21" i="287"/>
  <c r="X10" i="287"/>
  <c r="X26" i="287"/>
  <c r="X15" i="287"/>
  <c r="X31" i="287"/>
  <c r="X16" i="287"/>
  <c r="X5" i="287"/>
  <c r="X21" i="287"/>
  <c r="FC12" i="287"/>
  <c r="FC28" i="287"/>
  <c r="EB18" i="287"/>
  <c r="DA4" i="287"/>
  <c r="DA20" i="287"/>
  <c r="BZ10" i="287"/>
  <c r="BZ26" i="287"/>
  <c r="FC13" i="287"/>
  <c r="FC29" i="287"/>
  <c r="EB19" i="287"/>
  <c r="DA5" i="287"/>
  <c r="DA21" i="287"/>
  <c r="BZ11" i="287"/>
  <c r="BZ27" i="287"/>
  <c r="FC18" i="287"/>
  <c r="EB4" i="287"/>
  <c r="EB20" i="287"/>
  <c r="DA10" i="287"/>
  <c r="DA26" i="287"/>
  <c r="BZ12" i="287"/>
  <c r="BZ28" i="287"/>
  <c r="AY11" i="287"/>
  <c r="AY27" i="287"/>
  <c r="FC15" i="287"/>
  <c r="FC31" i="287"/>
  <c r="EB17" i="287"/>
  <c r="DA7" i="287"/>
  <c r="DA23" i="287"/>
  <c r="BZ9" i="287"/>
  <c r="BZ25" i="287"/>
  <c r="X14" i="287"/>
  <c r="X30" i="287"/>
  <c r="X19" i="287"/>
  <c r="X4" i="287"/>
  <c r="X20" i="287"/>
  <c r="X9" i="287"/>
  <c r="X25" i="287"/>
  <c r="EB22" i="287"/>
  <c r="DA8" i="287"/>
  <c r="FC6" i="287"/>
  <c r="FC22" i="287"/>
  <c r="EB8" i="287"/>
  <c r="EB24" i="287"/>
  <c r="DA14" i="287"/>
  <c r="DA30" i="287"/>
  <c r="BZ16" i="287"/>
  <c r="AY15" i="287"/>
  <c r="AY31" i="287"/>
  <c r="FC19" i="287"/>
  <c r="EB5" i="287"/>
  <c r="EB21" i="287"/>
  <c r="DA11" i="287"/>
  <c r="DA27" i="287"/>
  <c r="BZ13" i="287"/>
  <c r="BZ29" i="287"/>
  <c r="X18" i="287"/>
  <c r="X7" i="287"/>
  <c r="X23" i="287"/>
  <c r="X8" i="287"/>
  <c r="X24" i="287"/>
  <c r="X13" i="287"/>
  <c r="X29" i="287"/>
  <c r="F21" i="286"/>
  <c r="F23" i="286"/>
  <c r="F22" i="286"/>
  <c r="J21" i="286" a="1"/>
  <c r="J22" i="286" s="1"/>
  <c r="F35" i="285" a="1"/>
  <c r="F43" i="285" s="1"/>
  <c r="J35" i="285" a="1"/>
  <c r="F12" i="284"/>
  <c r="F11" i="284"/>
  <c r="E25" i="284"/>
  <c r="D14" i="284"/>
  <c r="J11" i="284"/>
  <c r="J12" i="284"/>
  <c r="AE11" i="284"/>
  <c r="AE9" i="284"/>
  <c r="F23" i="283"/>
  <c r="F19" i="283"/>
  <c r="F24" i="283"/>
  <c r="F20" i="283"/>
  <c r="F26" i="283"/>
  <c r="F22" i="283"/>
  <c r="C28" i="283"/>
  <c r="E28" i="283"/>
  <c r="D28" i="283"/>
  <c r="J24" i="283"/>
  <c r="J20" i="283"/>
  <c r="J23" i="283"/>
  <c r="J19" i="283"/>
  <c r="J26" i="283"/>
  <c r="J22" i="283"/>
  <c r="J18" i="283"/>
  <c r="J25" i="283"/>
  <c r="J21" i="283"/>
  <c r="AE18" i="283"/>
  <c r="AE17" i="283"/>
  <c r="AE23" i="283"/>
  <c r="AE19" i="283"/>
  <c r="AE22" i="283"/>
  <c r="AE25" i="283"/>
  <c r="AE21" i="283"/>
  <c r="AE24" i="283"/>
  <c r="AE20" i="283"/>
  <c r="F12" i="282" a="1"/>
  <c r="F12" i="282" s="1"/>
  <c r="L17" i="282" a="1"/>
  <c r="L17" i="282" s="1"/>
  <c r="L14" i="282" a="1"/>
  <c r="L14" i="282" s="1"/>
  <c r="I30" i="282" a="1"/>
  <c r="I30" i="282" s="1"/>
  <c r="I31" i="282" s="1"/>
  <c r="H30" i="282" a="1"/>
  <c r="H30" i="282" s="1"/>
  <c r="H31" i="282" s="1"/>
  <c r="G30" i="282" a="1"/>
  <c r="G30" i="282" s="1"/>
  <c r="G31" i="282" s="1"/>
  <c r="E31" i="282"/>
  <c r="E30" i="282" a="1"/>
  <c r="E30" i="282" s="1"/>
  <c r="D30" i="282" a="1"/>
  <c r="D30" i="282" s="1"/>
  <c r="D31" i="282" s="1"/>
  <c r="C30" i="282" a="1"/>
  <c r="C30" i="282" s="1"/>
  <c r="C31" i="282" s="1"/>
  <c r="I17" i="282" a="1"/>
  <c r="I17" i="282" s="1"/>
  <c r="I18" i="282" s="1"/>
  <c r="H17" i="282" a="1"/>
  <c r="H17" i="282" s="1"/>
  <c r="H18" i="282" s="1"/>
  <c r="G17" i="282" a="1"/>
  <c r="G17" i="282" s="1"/>
  <c r="G18" i="282" s="1"/>
  <c r="E18" i="282"/>
  <c r="E17" i="282" a="1"/>
  <c r="E17" i="282" s="1"/>
  <c r="D17" i="282" a="1"/>
  <c r="D17" i="282" s="1"/>
  <c r="C17" i="282" a="1"/>
  <c r="C17" i="282" s="1"/>
  <c r="J12" i="282" a="1"/>
  <c r="J12" i="282" s="1"/>
  <c r="AE11" i="282" a="1"/>
  <c r="AE11" i="282" s="1"/>
  <c r="F10" i="281" a="1"/>
  <c r="F10" i="281" s="1"/>
  <c r="L15" i="281" a="1"/>
  <c r="L15" i="281" s="1"/>
  <c r="L12" i="281" a="1"/>
  <c r="L12" i="281" s="1"/>
  <c r="I25" i="281"/>
  <c r="I24" i="281" a="1"/>
  <c r="I24" i="281" s="1"/>
  <c r="H25" i="281"/>
  <c r="H24" i="281" a="1"/>
  <c r="H24" i="281" s="1"/>
  <c r="G25" i="281"/>
  <c r="G24" i="281" a="1"/>
  <c r="G24" i="281" s="1"/>
  <c r="E25" i="281"/>
  <c r="E24" i="281" a="1"/>
  <c r="E24" i="281" s="1"/>
  <c r="D24" i="281" a="1"/>
  <c r="D24" i="281" s="1"/>
  <c r="D14" i="281" s="1"/>
  <c r="C24" i="281" a="1"/>
  <c r="C24" i="281" s="1"/>
  <c r="C25" i="281" s="1"/>
  <c r="I13" i="281" a="1"/>
  <c r="I13" i="281" s="1"/>
  <c r="I14" i="281" s="1"/>
  <c r="H13" i="281" a="1"/>
  <c r="H13" i="281" s="1"/>
  <c r="H14" i="281" s="1"/>
  <c r="G13" i="281" a="1"/>
  <c r="G13" i="281" s="1"/>
  <c r="G14" i="281" s="1"/>
  <c r="E14" i="281"/>
  <c r="E13" i="281" a="1"/>
  <c r="E13" i="281" s="1"/>
  <c r="D13" i="281" a="1"/>
  <c r="D13" i="281" s="1"/>
  <c r="C13" i="281" a="1"/>
  <c r="C13" i="281" s="1"/>
  <c r="J10" i="281" a="1"/>
  <c r="J10" i="281" s="1"/>
  <c r="AE9" i="281" a="1"/>
  <c r="AE10" i="281" s="1"/>
  <c r="AY3" i="287" l="1"/>
  <c r="AY16" i="287"/>
  <c r="AY18" i="287"/>
  <c r="AY13" i="287"/>
  <c r="AY28" i="287"/>
  <c r="AY12" i="287"/>
  <c r="AY30" i="287"/>
  <c r="AY14" i="287"/>
  <c r="AY25" i="287"/>
  <c r="AY9" i="287"/>
  <c r="AY24" i="287"/>
  <c r="AY8" i="287"/>
  <c r="AY26" i="287"/>
  <c r="AY21" i="287"/>
  <c r="AY5" i="287"/>
  <c r="AY20" i="287"/>
  <c r="AY4" i="287"/>
  <c r="AY22" i="287"/>
  <c r="AY17" i="287"/>
  <c r="AY29" i="287"/>
  <c r="AY6" i="287"/>
  <c r="F24" i="286" a="1"/>
  <c r="F24" i="286" s="1"/>
  <c r="F13" i="286" a="1"/>
  <c r="F13" i="286" s="1"/>
  <c r="J23" i="286"/>
  <c r="J21" i="286"/>
  <c r="F37" i="285"/>
  <c r="F40" i="285"/>
  <c r="F36" i="285"/>
  <c r="F44" i="285"/>
  <c r="F35" i="285"/>
  <c r="F38" i="285"/>
  <c r="F39" i="285"/>
  <c r="F41" i="285"/>
  <c r="F42" i="285"/>
  <c r="J35" i="285"/>
  <c r="J42" i="285"/>
  <c r="J37" i="285"/>
  <c r="J39" i="285"/>
  <c r="J44" i="285"/>
  <c r="J40" i="285"/>
  <c r="J38" i="285"/>
  <c r="J36" i="285"/>
  <c r="J41" i="285"/>
  <c r="J43" i="285"/>
  <c r="F21" i="284" a="1"/>
  <c r="F21" i="284" s="1"/>
  <c r="J21" i="284" a="1"/>
  <c r="J21" i="284" s="1"/>
  <c r="F35" i="283" a="1"/>
  <c r="F36" i="283" s="1"/>
  <c r="J35" i="283" a="1"/>
  <c r="J38" i="283" s="1"/>
  <c r="F14" i="282"/>
  <c r="F15" i="282"/>
  <c r="F13" i="282"/>
  <c r="F16" i="282"/>
  <c r="D18" i="282"/>
  <c r="C18" i="282"/>
  <c r="J14" i="282"/>
  <c r="J15" i="282"/>
  <c r="J13" i="282"/>
  <c r="J16" i="282"/>
  <c r="AE13" i="282"/>
  <c r="AE12" i="282"/>
  <c r="AE14" i="282"/>
  <c r="AE15" i="282"/>
  <c r="F21" i="281" a="1"/>
  <c r="F21" i="281" s="1"/>
  <c r="F12" i="281"/>
  <c r="F11" i="281"/>
  <c r="D25" i="281"/>
  <c r="C14" i="281"/>
  <c r="J12" i="281"/>
  <c r="J11" i="281"/>
  <c r="AE11" i="281"/>
  <c r="AE9" i="281"/>
  <c r="F14" i="286" l="1"/>
  <c r="F25" i="286"/>
  <c r="J24" i="286" a="1"/>
  <c r="J24" i="286" s="1"/>
  <c r="J25" i="286" s="1"/>
  <c r="J13" i="286" a="1"/>
  <c r="J13" i="286" s="1"/>
  <c r="J14" i="286" s="1"/>
  <c r="F27" i="285" a="1"/>
  <c r="F27" i="285" s="1"/>
  <c r="F45" i="285" a="1"/>
  <c r="F45" i="285" s="1"/>
  <c r="F46" i="285" s="1"/>
  <c r="J27" i="285" a="1"/>
  <c r="J27" i="285" s="1"/>
  <c r="J28" i="285" s="1"/>
  <c r="J45" i="285" a="1"/>
  <c r="J45" i="285" s="1"/>
  <c r="J46" i="285" s="1"/>
  <c r="F23" i="284"/>
  <c r="F22" i="284"/>
  <c r="J23" i="284"/>
  <c r="J22" i="284"/>
  <c r="F37" i="283"/>
  <c r="F41" i="283"/>
  <c r="F43" i="283"/>
  <c r="F35" i="283"/>
  <c r="F40" i="283"/>
  <c r="F42" i="283"/>
  <c r="F38" i="283"/>
  <c r="F39" i="283"/>
  <c r="F44" i="283"/>
  <c r="J41" i="283"/>
  <c r="J39" i="283"/>
  <c r="J35" i="283"/>
  <c r="J36" i="283"/>
  <c r="J42" i="283"/>
  <c r="J40" i="283"/>
  <c r="J37" i="283"/>
  <c r="J43" i="283"/>
  <c r="J44" i="283"/>
  <c r="F25" i="282" a="1"/>
  <c r="F25" i="282" s="1"/>
  <c r="J25" i="282" a="1"/>
  <c r="J25" i="282" s="1"/>
  <c r="F22" i="281"/>
  <c r="F24" i="281" s="1" a="1"/>
  <c r="F24" i="281" s="1"/>
  <c r="F23" i="281"/>
  <c r="J21" i="281" a="1"/>
  <c r="J21" i="281" s="1"/>
  <c r="F28" i="285" l="1"/>
  <c r="F24" i="284" a="1"/>
  <c r="F24" i="284" s="1"/>
  <c r="F14" i="284" s="1"/>
  <c r="F13" i="284" a="1"/>
  <c r="F13" i="284" s="1"/>
  <c r="J24" i="284" a="1"/>
  <c r="J24" i="284" s="1"/>
  <c r="J25" i="284" s="1"/>
  <c r="J13" i="284" a="1"/>
  <c r="J13" i="284" s="1"/>
  <c r="J14" i="284" s="1"/>
  <c r="F45" i="283" a="1"/>
  <c r="F45" i="283" s="1"/>
  <c r="F46" i="283" s="1"/>
  <c r="F27" i="283" a="1"/>
  <c r="F27" i="283" s="1"/>
  <c r="J45" i="283" a="1"/>
  <c r="J45" i="283" s="1"/>
  <c r="J46" i="283" s="1"/>
  <c r="J27" i="283" a="1"/>
  <c r="J27" i="283" s="1"/>
  <c r="J28" i="283" s="1"/>
  <c r="F28" i="282"/>
  <c r="F29" i="282"/>
  <c r="F27" i="282"/>
  <c r="F26" i="282"/>
  <c r="J27" i="282"/>
  <c r="J28" i="282"/>
  <c r="J26" i="282"/>
  <c r="J29" i="282"/>
  <c r="F14" i="281"/>
  <c r="F25" i="281"/>
  <c r="F13" i="281" a="1"/>
  <c r="F13" i="281" s="1"/>
  <c r="J23" i="281"/>
  <c r="J22" i="281"/>
  <c r="F25" i="284" l="1"/>
  <c r="F28" i="283"/>
  <c r="F30" i="282" a="1"/>
  <c r="F30" i="282" s="1"/>
  <c r="F31" i="282" s="1"/>
  <c r="F17" i="282" a="1"/>
  <c r="F17" i="282" s="1"/>
  <c r="J30" i="282" a="1"/>
  <c r="J30" i="282" s="1"/>
  <c r="J31" i="282" s="1"/>
  <c r="J17" i="282" a="1"/>
  <c r="J17" i="282" s="1"/>
  <c r="J18" i="282" s="1"/>
  <c r="J13" i="281" a="1"/>
  <c r="J13" i="281" s="1"/>
  <c r="J14" i="281" s="1"/>
  <c r="J24" i="281" a="1"/>
  <c r="J24" i="281" s="1"/>
  <c r="J25" i="281" s="1"/>
  <c r="F18" i="282" l="1"/>
  <c r="B201" i="60"/>
  <c r="A201" i="60"/>
  <c r="B200" i="60"/>
  <c r="A200" i="60"/>
  <c r="B199" i="60"/>
  <c r="A199" i="60"/>
  <c r="B198" i="60"/>
  <c r="A198" i="60"/>
  <c r="B197" i="60"/>
  <c r="A197" i="60"/>
  <c r="B196" i="60"/>
  <c r="A196" i="60"/>
  <c r="B195" i="60"/>
  <c r="A195" i="60"/>
  <c r="B194" i="60"/>
  <c r="A194" i="60"/>
  <c r="B193" i="60"/>
  <c r="A193" i="60"/>
  <c r="B192" i="60"/>
  <c r="A192" i="60"/>
  <c r="B191" i="60"/>
  <c r="A191" i="60"/>
  <c r="B190" i="60"/>
  <c r="A190" i="60"/>
  <c r="B189" i="60"/>
  <c r="A189" i="60"/>
  <c r="B188" i="60"/>
  <c r="A188" i="60"/>
  <c r="B187" i="60"/>
  <c r="A187" i="60"/>
  <c r="B186" i="60"/>
  <c r="A186" i="60"/>
  <c r="B185" i="60"/>
  <c r="A185" i="60"/>
  <c r="B184" i="60"/>
  <c r="A184" i="60"/>
  <c r="B183" i="60"/>
  <c r="A183" i="60"/>
  <c r="B182" i="60"/>
  <c r="A182" i="60"/>
  <c r="B181" i="60"/>
  <c r="A181" i="60"/>
  <c r="B180" i="60"/>
  <c r="A180" i="60"/>
  <c r="B179" i="60"/>
  <c r="A179" i="60"/>
  <c r="B178" i="60"/>
  <c r="A178" i="60"/>
  <c r="B177" i="60"/>
  <c r="A177" i="60"/>
  <c r="B176" i="60"/>
  <c r="A176" i="60"/>
  <c r="B175" i="60"/>
  <c r="A175" i="60"/>
  <c r="B174" i="60"/>
  <c r="A174" i="60"/>
  <c r="B173" i="60"/>
  <c r="A173" i="60"/>
  <c r="B172" i="60"/>
  <c r="A172" i="60"/>
  <c r="B171" i="60"/>
  <c r="A171" i="60"/>
  <c r="B170" i="60"/>
  <c r="A170" i="60"/>
  <c r="B169" i="60"/>
  <c r="A169" i="60"/>
  <c r="B168" i="60"/>
  <c r="A168" i="60"/>
  <c r="B167" i="60"/>
  <c r="A167" i="60"/>
  <c r="B166" i="60"/>
  <c r="A166" i="60"/>
  <c r="B165" i="60"/>
  <c r="A165" i="60"/>
  <c r="B164" i="60"/>
  <c r="A164" i="60"/>
  <c r="B163" i="60"/>
  <c r="A163" i="60"/>
  <c r="B162" i="60"/>
  <c r="A162" i="60"/>
  <c r="B161" i="60"/>
  <c r="A161" i="60"/>
  <c r="B160" i="60"/>
  <c r="A160" i="60"/>
  <c r="B159" i="60"/>
  <c r="A159" i="60"/>
  <c r="B158" i="60"/>
  <c r="A158" i="60"/>
  <c r="B157" i="60"/>
  <c r="A157" i="60"/>
  <c r="B156" i="60"/>
  <c r="A156" i="60"/>
  <c r="B155" i="60"/>
  <c r="A155" i="60"/>
  <c r="B154" i="60"/>
  <c r="A154" i="60"/>
  <c r="B153" i="60"/>
  <c r="A153" i="60"/>
  <c r="B152" i="60"/>
  <c r="A152" i="60"/>
  <c r="B151" i="60"/>
  <c r="A151" i="60"/>
  <c r="B150" i="60"/>
  <c r="A150" i="60"/>
  <c r="B149" i="60"/>
  <c r="A149" i="60"/>
  <c r="B148" i="60"/>
  <c r="A148" i="60"/>
  <c r="B147" i="60"/>
  <c r="A147" i="60"/>
  <c r="B146" i="60"/>
  <c r="A146" i="60"/>
  <c r="B145" i="60"/>
  <c r="A145" i="60"/>
  <c r="B144" i="60"/>
  <c r="A144" i="60"/>
  <c r="B143" i="60"/>
  <c r="A143" i="60"/>
  <c r="B142" i="60"/>
  <c r="A142" i="60"/>
  <c r="B141" i="60"/>
  <c r="A141" i="60"/>
  <c r="B140" i="60"/>
  <c r="A140" i="60"/>
  <c r="B139" i="60"/>
  <c r="A139" i="60"/>
  <c r="B138" i="60"/>
  <c r="A138" i="60"/>
  <c r="B137" i="60"/>
  <c r="A137" i="60"/>
  <c r="B136" i="60"/>
  <c r="A136" i="60"/>
  <c r="B135" i="60"/>
  <c r="A135" i="60"/>
  <c r="B134" i="60"/>
  <c r="A134" i="60"/>
  <c r="B133" i="60"/>
  <c r="A133" i="60"/>
  <c r="B132" i="60"/>
  <c r="A132" i="60"/>
  <c r="B131" i="60"/>
  <c r="A131" i="60"/>
  <c r="B130" i="60"/>
  <c r="A130" i="60"/>
  <c r="B129" i="60"/>
  <c r="A129" i="60"/>
  <c r="B128" i="60"/>
  <c r="A128" i="60"/>
  <c r="B127" i="60"/>
  <c r="A127" i="60"/>
  <c r="B126" i="60"/>
  <c r="A126" i="60"/>
  <c r="B125" i="60"/>
  <c r="A125" i="60"/>
  <c r="B124" i="60"/>
  <c r="A124" i="60"/>
  <c r="B123" i="60"/>
  <c r="A123" i="60"/>
  <c r="B122" i="60"/>
  <c r="A122" i="60"/>
  <c r="B121" i="60"/>
  <c r="A121" i="60"/>
  <c r="B120" i="60"/>
  <c r="A120" i="60"/>
  <c r="B119" i="60"/>
  <c r="A119" i="60"/>
  <c r="B118" i="60"/>
  <c r="A118" i="60"/>
  <c r="B117" i="60"/>
  <c r="A117" i="60"/>
  <c r="B116" i="60"/>
  <c r="A116" i="60"/>
  <c r="B115" i="60"/>
  <c r="A115" i="60"/>
  <c r="B114" i="60"/>
  <c r="A114" i="60"/>
  <c r="B113" i="60"/>
  <c r="A113" i="60"/>
  <c r="B112" i="60"/>
  <c r="A112" i="60"/>
  <c r="B111" i="60"/>
  <c r="A111" i="60"/>
  <c r="B110" i="60"/>
  <c r="A110" i="60"/>
  <c r="B109" i="60"/>
  <c r="A109" i="60"/>
  <c r="B108" i="60"/>
  <c r="A108" i="60"/>
  <c r="B107" i="60"/>
  <c r="A107" i="60"/>
  <c r="B106" i="60"/>
  <c r="A106" i="60"/>
  <c r="B105" i="60"/>
  <c r="A105" i="60"/>
  <c r="B104" i="60"/>
  <c r="A104" i="60"/>
  <c r="B103" i="60"/>
  <c r="A103" i="60"/>
  <c r="B102" i="60"/>
  <c r="A102" i="60"/>
  <c r="B101" i="60"/>
  <c r="A101" i="60"/>
  <c r="B100" i="60"/>
  <c r="A100" i="60"/>
  <c r="B99" i="60"/>
  <c r="A99" i="60"/>
  <c r="B98" i="60"/>
  <c r="A98" i="60"/>
  <c r="B97" i="60"/>
  <c r="A97" i="60"/>
  <c r="B96" i="60"/>
  <c r="A96" i="60"/>
  <c r="B95" i="60"/>
  <c r="A95" i="60"/>
  <c r="B94" i="60"/>
  <c r="A94" i="60"/>
  <c r="B93" i="60"/>
  <c r="A93" i="60"/>
  <c r="B92" i="60"/>
  <c r="A92" i="60"/>
  <c r="B91" i="60"/>
  <c r="A91" i="60"/>
  <c r="B90" i="60"/>
  <c r="A90" i="60"/>
  <c r="B89" i="60"/>
  <c r="A89" i="60"/>
  <c r="B88" i="60"/>
  <c r="A88" i="60"/>
  <c r="B87" i="60"/>
  <c r="A87" i="60"/>
  <c r="B86" i="60"/>
  <c r="A86" i="60"/>
  <c r="B85" i="60"/>
  <c r="A85" i="60"/>
  <c r="B84" i="60"/>
  <c r="A84" i="60"/>
  <c r="B83" i="60"/>
  <c r="A83" i="60"/>
  <c r="B82" i="60"/>
  <c r="A82" i="60"/>
  <c r="B81" i="60"/>
  <c r="A81" i="60"/>
  <c r="B80" i="60"/>
  <c r="A80" i="60"/>
  <c r="B79" i="60"/>
  <c r="A79" i="60"/>
  <c r="B78" i="60"/>
  <c r="A78" i="60"/>
  <c r="B77" i="60"/>
  <c r="A77" i="60"/>
  <c r="B76" i="60"/>
  <c r="A76" i="60"/>
  <c r="B75" i="60"/>
  <c r="A75" i="60"/>
  <c r="B74" i="60"/>
  <c r="A74" i="60"/>
  <c r="B73" i="60"/>
  <c r="A73" i="60"/>
  <c r="B72" i="60"/>
  <c r="A72" i="60"/>
  <c r="B71" i="60"/>
  <c r="A71" i="60"/>
  <c r="B70" i="60"/>
  <c r="A70" i="60"/>
  <c r="B69" i="60"/>
  <c r="A69" i="60"/>
  <c r="B68" i="60"/>
  <c r="A68" i="60"/>
  <c r="B67" i="60"/>
  <c r="A67" i="60"/>
  <c r="B66" i="60"/>
  <c r="A66" i="60"/>
  <c r="B65" i="60"/>
  <c r="A65" i="60"/>
  <c r="B64" i="60"/>
  <c r="A64" i="60"/>
  <c r="B63" i="60"/>
  <c r="A63" i="60"/>
  <c r="B62" i="60"/>
  <c r="A62" i="60"/>
  <c r="B61" i="60"/>
  <c r="A61" i="60"/>
  <c r="B60" i="60"/>
  <c r="A60" i="60"/>
  <c r="B59" i="60"/>
  <c r="A59" i="60"/>
  <c r="B58" i="60"/>
  <c r="A58" i="60"/>
  <c r="B57" i="60"/>
  <c r="A57" i="60"/>
  <c r="B56" i="60"/>
  <c r="A56" i="60"/>
  <c r="B55" i="60"/>
  <c r="A55" i="60"/>
  <c r="B54" i="60"/>
  <c r="A54" i="60"/>
  <c r="B53" i="60"/>
  <c r="A53" i="60"/>
  <c r="B52" i="60"/>
  <c r="A52" i="60"/>
  <c r="B51" i="60"/>
  <c r="A51" i="60"/>
  <c r="B50" i="60"/>
  <c r="A50" i="60"/>
  <c r="B49" i="60"/>
  <c r="A49" i="60"/>
  <c r="B48" i="60"/>
  <c r="A48" i="60"/>
  <c r="B47" i="60"/>
  <c r="A47" i="60"/>
  <c r="B46" i="60"/>
  <c r="A46" i="60"/>
  <c r="B45" i="60"/>
  <c r="A45" i="60"/>
  <c r="B44" i="60"/>
  <c r="A44" i="60"/>
  <c r="B43" i="60"/>
  <c r="A43" i="60"/>
  <c r="B42" i="60"/>
  <c r="A42" i="60"/>
  <c r="B41" i="60"/>
  <c r="A41" i="60"/>
  <c r="B40" i="60"/>
  <c r="A40" i="60"/>
  <c r="B39" i="60"/>
  <c r="A39" i="60"/>
  <c r="B38" i="60"/>
  <c r="A38" i="60"/>
  <c r="B37" i="60"/>
  <c r="A37" i="60"/>
  <c r="B36" i="60"/>
  <c r="A36" i="60"/>
  <c r="B35" i="60"/>
  <c r="A35" i="60"/>
  <c r="B34" i="60"/>
  <c r="A34" i="60"/>
  <c r="B33" i="60"/>
  <c r="A33" i="60"/>
  <c r="B32" i="60"/>
  <c r="A32" i="60"/>
  <c r="B31" i="60"/>
  <c r="A31" i="60"/>
  <c r="B30" i="60"/>
  <c r="A30" i="60"/>
  <c r="B29" i="60"/>
  <c r="A29" i="60"/>
  <c r="B28" i="60"/>
  <c r="A28" i="60"/>
  <c r="B27" i="60"/>
  <c r="A27" i="60"/>
  <c r="B26" i="60"/>
  <c r="A26" i="60"/>
  <c r="B25" i="60"/>
  <c r="A25" i="60"/>
  <c r="B24" i="60"/>
  <c r="A24" i="60"/>
  <c r="B23" i="60"/>
  <c r="A23" i="60"/>
  <c r="B22" i="60"/>
  <c r="A22" i="60"/>
  <c r="B21" i="60"/>
  <c r="A21" i="60"/>
  <c r="B20" i="60"/>
  <c r="A20" i="60"/>
  <c r="B19" i="60"/>
  <c r="A19" i="60"/>
  <c r="B18" i="60"/>
  <c r="A18" i="60"/>
  <c r="B17" i="60"/>
  <c r="A17" i="60"/>
  <c r="B16" i="60"/>
  <c r="A16" i="60"/>
  <c r="B15" i="60"/>
  <c r="A15" i="60"/>
  <c r="B14" i="60"/>
  <c r="A14" i="60"/>
  <c r="B13" i="60"/>
  <c r="A13" i="60"/>
  <c r="B12" i="60"/>
  <c r="A12" i="60"/>
  <c r="B11" i="60"/>
  <c r="A11" i="60"/>
  <c r="B10" i="60"/>
  <c r="A10" i="60"/>
  <c r="B9" i="60"/>
  <c r="A9" i="60"/>
  <c r="B8" i="60"/>
  <c r="A8" i="60"/>
  <c r="B7" i="60"/>
  <c r="A7" i="60"/>
  <c r="B6" i="60"/>
  <c r="A6" i="60"/>
  <c r="B5" i="60"/>
  <c r="A5" i="60"/>
  <c r="B4" i="60"/>
  <c r="A4" i="60"/>
  <c r="B3" i="60"/>
  <c r="A3" i="60"/>
  <c r="B2" i="60"/>
  <c r="A2" i="60"/>
  <c r="B201" i="57"/>
  <c r="A201" i="57"/>
  <c r="B200" i="57"/>
  <c r="A200" i="57"/>
  <c r="B199" i="57"/>
  <c r="A199" i="57"/>
  <c r="B198" i="57"/>
  <c r="A198" i="57"/>
  <c r="B197" i="57"/>
  <c r="A197" i="57"/>
  <c r="B196" i="57"/>
  <c r="A196" i="57"/>
  <c r="B195" i="57"/>
  <c r="A195" i="57"/>
  <c r="B194" i="57"/>
  <c r="A194" i="57"/>
  <c r="B193" i="57"/>
  <c r="A193" i="57"/>
  <c r="B192" i="57"/>
  <c r="A192" i="57"/>
  <c r="B191" i="57"/>
  <c r="A191" i="57"/>
  <c r="B190" i="57"/>
  <c r="A190" i="57"/>
  <c r="B189" i="57"/>
  <c r="A189" i="57"/>
  <c r="B188" i="57"/>
  <c r="A188" i="57"/>
  <c r="B187" i="57"/>
  <c r="A187" i="57"/>
  <c r="B186" i="57"/>
  <c r="A186" i="57"/>
  <c r="B185" i="57"/>
  <c r="A185" i="57"/>
  <c r="B184" i="57"/>
  <c r="A184" i="57"/>
  <c r="B183" i="57"/>
  <c r="A183" i="57"/>
  <c r="B182" i="57"/>
  <c r="A182" i="57"/>
  <c r="B181" i="57"/>
  <c r="A181" i="57"/>
  <c r="B180" i="57"/>
  <c r="A180" i="57"/>
  <c r="B179" i="57"/>
  <c r="A179" i="57"/>
  <c r="B178" i="57"/>
  <c r="A178" i="57"/>
  <c r="B177" i="57"/>
  <c r="A177" i="57"/>
  <c r="B176" i="57"/>
  <c r="A176" i="57"/>
  <c r="B175" i="57"/>
  <c r="A175" i="57"/>
  <c r="B174" i="57"/>
  <c r="A174" i="57"/>
  <c r="B173" i="57"/>
  <c r="A173" i="57"/>
  <c r="B172" i="57"/>
  <c r="A172" i="57"/>
  <c r="B171" i="57"/>
  <c r="A171" i="57"/>
  <c r="B170" i="57"/>
  <c r="A170" i="57"/>
  <c r="B169" i="57"/>
  <c r="A169" i="57"/>
  <c r="B168" i="57"/>
  <c r="A168" i="57"/>
  <c r="B167" i="57"/>
  <c r="A167" i="57"/>
  <c r="B166" i="57"/>
  <c r="A166" i="57"/>
  <c r="B165" i="57"/>
  <c r="A165" i="57"/>
  <c r="B164" i="57"/>
  <c r="A164" i="57"/>
  <c r="B163" i="57"/>
  <c r="A163" i="57"/>
  <c r="B162" i="57"/>
  <c r="A162" i="57"/>
  <c r="B161" i="57"/>
  <c r="A161" i="57"/>
  <c r="B160" i="57"/>
  <c r="A160" i="57"/>
  <c r="B159" i="57"/>
  <c r="A159" i="57"/>
  <c r="B158" i="57"/>
  <c r="A158" i="57"/>
  <c r="B157" i="57"/>
  <c r="A157" i="57"/>
  <c r="B156" i="57"/>
  <c r="A156" i="57"/>
  <c r="B155" i="57"/>
  <c r="A155" i="57"/>
  <c r="B154" i="57"/>
  <c r="A154" i="57"/>
  <c r="B153" i="57"/>
  <c r="A153" i="57"/>
  <c r="B152" i="57"/>
  <c r="A152" i="57"/>
  <c r="B151" i="57"/>
  <c r="A151" i="57"/>
  <c r="B150" i="57"/>
  <c r="A150" i="57"/>
  <c r="B149" i="57"/>
  <c r="A149" i="57"/>
  <c r="B148" i="57"/>
  <c r="A148" i="57"/>
  <c r="B147" i="57"/>
  <c r="A147" i="57"/>
  <c r="B146" i="57"/>
  <c r="A146" i="57"/>
  <c r="B145" i="57"/>
  <c r="A145" i="57"/>
  <c r="B144" i="57"/>
  <c r="A144" i="57"/>
  <c r="B143" i="57"/>
  <c r="A143" i="57"/>
  <c r="B142" i="57"/>
  <c r="A142" i="57"/>
  <c r="B141" i="57"/>
  <c r="A141" i="57"/>
  <c r="B140" i="57"/>
  <c r="A140" i="57"/>
  <c r="B139" i="57"/>
  <c r="A139" i="57"/>
  <c r="B138" i="57"/>
  <c r="A138" i="57"/>
  <c r="B137" i="57"/>
  <c r="A137" i="57"/>
  <c r="B136" i="57"/>
  <c r="A136" i="57"/>
  <c r="B135" i="57"/>
  <c r="A135" i="57"/>
  <c r="B134" i="57"/>
  <c r="A134" i="57"/>
  <c r="B133" i="57"/>
  <c r="A133" i="57"/>
  <c r="B132" i="57"/>
  <c r="A132" i="57"/>
  <c r="B131" i="57"/>
  <c r="A131" i="57"/>
  <c r="B130" i="57"/>
  <c r="A130" i="57"/>
  <c r="B129" i="57"/>
  <c r="A129" i="57"/>
  <c r="B128" i="57"/>
  <c r="A128" i="57"/>
  <c r="B127" i="57"/>
  <c r="A127" i="57"/>
  <c r="B126" i="57"/>
  <c r="A126" i="57"/>
  <c r="B125" i="57"/>
  <c r="A125" i="57"/>
  <c r="B124" i="57"/>
  <c r="A124" i="57"/>
  <c r="B123" i="57"/>
  <c r="A123" i="57"/>
  <c r="B122" i="57"/>
  <c r="A122" i="57"/>
  <c r="B121" i="57"/>
  <c r="A121" i="57"/>
  <c r="B120" i="57"/>
  <c r="A120" i="57"/>
  <c r="B119" i="57"/>
  <c r="A119" i="57"/>
  <c r="B118" i="57"/>
  <c r="A118" i="57"/>
  <c r="B117" i="57"/>
  <c r="A117" i="57"/>
  <c r="B116" i="57"/>
  <c r="A116" i="57"/>
  <c r="B115" i="57"/>
  <c r="A115" i="57"/>
  <c r="B114" i="57"/>
  <c r="A114" i="57"/>
  <c r="B113" i="57"/>
  <c r="A113" i="57"/>
  <c r="B112" i="57"/>
  <c r="A112" i="57"/>
  <c r="B111" i="57"/>
  <c r="A111" i="57"/>
  <c r="B110" i="57"/>
  <c r="A110" i="57"/>
  <c r="B109" i="57"/>
  <c r="A109" i="57"/>
  <c r="B108" i="57"/>
  <c r="A108" i="57"/>
  <c r="B107" i="57"/>
  <c r="A107" i="57"/>
  <c r="B106" i="57"/>
  <c r="A106" i="57"/>
  <c r="B105" i="57"/>
  <c r="A105" i="57"/>
  <c r="B104" i="57"/>
  <c r="A104" i="57"/>
  <c r="B103" i="57"/>
  <c r="A103" i="57"/>
  <c r="B102" i="57"/>
  <c r="A102" i="57"/>
  <c r="B101" i="57"/>
  <c r="A101" i="57"/>
  <c r="B100" i="57"/>
  <c r="A100" i="57"/>
  <c r="B99" i="57"/>
  <c r="A99" i="57"/>
  <c r="B98" i="57"/>
  <c r="A98" i="57"/>
  <c r="B97" i="57"/>
  <c r="A97" i="57"/>
  <c r="B96" i="57"/>
  <c r="A96" i="57"/>
  <c r="B95" i="57"/>
  <c r="A95" i="57"/>
  <c r="B94" i="57"/>
  <c r="A94" i="57"/>
  <c r="B93" i="57"/>
  <c r="A93" i="57"/>
  <c r="B92" i="57"/>
  <c r="A92" i="57"/>
  <c r="B91" i="57"/>
  <c r="A91" i="57"/>
  <c r="B90" i="57"/>
  <c r="A90" i="57"/>
  <c r="B89" i="57"/>
  <c r="A89" i="57"/>
  <c r="B88" i="57"/>
  <c r="A88" i="57"/>
  <c r="B87" i="57"/>
  <c r="A87" i="57"/>
  <c r="B86" i="57"/>
  <c r="A86" i="57"/>
  <c r="B85" i="57"/>
  <c r="A85" i="57"/>
  <c r="B84" i="57"/>
  <c r="A84" i="57"/>
  <c r="B83" i="57"/>
  <c r="A83" i="57"/>
  <c r="B82" i="57"/>
  <c r="A82" i="57"/>
  <c r="B81" i="57"/>
  <c r="A81" i="57"/>
  <c r="B80" i="57"/>
  <c r="A80" i="57"/>
  <c r="B79" i="57"/>
  <c r="A79" i="57"/>
  <c r="B78" i="57"/>
  <c r="A78" i="57"/>
  <c r="B77" i="57"/>
  <c r="A77" i="57"/>
  <c r="B76" i="57"/>
  <c r="A76" i="57"/>
  <c r="B75" i="57"/>
  <c r="A75" i="57"/>
  <c r="B74" i="57"/>
  <c r="A74" i="57"/>
  <c r="B73" i="57"/>
  <c r="A73" i="57"/>
  <c r="B72" i="57"/>
  <c r="A72" i="57"/>
  <c r="B71" i="57"/>
  <c r="A71" i="57"/>
  <c r="B70" i="57"/>
  <c r="A70" i="57"/>
  <c r="B69" i="57"/>
  <c r="A69" i="57"/>
  <c r="B68" i="57"/>
  <c r="A68" i="57"/>
  <c r="B67" i="57"/>
  <c r="A67" i="57"/>
  <c r="B66" i="57"/>
  <c r="A66" i="57"/>
  <c r="B65" i="57"/>
  <c r="A65" i="57"/>
  <c r="B64" i="57"/>
  <c r="A64" i="57"/>
  <c r="B63" i="57"/>
  <c r="A63" i="57"/>
  <c r="B62" i="57"/>
  <c r="A62" i="57"/>
  <c r="B61" i="57"/>
  <c r="A61" i="57"/>
  <c r="B60" i="57"/>
  <c r="A60" i="57"/>
  <c r="B59" i="57"/>
  <c r="A59" i="57"/>
  <c r="B58" i="57"/>
  <c r="A58" i="57"/>
  <c r="B57" i="57"/>
  <c r="A57" i="57"/>
  <c r="B56" i="57"/>
  <c r="A56" i="57"/>
  <c r="B55" i="57"/>
  <c r="A55" i="57"/>
  <c r="B54" i="57"/>
  <c r="A54" i="57"/>
  <c r="B53" i="57"/>
  <c r="A53" i="57"/>
  <c r="B52" i="57"/>
  <c r="A52" i="57"/>
  <c r="B51" i="57"/>
  <c r="A51" i="57"/>
  <c r="B50" i="57"/>
  <c r="A50" i="57"/>
  <c r="B49" i="57"/>
  <c r="A49" i="57"/>
  <c r="B48" i="57"/>
  <c r="A48" i="57"/>
  <c r="B47" i="57"/>
  <c r="A47" i="57"/>
  <c r="B46" i="57"/>
  <c r="A46" i="57"/>
  <c r="B45" i="57"/>
  <c r="A45" i="57"/>
  <c r="B44" i="57"/>
  <c r="A44" i="57"/>
  <c r="B43" i="57"/>
  <c r="A43" i="57"/>
  <c r="B42" i="57"/>
  <c r="A42" i="57"/>
  <c r="B41" i="57"/>
  <c r="A41" i="57"/>
  <c r="B40" i="57"/>
  <c r="A40" i="57"/>
  <c r="B39" i="57"/>
  <c r="A39" i="57"/>
  <c r="B38" i="57"/>
  <c r="A38" i="57"/>
  <c r="B37" i="57"/>
  <c r="A37" i="57"/>
  <c r="B36" i="57"/>
  <c r="A36" i="57"/>
  <c r="B35" i="57"/>
  <c r="A35" i="57"/>
  <c r="B34" i="57"/>
  <c r="A34" i="57"/>
  <c r="B33" i="57"/>
  <c r="A33" i="57"/>
  <c r="B32" i="57"/>
  <c r="A32" i="57"/>
  <c r="B31" i="57"/>
  <c r="A31" i="57"/>
  <c r="B30" i="57"/>
  <c r="A30" i="57"/>
  <c r="A28" i="57"/>
  <c r="A27" i="57"/>
  <c r="A26" i="57"/>
  <c r="A25" i="57"/>
  <c r="A24" i="57"/>
  <c r="A23" i="57"/>
  <c r="A22" i="57"/>
  <c r="A21" i="57"/>
  <c r="A20" i="57"/>
  <c r="A19" i="57"/>
  <c r="A18" i="57"/>
  <c r="A17" i="57"/>
  <c r="A16" i="57"/>
  <c r="A15" i="57"/>
  <c r="A14" i="57"/>
  <c r="A13" i="57"/>
  <c r="A12" i="57"/>
  <c r="A11" i="57"/>
  <c r="A10" i="57"/>
  <c r="A9" i="57"/>
  <c r="A8" i="57"/>
  <c r="A7" i="57"/>
  <c r="A6" i="57"/>
  <c r="A5" i="57"/>
  <c r="A4" i="57"/>
  <c r="A3" i="57"/>
  <c r="A2" i="57"/>
  <c r="B28" i="57"/>
  <c r="B27" i="57"/>
  <c r="B26" i="57"/>
  <c r="B25" i="57"/>
  <c r="B24" i="57"/>
  <c r="B23" i="57"/>
  <c r="B22" i="57"/>
  <c r="B21" i="57"/>
  <c r="B20" i="57"/>
  <c r="B19" i="57"/>
  <c r="B18" i="57"/>
  <c r="B17" i="57"/>
  <c r="B16" i="57"/>
  <c r="B15" i="57"/>
  <c r="B14" i="57"/>
  <c r="B13" i="57"/>
  <c r="B12" i="57"/>
  <c r="B11" i="57"/>
  <c r="B10" i="57"/>
  <c r="B9" i="57"/>
  <c r="B8" i="57"/>
  <c r="B7" i="57"/>
  <c r="B6" i="57"/>
  <c r="B5" i="57"/>
  <c r="B4" i="57"/>
  <c r="B3" i="57"/>
  <c r="B2" i="57"/>
  <c r="A29" i="57"/>
  <c r="B29" i="57"/>
</calcChain>
</file>

<file path=xl/sharedStrings.xml><?xml version="1.0" encoding="utf-8"?>
<sst xmlns="http://schemas.openxmlformats.org/spreadsheetml/2006/main" count="2066" uniqueCount="245">
  <si>
    <t>Index Name</t>
  </si>
  <si>
    <t>Data Range</t>
  </si>
  <si>
    <t>Value Count</t>
  </si>
  <si>
    <t>Variable Type</t>
  </si>
  <si>
    <t>FormData!$J$3:$J$22</t>
  </si>
  <si>
    <t>Differential Evolution Strategies</t>
  </si>
  <si>
    <t>Rand1Standard</t>
  </si>
  <si>
    <t>BestMemberWithJitter</t>
  </si>
  <si>
    <t>CurrentToBest2Diffs</t>
  </si>
  <si>
    <t>Rand1DiffWithPerVectorDither</t>
  </si>
  <si>
    <t>Rand1DiffWithDither</t>
  </si>
  <si>
    <t>EitherOrWithOptimalRecombination</t>
  </si>
  <si>
    <t>Rand1SelfadaptiveWithRotation</t>
  </si>
  <si>
    <t>Differential Evolution Crossover Types</t>
  </si>
  <si>
    <t>Normal</t>
  </si>
  <si>
    <t>Binomial</t>
  </si>
  <si>
    <t>Exponential</t>
  </si>
  <si>
    <t>Differential Evolution Correlation Optimization Settings</t>
  </si>
  <si>
    <t>Strategy</t>
  </si>
  <si>
    <t>Crossover Type</t>
  </si>
  <si>
    <t>Population Members</t>
  </si>
  <si>
    <t>Step Size Weight</t>
  </si>
  <si>
    <t>Crossover Probability</t>
  </si>
  <si>
    <t>Seed</t>
  </si>
  <si>
    <t>Apply Bounds</t>
  </si>
  <si>
    <t>Adaptive Crossover</t>
  </si>
  <si>
    <t>Differential Evolution Factor Loadings Optimization Settings</t>
  </si>
  <si>
    <t>Max Iterations</t>
  </si>
  <si>
    <t>Root Epsilon</t>
  </si>
  <si>
    <t>Function Epsilon</t>
  </si>
  <si>
    <t>Gradient Norm Epsilon</t>
  </si>
  <si>
    <t>Max Stationary State Iterations</t>
  </si>
  <si>
    <t>INSTRUCTIONS</t>
  </si>
  <si>
    <r>
      <rPr>
        <b/>
        <sz val="11"/>
        <color rgb="FFFF0000"/>
        <rFont val="Calibri"/>
        <family val="2"/>
        <charset val="161"/>
        <scheme val="minor"/>
      </rPr>
      <t>b.</t>
    </r>
    <r>
      <rPr>
        <sz val="11"/>
        <color theme="1"/>
        <rFont val="Calibri"/>
        <family val="2"/>
        <scheme val="minor"/>
      </rPr>
      <t xml:space="preserve"> </t>
    </r>
    <r>
      <rPr>
        <b/>
        <sz val="11"/>
        <color theme="1"/>
        <rFont val="Calibri"/>
        <family val="2"/>
        <charset val="161"/>
        <scheme val="minor"/>
      </rPr>
      <t>[Remove Selected]</t>
    </r>
    <r>
      <rPr>
        <sz val="11"/>
        <color theme="1"/>
        <rFont val="Calibri"/>
        <family val="2"/>
        <scheme val="minor"/>
      </rPr>
      <t xml:space="preserve"> -&gt; Removes all selected indicators from the form's list</t>
    </r>
  </si>
  <si>
    <r>
      <rPr>
        <b/>
        <sz val="11"/>
        <color rgb="FFFF0000"/>
        <rFont val="Calibri"/>
        <family val="2"/>
        <charset val="161"/>
        <scheme val="minor"/>
      </rPr>
      <t>c.</t>
    </r>
    <r>
      <rPr>
        <sz val="11"/>
        <color theme="1"/>
        <rFont val="Calibri"/>
        <family val="2"/>
        <scheme val="minor"/>
      </rPr>
      <t xml:space="preserve"> </t>
    </r>
    <r>
      <rPr>
        <b/>
        <sz val="11"/>
        <color theme="1"/>
        <rFont val="Calibri"/>
        <family val="2"/>
        <charset val="161"/>
        <scheme val="minor"/>
      </rPr>
      <t>[Clear All]</t>
    </r>
    <r>
      <rPr>
        <sz val="11"/>
        <color theme="1"/>
        <rFont val="Calibri"/>
        <family val="2"/>
        <scheme val="minor"/>
      </rPr>
      <t xml:space="preserve"> -&gt; Clears all indicators from the form</t>
    </r>
  </si>
  <si>
    <r>
      <rPr>
        <b/>
        <sz val="11"/>
        <color rgb="FFFF0000"/>
        <rFont val="Calibri"/>
        <family val="2"/>
        <charset val="161"/>
        <scheme val="minor"/>
      </rPr>
      <t>a.</t>
    </r>
    <r>
      <rPr>
        <sz val="11"/>
        <color theme="1"/>
        <rFont val="Calibri"/>
        <family val="2"/>
        <scheme val="minor"/>
      </rPr>
      <t xml:space="preserve"> One or more indicators can be selected and added to the list, either by selecting the whole indicators range, or by selecting the respective columns</t>
    </r>
  </si>
  <si>
    <r>
      <rPr>
        <b/>
        <sz val="11"/>
        <color rgb="FFFF0000"/>
        <rFont val="Calibri"/>
        <family val="2"/>
        <charset val="161"/>
        <scheme val="minor"/>
      </rPr>
      <t>b.</t>
    </r>
    <r>
      <rPr>
        <sz val="11"/>
        <color theme="1"/>
        <rFont val="Calibri"/>
        <family val="2"/>
        <scheme val="minor"/>
      </rPr>
      <t xml:space="preserve"> All indicators must be in single columns and of equal length</t>
    </r>
  </si>
  <si>
    <r>
      <rPr>
        <b/>
        <sz val="11"/>
        <color rgb="FFFF0000"/>
        <rFont val="Calibri"/>
        <family val="2"/>
        <charset val="161"/>
        <scheme val="minor"/>
      </rPr>
      <t>c.</t>
    </r>
    <r>
      <rPr>
        <sz val="11"/>
        <color theme="1"/>
        <rFont val="Calibri"/>
        <family val="2"/>
        <scheme val="minor"/>
      </rPr>
      <t xml:space="preserve"> Indicator columns must include a variable name followed by the indicator numbers</t>
    </r>
  </si>
  <si>
    <r>
      <rPr>
        <b/>
        <sz val="11"/>
        <color rgb="FFFF0000"/>
        <rFont val="Calibri"/>
        <family val="2"/>
        <charset val="161"/>
        <scheme val="minor"/>
      </rPr>
      <t>d.</t>
    </r>
    <r>
      <rPr>
        <sz val="11"/>
        <color theme="1"/>
        <rFont val="Calibri"/>
        <family val="2"/>
        <scheme val="minor"/>
      </rPr>
      <t xml:space="preserve"> After selecting the desired indicators and clicking the </t>
    </r>
    <r>
      <rPr>
        <b/>
        <sz val="11"/>
        <color theme="1"/>
        <rFont val="Calibri"/>
        <family val="2"/>
        <charset val="161"/>
        <scheme val="minor"/>
      </rPr>
      <t>[OK]</t>
    </r>
    <r>
      <rPr>
        <sz val="11"/>
        <color theme="1"/>
        <rFont val="Calibri"/>
        <family val="2"/>
        <scheme val="minor"/>
      </rPr>
      <t xml:space="preserve"> button the selected indicators are added to the list</t>
    </r>
  </si>
  <si>
    <r>
      <rPr>
        <b/>
        <sz val="11"/>
        <color rgb="FFFF0000"/>
        <rFont val="Calibri"/>
        <family val="2"/>
        <charset val="161"/>
        <scheme val="minor"/>
      </rPr>
      <t>(2)</t>
    </r>
    <r>
      <rPr>
        <sz val="11"/>
        <color theme="1"/>
        <rFont val="Calibri"/>
        <family val="2"/>
        <scheme val="minor"/>
      </rPr>
      <t xml:space="preserve"> -&gt; Factor loadings constraints and results</t>
    </r>
  </si>
  <si>
    <r>
      <rPr>
        <b/>
        <sz val="11"/>
        <color rgb="FFFF0000"/>
        <rFont val="Calibri"/>
        <family val="2"/>
        <charset val="161"/>
        <scheme val="minor"/>
      </rPr>
      <t>a.</t>
    </r>
    <r>
      <rPr>
        <sz val="11"/>
        <color theme="1"/>
        <rFont val="Calibri"/>
        <family val="2"/>
        <scheme val="minor"/>
      </rPr>
      <t xml:space="preserve"> </t>
    </r>
    <r>
      <rPr>
        <b/>
        <sz val="11"/>
        <color theme="1"/>
        <rFont val="Calibri"/>
        <family val="2"/>
        <charset val="161"/>
        <scheme val="minor"/>
      </rPr>
      <t>[min x]</t>
    </r>
    <r>
      <rPr>
        <sz val="11"/>
        <color theme="1"/>
        <rFont val="Calibri"/>
        <family val="2"/>
        <scheme val="minor"/>
      </rPr>
      <t xml:space="preserve">, </t>
    </r>
    <r>
      <rPr>
        <b/>
        <sz val="11"/>
        <color theme="1"/>
        <rFont val="Calibri"/>
        <family val="2"/>
        <charset val="161"/>
        <scheme val="minor"/>
      </rPr>
      <t>[max x]</t>
    </r>
    <r>
      <rPr>
        <sz val="11"/>
        <color theme="1"/>
        <rFont val="Calibri"/>
        <family val="2"/>
        <scheme val="minor"/>
      </rPr>
      <t xml:space="preserve"> columns -&gt; Minimum and maximum values for the calculated loadings. Must be in [-1, 1]</t>
    </r>
  </si>
  <si>
    <r>
      <rPr>
        <b/>
        <sz val="11"/>
        <color rgb="FFFF0000"/>
        <rFont val="Calibri"/>
        <family val="2"/>
        <charset val="161"/>
        <scheme val="minor"/>
      </rPr>
      <t>b.</t>
    </r>
    <r>
      <rPr>
        <sz val="11"/>
        <color theme="1"/>
        <rFont val="Calibri"/>
        <family val="2"/>
        <scheme val="minor"/>
      </rPr>
      <t xml:space="preserve"> </t>
    </r>
    <r>
      <rPr>
        <b/>
        <sz val="11"/>
        <color theme="1"/>
        <rFont val="Calibri"/>
        <family val="2"/>
        <charset val="161"/>
        <scheme val="minor"/>
      </rPr>
      <t>[&gt;= to]</t>
    </r>
    <r>
      <rPr>
        <sz val="11"/>
        <color theme="1"/>
        <rFont val="Calibri"/>
        <family val="2"/>
        <scheme val="minor"/>
      </rPr>
      <t xml:space="preserve"> -&gt; The respective variable's loading will be [greater than or equal to] the loading of the variable selected from the dropdown</t>
    </r>
  </si>
  <si>
    <r>
      <rPr>
        <b/>
        <sz val="11"/>
        <color rgb="FFFF0000"/>
        <rFont val="Calibri"/>
        <family val="2"/>
        <charset val="161"/>
        <scheme val="minor"/>
      </rPr>
      <t>c.</t>
    </r>
    <r>
      <rPr>
        <sz val="11"/>
        <color theme="1"/>
        <rFont val="Calibri"/>
        <family val="2"/>
        <scheme val="minor"/>
      </rPr>
      <t xml:space="preserve"> </t>
    </r>
    <r>
      <rPr>
        <b/>
        <sz val="11"/>
        <color theme="1"/>
        <rFont val="Calibri"/>
        <family val="2"/>
        <charset val="161"/>
        <scheme val="minor"/>
      </rPr>
      <t>[&gt; than]</t>
    </r>
    <r>
      <rPr>
        <sz val="11"/>
        <color theme="1"/>
        <rFont val="Calibri"/>
        <family val="2"/>
        <scheme val="minor"/>
      </rPr>
      <t xml:space="preserve"> -&gt; The respective variable's loading will be [greater than] the loading of the variable selected from the dropdown</t>
    </r>
  </si>
  <si>
    <r>
      <rPr>
        <b/>
        <sz val="11"/>
        <color rgb="FFFF0000"/>
        <rFont val="Calibri"/>
        <family val="2"/>
        <charset val="161"/>
        <scheme val="minor"/>
      </rPr>
      <t>d.</t>
    </r>
    <r>
      <rPr>
        <sz val="11"/>
        <color theme="1"/>
        <rFont val="Calibri"/>
        <family val="2"/>
        <scheme val="minor"/>
      </rPr>
      <t xml:space="preserve"> </t>
    </r>
    <r>
      <rPr>
        <b/>
        <sz val="11"/>
        <color theme="1"/>
        <rFont val="Calibri"/>
        <family val="2"/>
        <charset val="161"/>
        <scheme val="minor"/>
      </rPr>
      <t>[= to]</t>
    </r>
    <r>
      <rPr>
        <sz val="11"/>
        <color theme="1"/>
        <rFont val="Calibri"/>
        <family val="2"/>
        <scheme val="minor"/>
      </rPr>
      <t xml:space="preserve"> -&gt; The respective variable's loading will be [equal to] the loading of the variable selected from the dropdown</t>
    </r>
  </si>
  <si>
    <r>
      <rPr>
        <b/>
        <sz val="11"/>
        <color rgb="FFFF0000"/>
        <rFont val="Calibri"/>
        <family val="2"/>
        <charset val="161"/>
        <scheme val="minor"/>
      </rPr>
      <t>e.</t>
    </r>
    <r>
      <rPr>
        <sz val="11"/>
        <color theme="1"/>
        <rFont val="Calibri"/>
        <family val="2"/>
        <scheme val="minor"/>
      </rPr>
      <t xml:space="preserve"> </t>
    </r>
    <r>
      <rPr>
        <b/>
        <sz val="11"/>
        <color theme="1"/>
        <rFont val="Calibri"/>
        <family val="2"/>
        <charset val="161"/>
        <scheme val="minor"/>
      </rPr>
      <t>[&lt; than]</t>
    </r>
    <r>
      <rPr>
        <sz val="11"/>
        <color theme="1"/>
        <rFont val="Calibri"/>
        <family val="2"/>
        <scheme val="minor"/>
      </rPr>
      <t xml:space="preserve"> -&gt; The respective variable's loading will be [smaller than] the loading of the variable selected from the dropdown</t>
    </r>
  </si>
  <si>
    <r>
      <rPr>
        <b/>
        <sz val="11"/>
        <color rgb="FFFF0000"/>
        <rFont val="Calibri"/>
        <family val="2"/>
        <charset val="161"/>
        <scheme val="minor"/>
      </rPr>
      <t>f.</t>
    </r>
    <r>
      <rPr>
        <sz val="11"/>
        <color theme="1"/>
        <rFont val="Calibri"/>
        <family val="2"/>
        <scheme val="minor"/>
      </rPr>
      <t xml:space="preserve"> </t>
    </r>
    <r>
      <rPr>
        <b/>
        <sz val="11"/>
        <color theme="1"/>
        <rFont val="Calibri"/>
        <family val="2"/>
        <charset val="161"/>
        <scheme val="minor"/>
      </rPr>
      <t>[&lt;= to]</t>
    </r>
    <r>
      <rPr>
        <sz val="11"/>
        <color theme="1"/>
        <rFont val="Calibri"/>
        <family val="2"/>
        <scheme val="minor"/>
      </rPr>
      <t xml:space="preserve"> -&gt; The respective variable's loading will be [smaller than or equal to] the loading of the variable selected from the dropdown</t>
    </r>
  </si>
  <si>
    <r>
      <rPr>
        <b/>
        <sz val="11"/>
        <color rgb="FFFF0000"/>
        <rFont val="Calibri"/>
        <family val="2"/>
        <charset val="161"/>
        <scheme val="minor"/>
      </rPr>
      <t>(3)</t>
    </r>
    <r>
      <rPr>
        <sz val="11"/>
        <color theme="1"/>
        <rFont val="Calibri"/>
        <family val="2"/>
        <scheme val="minor"/>
      </rPr>
      <t xml:space="preserve"> -&gt; Loadings calculation results</t>
    </r>
  </si>
  <si>
    <r>
      <rPr>
        <b/>
        <sz val="11"/>
        <color rgb="FFFF0000"/>
        <rFont val="Calibri"/>
        <family val="2"/>
        <charset val="161"/>
        <scheme val="minor"/>
      </rPr>
      <t>a.</t>
    </r>
    <r>
      <rPr>
        <sz val="11"/>
        <color theme="1"/>
        <rFont val="Calibri"/>
        <family val="2"/>
        <scheme val="minor"/>
      </rPr>
      <t xml:space="preserve"> </t>
    </r>
    <r>
      <rPr>
        <b/>
        <sz val="11"/>
        <color theme="1"/>
        <rFont val="Calibri"/>
        <family val="2"/>
        <charset val="161"/>
        <scheme val="minor"/>
      </rPr>
      <t>[Current solution]</t>
    </r>
    <r>
      <rPr>
        <sz val="11"/>
        <color theme="1"/>
        <rFont val="Calibri"/>
        <family val="2"/>
        <scheme val="minor"/>
      </rPr>
      <t xml:space="preserve"> column -&gt; Factor loadings calculated based on the specified loadings restrictions (see (2))</t>
    </r>
  </si>
  <si>
    <r>
      <rPr>
        <b/>
        <sz val="11"/>
        <color rgb="FFFF0000"/>
        <rFont val="Calibri"/>
        <family val="2"/>
        <charset val="161"/>
        <scheme val="minor"/>
      </rPr>
      <t>b.</t>
    </r>
    <r>
      <rPr>
        <sz val="11"/>
        <color theme="1"/>
        <rFont val="Calibri"/>
        <family val="2"/>
        <scheme val="minor"/>
      </rPr>
      <t xml:space="preserve"> </t>
    </r>
    <r>
      <rPr>
        <b/>
        <sz val="11"/>
        <color theme="1"/>
        <rFont val="Calibri"/>
        <family val="2"/>
        <charset val="161"/>
        <scheme val="minor"/>
      </rPr>
      <t>[PCA]</t>
    </r>
    <r>
      <rPr>
        <sz val="11"/>
        <color theme="1"/>
        <rFont val="Calibri"/>
        <family val="2"/>
        <scheme val="minor"/>
      </rPr>
      <t xml:space="preserve"> column -&gt; Factor loadings calculated using Principal Components Analysis (without taking into account any specified loadings restrictions)</t>
    </r>
  </si>
  <si>
    <r>
      <rPr>
        <b/>
        <sz val="11"/>
        <color rgb="FFFF0000"/>
        <rFont val="Calibri"/>
        <family val="2"/>
        <charset val="161"/>
        <scheme val="minor"/>
      </rPr>
      <t>c.</t>
    </r>
    <r>
      <rPr>
        <sz val="11"/>
        <color theme="1"/>
        <rFont val="Calibri"/>
        <family val="2"/>
        <scheme val="minor"/>
      </rPr>
      <t xml:space="preserve"> </t>
    </r>
    <r>
      <rPr>
        <b/>
        <sz val="11"/>
        <color theme="1"/>
        <rFont val="Calibri"/>
        <family val="2"/>
        <charset val="161"/>
        <scheme val="minor"/>
      </rPr>
      <t>[KT (x &gt;= 0)]</t>
    </r>
    <r>
      <rPr>
        <sz val="11"/>
        <color theme="1"/>
        <rFont val="Calibri"/>
        <family val="2"/>
        <scheme val="minor"/>
      </rPr>
      <t xml:space="preserve"> column -&gt; Factor loadings calculated by using loadings restrictions [min x] = 0, [max x] = 1 for all variables</t>
    </r>
  </si>
  <si>
    <r>
      <rPr>
        <b/>
        <sz val="11"/>
        <color rgb="FFFF0000"/>
        <rFont val="Calibri"/>
        <family val="2"/>
        <charset val="161"/>
        <scheme val="minor"/>
      </rPr>
      <t>d.</t>
    </r>
    <r>
      <rPr>
        <sz val="11"/>
        <color theme="1"/>
        <rFont val="Calibri"/>
        <family val="2"/>
        <scheme val="minor"/>
      </rPr>
      <t xml:space="preserve"> </t>
    </r>
    <r>
      <rPr>
        <b/>
        <sz val="11"/>
        <color theme="1"/>
        <rFont val="Calibri"/>
        <family val="2"/>
        <charset val="161"/>
        <scheme val="minor"/>
      </rPr>
      <t>[KT (x &gt; 0)]</t>
    </r>
    <r>
      <rPr>
        <sz val="11"/>
        <color theme="1"/>
        <rFont val="Calibri"/>
        <family val="2"/>
        <scheme val="minor"/>
      </rPr>
      <t xml:space="preserve"> column -&gt; Factor loadings calculated by using loadings restrictions [min x] = 0.001, [max x] = 1 for all variables</t>
    </r>
  </si>
  <si>
    <r>
      <rPr>
        <b/>
        <sz val="11"/>
        <color rgb="FFFF0000"/>
        <rFont val="Calibri"/>
        <family val="2"/>
        <charset val="161"/>
        <scheme val="minor"/>
      </rPr>
      <t>e.</t>
    </r>
    <r>
      <rPr>
        <sz val="11"/>
        <color theme="1"/>
        <rFont val="Calibri"/>
        <family val="2"/>
        <scheme val="minor"/>
      </rPr>
      <t xml:space="preserve"> </t>
    </r>
    <r>
      <rPr>
        <b/>
        <sz val="11"/>
        <color theme="1"/>
        <rFont val="Calibri"/>
        <family val="2"/>
        <charset val="161"/>
        <scheme val="minor"/>
      </rPr>
      <t>[Simple Average]</t>
    </r>
    <r>
      <rPr>
        <sz val="11"/>
        <color theme="1"/>
        <rFont val="Calibri"/>
        <family val="2"/>
        <scheme val="minor"/>
      </rPr>
      <t xml:space="preserve"> -&gt; Factor loadings calculated by using a simple average calculation</t>
    </r>
  </si>
  <si>
    <r>
      <rPr>
        <b/>
        <sz val="11"/>
        <color rgb="FFFF0000"/>
        <rFont val="Calibri"/>
        <family val="2"/>
        <charset val="161"/>
        <scheme val="minor"/>
      </rPr>
      <t>(8)</t>
    </r>
    <r>
      <rPr>
        <sz val="11"/>
        <color theme="1"/>
        <rFont val="Calibri"/>
        <family val="2"/>
        <scheme val="minor"/>
      </rPr>
      <t xml:space="preserve"> -&gt; Error/success messages regarding optimization calculations</t>
    </r>
  </si>
  <si>
    <t>2. This application relies on WBLAddin.dll which needs to reside in the same directory as this workbook</t>
  </si>
  <si>
    <t>A. PREREQUISITES</t>
  </si>
  <si>
    <t>B. USAGE INSTRUCTIONS</t>
  </si>
  <si>
    <t>Project</t>
  </si>
  <si>
    <t>P14</t>
  </si>
  <si>
    <t>P15</t>
  </si>
  <si>
    <t>P2</t>
  </si>
  <si>
    <t>P9</t>
  </si>
  <si>
    <t>P18</t>
  </si>
  <si>
    <t>P3</t>
  </si>
  <si>
    <t>P24</t>
  </si>
  <si>
    <t>P7</t>
  </si>
  <si>
    <t>P17</t>
  </si>
  <si>
    <t>P26</t>
  </si>
  <si>
    <t>P6</t>
  </si>
  <si>
    <t>P20</t>
  </si>
  <si>
    <t>P10</t>
  </si>
  <si>
    <t>P5</t>
  </si>
  <si>
    <t>P4</t>
  </si>
  <si>
    <t>P16</t>
  </si>
  <si>
    <t>P22</t>
  </si>
  <si>
    <t>P8</t>
  </si>
  <si>
    <t>P23</t>
  </si>
  <si>
    <t>P19</t>
  </si>
  <si>
    <t>P13</t>
  </si>
  <si>
    <t>P11</t>
  </si>
  <si>
    <t>P28</t>
  </si>
  <si>
    <t>P27</t>
  </si>
  <si>
    <t>P1</t>
  </si>
  <si>
    <t>P12</t>
  </si>
  <si>
    <t>P25</t>
  </si>
  <si>
    <t>P21</t>
  </si>
  <si>
    <t>BEN_INV</t>
  </si>
  <si>
    <t>JOB_INV</t>
  </si>
  <si>
    <t>POVERTY</t>
  </si>
  <si>
    <t>SUPPLY</t>
  </si>
  <si>
    <t>QUALITY</t>
  </si>
  <si>
    <t>INV_COV</t>
  </si>
  <si>
    <t>DISEASES</t>
  </si>
  <si>
    <t>NRW</t>
  </si>
  <si>
    <t>BCR</t>
  </si>
  <si>
    <t>YIELD</t>
  </si>
  <si>
    <t>Indices</t>
  </si>
  <si>
    <t>Project Names</t>
  </si>
  <si>
    <t>Project Budgets</t>
  </si>
  <si>
    <t>Count</t>
  </si>
  <si>
    <t>Financial Economic Rankings Sheets</t>
  </si>
  <si>
    <t>Social Environmental Rankings Sheets</t>
  </si>
  <si>
    <t>Sheet Name</t>
  </si>
  <si>
    <t>Total Budget</t>
  </si>
  <si>
    <t>Budget (US m)</t>
  </si>
  <si>
    <t>QUALITY2</t>
  </si>
  <si>
    <t>INV_COV2</t>
  </si>
  <si>
    <t>DISEASES2</t>
  </si>
  <si>
    <t>-&gt; Only for Rand1SelfAdaptiveWithRotation</t>
  </si>
  <si>
    <t>-&gt; Higher value =&gt; more randomness?</t>
  </si>
  <si>
    <t xml:space="preserve"> -&gt; How much to persist on small improvements of the result</t>
  </si>
  <si>
    <t>-&gt; Used to define how wide the stationary range is</t>
  </si>
  <si>
    <t>-&gt; Unused with BestMemberWithJitter</t>
  </si>
  <si>
    <t>-&gt; For MersenneTwisterUniformRng 0 =&gt; random</t>
  </si>
  <si>
    <r>
      <t xml:space="preserve">1. System Requirements: This application requires Windows Vista+. It will </t>
    </r>
    <r>
      <rPr>
        <b/>
        <sz val="11"/>
        <color theme="1"/>
        <rFont val="Calibri"/>
        <family val="2"/>
        <charset val="161"/>
        <scheme val="minor"/>
      </rPr>
      <t>NOT</t>
    </r>
    <r>
      <rPr>
        <sz val="11"/>
        <color theme="1"/>
        <rFont val="Calibri"/>
        <family val="2"/>
        <charset val="161"/>
        <scheme val="minor"/>
      </rPr>
      <t xml:space="preserve"> run on Windows XP.</t>
    </r>
  </si>
  <si>
    <r>
      <rPr>
        <b/>
        <sz val="11"/>
        <color rgb="FFFF0000"/>
        <rFont val="Calibri"/>
        <family val="2"/>
        <charset val="161"/>
        <scheme val="minor"/>
      </rPr>
      <t>d.</t>
    </r>
    <r>
      <rPr>
        <sz val="11"/>
        <color theme="1"/>
        <rFont val="Calibri"/>
        <family val="2"/>
        <scheme val="minor"/>
      </rPr>
      <t xml:space="preserve"> </t>
    </r>
    <r>
      <rPr>
        <b/>
        <sz val="11"/>
        <color theme="1"/>
        <rFont val="Calibri"/>
        <family val="2"/>
        <charset val="161"/>
        <scheme val="minor"/>
      </rPr>
      <t>[Select Project Names]</t>
    </r>
    <r>
      <rPr>
        <sz val="11"/>
        <color theme="1"/>
        <rFont val="Calibri"/>
        <family val="2"/>
        <scheme val="minor"/>
      </rPr>
      <t xml:space="preserve"> -&gt; Required to select the cells containing the Project names including the header cell.</t>
    </r>
  </si>
  <si>
    <r>
      <rPr>
        <b/>
        <sz val="11"/>
        <color rgb="FFFF0000"/>
        <rFont val="Calibri"/>
        <family val="2"/>
        <charset val="161"/>
        <scheme val="minor"/>
      </rPr>
      <t>e.</t>
    </r>
    <r>
      <rPr>
        <sz val="11"/>
        <color theme="1"/>
        <rFont val="Calibri"/>
        <family val="2"/>
        <scheme val="minor"/>
      </rPr>
      <t xml:space="preserve"> </t>
    </r>
    <r>
      <rPr>
        <b/>
        <sz val="11"/>
        <color theme="1"/>
        <rFont val="Calibri"/>
        <family val="2"/>
        <charset val="161"/>
        <scheme val="minor"/>
      </rPr>
      <t>[Select Project Budgets]</t>
    </r>
    <r>
      <rPr>
        <sz val="11"/>
        <color theme="1"/>
        <rFont val="Calibri"/>
        <family val="2"/>
        <scheme val="minor"/>
      </rPr>
      <t xml:space="preserve"> -&gt; Required to select the cells containing the Project budgets including the header cell.</t>
    </r>
  </si>
  <si>
    <t>Apart from the standard results [PCA, KT (x&gt;=0), KT (x&gt;0) and Simple Average], upto three scenarios can be calculated for both SE Data and FE Data.</t>
  </si>
  <si>
    <t>All generated indicator weights that have been generated will be available to select. The others will be disabled.</t>
  </si>
  <si>
    <t>Project Count</t>
  </si>
  <si>
    <t>B1 Set up Projects and Budgets</t>
  </si>
  <si>
    <r>
      <rPr>
        <b/>
        <sz val="11"/>
        <color rgb="FFFF0000"/>
        <rFont val="Calibri"/>
        <family val="2"/>
        <charset val="161"/>
        <scheme val="minor"/>
      </rPr>
      <t>1.</t>
    </r>
    <r>
      <rPr>
        <sz val="11"/>
        <color theme="1"/>
        <rFont val="Calibri"/>
        <family val="2"/>
        <scheme val="minor"/>
      </rPr>
      <t xml:space="preserve"> This is done on the "Projects" sheet. The Project Name are put in Column A and Project Budgets in million USD in Column B.</t>
    </r>
  </si>
  <si>
    <t>Steps 2 through 6 are to be done for both the above mentioned selections.</t>
  </si>
  <si>
    <r>
      <rPr>
        <b/>
        <sz val="11"/>
        <color rgb="FFFF0000"/>
        <rFont val="Calibri"/>
        <family val="2"/>
        <charset val="161"/>
        <scheme val="minor"/>
      </rPr>
      <t>(5)</t>
    </r>
    <r>
      <rPr>
        <sz val="11"/>
        <color theme="1"/>
        <rFont val="Calibri"/>
        <family val="2"/>
        <scheme val="minor"/>
      </rPr>
      <t xml:space="preserve"> -&gt; Objective Function of factor loadings optimization. </t>
    </r>
    <r>
      <rPr>
        <i/>
        <sz val="11"/>
        <color theme="1"/>
        <rFont val="Calibri"/>
        <family val="2"/>
        <scheme val="minor"/>
      </rPr>
      <t>Not visible in the Client version.</t>
    </r>
  </si>
  <si>
    <r>
      <rPr>
        <b/>
        <sz val="11"/>
        <color rgb="FFFF0000"/>
        <rFont val="Calibri"/>
        <family val="2"/>
        <charset val="161"/>
        <scheme val="minor"/>
      </rPr>
      <t>(6)</t>
    </r>
    <r>
      <rPr>
        <sz val="11"/>
        <color theme="1"/>
        <rFont val="Calibri"/>
        <family val="2"/>
        <scheme val="minor"/>
      </rPr>
      <t xml:space="preserve"> -&gt; x'x = 1 constraint. </t>
    </r>
    <r>
      <rPr>
        <i/>
        <sz val="11"/>
        <color theme="1"/>
        <rFont val="Calibri"/>
        <family val="2"/>
        <scheme val="minor"/>
      </rPr>
      <t>Not visible in the Client version.</t>
    </r>
  </si>
  <si>
    <r>
      <rPr>
        <b/>
        <sz val="11"/>
        <color rgb="FFFF0000"/>
        <rFont val="Calibri"/>
        <family val="2"/>
        <charset val="161"/>
        <scheme val="minor"/>
      </rPr>
      <t>(7)</t>
    </r>
    <r>
      <rPr>
        <sz val="11"/>
        <color theme="1"/>
        <rFont val="Calibri"/>
        <family val="2"/>
        <scheme val="minor"/>
      </rPr>
      <t xml:space="preserve"> -&gt; Number of times the optimizer runs. Best result of all iterations is returned.</t>
    </r>
    <r>
      <rPr>
        <i/>
        <sz val="11"/>
        <color theme="1"/>
        <rFont val="Calibri"/>
        <family val="2"/>
        <scheme val="minor"/>
      </rPr>
      <t xml:space="preserve"> Not visible in the Client version.</t>
    </r>
  </si>
  <si>
    <t>Polychoric correlation matrix</t>
  </si>
  <si>
    <t>&gt;= to</t>
  </si>
  <si>
    <t>&gt; than</t>
  </si>
  <si>
    <t>= to</t>
  </si>
  <si>
    <t>&lt; than</t>
  </si>
  <si>
    <t>&lt;= to</t>
  </si>
  <si>
    <t>weights</t>
  </si>
  <si>
    <t>Indicator Weights Constraints</t>
  </si>
  <si>
    <t>Retained variance</t>
  </si>
  <si>
    <t>% explained</t>
  </si>
  <si>
    <t>PCA</t>
  </si>
  <si>
    <t>KT_x000D_
(x &gt;= 0)</t>
  </si>
  <si>
    <t>KT_x000D_
(x &gt; 0)</t>
  </si>
  <si>
    <t>Simple_x000D_
Average</t>
  </si>
  <si>
    <t>Constrained Solution</t>
  </si>
  <si>
    <t>Scenario 1</t>
  </si>
  <si>
    <t>Scenario 2</t>
  </si>
  <si>
    <t>Scenario 3</t>
  </si>
  <si>
    <t>Current</t>
  </si>
  <si>
    <t>Indicator Weights</t>
  </si>
  <si>
    <t>Optimizer Iterations</t>
  </si>
  <si>
    <t>Messages</t>
  </si>
  <si>
    <t>FEI Rank</t>
  </si>
  <si>
    <t>SEI Rank</t>
  </si>
  <si>
    <t>Continuous</t>
  </si>
  <si>
    <t>Categorical</t>
  </si>
  <si>
    <t>Constrained Solution 1</t>
  </si>
  <si>
    <t>KT(X&gt;=0)</t>
  </si>
  <si>
    <t>KT(X&gt;0)</t>
  </si>
  <si>
    <t>Simple Average</t>
  </si>
  <si>
    <t>B2 Set up SE Data and FE Data</t>
  </si>
  <si>
    <t>The various indicators for each of the projects is entered in Column C and onwards in both FEI Data and SEI Data sheets respectively.</t>
  </si>
  <si>
    <r>
      <rPr>
        <b/>
        <sz val="11"/>
        <color rgb="FFFF0000"/>
        <rFont val="Calibri"/>
        <family val="2"/>
        <charset val="161"/>
        <scheme val="minor"/>
      </rPr>
      <t>1.</t>
    </r>
    <r>
      <rPr>
        <sz val="11"/>
        <color theme="1"/>
        <rFont val="Calibri"/>
        <family val="2"/>
        <scheme val="minor"/>
      </rPr>
      <t xml:space="preserve"> Activate the </t>
    </r>
    <r>
      <rPr>
        <b/>
        <sz val="11"/>
        <color theme="1"/>
        <rFont val="Calibri"/>
        <family val="2"/>
        <charset val="161"/>
        <scheme val="minor"/>
      </rPr>
      <t xml:space="preserve">[data] Workheet. This is either the "FEI Data" sheet or the "SEI Data" sheet. </t>
    </r>
  </si>
  <si>
    <r>
      <rPr>
        <b/>
        <sz val="11"/>
        <color rgb="FFFF0000"/>
        <rFont val="Calibri"/>
        <family val="2"/>
        <charset val="161"/>
        <scheme val="minor"/>
      </rPr>
      <t>2.</t>
    </r>
    <r>
      <rPr>
        <sz val="11"/>
        <color theme="1"/>
        <rFont val="Calibri"/>
        <family val="2"/>
        <scheme val="minor"/>
      </rPr>
      <t xml:space="preserve"> Setup FEI Data and SEI Data sheets. The Project Names and budgets are automatically pulled in from the "Projects" sheet.</t>
    </r>
  </si>
  <si>
    <t>B3 Select Indicators and Calculate Correlations for FEI Data and SEI Data</t>
  </si>
  <si>
    <r>
      <rPr>
        <b/>
        <sz val="11"/>
        <color rgb="FFFF0000"/>
        <rFont val="Calibri"/>
        <family val="2"/>
        <charset val="161"/>
        <scheme val="minor"/>
      </rPr>
      <t>1.</t>
    </r>
    <r>
      <rPr>
        <sz val="11"/>
        <color theme="1"/>
        <rFont val="Calibri"/>
        <family val="2"/>
        <scheme val="minor"/>
      </rPr>
      <t xml:space="preserve"> Activate WB IPF tab on Excel's Ribbon and click on </t>
    </r>
    <r>
      <rPr>
        <b/>
        <sz val="11"/>
        <color theme="1"/>
        <rFont val="Calibri"/>
        <family val="2"/>
        <charset val="161"/>
        <scheme val="minor"/>
      </rPr>
      <t>[Add Indicators]</t>
    </r>
  </si>
  <si>
    <t>The following 4 steps are to be done for both FEI Data SEI Data separately.</t>
  </si>
  <si>
    <r>
      <rPr>
        <b/>
        <sz val="11"/>
        <color rgb="FFFF0000"/>
        <rFont val="Calibri"/>
        <family val="2"/>
        <charset val="161"/>
        <scheme val="minor"/>
      </rPr>
      <t>2.</t>
    </r>
    <r>
      <rPr>
        <sz val="11"/>
        <color theme="1"/>
        <rFont val="Calibri"/>
        <family val="2"/>
        <scheme val="minor"/>
      </rPr>
      <t xml:space="preserve"> The </t>
    </r>
    <r>
      <rPr>
        <b/>
        <sz val="11"/>
        <color theme="1"/>
        <rFont val="Calibri"/>
        <family val="2"/>
        <charset val="161"/>
        <scheme val="minor"/>
      </rPr>
      <t>[Select Indicators]</t>
    </r>
    <r>
      <rPr>
        <sz val="11"/>
        <color theme="1"/>
        <rFont val="Calibri"/>
        <family val="2"/>
        <scheme val="minor"/>
      </rPr>
      <t xml:space="preserve"> form that shows up allows selection of indicators that are part of correlation calculations</t>
    </r>
  </si>
  <si>
    <r>
      <rPr>
        <b/>
        <sz val="11"/>
        <color rgb="FFFF0000"/>
        <rFont val="Calibri"/>
        <family val="2"/>
        <charset val="161"/>
        <scheme val="minor"/>
      </rPr>
      <t>3.</t>
    </r>
    <r>
      <rPr>
        <sz val="11"/>
        <color theme="1"/>
        <rFont val="Calibri"/>
        <family val="2"/>
        <scheme val="minor"/>
      </rPr>
      <t xml:space="preserve"> Selecting indicators (</t>
    </r>
    <r>
      <rPr>
        <b/>
        <sz val="11"/>
        <color theme="1"/>
        <rFont val="Calibri"/>
        <family val="2"/>
        <charset val="161"/>
        <scheme val="minor"/>
      </rPr>
      <t>[Add Indicators]</t>
    </r>
    <r>
      <rPr>
        <sz val="11"/>
        <color theme="1"/>
        <rFont val="Calibri"/>
        <family val="2"/>
        <scheme val="minor"/>
      </rPr>
      <t xml:space="preserve"> button on </t>
    </r>
    <r>
      <rPr>
        <b/>
        <sz val="11"/>
        <color theme="1"/>
        <rFont val="Calibri"/>
        <family val="2"/>
        <charset val="161"/>
        <scheme val="minor"/>
      </rPr>
      <t xml:space="preserve">[Select Indicators] </t>
    </r>
    <r>
      <rPr>
        <sz val="11"/>
        <color theme="1"/>
        <rFont val="Calibri"/>
        <family val="2"/>
        <scheme val="minor"/>
      </rPr>
      <t>form)</t>
    </r>
  </si>
  <si>
    <r>
      <rPr>
        <b/>
        <sz val="11"/>
        <color rgb="FFFF0000"/>
        <rFont val="Calibri"/>
        <family val="2"/>
        <charset val="161"/>
        <scheme val="minor"/>
      </rPr>
      <t>a.</t>
    </r>
    <r>
      <rPr>
        <sz val="11"/>
        <color theme="1"/>
        <rFont val="Calibri"/>
        <family val="2"/>
        <scheme val="minor"/>
      </rPr>
      <t xml:space="preserve"> </t>
    </r>
    <r>
      <rPr>
        <b/>
        <sz val="11"/>
        <color theme="1"/>
        <rFont val="Calibri"/>
        <family val="2"/>
        <charset val="161"/>
        <scheme val="minor"/>
      </rPr>
      <t>[Add Indicators]</t>
    </r>
    <r>
      <rPr>
        <sz val="11"/>
        <color theme="1"/>
        <rFont val="Calibri"/>
        <family val="2"/>
        <scheme val="minor"/>
      </rPr>
      <t xml:space="preserve"> -&gt; Allows adding one or more indicators from the </t>
    </r>
    <r>
      <rPr>
        <b/>
        <sz val="11"/>
        <color theme="1"/>
        <rFont val="Calibri"/>
        <family val="2"/>
        <charset val="161"/>
        <scheme val="minor"/>
      </rPr>
      <t>[data]</t>
    </r>
    <r>
      <rPr>
        <sz val="11"/>
        <color theme="1"/>
        <rFont val="Calibri"/>
        <family val="2"/>
        <scheme val="minor"/>
      </rPr>
      <t xml:space="preserve"> worksheet. See 3. below for further instructions.</t>
    </r>
  </si>
  <si>
    <r>
      <rPr>
        <b/>
        <sz val="11"/>
        <color rgb="FFFF0000"/>
        <rFont val="Calibri"/>
        <family val="2"/>
        <charset val="161"/>
        <scheme val="minor"/>
      </rPr>
      <t>f.</t>
    </r>
    <r>
      <rPr>
        <sz val="11"/>
        <color theme="1"/>
        <rFont val="Calibri"/>
        <family val="2"/>
        <scheme val="minor"/>
      </rPr>
      <t xml:space="preserve"> </t>
    </r>
    <r>
      <rPr>
        <b/>
        <sz val="11"/>
        <color theme="1"/>
        <rFont val="Calibri"/>
        <family val="2"/>
        <charset val="161"/>
        <scheme val="minor"/>
      </rPr>
      <t>[Total Budget (m)]</t>
    </r>
    <r>
      <rPr>
        <sz val="11"/>
        <color theme="1"/>
        <rFont val="Calibri"/>
        <family val="2"/>
        <scheme val="minor"/>
      </rPr>
      <t xml:space="preserve"> -&gt; Required to enter the total budget in millions of dollars.</t>
    </r>
  </si>
  <si>
    <r>
      <rPr>
        <b/>
        <sz val="11"/>
        <color rgb="FFFF0000"/>
        <rFont val="Calibri"/>
        <family val="2"/>
        <charset val="161"/>
        <scheme val="minor"/>
      </rPr>
      <t>g.</t>
    </r>
    <r>
      <rPr>
        <sz val="11"/>
        <color theme="1"/>
        <rFont val="Calibri"/>
        <family val="2"/>
        <scheme val="minor"/>
      </rPr>
      <t xml:space="preserve"> </t>
    </r>
    <r>
      <rPr>
        <b/>
        <sz val="11"/>
        <color theme="1"/>
        <rFont val="Calibri"/>
        <family val="2"/>
        <charset val="161"/>
        <scheme val="minor"/>
      </rPr>
      <t>[Max Categorical Variable Value Count]</t>
    </r>
    <r>
      <rPr>
        <sz val="11"/>
        <color theme="1"/>
        <rFont val="Calibri"/>
        <family val="2"/>
        <scheme val="minor"/>
      </rPr>
      <t xml:space="preserve"> -&gt; Required to enter the Max categorical variable value count. Any indicator with distinct values less than equal to this value is classified as Categorical.</t>
    </r>
  </si>
  <si>
    <r>
      <rPr>
        <b/>
        <sz val="11"/>
        <color rgb="FFFF0000"/>
        <rFont val="Calibri"/>
        <family val="2"/>
        <charset val="161"/>
        <scheme val="minor"/>
      </rPr>
      <t>h.</t>
    </r>
    <r>
      <rPr>
        <sz val="11"/>
        <color theme="1"/>
        <rFont val="Calibri"/>
        <family val="2"/>
        <scheme val="minor"/>
      </rPr>
      <t xml:space="preserve"> </t>
    </r>
    <r>
      <rPr>
        <b/>
        <sz val="11"/>
        <color theme="1"/>
        <rFont val="Calibri"/>
        <family val="2"/>
        <charset val="161"/>
        <scheme val="minor"/>
      </rPr>
      <t>[Calculate Correlations]</t>
    </r>
    <r>
      <rPr>
        <sz val="11"/>
        <color theme="1"/>
        <rFont val="Calibri"/>
        <family val="2"/>
        <scheme val="minor"/>
      </rPr>
      <t xml:space="preserve"> -&gt; Calculates the correlations matrix and adds a new correlations worksheet to this workbook</t>
    </r>
  </si>
  <si>
    <t>This is how the form looks like after selecting all required options for SEI Data.</t>
  </si>
  <si>
    <t>B4 Calculate Loadings for FEI Data and SEI Data</t>
  </si>
  <si>
    <t>Each of the sheets selected will look like the following depending on the Indicators selected.</t>
  </si>
  <si>
    <r>
      <rPr>
        <b/>
        <sz val="11"/>
        <color rgb="FFFF0000"/>
        <rFont val="Calibri"/>
        <family val="2"/>
        <charset val="161"/>
        <scheme val="minor"/>
      </rPr>
      <t>4.</t>
    </r>
    <r>
      <rPr>
        <sz val="11"/>
        <color theme="1"/>
        <rFont val="Calibri"/>
        <family val="2"/>
        <scheme val="minor"/>
      </rPr>
      <t xml:space="preserve"> On Click of "Calculate Correlations" in the above form for both FEI Data and SEI Data, we get the sheets FEI Wts and SEI Wts respectively.</t>
    </r>
  </si>
  <si>
    <r>
      <rPr>
        <b/>
        <sz val="11"/>
        <color rgb="FFFF0000"/>
        <rFont val="Calibri"/>
        <family val="2"/>
        <charset val="161"/>
        <scheme val="minor"/>
      </rPr>
      <t>1.</t>
    </r>
    <r>
      <rPr>
        <sz val="11"/>
        <color theme="1"/>
        <rFont val="Calibri"/>
        <family val="2"/>
        <scheme val="minor"/>
      </rPr>
      <t xml:space="preserve"> On completion for Step 4 of B4, we get the FEI Wts and SEI Wts sheet.</t>
    </r>
  </si>
  <si>
    <r>
      <rPr>
        <b/>
        <sz val="11"/>
        <color rgb="FFFF0000"/>
        <rFont val="Calibri"/>
        <family val="2"/>
        <charset val="161"/>
        <scheme val="minor"/>
      </rPr>
      <t>(1)</t>
    </r>
    <r>
      <rPr>
        <sz val="11"/>
        <color theme="1"/>
        <rFont val="Calibri"/>
        <family val="2"/>
        <scheme val="minor"/>
      </rPr>
      <t xml:space="preserve"> -&gt; Correlation Matrix. This is created by step B3-4 above. </t>
    </r>
    <r>
      <rPr>
        <i/>
        <sz val="11"/>
        <color theme="1"/>
        <rFont val="Calibri"/>
        <family val="2"/>
        <scheme val="minor"/>
      </rPr>
      <t>This is not visible in the Client version.</t>
    </r>
  </si>
  <si>
    <r>
      <rPr>
        <b/>
        <sz val="11"/>
        <color rgb="FFFF0000"/>
        <rFont val="Calibri"/>
        <family val="2"/>
        <charset val="161"/>
        <scheme val="minor"/>
      </rPr>
      <t>(4)</t>
    </r>
    <r>
      <rPr>
        <sz val="11"/>
        <color theme="1"/>
        <rFont val="Calibri"/>
        <family val="2"/>
        <scheme val="minor"/>
      </rPr>
      <t xml:space="preserve"> -&gt; Calculates indicator weights based on specified constraints (see (2)).</t>
    </r>
  </si>
  <si>
    <r>
      <rPr>
        <b/>
        <sz val="11"/>
        <color rgb="FFFF0000"/>
        <rFont val="Calibri"/>
        <family val="2"/>
        <charset val="161"/>
        <scheme val="minor"/>
      </rPr>
      <t>2.</t>
    </r>
    <r>
      <rPr>
        <sz val="11"/>
        <color theme="1"/>
        <rFont val="Calibri"/>
        <family val="2"/>
        <scheme val="minor"/>
      </rPr>
      <t xml:space="preserve"> Calculate Indicator Weights -&gt; </t>
    </r>
    <r>
      <rPr>
        <sz val="11"/>
        <color theme="1"/>
        <rFont val="Calibri"/>
        <family val="2"/>
        <scheme val="minor"/>
      </rPr>
      <t>Calculation is time consuming and Excel may appear hang during the required time.</t>
    </r>
  </si>
  <si>
    <t>Any additional scenarios beyond the third, overwrites the third calculated scenario.</t>
  </si>
  <si>
    <r>
      <rPr>
        <b/>
        <sz val="11"/>
        <color rgb="FFFF0000"/>
        <rFont val="Calibri"/>
        <family val="2"/>
        <charset val="161"/>
        <scheme val="minor"/>
      </rPr>
      <t>1.</t>
    </r>
    <r>
      <rPr>
        <sz val="11"/>
        <color theme="1"/>
        <rFont val="Calibri"/>
        <family val="2"/>
        <scheme val="minor"/>
      </rPr>
      <t xml:space="preserve"> Activate the </t>
    </r>
    <r>
      <rPr>
        <b/>
        <sz val="11"/>
        <color theme="1"/>
        <rFont val="Calibri"/>
        <family val="2"/>
        <charset val="161"/>
        <scheme val="minor"/>
      </rPr>
      <t xml:space="preserve">[Wts] Workheet. This is either the "FEI Wts" sheet or the "SEI Wts" sheet. </t>
    </r>
  </si>
  <si>
    <r>
      <rPr>
        <b/>
        <sz val="11"/>
        <color rgb="FFFF0000"/>
        <rFont val="Calibri"/>
        <family val="2"/>
        <charset val="161"/>
        <scheme val="minor"/>
      </rPr>
      <t>2.</t>
    </r>
    <r>
      <rPr>
        <sz val="11"/>
        <color theme="1"/>
        <rFont val="Calibri"/>
        <family val="2"/>
        <scheme val="minor"/>
      </rPr>
      <t xml:space="preserve"> Activate the WBLAddin tab on Excel's Ribbon and click on </t>
    </r>
    <r>
      <rPr>
        <b/>
        <sz val="11"/>
        <color theme="1"/>
        <rFont val="Calibri"/>
        <family val="2"/>
        <charset val="161"/>
        <scheme val="minor"/>
      </rPr>
      <t xml:space="preserve">[Generate Rankings]. </t>
    </r>
    <r>
      <rPr>
        <sz val="11"/>
        <color theme="1"/>
        <rFont val="Calibri"/>
        <family val="2"/>
        <scheme val="minor"/>
      </rPr>
      <t>The Generate Rankings form comes up.</t>
    </r>
  </si>
  <si>
    <r>
      <rPr>
        <b/>
        <sz val="11"/>
        <color rgb="FFFF0000"/>
        <rFont val="Calibri"/>
        <family val="2"/>
        <charset val="161"/>
        <scheme val="minor"/>
      </rPr>
      <t>3.</t>
    </r>
    <r>
      <rPr>
        <sz val="11"/>
        <color theme="1"/>
        <rFont val="Calibri"/>
        <family val="2"/>
        <scheme val="minor"/>
      </rPr>
      <t xml:space="preserve"> Select indictor weights types that are to be ranked and click on </t>
    </r>
    <r>
      <rPr>
        <b/>
        <sz val="11"/>
        <color theme="1"/>
        <rFont val="Calibri"/>
        <family val="2"/>
        <scheme val="minor"/>
      </rPr>
      <t>[Generate]</t>
    </r>
    <r>
      <rPr>
        <sz val="11"/>
        <color theme="1"/>
        <rFont val="Calibri"/>
        <family val="2"/>
        <scheme val="minor"/>
      </rPr>
      <t>.</t>
    </r>
  </si>
  <si>
    <t>A click on the [Generate] button creates a [Rankings] sheet containing the rankings in table and chart form for the selectedt indicator weights types.</t>
  </si>
  <si>
    <t>B5 Generate Rankings for FEI Data and SEI Data</t>
  </si>
  <si>
    <t>B6 Generate Prioritization Matrices</t>
  </si>
  <si>
    <t>Steps 1, 2 and 3 are to be done for both the above mentioned selections</t>
  </si>
  <si>
    <r>
      <rPr>
        <b/>
        <sz val="11"/>
        <color rgb="FFFF0000"/>
        <rFont val="Calibri"/>
        <family val="2"/>
        <charset val="161"/>
        <scheme val="minor"/>
      </rPr>
      <t>1.</t>
    </r>
    <r>
      <rPr>
        <sz val="11"/>
        <color theme="1"/>
        <rFont val="Calibri"/>
        <family val="2"/>
        <scheme val="minor"/>
      </rPr>
      <t xml:space="preserve"> Once both the SE Rankings and FE Rankings have been created, activate WB IPF tab on Exel's Ribbon and click </t>
    </r>
    <r>
      <rPr>
        <b/>
        <sz val="11"/>
        <color theme="1"/>
        <rFont val="Calibri"/>
        <family val="2"/>
        <scheme val="minor"/>
      </rPr>
      <t>[Generate Prioritization Matrices]</t>
    </r>
    <r>
      <rPr>
        <sz val="11"/>
        <color theme="1"/>
        <rFont val="Calibri"/>
        <family val="2"/>
        <scheme val="minor"/>
      </rPr>
      <t>.</t>
    </r>
  </si>
  <si>
    <r>
      <rPr>
        <b/>
        <sz val="11"/>
        <color rgb="FFFF0000"/>
        <rFont val="Calibri"/>
        <family val="2"/>
        <charset val="161"/>
        <scheme val="minor"/>
      </rPr>
      <t>2.</t>
    </r>
    <r>
      <rPr>
        <sz val="11"/>
        <color theme="1"/>
        <rFont val="Calibri"/>
        <family val="2"/>
        <scheme val="minor"/>
      </rPr>
      <t xml:space="preserve"> On the form that comes up select the FEI Rank and the SEI rank from the generated ones that are to be combined.</t>
    </r>
  </si>
  <si>
    <r>
      <t>Multiple FEI Rank and SEI Ranks may have been created. Select one of each on the form and click on [</t>
    </r>
    <r>
      <rPr>
        <b/>
        <sz val="11"/>
        <color theme="1"/>
        <rFont val="Calibri"/>
        <family val="2"/>
        <scheme val="minor"/>
      </rPr>
      <t>Next</t>
    </r>
    <r>
      <rPr>
        <sz val="11"/>
        <color theme="1"/>
        <rFont val="Calibri"/>
        <family val="2"/>
        <scheme val="minor"/>
      </rPr>
      <t>] to go to the next step.</t>
    </r>
  </si>
  <si>
    <r>
      <t>The [</t>
    </r>
    <r>
      <rPr>
        <b/>
        <sz val="11"/>
        <color theme="1"/>
        <rFont val="Calibri"/>
        <family val="2"/>
        <scheme val="minor"/>
      </rPr>
      <t>Next</t>
    </r>
    <r>
      <rPr>
        <sz val="11"/>
        <color theme="1"/>
        <rFont val="Calibri"/>
        <family val="2"/>
        <charset val="161"/>
        <scheme val="minor"/>
      </rPr>
      <t>] button is enabled only if the selected FEI Rank sheet and the SEI Rank sheet are such that they have the same Total budget and Projects being evaluated.</t>
    </r>
  </si>
  <si>
    <r>
      <rPr>
        <b/>
        <sz val="11"/>
        <color rgb="FFFF0000"/>
        <rFont val="Calibri"/>
        <family val="2"/>
        <charset val="161"/>
        <scheme val="minor"/>
      </rPr>
      <t>3.</t>
    </r>
    <r>
      <rPr>
        <sz val="11"/>
        <color theme="1"/>
        <rFont val="Calibri"/>
        <family val="2"/>
        <scheme val="minor"/>
      </rPr>
      <t xml:space="preserve"> On the form that comes up select the FEI Scenarios and the SEI Scenarios from the respective Rank sheets that are to be combined and clcik on the Add button</t>
    </r>
  </si>
  <si>
    <r>
      <rPr>
        <b/>
        <sz val="11"/>
        <color rgb="FFFF0000"/>
        <rFont val="Calibri"/>
        <family val="2"/>
        <charset val="161"/>
        <scheme val="minor"/>
      </rPr>
      <t>4.</t>
    </r>
    <r>
      <rPr>
        <sz val="11"/>
        <color theme="1"/>
        <rFont val="Calibri"/>
        <family val="2"/>
        <scheme val="minor"/>
      </rPr>
      <t xml:space="preserve"> Once the selection is completed click on [</t>
    </r>
    <r>
      <rPr>
        <b/>
        <sz val="11"/>
        <color theme="1"/>
        <rFont val="Calibri"/>
        <family val="2"/>
        <scheme val="minor"/>
      </rPr>
      <t>Generate Prioritization Matrices</t>
    </r>
    <r>
      <rPr>
        <sz val="11"/>
        <color theme="1"/>
        <rFont val="Calibri"/>
        <family val="2"/>
        <scheme val="minor"/>
      </rPr>
      <t>] to generate the [</t>
    </r>
    <r>
      <rPr>
        <b/>
        <sz val="11"/>
        <color theme="1"/>
        <rFont val="Calibri"/>
        <family val="2"/>
        <scheme val="minor"/>
      </rPr>
      <t>IPF Matrix</t>
    </r>
    <r>
      <rPr>
        <sz val="11"/>
        <color theme="1"/>
        <rFont val="Calibri"/>
        <family val="2"/>
        <scheme val="minor"/>
      </rPr>
      <t>] sheet.</t>
    </r>
  </si>
  <si>
    <r>
      <t>The generated [</t>
    </r>
    <r>
      <rPr>
        <b/>
        <sz val="11"/>
        <color theme="1"/>
        <rFont val="Calibri"/>
        <family val="2"/>
        <scheme val="minor"/>
      </rPr>
      <t>IPF Matrix</t>
    </r>
    <r>
      <rPr>
        <sz val="11"/>
        <color theme="1"/>
        <rFont val="Calibri"/>
        <family val="2"/>
        <scheme val="minor"/>
      </rPr>
      <t>] sheet contains the prioritization information in both Table and Chart form based on the indictor ranking combinations seleted in the above form.</t>
    </r>
  </si>
  <si>
    <t>The Charts come up to the right  of the Tables. Depending on the number of combinations being generated, it may be required to scroll to the right and down to view the charts.</t>
  </si>
  <si>
    <t>Indicator Percentages</t>
  </si>
  <si>
    <t>pct</t>
  </si>
  <si>
    <t>KT_x000D_
(p &gt;= 0)</t>
  </si>
  <si>
    <t>KT_x000D_
(p &gt; 0)</t>
  </si>
  <si>
    <t>Constraint (sum(p)=1)</t>
  </si>
  <si>
    <t>min x</t>
  </si>
  <si>
    <t>max x</t>
  </si>
  <si>
    <t>Objective Function (p'Qp/p'p)</t>
  </si>
  <si>
    <t>Solver found a solution. All constraints and optimality conditions are satisfied.</t>
  </si>
  <si>
    <t>Scenario Constraints</t>
  </si>
  <si>
    <t>POVERTY &gt; 23.00%</t>
  </si>
  <si>
    <t>BEN_INV &lt; 30.00%</t>
  </si>
  <si>
    <t>JOB_INV &gt; 25.00%</t>
  </si>
  <si>
    <t>BEN_INV &lt; 25.00%</t>
  </si>
  <si>
    <t>JOB_INV &gt; 10.00%</t>
  </si>
  <si>
    <t>INV_COV &lt; 20.00%</t>
  </si>
  <si>
    <t>BEN_INV &gt; 10.00%</t>
  </si>
  <si>
    <t>INV_COV &lt; 10.00%</t>
  </si>
  <si>
    <t>DISEASES &lt; 10.00%</t>
  </si>
  <si>
    <t>['FEI Data'!$C$2:$C$29]</t>
  </si>
  <si>
    <t>['FEI Data'!$D$2:$D$29]</t>
  </si>
  <si>
    <t>['FEI Data'!$E$2:$E$29]</t>
  </si>
  <si>
    <t>['FEI Data'!$A$2:$A$29]</t>
  </si>
  <si>
    <t>['FEI Data'!$B$2:$B$29]</t>
  </si>
  <si>
    <t>BCR &gt; 25.00%</t>
  </si>
  <si>
    <t>INV_COV &gt; 20.00%</t>
  </si>
  <si>
    <t>SUPPLY &gt; 10.00%</t>
  </si>
  <si>
    <t>BCR &gt; 5.00%</t>
  </si>
  <si>
    <t>NRW &lt; 40.00%</t>
  </si>
  <si>
    <t>Budget</t>
  </si>
  <si>
    <t>BEN_INV_std</t>
  </si>
  <si>
    <t>JOB_INV_std</t>
  </si>
  <si>
    <t>POVERTY_std</t>
  </si>
  <si>
    <t>SUPPLY_std</t>
  </si>
  <si>
    <t>QUALITY_std</t>
  </si>
  <si>
    <t>INV_COV_std</t>
  </si>
  <si>
    <t>DISEASES_std</t>
  </si>
  <si>
    <t>QUALITY2_std</t>
  </si>
  <si>
    <t>INV_COV2_std</t>
  </si>
  <si>
    <t>DISEASES2_std</t>
  </si>
  <si>
    <t>SEI_STD</t>
  </si>
  <si>
    <t>SEI</t>
  </si>
  <si>
    <t>P0</t>
  </si>
  <si>
    <t>Constrained Solution 2</t>
  </si>
  <si>
    <t>NRW_std</t>
  </si>
  <si>
    <t>BCR_std</t>
  </si>
  <si>
    <t>YIELD_std</t>
  </si>
  <si>
    <t>FEI_STD</t>
  </si>
  <si>
    <t>FEI</t>
  </si>
  <si>
    <t>SEI-CS2 vs FEI-CS1</t>
  </si>
  <si>
    <t>SEI-CS2 vs FEI-PCA</t>
  </si>
  <si>
    <t>SEI-KTGET vs FEI-PCA</t>
  </si>
  <si>
    <t>SEI-KTGET vs FEI-KTGT</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</si>
</sst>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0000"/>
    <numFmt numFmtId="165" formatCode="0.000"/>
    <numFmt numFmtId="166" formatCode="0.0%"/>
  </numFmts>
  <fonts count="26" x14ac:knownFonts="1">
    <font>
      <sz val="11"/>
      <color theme="1"/>
      <name val="Calibri"/>
      <family val="2"/>
      <scheme val="minor"/>
    </font>
    <font>
      <sz val="11"/>
      <color theme="1"/>
      <name val="Calibri"/>
      <family val="2"/>
      <charset val="161"/>
      <scheme val="minor"/>
    </font>
    <font>
      <b/>
      <sz val="18"/>
      <color theme="1"/>
      <name val="Calibri"/>
      <family val="2"/>
      <charset val="161"/>
      <scheme val="minor"/>
    </font>
    <font>
      <b/>
      <sz val="11"/>
      <color theme="1"/>
      <name val="Calibri"/>
      <family val="2"/>
      <charset val="161"/>
      <scheme val="minor"/>
    </font>
    <font>
      <b/>
      <sz val="11"/>
      <color rgb="FFFF0000"/>
      <name val="Calibri"/>
      <family val="2"/>
      <charset val="161"/>
      <scheme val="minor"/>
    </font>
    <font>
      <b/>
      <sz val="14"/>
      <color theme="1"/>
      <name val="Calibri"/>
      <family val="2"/>
      <charset val="161"/>
      <scheme val="minor"/>
    </font>
    <font>
      <sz val="11"/>
      <color theme="1"/>
      <name val="Calibri"/>
      <family val="2"/>
      <scheme val="minor"/>
    </font>
    <font>
      <sz val="11"/>
      <name val="Calibri Light"/>
      <family val="2"/>
    </font>
    <font>
      <sz val="11"/>
      <color theme="1"/>
      <name val="Calibri Light"/>
      <family val="2"/>
    </font>
    <font>
      <sz val="10"/>
      <name val="Arial"/>
      <family val="2"/>
    </font>
    <font>
      <sz val="11"/>
      <color rgb="FF000000"/>
      <name val="Calibri Light"/>
      <family val="2"/>
    </font>
    <font>
      <sz val="11"/>
      <name val="Calibri"/>
      <family val="2"/>
      <scheme val="minor"/>
    </font>
    <font>
      <sz val="11"/>
      <color theme="1" tint="0.499984740745262"/>
      <name val="Calibri"/>
      <family val="2"/>
      <charset val="161"/>
      <scheme val="minor"/>
    </font>
    <font>
      <b/>
      <sz val="11"/>
      <color theme="1"/>
      <name val="Calibri"/>
      <family val="2"/>
      <scheme val="minor"/>
    </font>
    <font>
      <i/>
      <sz val="11"/>
      <color theme="1"/>
      <name val="Calibri"/>
      <family val="2"/>
      <scheme val="minor"/>
    </font>
    <font>
      <sz val="14"/>
      <color theme="1"/>
      <name val="Calibri Light"/>
      <family val="2"/>
    </font>
    <font>
      <sz val="11"/>
      <color rgb="FF000000"/>
      <name val="Calibri"/>
      <family val="2"/>
      <scheme val="minor"/>
    </font>
    <font>
      <b/>
      <sz val="11"/>
      <color rgb="FFFF0000"/>
      <name val="Calibri"/>
      <family val="2"/>
    </font>
    <font>
      <sz val="11"/>
      <color rgb="FF00A000"/>
      <name val="Calibri"/>
      <family val="2"/>
      <scheme val="minor"/>
    </font>
    <font>
      <b/>
      <sz val="11"/>
      <color indexed="10"/>
      <name val="Calibri"/>
      <family val="2"/>
      <scheme val="minor"/>
    </font>
    <font>
      <b/>
      <sz val="11"/>
      <color rgb="FF6F6F6F"/>
      <name val="Calibri"/>
      <family val="2"/>
      <scheme val="minor"/>
    </font>
    <font>
      <b/>
      <sz val="11"/>
      <color rgb="FF376092"/>
      <name val="Calibri"/>
      <family val="2"/>
      <scheme val="minor"/>
    </font>
    <font>
      <b/>
      <sz val="11"/>
      <color rgb="FF305496"/>
      <name val="Calibri"/>
      <family val="2"/>
      <scheme val="minor"/>
    </font>
    <font>
      <b/>
      <sz val="11"/>
      <color rgb="FFB40000"/>
      <name val="Calibri"/>
      <family val="2"/>
      <scheme val="minor"/>
    </font>
    <font>
      <b/>
      <sz val="11"/>
      <color rgb="FFB4B400"/>
      <name val="Calibri"/>
      <family val="2"/>
      <scheme val="minor"/>
    </font>
    <font>
      <b/>
      <sz val="11"/>
      <color rgb="FF00B400"/>
      <name val="Calibri"/>
      <family val="2"/>
      <scheme val="minor"/>
    </font>
  </fonts>
  <fills count="9">
    <fill>
      <patternFill patternType="none"/>
    </fill>
    <fill>
      <patternFill patternType="gray125"/>
    </fill>
    <fill>
      <patternFill patternType="solid">
        <fgColor theme="0"/>
        <bgColor indexed="64"/>
      </patternFill>
    </fill>
    <fill>
      <patternFill patternType="solid">
        <fgColor rgb="FFDDEBF7"/>
        <bgColor indexed="64"/>
      </patternFill>
    </fill>
    <fill>
      <patternFill patternType="solid">
        <fgColor rgb="FFDCE6F1"/>
        <bgColor rgb="FF000000"/>
      </patternFill>
    </fill>
    <fill>
      <patternFill patternType="solid">
        <fgColor theme="4" tint="0.79998168889431442"/>
        <bgColor rgb="FF000000"/>
      </patternFill>
    </fill>
    <fill>
      <patternFill patternType="solid">
        <fgColor theme="0"/>
        <bgColor rgb="FF000000"/>
      </patternFill>
    </fill>
    <fill>
      <patternFill patternType="solid">
        <fgColor rgb="FFD9D9D9"/>
        <bgColor indexed="64"/>
      </patternFill>
    </fill>
    <fill>
      <patternFill patternType="gray0625"/>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hair">
        <color indexed="64"/>
      </bottom>
      <diagonal/>
    </border>
    <border>
      <left/>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bottom style="thin">
        <color indexed="64"/>
      </bottom>
      <diagonal/>
    </border>
    <border>
      <left/>
      <right/>
      <top/>
      <bottom style="dashed">
        <color rgb="FFFF0000"/>
      </bottom>
      <diagonal/>
    </border>
    <border>
      <left/>
      <right style="thin">
        <color indexed="64"/>
      </right>
      <top/>
      <bottom style="dashed">
        <color rgb="FFFF0000"/>
      </bottom>
      <diagonal/>
    </border>
  </borders>
  <cellStyleXfs count="4">
    <xf numFmtId="0" fontId="0" fillId="0" borderId="0"/>
    <xf numFmtId="0" fontId="6" fillId="0" borderId="0"/>
    <xf numFmtId="0" fontId="9" fillId="0" borderId="0"/>
    <xf numFmtId="0" fontId="8" fillId="0" borderId="0"/>
  </cellStyleXfs>
  <cellXfs count="151">
    <xf numFmtId="0" fontId="0" fillId="0" borderId="0" xfId="0"/>
    <xf numFmtId="164" fontId="0" fillId="0" borderId="2" xfId="0" applyNumberFormat="1" applyBorder="1"/>
    <xf numFmtId="164" fontId="0" fillId="0" borderId="3" xfId="0" applyNumberFormat="1" applyBorder="1"/>
    <xf numFmtId="164" fontId="0" fillId="0" borderId="4" xfId="0" applyNumberFormat="1" applyBorder="1"/>
    <xf numFmtId="0" fontId="0" fillId="3" borderId="1" xfId="0" applyFill="1" applyBorder="1"/>
    <xf numFmtId="0" fontId="0" fillId="3" borderId="2" xfId="0" applyFill="1" applyBorder="1"/>
    <xf numFmtId="0" fontId="0" fillId="3" borderId="3" xfId="0" applyFill="1" applyBorder="1"/>
    <xf numFmtId="0" fontId="0" fillId="3" borderId="4" xfId="0" applyFill="1" applyBorder="1"/>
    <xf numFmtId="164" fontId="0" fillId="0" borderId="2" xfId="0" applyNumberFormat="1" applyBorder="1" applyAlignment="1">
      <alignment horizontal="center"/>
    </xf>
    <xf numFmtId="164" fontId="0" fillId="0" borderId="3" xfId="0" applyNumberFormat="1" applyBorder="1" applyAlignment="1">
      <alignment horizontal="center"/>
    </xf>
    <xf numFmtId="1" fontId="0" fillId="0" borderId="3" xfId="0" applyNumberFormat="1" applyBorder="1" applyAlignment="1">
      <alignment horizontal="center"/>
    </xf>
    <xf numFmtId="0" fontId="0" fillId="0" borderId="3" xfId="0" applyBorder="1" applyAlignment="1">
      <alignment horizontal="center"/>
    </xf>
    <xf numFmtId="0" fontId="0" fillId="3" borderId="7" xfId="0" applyFill="1" applyBorder="1"/>
    <xf numFmtId="0" fontId="0" fillId="0" borderId="7" xfId="0" applyBorder="1" applyAlignment="1">
      <alignment horizontal="center"/>
    </xf>
    <xf numFmtId="11" fontId="0" fillId="0" borderId="3" xfId="0" applyNumberFormat="1" applyBorder="1" applyAlignment="1">
      <alignment horizontal="center"/>
    </xf>
    <xf numFmtId="11" fontId="0" fillId="0" borderId="4" xfId="0" applyNumberFormat="1" applyBorder="1" applyAlignment="1">
      <alignment horizontal="center"/>
    </xf>
    <xf numFmtId="3" fontId="0" fillId="0" borderId="3" xfId="0" applyNumberFormat="1" applyBorder="1" applyAlignment="1">
      <alignment horizontal="right" indent="17"/>
    </xf>
    <xf numFmtId="0" fontId="0" fillId="0" borderId="0" xfId="0" applyBorder="1"/>
    <xf numFmtId="0" fontId="2" fillId="0" borderId="8" xfId="0" applyFont="1" applyBorder="1"/>
    <xf numFmtId="0" fontId="0" fillId="0" borderId="8" xfId="0" applyBorder="1"/>
    <xf numFmtId="0" fontId="2" fillId="0" borderId="0" xfId="0" applyFont="1" applyBorder="1"/>
    <xf numFmtId="0" fontId="5" fillId="0" borderId="8" xfId="0" applyFont="1" applyBorder="1"/>
    <xf numFmtId="0" fontId="7" fillId="6" borderId="0" xfId="0" applyFont="1" applyFill="1" applyAlignment="1">
      <alignment horizontal="center"/>
    </xf>
    <xf numFmtId="0" fontId="7" fillId="5" borderId="9" xfId="0" applyFont="1" applyFill="1" applyBorder="1" applyAlignment="1">
      <alignment horizontal="center" vertical="center"/>
    </xf>
    <xf numFmtId="0" fontId="7" fillId="4" borderId="9" xfId="1" applyFont="1" applyFill="1" applyBorder="1" applyAlignment="1">
      <alignment horizontal="center" vertical="center"/>
    </xf>
    <xf numFmtId="0" fontId="0" fillId="0" borderId="9" xfId="0" applyBorder="1"/>
    <xf numFmtId="0" fontId="11" fillId="0" borderId="0" xfId="0" applyFont="1"/>
    <xf numFmtId="0" fontId="11" fillId="0" borderId="9" xfId="0" applyFont="1" applyBorder="1"/>
    <xf numFmtId="0" fontId="0" fillId="0" borderId="9" xfId="0" applyBorder="1" applyAlignment="1">
      <alignment horizontal="left"/>
    </xf>
    <xf numFmtId="0" fontId="0" fillId="0" borderId="0" xfId="0" applyAlignment="1">
      <alignment horizontal="left"/>
    </xf>
    <xf numFmtId="0" fontId="0" fillId="0" borderId="0" xfId="0" quotePrefix="1"/>
    <xf numFmtId="0" fontId="12" fillId="0" borderId="0" xfId="0" quotePrefix="1" applyFont="1"/>
    <xf numFmtId="0" fontId="1" fillId="0" borderId="0" xfId="0" applyFont="1"/>
    <xf numFmtId="0" fontId="1" fillId="0" borderId="0" xfId="0" applyFont="1" applyAlignment="1">
      <alignment horizontal="left" indent="1"/>
    </xf>
    <xf numFmtId="0" fontId="0" fillId="0" borderId="0" xfId="0" applyAlignment="1">
      <alignment horizontal="left" indent="1"/>
    </xf>
    <xf numFmtId="0" fontId="5" fillId="0" borderId="0" xfId="0" applyFont="1" applyBorder="1"/>
    <xf numFmtId="0" fontId="1" fillId="0" borderId="0" xfId="0" quotePrefix="1" applyFont="1" applyAlignment="1">
      <alignment horizontal="left" indent="2"/>
    </xf>
    <xf numFmtId="0" fontId="1" fillId="0" borderId="0" xfId="0" applyFont="1" applyAlignment="1">
      <alignment horizontal="left"/>
    </xf>
    <xf numFmtId="0" fontId="1" fillId="0" borderId="0" xfId="0" applyFont="1" applyAlignment="1">
      <alignment horizontal="left" indent="2"/>
    </xf>
    <xf numFmtId="0" fontId="0" fillId="0" borderId="0" xfId="0" applyAlignment="1">
      <alignment horizontal="left" indent="2"/>
    </xf>
    <xf numFmtId="0" fontId="0" fillId="0" borderId="0" xfId="0" applyProtection="1">
      <protection locked="0"/>
    </xf>
    <xf numFmtId="39" fontId="8" fillId="2" borderId="0" xfId="0" applyNumberFormat="1" applyFont="1" applyFill="1" applyAlignment="1" applyProtection="1">
      <alignment horizontal="right"/>
      <protection locked="0"/>
    </xf>
    <xf numFmtId="37" fontId="8" fillId="2" borderId="0" xfId="0" applyNumberFormat="1" applyFont="1" applyFill="1" applyAlignment="1" applyProtection="1">
      <alignment horizontal="right"/>
      <protection locked="0"/>
    </xf>
    <xf numFmtId="0" fontId="1" fillId="0" borderId="0" xfId="0" applyFont="1" applyAlignment="1">
      <alignment horizontal="left" indent="3"/>
    </xf>
    <xf numFmtId="2" fontId="7" fillId="6" borderId="0" xfId="0" applyNumberFormat="1" applyFont="1" applyFill="1" applyAlignment="1">
      <alignment horizontal="center" vertical="center" wrapText="1"/>
    </xf>
    <xf numFmtId="2" fontId="7" fillId="6" borderId="0" xfId="0" applyNumberFormat="1" applyFont="1" applyFill="1" applyAlignment="1">
      <alignment horizontal="center"/>
    </xf>
    <xf numFmtId="2" fontId="0" fillId="0" borderId="0" xfId="0" applyNumberFormat="1"/>
    <xf numFmtId="0" fontId="7" fillId="4" borderId="0" xfId="1" applyFont="1" applyFill="1" applyBorder="1" applyAlignment="1">
      <alignment horizontal="center" vertical="center"/>
    </xf>
    <xf numFmtId="0" fontId="10" fillId="5" borderId="0" xfId="3" applyNumberFormat="1" applyFont="1" applyFill="1" applyBorder="1" applyAlignment="1" applyProtection="1">
      <alignment horizontal="center" vertical="center"/>
      <protection locked="0"/>
    </xf>
    <xf numFmtId="37" fontId="8" fillId="2" borderId="0" xfId="0" applyNumberFormat="1" applyFont="1" applyFill="1" applyBorder="1" applyAlignment="1" applyProtection="1">
      <alignment horizontal="right"/>
      <protection locked="0"/>
    </xf>
    <xf numFmtId="0" fontId="0" fillId="0" borderId="0" xfId="0" applyBorder="1" applyProtection="1">
      <protection locked="0"/>
    </xf>
    <xf numFmtId="0" fontId="7" fillId="5" borderId="0" xfId="0" applyFont="1" applyFill="1" applyBorder="1" applyAlignment="1">
      <alignment horizontal="center" vertical="center"/>
    </xf>
    <xf numFmtId="0" fontId="7" fillId="6" borderId="0" xfId="0" applyFont="1" applyFill="1" applyBorder="1" applyAlignment="1">
      <alignment horizontal="center"/>
    </xf>
    <xf numFmtId="39" fontId="8" fillId="2" borderId="0" xfId="0" applyNumberFormat="1" applyFont="1" applyFill="1" applyBorder="1" applyAlignment="1" applyProtection="1">
      <alignment horizontal="right"/>
      <protection locked="0"/>
    </xf>
    <xf numFmtId="2" fontId="7" fillId="6" borderId="0" xfId="0" applyNumberFormat="1" applyFont="1" applyFill="1" applyBorder="1" applyAlignment="1">
      <alignment horizontal="center" vertical="center" wrapText="1"/>
    </xf>
    <xf numFmtId="2" fontId="0" fillId="0" borderId="0" xfId="0" applyNumberFormat="1" applyBorder="1"/>
    <xf numFmtId="0" fontId="0" fillId="3" borderId="13" xfId="0" applyFill="1" applyBorder="1" applyAlignment="1">
      <alignment horizontal="right"/>
    </xf>
    <xf numFmtId="0" fontId="0" fillId="3" borderId="12" xfId="0" applyFill="1" applyBorder="1" applyAlignment="1">
      <alignment horizontal="right"/>
    </xf>
    <xf numFmtId="165" fontId="0" fillId="0" borderId="0" xfId="0" applyNumberFormat="1" applyAlignment="1">
      <alignment horizontal="right" indent="1"/>
    </xf>
    <xf numFmtId="0" fontId="0" fillId="3" borderId="9" xfId="0" quotePrefix="1" applyFill="1" applyBorder="1" applyAlignment="1">
      <alignment horizontal="center"/>
    </xf>
    <xf numFmtId="165" fontId="0" fillId="0" borderId="0" xfId="0" applyNumberFormat="1" applyAlignment="1">
      <alignment horizontal="center"/>
    </xf>
    <xf numFmtId="0" fontId="0" fillId="0" borderId="0" xfId="0" applyAlignment="1">
      <alignment horizontal="center"/>
    </xf>
    <xf numFmtId="165" fontId="0" fillId="0" borderId="15" xfId="0" applyNumberFormat="1" applyBorder="1" applyAlignment="1">
      <alignment horizontal="center"/>
    </xf>
    <xf numFmtId="165" fontId="0" fillId="7" borderId="15" xfId="0" applyNumberFormat="1" applyFill="1" applyBorder="1" applyAlignment="1">
      <alignment horizontal="center"/>
    </xf>
    <xf numFmtId="165" fontId="0" fillId="0" borderId="0" xfId="0" applyNumberFormat="1" applyBorder="1" applyAlignment="1">
      <alignment horizontal="center"/>
    </xf>
    <xf numFmtId="165" fontId="0" fillId="7" borderId="0" xfId="0" applyNumberFormat="1" applyFill="1" applyBorder="1" applyAlignment="1">
      <alignment horizontal="center"/>
    </xf>
    <xf numFmtId="165" fontId="0" fillId="7" borderId="9" xfId="0" applyNumberFormat="1" applyFill="1" applyBorder="1" applyAlignment="1">
      <alignment horizontal="center"/>
    </xf>
    <xf numFmtId="166" fontId="0" fillId="0" borderId="0" xfId="0" applyNumberFormat="1" applyAlignment="1">
      <alignment horizontal="center"/>
    </xf>
    <xf numFmtId="165" fontId="16" fillId="0" borderId="15" xfId="0" applyNumberFormat="1" applyFont="1" applyFill="1" applyBorder="1" applyAlignment="1">
      <alignment horizontal="center"/>
    </xf>
    <xf numFmtId="165" fontId="16" fillId="0" borderId="0" xfId="0" applyNumberFormat="1" applyFont="1" applyFill="1" applyBorder="1" applyAlignment="1">
      <alignment horizontal="center"/>
    </xf>
    <xf numFmtId="165" fontId="16" fillId="0" borderId="9" xfId="0" applyNumberFormat="1" applyFont="1" applyFill="1" applyBorder="1" applyAlignment="1">
      <alignment horizontal="center"/>
    </xf>
    <xf numFmtId="165" fontId="16" fillId="0" borderId="14" xfId="0" applyNumberFormat="1" applyFont="1" applyFill="1" applyBorder="1" applyAlignment="1">
      <alignment horizontal="center"/>
    </xf>
    <xf numFmtId="165" fontId="16" fillId="0" borderId="10" xfId="0" applyNumberFormat="1" applyFont="1" applyFill="1" applyBorder="1" applyAlignment="1">
      <alignment horizontal="center"/>
    </xf>
    <xf numFmtId="165" fontId="16" fillId="0" borderId="11" xfId="0" applyNumberFormat="1" applyFont="1" applyFill="1" applyBorder="1" applyAlignment="1">
      <alignment horizontal="center"/>
    </xf>
    <xf numFmtId="165" fontId="0" fillId="8" borderId="15" xfId="0" applyNumberFormat="1" applyFill="1" applyBorder="1" applyAlignment="1">
      <alignment horizontal="center"/>
    </xf>
    <xf numFmtId="165" fontId="0" fillId="8" borderId="0" xfId="0" applyNumberFormat="1" applyFill="1" applyBorder="1" applyAlignment="1">
      <alignment horizontal="center"/>
    </xf>
    <xf numFmtId="165" fontId="0" fillId="8" borderId="9" xfId="0" applyNumberFormat="1" applyFill="1" applyBorder="1" applyAlignment="1">
      <alignment horizontal="center"/>
    </xf>
    <xf numFmtId="0" fontId="0" fillId="0" borderId="0" xfId="0" applyFont="1" applyAlignment="1">
      <alignment horizontal="left" indent="2"/>
    </xf>
    <xf numFmtId="165" fontId="0" fillId="7" borderId="0" xfId="0" applyNumberFormat="1" applyFill="1" applyAlignment="1">
      <alignment horizontal="center"/>
    </xf>
    <xf numFmtId="166" fontId="0" fillId="0" borderId="15" xfId="0" applyNumberFormat="1" applyBorder="1" applyAlignment="1">
      <alignment horizontal="center"/>
    </xf>
    <xf numFmtId="166" fontId="0" fillId="8" borderId="15" xfId="0" applyNumberFormat="1" applyFill="1" applyBorder="1" applyAlignment="1">
      <alignment horizontal="center"/>
    </xf>
    <xf numFmtId="166" fontId="0" fillId="7" borderId="15" xfId="0" applyNumberFormat="1" applyFill="1" applyBorder="1" applyAlignment="1">
      <alignment horizontal="center"/>
    </xf>
    <xf numFmtId="166" fontId="0" fillId="0" borderId="0" xfId="0" applyNumberFormat="1" applyBorder="1" applyAlignment="1">
      <alignment horizontal="center"/>
    </xf>
    <xf numFmtId="166" fontId="0" fillId="8" borderId="0" xfId="0" applyNumberFormat="1" applyFill="1" applyBorder="1" applyAlignment="1">
      <alignment horizontal="center"/>
    </xf>
    <xf numFmtId="166" fontId="0" fillId="7" borderId="0" xfId="0" applyNumberFormat="1" applyFill="1" applyBorder="1" applyAlignment="1">
      <alignment horizontal="center"/>
    </xf>
    <xf numFmtId="166" fontId="0" fillId="0" borderId="9" xfId="0" applyNumberFormat="1" applyBorder="1" applyAlignment="1">
      <alignment horizontal="center"/>
    </xf>
    <xf numFmtId="166" fontId="0" fillId="8" borderId="9" xfId="0" applyNumberFormat="1" applyFill="1" applyBorder="1" applyAlignment="1">
      <alignment horizontal="center"/>
    </xf>
    <xf numFmtId="166" fontId="0" fillId="7" borderId="9" xfId="0" applyNumberFormat="1" applyFill="1" applyBorder="1" applyAlignment="1">
      <alignment horizontal="center"/>
    </xf>
    <xf numFmtId="166" fontId="16" fillId="0" borderId="14" xfId="0" applyNumberFormat="1" applyFont="1" applyFill="1" applyBorder="1" applyAlignment="1">
      <alignment horizontal="center"/>
    </xf>
    <xf numFmtId="166" fontId="16" fillId="0" borderId="10" xfId="0" applyNumberFormat="1" applyFont="1" applyFill="1" applyBorder="1" applyAlignment="1">
      <alignment horizontal="center"/>
    </xf>
    <xf numFmtId="166" fontId="16" fillId="0" borderId="11" xfId="0" applyNumberFormat="1" applyFont="1" applyFill="1" applyBorder="1" applyAlignment="1">
      <alignment horizontal="center"/>
    </xf>
    <xf numFmtId="166" fontId="16" fillId="0" borderId="15" xfId="0" applyNumberFormat="1" applyFont="1" applyFill="1" applyBorder="1" applyAlignment="1">
      <alignment horizontal="center"/>
    </xf>
    <xf numFmtId="166" fontId="16" fillId="0" borderId="0" xfId="0" applyNumberFormat="1" applyFont="1" applyFill="1" applyBorder="1" applyAlignment="1">
      <alignment horizontal="center"/>
    </xf>
    <xf numFmtId="166" fontId="16" fillId="0" borderId="9" xfId="0" applyNumberFormat="1" applyFont="1" applyFill="1" applyBorder="1" applyAlignment="1">
      <alignment horizontal="center"/>
    </xf>
    <xf numFmtId="0" fontId="0" fillId="3" borderId="11" xfId="0" applyFill="1" applyBorder="1" applyAlignment="1">
      <alignment horizontal="center"/>
    </xf>
    <xf numFmtId="0" fontId="0" fillId="3" borderId="9" xfId="0" applyFill="1" applyBorder="1" applyAlignment="1">
      <alignment horizontal="center"/>
    </xf>
    <xf numFmtId="165" fontId="0" fillId="0" borderId="9" xfId="0" applyNumberFormat="1" applyBorder="1" applyAlignment="1">
      <alignment horizontal="center"/>
    </xf>
    <xf numFmtId="165" fontId="0" fillId="0" borderId="9" xfId="0" applyNumberFormat="1" applyBorder="1" applyAlignment="1">
      <alignment horizontal="center"/>
    </xf>
    <xf numFmtId="0" fontId="0" fillId="3" borderId="11" xfId="0" applyFill="1" applyBorder="1" applyAlignment="1">
      <alignment horizontal="center"/>
    </xf>
    <xf numFmtId="0" fontId="0" fillId="3" borderId="9" xfId="0" applyFill="1" applyBorder="1" applyAlignment="1">
      <alignment horizontal="center"/>
    </xf>
    <xf numFmtId="0" fontId="0" fillId="3" borderId="11" xfId="0" applyFill="1" applyBorder="1" applyAlignment="1">
      <alignment horizontal="center"/>
    </xf>
    <xf numFmtId="0" fontId="0" fillId="3" borderId="9" xfId="0" applyFill="1" applyBorder="1" applyAlignment="1">
      <alignment horizontal="center"/>
    </xf>
    <xf numFmtId="165" fontId="16" fillId="7" borderId="0" xfId="0" applyNumberFormat="1" applyFont="1" applyFill="1" applyAlignment="1">
      <alignment horizontal="center"/>
    </xf>
    <xf numFmtId="0" fontId="0" fillId="3" borderId="11" xfId="0" applyFill="1" applyBorder="1" applyAlignment="1">
      <alignment horizontal="center"/>
    </xf>
    <xf numFmtId="0" fontId="0" fillId="3" borderId="9" xfId="0" applyFill="1" applyBorder="1" applyAlignment="1">
      <alignment horizontal="center"/>
    </xf>
    <xf numFmtId="165" fontId="0" fillId="0" borderId="9" xfId="0" applyNumberFormat="1" applyBorder="1" applyAlignment="1">
      <alignment horizontal="center"/>
    </xf>
    <xf numFmtId="0" fontId="0" fillId="2" borderId="5" xfId="0" applyFill="1" applyBorder="1" applyAlignment="1">
      <alignment horizontal="center"/>
    </xf>
    <xf numFmtId="0" fontId="0" fillId="0" borderId="6" xfId="0" applyBorder="1" applyAlignment="1">
      <alignment horizontal="center"/>
    </xf>
    <xf numFmtId="0" fontId="0" fillId="0" borderId="10" xfId="0" applyBorder="1" applyAlignment="1">
      <alignment horizontal="center" vertical="center" wrapText="1"/>
    </xf>
    <xf numFmtId="0" fontId="0" fillId="0" borderId="0" xfId="0" applyBorder="1" applyAlignment="1">
      <alignment horizontal="center" vertical="center" wrapText="1"/>
    </xf>
    <xf numFmtId="0" fontId="0" fillId="0" borderId="12" xfId="0" applyBorder="1" applyAlignment="1">
      <alignment horizontal="center" vertical="center" wrapText="1"/>
    </xf>
    <xf numFmtId="0" fontId="0" fillId="0" borderId="11" xfId="0" applyBorder="1" applyAlignment="1">
      <alignment horizontal="center" vertical="center" wrapText="1"/>
    </xf>
    <xf numFmtId="0" fontId="0" fillId="0" borderId="9" xfId="0" applyBorder="1" applyAlignment="1">
      <alignment horizontal="center" vertical="center" wrapText="1"/>
    </xf>
    <xf numFmtId="0" fontId="0" fillId="0" borderId="16" xfId="0" applyBorder="1" applyAlignment="1">
      <alignment horizontal="center" vertical="center" wrapText="1"/>
    </xf>
    <xf numFmtId="0" fontId="0" fillId="3" borderId="14" xfId="0" applyFill="1" applyBorder="1" applyAlignment="1">
      <alignment horizontal="center"/>
    </xf>
    <xf numFmtId="0" fontId="0" fillId="3" borderId="15" xfId="0" applyFill="1" applyBorder="1" applyAlignment="1">
      <alignment horizontal="center"/>
    </xf>
    <xf numFmtId="0" fontId="0" fillId="3" borderId="13" xfId="0" applyFill="1" applyBorder="1" applyAlignment="1">
      <alignment horizontal="center"/>
    </xf>
    <xf numFmtId="165" fontId="0" fillId="0" borderId="11" xfId="0" applyNumberFormat="1" applyBorder="1" applyAlignment="1">
      <alignment horizontal="center"/>
    </xf>
    <xf numFmtId="165" fontId="0" fillId="0" borderId="9" xfId="0" applyNumberFormat="1" applyBorder="1" applyAlignment="1">
      <alignment horizontal="center"/>
    </xf>
    <xf numFmtId="165" fontId="0" fillId="0" borderId="16" xfId="0" applyNumberFormat="1" applyBorder="1" applyAlignment="1">
      <alignment horizontal="center"/>
    </xf>
    <xf numFmtId="1" fontId="0" fillId="0" borderId="11" xfId="0" applyNumberFormat="1" applyBorder="1" applyAlignment="1">
      <alignment horizontal="center"/>
    </xf>
    <xf numFmtId="1" fontId="0" fillId="0" borderId="9" xfId="0" applyNumberFormat="1" applyBorder="1" applyAlignment="1">
      <alignment horizontal="center"/>
    </xf>
    <xf numFmtId="1" fontId="0" fillId="0" borderId="16" xfId="0" applyNumberFormat="1" applyBorder="1" applyAlignment="1">
      <alignment horizontal="center"/>
    </xf>
    <xf numFmtId="0" fontId="0" fillId="3" borderId="10" xfId="0" applyFill="1" applyBorder="1" applyAlignment="1">
      <alignment horizontal="center"/>
    </xf>
    <xf numFmtId="0" fontId="0" fillId="3" borderId="11" xfId="0" applyFill="1" applyBorder="1" applyAlignment="1">
      <alignment horizontal="center"/>
    </xf>
    <xf numFmtId="0" fontId="0" fillId="3" borderId="0" xfId="0" applyFill="1" applyBorder="1" applyAlignment="1">
      <alignment horizontal="center" wrapText="1"/>
    </xf>
    <xf numFmtId="0" fontId="0" fillId="3" borderId="9" xfId="0" applyFill="1" applyBorder="1" applyAlignment="1">
      <alignment horizontal="center"/>
    </xf>
    <xf numFmtId="0" fontId="0" fillId="3" borderId="0" xfId="0" applyFill="1" applyBorder="1" applyAlignment="1">
      <alignment horizontal="center"/>
    </xf>
    <xf numFmtId="0" fontId="15" fillId="0" borderId="0" xfId="0" applyFont="1" applyAlignment="1">
      <alignment horizontal="center"/>
    </xf>
    <xf numFmtId="0" fontId="15" fillId="0" borderId="0" xfId="0" applyFont="1" applyAlignment="1">
      <alignment horizontal="center" shrinkToFit="1"/>
    </xf>
    <xf numFmtId="0" fontId="18" fillId="0" borderId="10" xfId="0" applyFont="1" applyFill="1" applyBorder="1" applyAlignment="1">
      <alignment horizontal="center" vertical="center" wrapText="1"/>
    </xf>
    <xf numFmtId="0" fontId="0" fillId="8" borderId="0" xfId="0" applyFill="1" applyBorder="1"/>
    <xf numFmtId="0" fontId="13" fillId="0" borderId="0" xfId="0" applyFont="1" applyBorder="1" applyAlignment="1">
      <alignment horizontal="center"/>
    </xf>
    <xf numFmtId="0" fontId="13" fillId="0" borderId="12" xfId="0" applyFont="1" applyBorder="1" applyAlignment="1">
      <alignment horizontal="center"/>
    </xf>
    <xf numFmtId="0" fontId="0" fillId="3" borderId="16" xfId="0" applyFill="1" applyBorder="1" applyAlignment="1">
      <alignment horizontal="center"/>
    </xf>
    <xf numFmtId="0" fontId="0" fillId="8" borderId="12" xfId="0" applyFill="1" applyBorder="1"/>
    <xf numFmtId="0" fontId="0" fillId="0" borderId="12" xfId="0" applyBorder="1"/>
    <xf numFmtId="0" fontId="13" fillId="0" borderId="0" xfId="0" applyFont="1" applyBorder="1" applyAlignment="1">
      <alignment horizontal="center"/>
    </xf>
    <xf numFmtId="0" fontId="20" fillId="0" borderId="0" xfId="0" applyFont="1" applyBorder="1" applyAlignment="1">
      <alignment horizontal="center"/>
    </xf>
    <xf numFmtId="0" fontId="20" fillId="0" borderId="12" xfId="0" applyFont="1" applyBorder="1" applyAlignment="1">
      <alignment horizontal="center"/>
    </xf>
    <xf numFmtId="0" fontId="21" fillId="0" borderId="0" xfId="0" applyFont="1" applyBorder="1" applyAlignment="1">
      <alignment horizontal="center"/>
    </xf>
    <xf numFmtId="0" fontId="21" fillId="0" borderId="12" xfId="0" applyFont="1" applyBorder="1" applyAlignment="1">
      <alignment horizontal="center"/>
    </xf>
    <xf numFmtId="0" fontId="20" fillId="0" borderId="17" xfId="0" applyFont="1" applyBorder="1" applyAlignment="1">
      <alignment horizontal="center"/>
    </xf>
    <xf numFmtId="0" fontId="20" fillId="0" borderId="18" xfId="0" applyFont="1" applyBorder="1" applyAlignment="1">
      <alignment horizontal="center"/>
    </xf>
    <xf numFmtId="0" fontId="20" fillId="0" borderId="0" xfId="0" applyFont="1" applyAlignment="1">
      <alignment horizontal="center"/>
    </xf>
    <xf numFmtId="0" fontId="22" fillId="0" borderId="0" xfId="0" applyFont="1" applyAlignment="1">
      <alignment horizontal="center"/>
    </xf>
    <xf numFmtId="0" fontId="23" fillId="0" borderId="0" xfId="0" applyFont="1" applyBorder="1" applyAlignment="1">
      <alignment horizontal="center"/>
    </xf>
    <xf numFmtId="0" fontId="22" fillId="0" borderId="12" xfId="0" applyFont="1" applyBorder="1" applyAlignment="1">
      <alignment horizontal="center"/>
    </xf>
    <xf numFmtId="0" fontId="24" fillId="0" borderId="0" xfId="0" applyFont="1" applyBorder="1" applyAlignment="1">
      <alignment horizontal="center"/>
    </xf>
    <xf numFmtId="0" fontId="22" fillId="0" borderId="0" xfId="0" applyFont="1" applyBorder="1" applyAlignment="1">
      <alignment horizontal="center"/>
    </xf>
    <xf numFmtId="0" fontId="25" fillId="0" borderId="0" xfId="0" applyFont="1" applyBorder="1" applyAlignment="1">
      <alignment horizontal="center"/>
    </xf>
  </cellXfs>
  <cellStyles count="4">
    <cellStyle name="Normal" xfId="0" builtinId="0"/>
    <cellStyle name="Normal 2 2" xfId="2"/>
    <cellStyle name="Normal 4" xfId="1"/>
    <cellStyle name="Normal 4 3" xfId="3"/>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13.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16.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17.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18.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19.xml"/></Relationships>
</file>

<file path=xl/charts/_rels/chart11.xml.rels><?xml version="1.0" encoding="UTF-8" standalone="yes"?>
<Relationships xmlns="http://schemas.openxmlformats.org/package/2006/relationships"><Relationship Id="rId1" Type="http://schemas.openxmlformats.org/officeDocument/2006/relationships/chartUserShapes" Target="../drawings/drawing20.xml"/></Relationships>
</file>

<file path=xl/charts/_rels/chart12.xml.rels><?xml version="1.0" encoding="UTF-8" standalone="yes"?>
<Relationships xmlns="http://schemas.openxmlformats.org/package/2006/relationships"><Relationship Id="rId1" Type="http://schemas.openxmlformats.org/officeDocument/2006/relationships/chartUserShapes" Target="../drawings/drawing21.xml"/></Relationships>
</file>

<file path=xl/charts/_rels/chart13.xml.rels><?xml version="1.0" encoding="UTF-8" standalone="yes"?>
<Relationships xmlns="http://schemas.openxmlformats.org/package/2006/relationships"><Relationship Id="rId1" Type="http://schemas.openxmlformats.org/officeDocument/2006/relationships/chartUserShapes" Target="../drawings/drawing23.xml"/></Relationships>
</file>

<file path=xl/charts/_rels/chart14.xml.rels><?xml version="1.0" encoding="UTF-8" standalone="yes"?>
<Relationships xmlns="http://schemas.openxmlformats.org/package/2006/relationships"><Relationship Id="rId1" Type="http://schemas.openxmlformats.org/officeDocument/2006/relationships/chartUserShapes" Target="../drawings/drawing24.xml"/></Relationships>
</file>

<file path=xl/charts/_rels/chart15.xml.rels><?xml version="1.0" encoding="UTF-8" standalone="yes"?>
<Relationships xmlns="http://schemas.openxmlformats.org/package/2006/relationships"><Relationship Id="rId1" Type="http://schemas.openxmlformats.org/officeDocument/2006/relationships/chartUserShapes" Target="../drawings/drawing25.xml"/></Relationships>
</file>

<file path=xl/charts/_rels/chart16.xml.rels><?xml version="1.0" encoding="UTF-8" standalone="yes"?>
<Relationships xmlns="http://schemas.openxmlformats.org/package/2006/relationships"><Relationship Id="rId1" Type="http://schemas.openxmlformats.org/officeDocument/2006/relationships/chartUserShapes" Target="../drawings/drawing26.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a:t>Social and Environmental Indicator (SEI), Constrained Solution 1</a:t>
            </a:r>
          </a:p>
        </c:rich>
      </c:tx>
      <c:layout/>
      <c:overlay val="0"/>
    </c:title>
    <c:autoTitleDeleted val="0"/>
    <c:plotArea>
      <c:layout>
        <c:manualLayout>
          <c:xMode val="edge"/>
          <c:yMode val="edge"/>
          <c:x val="2.1153846153846155E-2"/>
          <c:y val="0.11527586206896552"/>
          <c:w val="0.95769230769230773"/>
          <c:h val="0.81379310344827582"/>
        </c:manualLayout>
      </c:layout>
      <c:barChart>
        <c:barDir val="col"/>
        <c:grouping val="stacked"/>
        <c:varyColors val="0"/>
        <c:ser>
          <c:idx val="0"/>
          <c:order val="0"/>
          <c:spPr>
            <a:solidFill>
              <a:srgbClr val="8EB4E3"/>
            </a:solidFill>
          </c:spPr>
          <c:invertIfNegative val="0"/>
          <c:dPt>
            <c:idx val="20"/>
            <c:invertIfNegative val="0"/>
            <c:bubble3D val="0"/>
            <c:spPr>
              <a:solidFill>
                <a:srgbClr val="376092"/>
              </a:solidFill>
            </c:spPr>
          </c:dPt>
          <c:dPt>
            <c:idx val="21"/>
            <c:invertIfNegative val="0"/>
            <c:bubble3D val="0"/>
            <c:spPr>
              <a:solidFill>
                <a:srgbClr val="376092"/>
              </a:solidFill>
            </c:spPr>
          </c:dPt>
          <c:dPt>
            <c:idx val="22"/>
            <c:invertIfNegative val="0"/>
            <c:bubble3D val="0"/>
            <c:spPr>
              <a:solidFill>
                <a:srgbClr val="376092"/>
              </a:solidFill>
            </c:spPr>
          </c:dPt>
          <c:dPt>
            <c:idx val="23"/>
            <c:invertIfNegative val="0"/>
            <c:bubble3D val="0"/>
            <c:spPr>
              <a:solidFill>
                <a:srgbClr val="376092"/>
              </a:solidFill>
            </c:spPr>
          </c:dPt>
          <c:dPt>
            <c:idx val="24"/>
            <c:invertIfNegative val="0"/>
            <c:bubble3D val="0"/>
            <c:spPr>
              <a:solidFill>
                <a:srgbClr val="376092"/>
              </a:solidFill>
            </c:spPr>
          </c:dPt>
          <c:dPt>
            <c:idx val="25"/>
            <c:invertIfNegative val="0"/>
            <c:bubble3D val="0"/>
            <c:spPr>
              <a:solidFill>
                <a:srgbClr val="376092"/>
              </a:solidFill>
            </c:spPr>
          </c:dPt>
          <c:dPt>
            <c:idx val="26"/>
            <c:invertIfNegative val="0"/>
            <c:bubble3D val="0"/>
            <c:spPr>
              <a:solidFill>
                <a:srgbClr val="376092"/>
              </a:solidFill>
            </c:spPr>
          </c:dPt>
          <c:dPt>
            <c:idx val="27"/>
            <c:invertIfNegative val="0"/>
            <c:bubble3D val="0"/>
            <c:spPr>
              <a:solidFill>
                <a:srgbClr val="376092"/>
              </a:solidFill>
            </c:spPr>
          </c:dPt>
          <c:cat>
            <c:strRef>
              <c:f>'SEI Rank'!$Y$4:$Y$31</c:f>
              <c:strCache>
                <c:ptCount val="28"/>
                <c:pt idx="0">
                  <c:v>P9</c:v>
                </c:pt>
                <c:pt idx="1">
                  <c:v>P14</c:v>
                </c:pt>
                <c:pt idx="2">
                  <c:v>P15</c:v>
                </c:pt>
                <c:pt idx="3">
                  <c:v>P3</c:v>
                </c:pt>
                <c:pt idx="4">
                  <c:v>P22</c:v>
                </c:pt>
                <c:pt idx="5">
                  <c:v>P27</c:v>
                </c:pt>
                <c:pt idx="6">
                  <c:v>P28</c:v>
                </c:pt>
                <c:pt idx="7">
                  <c:v>P25</c:v>
                </c:pt>
                <c:pt idx="8">
                  <c:v>P19</c:v>
                </c:pt>
                <c:pt idx="9">
                  <c:v>P2</c:v>
                </c:pt>
                <c:pt idx="10">
                  <c:v>P13</c:v>
                </c:pt>
                <c:pt idx="11">
                  <c:v>P24</c:v>
                </c:pt>
                <c:pt idx="12">
                  <c:v>P23</c:v>
                </c:pt>
                <c:pt idx="13">
                  <c:v>P6</c:v>
                </c:pt>
                <c:pt idx="14">
                  <c:v>P26</c:v>
                </c:pt>
                <c:pt idx="15">
                  <c:v>P16</c:v>
                </c:pt>
                <c:pt idx="16">
                  <c:v>P7</c:v>
                </c:pt>
                <c:pt idx="17">
                  <c:v>P17</c:v>
                </c:pt>
                <c:pt idx="18">
                  <c:v>P18</c:v>
                </c:pt>
                <c:pt idx="19">
                  <c:v>P20</c:v>
                </c:pt>
                <c:pt idx="20">
                  <c:v>P8</c:v>
                </c:pt>
                <c:pt idx="21">
                  <c:v>P5</c:v>
                </c:pt>
                <c:pt idx="22">
                  <c:v>P1</c:v>
                </c:pt>
                <c:pt idx="23">
                  <c:v>P11</c:v>
                </c:pt>
                <c:pt idx="24">
                  <c:v>P4</c:v>
                </c:pt>
                <c:pt idx="25">
                  <c:v>P21</c:v>
                </c:pt>
                <c:pt idx="26">
                  <c:v>P10</c:v>
                </c:pt>
                <c:pt idx="27">
                  <c:v>P12</c:v>
                </c:pt>
              </c:strCache>
            </c:strRef>
          </c:cat>
          <c:val>
            <c:numRef>
              <c:f>'SEI Rank'!$AA$4:$AA$31</c:f>
              <c:numCache>
                <c:formatCode>General</c:formatCode>
                <c:ptCount val="28"/>
                <c:pt idx="0">
                  <c:v>1.5317193901597725</c:v>
                </c:pt>
                <c:pt idx="1">
                  <c:v>3.2387863893412083</c:v>
                </c:pt>
                <c:pt idx="2">
                  <c:v>11.948642667115069</c:v>
                </c:pt>
                <c:pt idx="3">
                  <c:v>15.929018705331124</c:v>
                </c:pt>
                <c:pt idx="4">
                  <c:v>16.65882979635165</c:v>
                </c:pt>
                <c:pt idx="5">
                  <c:v>20.155892640682882</c:v>
                </c:pt>
                <c:pt idx="6">
                  <c:v>24.765875888214161</c:v>
                </c:pt>
                <c:pt idx="7">
                  <c:v>26.141320011209025</c:v>
                </c:pt>
                <c:pt idx="8">
                  <c:v>26.930243520555102</c:v>
                </c:pt>
                <c:pt idx="9">
                  <c:v>27.463834442986386</c:v>
                </c:pt>
                <c:pt idx="10">
                  <c:v>28.081556129259429</c:v>
                </c:pt>
                <c:pt idx="11">
                  <c:v>28.889978158016245</c:v>
                </c:pt>
                <c:pt idx="12">
                  <c:v>29.039388056623633</c:v>
                </c:pt>
                <c:pt idx="13">
                  <c:v>31.76537584839496</c:v>
                </c:pt>
                <c:pt idx="14">
                  <c:v>34.431884877158168</c:v>
                </c:pt>
                <c:pt idx="15">
                  <c:v>42.219076072002579</c:v>
                </c:pt>
                <c:pt idx="16">
                  <c:v>42.910084412802604</c:v>
                </c:pt>
                <c:pt idx="17">
                  <c:v>44.836772337266076</c:v>
                </c:pt>
                <c:pt idx="18">
                  <c:v>45.323034858831868</c:v>
                </c:pt>
                <c:pt idx="19">
                  <c:v>50.593193180578943</c:v>
                </c:pt>
                <c:pt idx="20">
                  <c:v>54.045133192771956</c:v>
                </c:pt>
                <c:pt idx="21">
                  <c:v>59.798972157359472</c:v>
                </c:pt>
                <c:pt idx="22">
                  <c:v>60.828799761819262</c:v>
                </c:pt>
                <c:pt idx="23">
                  <c:v>76.286098048809237</c:v>
                </c:pt>
                <c:pt idx="24">
                  <c:v>79.123649940721393</c:v>
                </c:pt>
                <c:pt idx="25">
                  <c:v>90.854474042498239</c:v>
                </c:pt>
                <c:pt idx="26">
                  <c:v>92.800464241099306</c:v>
                </c:pt>
                <c:pt idx="27">
                  <c:v>100</c:v>
                </c:pt>
              </c:numCache>
            </c:numRef>
          </c:val>
        </c:ser>
        <c:dLbls>
          <c:showLegendKey val="0"/>
          <c:showVal val="0"/>
          <c:showCatName val="0"/>
          <c:showSerName val="0"/>
          <c:showPercent val="0"/>
          <c:showBubbleSize val="0"/>
        </c:dLbls>
        <c:gapWidth val="70"/>
        <c:overlap val="100"/>
        <c:axId val="287774720"/>
        <c:axId val="326693376"/>
      </c:barChart>
      <c:catAx>
        <c:axId val="287774720"/>
        <c:scaling>
          <c:orientation val="minMax"/>
        </c:scaling>
        <c:delete val="0"/>
        <c:axPos val="b"/>
        <c:majorTickMark val="out"/>
        <c:minorTickMark val="none"/>
        <c:tickLblPos val="nextTo"/>
        <c:spPr>
          <a:ln>
            <a:solidFill>
              <a:srgbClr val="000000"/>
            </a:solidFill>
          </a:ln>
        </c:spPr>
        <c:txPr>
          <a:bodyPr rot="-5400000" vert="horz"/>
          <a:lstStyle/>
          <a:p>
            <a:pPr>
              <a:defRPr sz="800">
                <a:solidFill>
                  <a:srgbClr val="AFAFAF"/>
                </a:solidFill>
              </a:defRPr>
            </a:pPr>
            <a:endParaRPr lang="en-US"/>
          </a:p>
        </c:txPr>
        <c:crossAx val="326693376"/>
        <c:crosses val="autoZero"/>
        <c:auto val="1"/>
        <c:lblAlgn val="ctr"/>
        <c:lblOffset val="100"/>
        <c:noMultiLvlLbl val="0"/>
      </c:catAx>
      <c:valAx>
        <c:axId val="326693376"/>
        <c:scaling>
          <c:orientation val="minMax"/>
          <c:max val="100"/>
        </c:scaling>
        <c:delete val="0"/>
        <c:axPos val="l"/>
        <c:majorGridlines>
          <c:spPr>
            <a:ln>
              <a:solidFill>
                <a:srgbClr val="8EB4E3"/>
              </a:solidFill>
              <a:prstDash val="sysDash"/>
            </a:ln>
          </c:spPr>
        </c:majorGridlines>
        <c:numFmt formatCode="General" sourceLinked="1"/>
        <c:majorTickMark val="out"/>
        <c:minorTickMark val="none"/>
        <c:tickLblPos val="nextTo"/>
        <c:spPr>
          <a:ln>
            <a:solidFill>
              <a:srgbClr val="000000"/>
            </a:solidFill>
          </a:ln>
        </c:spPr>
        <c:txPr>
          <a:bodyPr/>
          <a:lstStyle/>
          <a:p>
            <a:pPr>
              <a:defRPr sz="800">
                <a:solidFill>
                  <a:srgbClr val="AFAFAF"/>
                </a:solidFill>
              </a:defRPr>
            </a:pPr>
            <a:endParaRPr lang="en-US"/>
          </a:p>
        </c:txPr>
        <c:crossAx val="287774720"/>
        <c:crosses val="autoZero"/>
        <c:crossBetween val="between"/>
      </c:valAx>
    </c:plotArea>
    <c:plotVisOnly val="1"/>
    <c:dispBlanksAs val="gap"/>
    <c:showDLblsOverMax val="0"/>
  </c:chart>
  <c:spPr>
    <a:ln w="6350">
      <a:noFill/>
    </a:ln>
  </c:spPr>
  <c:printSettings>
    <c:headerFooter/>
    <c:pageMargins b="0.75" l="0.7" r="0.7" t="0.75"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a:t>Social and Environmental Indicator (SEI), Constrained Solution 2</a:t>
            </a:r>
          </a:p>
        </c:rich>
      </c:tx>
      <c:layout/>
      <c:overlay val="0"/>
    </c:title>
    <c:autoTitleDeleted val="0"/>
    <c:plotArea>
      <c:layout>
        <c:manualLayout>
          <c:xMode val="edge"/>
          <c:yMode val="edge"/>
          <c:x val="2.1153846153846155E-2"/>
          <c:y val="0.11527586206896552"/>
          <c:w val="0.95769230769230773"/>
          <c:h val="0.81379310344827582"/>
        </c:manualLayout>
      </c:layout>
      <c:barChart>
        <c:barDir val="col"/>
        <c:grouping val="stacked"/>
        <c:varyColors val="0"/>
        <c:ser>
          <c:idx val="0"/>
          <c:order val="0"/>
          <c:spPr>
            <a:solidFill>
              <a:srgbClr val="8EB4E3"/>
            </a:solidFill>
          </c:spPr>
          <c:invertIfNegative val="0"/>
          <c:dPt>
            <c:idx val="20"/>
            <c:invertIfNegative val="0"/>
            <c:bubble3D val="0"/>
            <c:spPr>
              <a:solidFill>
                <a:srgbClr val="376092"/>
              </a:solidFill>
            </c:spPr>
          </c:dPt>
          <c:dPt>
            <c:idx val="21"/>
            <c:invertIfNegative val="0"/>
            <c:bubble3D val="0"/>
            <c:spPr>
              <a:solidFill>
                <a:srgbClr val="376092"/>
              </a:solidFill>
            </c:spPr>
          </c:dPt>
          <c:dPt>
            <c:idx val="22"/>
            <c:invertIfNegative val="0"/>
            <c:bubble3D val="0"/>
            <c:spPr>
              <a:solidFill>
                <a:srgbClr val="376092"/>
              </a:solidFill>
            </c:spPr>
          </c:dPt>
          <c:dPt>
            <c:idx val="23"/>
            <c:invertIfNegative val="0"/>
            <c:bubble3D val="0"/>
            <c:spPr>
              <a:solidFill>
                <a:srgbClr val="376092"/>
              </a:solidFill>
            </c:spPr>
          </c:dPt>
          <c:dPt>
            <c:idx val="24"/>
            <c:invertIfNegative val="0"/>
            <c:bubble3D val="0"/>
            <c:spPr>
              <a:solidFill>
                <a:srgbClr val="376092"/>
              </a:solidFill>
            </c:spPr>
          </c:dPt>
          <c:dPt>
            <c:idx val="25"/>
            <c:invertIfNegative val="0"/>
            <c:bubble3D val="0"/>
            <c:spPr>
              <a:solidFill>
                <a:srgbClr val="376092"/>
              </a:solidFill>
            </c:spPr>
          </c:dPt>
          <c:dPt>
            <c:idx val="26"/>
            <c:invertIfNegative val="0"/>
            <c:bubble3D val="0"/>
            <c:spPr>
              <a:solidFill>
                <a:srgbClr val="376092"/>
              </a:solidFill>
            </c:spPr>
          </c:dPt>
          <c:dPt>
            <c:idx val="27"/>
            <c:invertIfNegative val="0"/>
            <c:bubble3D val="0"/>
            <c:spPr>
              <a:solidFill>
                <a:srgbClr val="376092"/>
              </a:solidFill>
            </c:spPr>
          </c:dPt>
          <c:cat>
            <c:strRef>
              <c:f>'SEI Rank'!$AZ$4:$AZ$31</c:f>
              <c:strCache>
                <c:ptCount val="28"/>
                <c:pt idx="0">
                  <c:v>P9</c:v>
                </c:pt>
                <c:pt idx="1">
                  <c:v>P14</c:v>
                </c:pt>
                <c:pt idx="2">
                  <c:v>P15</c:v>
                </c:pt>
                <c:pt idx="3">
                  <c:v>P3</c:v>
                </c:pt>
                <c:pt idx="4">
                  <c:v>P25</c:v>
                </c:pt>
                <c:pt idx="5">
                  <c:v>P22</c:v>
                </c:pt>
                <c:pt idx="6">
                  <c:v>P2</c:v>
                </c:pt>
                <c:pt idx="7">
                  <c:v>P27</c:v>
                </c:pt>
                <c:pt idx="8">
                  <c:v>P24</c:v>
                </c:pt>
                <c:pt idx="9">
                  <c:v>P6</c:v>
                </c:pt>
                <c:pt idx="10">
                  <c:v>P26</c:v>
                </c:pt>
                <c:pt idx="11">
                  <c:v>P23</c:v>
                </c:pt>
                <c:pt idx="12">
                  <c:v>P19</c:v>
                </c:pt>
                <c:pt idx="13">
                  <c:v>P13</c:v>
                </c:pt>
                <c:pt idx="14">
                  <c:v>P28</c:v>
                </c:pt>
                <c:pt idx="15">
                  <c:v>P17</c:v>
                </c:pt>
                <c:pt idx="16">
                  <c:v>P18</c:v>
                </c:pt>
                <c:pt idx="17">
                  <c:v>P7</c:v>
                </c:pt>
                <c:pt idx="18">
                  <c:v>P16</c:v>
                </c:pt>
                <c:pt idx="19">
                  <c:v>P20</c:v>
                </c:pt>
                <c:pt idx="20">
                  <c:v>P8</c:v>
                </c:pt>
                <c:pt idx="21">
                  <c:v>P5</c:v>
                </c:pt>
                <c:pt idx="22">
                  <c:v>P1</c:v>
                </c:pt>
                <c:pt idx="23">
                  <c:v>P11</c:v>
                </c:pt>
                <c:pt idx="24">
                  <c:v>P4</c:v>
                </c:pt>
                <c:pt idx="25">
                  <c:v>P10</c:v>
                </c:pt>
                <c:pt idx="26">
                  <c:v>P12</c:v>
                </c:pt>
                <c:pt idx="27">
                  <c:v>P21</c:v>
                </c:pt>
              </c:strCache>
            </c:strRef>
          </c:cat>
          <c:val>
            <c:numRef>
              <c:f>'SEI Rank'!$BB$4:$BB$31</c:f>
              <c:numCache>
                <c:formatCode>General</c:formatCode>
                <c:ptCount val="28"/>
                <c:pt idx="0">
                  <c:v>0.74471647616712822</c:v>
                </c:pt>
                <c:pt idx="1">
                  <c:v>3.1876835748931631</c:v>
                </c:pt>
                <c:pt idx="2">
                  <c:v>12.181525800614383</c:v>
                </c:pt>
                <c:pt idx="3">
                  <c:v>14.456308071837285</c:v>
                </c:pt>
                <c:pt idx="4">
                  <c:v>22.412769499699003</c:v>
                </c:pt>
                <c:pt idx="5">
                  <c:v>25.74742485966004</c:v>
                </c:pt>
                <c:pt idx="6">
                  <c:v>26.406748298628013</c:v>
                </c:pt>
                <c:pt idx="7">
                  <c:v>26.427641432772653</c:v>
                </c:pt>
                <c:pt idx="8">
                  <c:v>28.954451375511987</c:v>
                </c:pt>
                <c:pt idx="9">
                  <c:v>30.163248678254639</c:v>
                </c:pt>
                <c:pt idx="10">
                  <c:v>30.727707203055456</c:v>
                </c:pt>
                <c:pt idx="11">
                  <c:v>31.982849913823213</c:v>
                </c:pt>
                <c:pt idx="12">
                  <c:v>31.985499270627326</c:v>
                </c:pt>
                <c:pt idx="13">
                  <c:v>34.189962457309868</c:v>
                </c:pt>
                <c:pt idx="14">
                  <c:v>36.026342818999169</c:v>
                </c:pt>
                <c:pt idx="15">
                  <c:v>39.687562307851735</c:v>
                </c:pt>
                <c:pt idx="16">
                  <c:v>40.270775932950322</c:v>
                </c:pt>
                <c:pt idx="17">
                  <c:v>40.642035587311589</c:v>
                </c:pt>
                <c:pt idx="18">
                  <c:v>45.138662726693354</c:v>
                </c:pt>
                <c:pt idx="19">
                  <c:v>50.007480250680558</c:v>
                </c:pt>
                <c:pt idx="20">
                  <c:v>54.323693927348906</c:v>
                </c:pt>
                <c:pt idx="21">
                  <c:v>58.623232210413178</c:v>
                </c:pt>
                <c:pt idx="22">
                  <c:v>59.072644235894536</c:v>
                </c:pt>
                <c:pt idx="23">
                  <c:v>72.361271775596904</c:v>
                </c:pt>
                <c:pt idx="24">
                  <c:v>72.56976898202592</c:v>
                </c:pt>
                <c:pt idx="25">
                  <c:v>84.076202764765185</c:v>
                </c:pt>
                <c:pt idx="26">
                  <c:v>95.103901756386549</c:v>
                </c:pt>
                <c:pt idx="27">
                  <c:v>100</c:v>
                </c:pt>
              </c:numCache>
            </c:numRef>
          </c:val>
        </c:ser>
        <c:dLbls>
          <c:showLegendKey val="0"/>
          <c:showVal val="0"/>
          <c:showCatName val="0"/>
          <c:showSerName val="0"/>
          <c:showPercent val="0"/>
          <c:showBubbleSize val="0"/>
        </c:dLbls>
        <c:gapWidth val="70"/>
        <c:overlap val="100"/>
        <c:axId val="290278912"/>
        <c:axId val="315365568"/>
      </c:barChart>
      <c:catAx>
        <c:axId val="290278912"/>
        <c:scaling>
          <c:orientation val="minMax"/>
        </c:scaling>
        <c:delete val="0"/>
        <c:axPos val="b"/>
        <c:majorTickMark val="out"/>
        <c:minorTickMark val="none"/>
        <c:tickLblPos val="nextTo"/>
        <c:spPr>
          <a:ln>
            <a:solidFill>
              <a:srgbClr val="000000"/>
            </a:solidFill>
          </a:ln>
        </c:spPr>
        <c:txPr>
          <a:bodyPr rot="-5400000" vert="horz"/>
          <a:lstStyle/>
          <a:p>
            <a:pPr>
              <a:defRPr sz="800">
                <a:solidFill>
                  <a:srgbClr val="AFAFAF"/>
                </a:solidFill>
              </a:defRPr>
            </a:pPr>
            <a:endParaRPr lang="en-US"/>
          </a:p>
        </c:txPr>
        <c:crossAx val="315365568"/>
        <c:crosses val="autoZero"/>
        <c:auto val="1"/>
        <c:lblAlgn val="ctr"/>
        <c:lblOffset val="100"/>
        <c:noMultiLvlLbl val="0"/>
      </c:catAx>
      <c:valAx>
        <c:axId val="315365568"/>
        <c:scaling>
          <c:orientation val="minMax"/>
          <c:max val="100"/>
        </c:scaling>
        <c:delete val="0"/>
        <c:axPos val="l"/>
        <c:majorGridlines>
          <c:spPr>
            <a:ln>
              <a:solidFill>
                <a:srgbClr val="8EB4E3"/>
              </a:solidFill>
              <a:prstDash val="sysDash"/>
            </a:ln>
          </c:spPr>
        </c:majorGridlines>
        <c:numFmt formatCode="General" sourceLinked="1"/>
        <c:majorTickMark val="out"/>
        <c:minorTickMark val="none"/>
        <c:tickLblPos val="nextTo"/>
        <c:spPr>
          <a:ln>
            <a:solidFill>
              <a:srgbClr val="000000"/>
            </a:solidFill>
          </a:ln>
        </c:spPr>
        <c:txPr>
          <a:bodyPr/>
          <a:lstStyle/>
          <a:p>
            <a:pPr>
              <a:defRPr sz="800">
                <a:solidFill>
                  <a:srgbClr val="AFAFAF"/>
                </a:solidFill>
              </a:defRPr>
            </a:pPr>
            <a:endParaRPr lang="en-US"/>
          </a:p>
        </c:txPr>
        <c:crossAx val="290278912"/>
        <c:crosses val="autoZero"/>
        <c:crossBetween val="between"/>
      </c:valAx>
    </c:plotArea>
    <c:plotVisOnly val="1"/>
    <c:dispBlanksAs val="gap"/>
    <c:showDLblsOverMax val="0"/>
  </c:chart>
  <c:spPr>
    <a:ln w="6350">
      <a:noFill/>
    </a:ln>
  </c:spPr>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a:t>Social and Environmental Indicator (SEI), PCA</a:t>
            </a:r>
          </a:p>
        </c:rich>
      </c:tx>
      <c:layout/>
      <c:overlay val="0"/>
    </c:title>
    <c:autoTitleDeleted val="0"/>
    <c:plotArea>
      <c:layout>
        <c:manualLayout>
          <c:xMode val="edge"/>
          <c:yMode val="edge"/>
          <c:x val="2.1153846153846155E-2"/>
          <c:y val="0.11527586206896552"/>
          <c:w val="0.95769230769230773"/>
          <c:h val="0.81379310344827582"/>
        </c:manualLayout>
      </c:layout>
      <c:barChart>
        <c:barDir val="col"/>
        <c:grouping val="stacked"/>
        <c:varyColors val="0"/>
        <c:ser>
          <c:idx val="0"/>
          <c:order val="0"/>
          <c:spPr>
            <a:solidFill>
              <a:srgbClr val="8EB4E3"/>
            </a:solidFill>
          </c:spPr>
          <c:invertIfNegative val="0"/>
          <c:dPt>
            <c:idx val="21"/>
            <c:invertIfNegative val="0"/>
            <c:bubble3D val="0"/>
            <c:spPr>
              <a:solidFill>
                <a:srgbClr val="376092"/>
              </a:solidFill>
            </c:spPr>
          </c:dPt>
          <c:dPt>
            <c:idx val="22"/>
            <c:invertIfNegative val="0"/>
            <c:bubble3D val="0"/>
            <c:spPr>
              <a:solidFill>
                <a:srgbClr val="376092"/>
              </a:solidFill>
            </c:spPr>
          </c:dPt>
          <c:dPt>
            <c:idx val="23"/>
            <c:invertIfNegative val="0"/>
            <c:bubble3D val="0"/>
            <c:spPr>
              <a:solidFill>
                <a:srgbClr val="376092"/>
              </a:solidFill>
            </c:spPr>
          </c:dPt>
          <c:dPt>
            <c:idx val="24"/>
            <c:invertIfNegative val="0"/>
            <c:bubble3D val="0"/>
            <c:spPr>
              <a:solidFill>
                <a:srgbClr val="376092"/>
              </a:solidFill>
            </c:spPr>
          </c:dPt>
          <c:dPt>
            <c:idx val="25"/>
            <c:invertIfNegative val="0"/>
            <c:bubble3D val="0"/>
            <c:spPr>
              <a:solidFill>
                <a:srgbClr val="376092"/>
              </a:solidFill>
            </c:spPr>
          </c:dPt>
          <c:dPt>
            <c:idx val="26"/>
            <c:invertIfNegative val="0"/>
            <c:bubble3D val="0"/>
            <c:spPr>
              <a:solidFill>
                <a:srgbClr val="376092"/>
              </a:solidFill>
            </c:spPr>
          </c:dPt>
          <c:dPt>
            <c:idx val="27"/>
            <c:invertIfNegative val="0"/>
            <c:bubble3D val="0"/>
            <c:spPr>
              <a:solidFill>
                <a:srgbClr val="376092"/>
              </a:solidFill>
            </c:spPr>
          </c:dPt>
          <c:cat>
            <c:strRef>
              <c:f>'SEI Rank'!$CA$4:$CA$31</c:f>
              <c:strCache>
                <c:ptCount val="28"/>
                <c:pt idx="0">
                  <c:v>P25</c:v>
                </c:pt>
                <c:pt idx="1">
                  <c:v>P21</c:v>
                </c:pt>
                <c:pt idx="2">
                  <c:v>P27</c:v>
                </c:pt>
                <c:pt idx="3">
                  <c:v>P6</c:v>
                </c:pt>
                <c:pt idx="4">
                  <c:v>P5</c:v>
                </c:pt>
                <c:pt idx="5">
                  <c:v>P28</c:v>
                </c:pt>
                <c:pt idx="6">
                  <c:v>P9</c:v>
                </c:pt>
                <c:pt idx="7">
                  <c:v>P19</c:v>
                </c:pt>
                <c:pt idx="8">
                  <c:v>P11</c:v>
                </c:pt>
                <c:pt idx="9">
                  <c:v>P7</c:v>
                </c:pt>
                <c:pt idx="10">
                  <c:v>P16</c:v>
                </c:pt>
                <c:pt idx="11">
                  <c:v>P14</c:v>
                </c:pt>
                <c:pt idx="12">
                  <c:v>P22</c:v>
                </c:pt>
                <c:pt idx="13">
                  <c:v>P2</c:v>
                </c:pt>
                <c:pt idx="14">
                  <c:v>P15</c:v>
                </c:pt>
                <c:pt idx="15">
                  <c:v>P13</c:v>
                </c:pt>
                <c:pt idx="16">
                  <c:v>P24</c:v>
                </c:pt>
                <c:pt idx="17">
                  <c:v>P4</c:v>
                </c:pt>
                <c:pt idx="18">
                  <c:v>P23</c:v>
                </c:pt>
                <c:pt idx="19">
                  <c:v>P8</c:v>
                </c:pt>
                <c:pt idx="20">
                  <c:v>P20</c:v>
                </c:pt>
                <c:pt idx="21">
                  <c:v>P12</c:v>
                </c:pt>
                <c:pt idx="22">
                  <c:v>P18</c:v>
                </c:pt>
                <c:pt idx="23">
                  <c:v>P3</c:v>
                </c:pt>
                <c:pt idx="24">
                  <c:v>P10</c:v>
                </c:pt>
                <c:pt idx="25">
                  <c:v>P17</c:v>
                </c:pt>
                <c:pt idx="26">
                  <c:v>P1</c:v>
                </c:pt>
                <c:pt idx="27">
                  <c:v>P26</c:v>
                </c:pt>
              </c:strCache>
            </c:strRef>
          </c:cat>
          <c:val>
            <c:numRef>
              <c:f>'SEI Rank'!$CC$4:$CC$31</c:f>
              <c:numCache>
                <c:formatCode>General</c:formatCode>
                <c:ptCount val="28"/>
                <c:pt idx="0">
                  <c:v>0</c:v>
                </c:pt>
                <c:pt idx="1">
                  <c:v>23.976070203489165</c:v>
                </c:pt>
                <c:pt idx="2">
                  <c:v>30.780296120392443</c:v>
                </c:pt>
                <c:pt idx="3">
                  <c:v>33.669847346093782</c:v>
                </c:pt>
                <c:pt idx="4">
                  <c:v>34.798016095066032</c:v>
                </c:pt>
                <c:pt idx="5">
                  <c:v>36.019055476881292</c:v>
                </c:pt>
                <c:pt idx="6">
                  <c:v>39.461248256338166</c:v>
                </c:pt>
                <c:pt idx="7">
                  <c:v>39.791207381971518</c:v>
                </c:pt>
                <c:pt idx="8">
                  <c:v>40.007257279117034</c:v>
                </c:pt>
                <c:pt idx="9">
                  <c:v>45.621751770961644</c:v>
                </c:pt>
                <c:pt idx="10">
                  <c:v>48.138518265619908</c:v>
                </c:pt>
                <c:pt idx="11">
                  <c:v>48.180211925274733</c:v>
                </c:pt>
                <c:pt idx="12">
                  <c:v>49.116308040446654</c:v>
                </c:pt>
                <c:pt idx="13">
                  <c:v>51.664438057519178</c:v>
                </c:pt>
                <c:pt idx="14">
                  <c:v>54.561743440916977</c:v>
                </c:pt>
                <c:pt idx="15">
                  <c:v>56.962720210730978</c:v>
                </c:pt>
                <c:pt idx="16">
                  <c:v>61.683457592194642</c:v>
                </c:pt>
                <c:pt idx="17">
                  <c:v>63.334858783558744</c:v>
                </c:pt>
                <c:pt idx="18">
                  <c:v>64.860199588421708</c:v>
                </c:pt>
                <c:pt idx="19">
                  <c:v>65.299902120053133</c:v>
                </c:pt>
                <c:pt idx="20">
                  <c:v>67.519453833716241</c:v>
                </c:pt>
                <c:pt idx="21">
                  <c:v>68.496078119934623</c:v>
                </c:pt>
                <c:pt idx="22">
                  <c:v>69.157066103998815</c:v>
                </c:pt>
                <c:pt idx="23">
                  <c:v>76.869183886917313</c:v>
                </c:pt>
                <c:pt idx="24">
                  <c:v>77.554213400008919</c:v>
                </c:pt>
                <c:pt idx="25">
                  <c:v>86.460620528263476</c:v>
                </c:pt>
                <c:pt idx="26">
                  <c:v>97.633297647745295</c:v>
                </c:pt>
                <c:pt idx="27">
                  <c:v>100</c:v>
                </c:pt>
              </c:numCache>
            </c:numRef>
          </c:val>
        </c:ser>
        <c:dLbls>
          <c:showLegendKey val="0"/>
          <c:showVal val="0"/>
          <c:showCatName val="0"/>
          <c:showSerName val="0"/>
          <c:showPercent val="0"/>
          <c:showBubbleSize val="0"/>
        </c:dLbls>
        <c:gapWidth val="70"/>
        <c:overlap val="100"/>
        <c:axId val="315435520"/>
        <c:axId val="326691648"/>
      </c:barChart>
      <c:catAx>
        <c:axId val="315435520"/>
        <c:scaling>
          <c:orientation val="minMax"/>
        </c:scaling>
        <c:delete val="0"/>
        <c:axPos val="b"/>
        <c:majorTickMark val="out"/>
        <c:minorTickMark val="none"/>
        <c:tickLblPos val="nextTo"/>
        <c:spPr>
          <a:ln>
            <a:solidFill>
              <a:srgbClr val="000000"/>
            </a:solidFill>
          </a:ln>
        </c:spPr>
        <c:txPr>
          <a:bodyPr rot="-5400000" vert="horz"/>
          <a:lstStyle/>
          <a:p>
            <a:pPr>
              <a:defRPr sz="800">
                <a:solidFill>
                  <a:srgbClr val="AFAFAF"/>
                </a:solidFill>
              </a:defRPr>
            </a:pPr>
            <a:endParaRPr lang="en-US"/>
          </a:p>
        </c:txPr>
        <c:crossAx val="326691648"/>
        <c:crosses val="autoZero"/>
        <c:auto val="1"/>
        <c:lblAlgn val="ctr"/>
        <c:lblOffset val="100"/>
        <c:noMultiLvlLbl val="0"/>
      </c:catAx>
      <c:valAx>
        <c:axId val="326691648"/>
        <c:scaling>
          <c:orientation val="minMax"/>
          <c:max val="100"/>
        </c:scaling>
        <c:delete val="0"/>
        <c:axPos val="l"/>
        <c:majorGridlines>
          <c:spPr>
            <a:ln>
              <a:solidFill>
                <a:srgbClr val="8EB4E3"/>
              </a:solidFill>
              <a:prstDash val="sysDash"/>
            </a:ln>
          </c:spPr>
        </c:majorGridlines>
        <c:numFmt formatCode="General" sourceLinked="1"/>
        <c:majorTickMark val="out"/>
        <c:minorTickMark val="none"/>
        <c:tickLblPos val="nextTo"/>
        <c:spPr>
          <a:ln>
            <a:solidFill>
              <a:srgbClr val="000000"/>
            </a:solidFill>
          </a:ln>
        </c:spPr>
        <c:txPr>
          <a:bodyPr/>
          <a:lstStyle/>
          <a:p>
            <a:pPr>
              <a:defRPr sz="800">
                <a:solidFill>
                  <a:srgbClr val="AFAFAF"/>
                </a:solidFill>
              </a:defRPr>
            </a:pPr>
            <a:endParaRPr lang="en-US"/>
          </a:p>
        </c:txPr>
        <c:crossAx val="315435520"/>
        <c:crosses val="autoZero"/>
        <c:crossBetween val="between"/>
      </c:valAx>
    </c:plotArea>
    <c:plotVisOnly val="1"/>
    <c:dispBlanksAs val="gap"/>
    <c:showDLblsOverMax val="0"/>
  </c:chart>
  <c:spPr>
    <a:ln w="6350">
      <a:noFill/>
    </a:ln>
  </c:sp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a:t>Social and Environmental Indicator (SEI), KT(X&gt;=0)</a:t>
            </a:r>
          </a:p>
        </c:rich>
      </c:tx>
      <c:layout/>
      <c:overlay val="0"/>
    </c:title>
    <c:autoTitleDeleted val="0"/>
    <c:plotArea>
      <c:layout>
        <c:manualLayout>
          <c:xMode val="edge"/>
          <c:yMode val="edge"/>
          <c:x val="2.1153846153846155E-2"/>
          <c:y val="0.11527586206896552"/>
          <c:w val="0.95769230769230773"/>
          <c:h val="0.81379310344827582"/>
        </c:manualLayout>
      </c:layout>
      <c:barChart>
        <c:barDir val="col"/>
        <c:grouping val="stacked"/>
        <c:varyColors val="0"/>
        <c:ser>
          <c:idx val="0"/>
          <c:order val="0"/>
          <c:spPr>
            <a:solidFill>
              <a:srgbClr val="8EB4E3"/>
            </a:solidFill>
          </c:spPr>
          <c:invertIfNegative val="0"/>
          <c:dPt>
            <c:idx val="20"/>
            <c:invertIfNegative val="0"/>
            <c:bubble3D val="0"/>
            <c:spPr>
              <a:solidFill>
                <a:srgbClr val="376092"/>
              </a:solidFill>
            </c:spPr>
          </c:dPt>
          <c:dPt>
            <c:idx val="21"/>
            <c:invertIfNegative val="0"/>
            <c:bubble3D val="0"/>
            <c:spPr>
              <a:solidFill>
                <a:srgbClr val="376092"/>
              </a:solidFill>
            </c:spPr>
          </c:dPt>
          <c:dPt>
            <c:idx val="22"/>
            <c:invertIfNegative val="0"/>
            <c:bubble3D val="0"/>
            <c:spPr>
              <a:solidFill>
                <a:srgbClr val="376092"/>
              </a:solidFill>
            </c:spPr>
          </c:dPt>
          <c:dPt>
            <c:idx val="23"/>
            <c:invertIfNegative val="0"/>
            <c:bubble3D val="0"/>
            <c:spPr>
              <a:solidFill>
                <a:srgbClr val="376092"/>
              </a:solidFill>
            </c:spPr>
          </c:dPt>
          <c:dPt>
            <c:idx val="24"/>
            <c:invertIfNegative val="0"/>
            <c:bubble3D val="0"/>
            <c:spPr>
              <a:solidFill>
                <a:srgbClr val="376092"/>
              </a:solidFill>
            </c:spPr>
          </c:dPt>
          <c:dPt>
            <c:idx val="25"/>
            <c:invertIfNegative val="0"/>
            <c:bubble3D val="0"/>
            <c:spPr>
              <a:solidFill>
                <a:srgbClr val="376092"/>
              </a:solidFill>
            </c:spPr>
          </c:dPt>
          <c:dPt>
            <c:idx val="26"/>
            <c:invertIfNegative val="0"/>
            <c:bubble3D val="0"/>
            <c:spPr>
              <a:solidFill>
                <a:srgbClr val="376092"/>
              </a:solidFill>
            </c:spPr>
          </c:dPt>
          <c:dPt>
            <c:idx val="27"/>
            <c:invertIfNegative val="0"/>
            <c:bubble3D val="0"/>
            <c:spPr>
              <a:solidFill>
                <a:srgbClr val="376092"/>
              </a:solidFill>
            </c:spPr>
          </c:dPt>
          <c:cat>
            <c:strRef>
              <c:f>'SEI Rank'!$DB$4:$DB$31</c:f>
              <c:strCache>
                <c:ptCount val="28"/>
                <c:pt idx="0">
                  <c:v>P9</c:v>
                </c:pt>
                <c:pt idx="1">
                  <c:v>P14</c:v>
                </c:pt>
                <c:pt idx="2">
                  <c:v>P15</c:v>
                </c:pt>
                <c:pt idx="3">
                  <c:v>P3</c:v>
                </c:pt>
                <c:pt idx="4">
                  <c:v>P22</c:v>
                </c:pt>
                <c:pt idx="5">
                  <c:v>P27</c:v>
                </c:pt>
                <c:pt idx="6">
                  <c:v>P28</c:v>
                </c:pt>
                <c:pt idx="7">
                  <c:v>P25</c:v>
                </c:pt>
                <c:pt idx="8">
                  <c:v>P19</c:v>
                </c:pt>
                <c:pt idx="9">
                  <c:v>P2</c:v>
                </c:pt>
                <c:pt idx="10">
                  <c:v>P13</c:v>
                </c:pt>
                <c:pt idx="11">
                  <c:v>P24</c:v>
                </c:pt>
                <c:pt idx="12">
                  <c:v>P23</c:v>
                </c:pt>
                <c:pt idx="13">
                  <c:v>P6</c:v>
                </c:pt>
                <c:pt idx="14">
                  <c:v>P26</c:v>
                </c:pt>
                <c:pt idx="15">
                  <c:v>P16</c:v>
                </c:pt>
                <c:pt idx="16">
                  <c:v>P7</c:v>
                </c:pt>
                <c:pt idx="17">
                  <c:v>P17</c:v>
                </c:pt>
                <c:pt idx="18">
                  <c:v>P18</c:v>
                </c:pt>
                <c:pt idx="19">
                  <c:v>P20</c:v>
                </c:pt>
                <c:pt idx="20">
                  <c:v>P8</c:v>
                </c:pt>
                <c:pt idx="21">
                  <c:v>P5</c:v>
                </c:pt>
                <c:pt idx="22">
                  <c:v>P1</c:v>
                </c:pt>
                <c:pt idx="23">
                  <c:v>P11</c:v>
                </c:pt>
                <c:pt idx="24">
                  <c:v>P4</c:v>
                </c:pt>
                <c:pt idx="25">
                  <c:v>P21</c:v>
                </c:pt>
                <c:pt idx="26">
                  <c:v>P10</c:v>
                </c:pt>
                <c:pt idx="27">
                  <c:v>P12</c:v>
                </c:pt>
              </c:strCache>
            </c:strRef>
          </c:cat>
          <c:val>
            <c:numRef>
              <c:f>'SEI Rank'!$DD$4:$DD$31</c:f>
              <c:numCache>
                <c:formatCode>General</c:formatCode>
                <c:ptCount val="28"/>
                <c:pt idx="0">
                  <c:v>1.5318348204426835</c:v>
                </c:pt>
                <c:pt idx="1">
                  <c:v>3.238795374513074</c:v>
                </c:pt>
                <c:pt idx="2">
                  <c:v>11.948592820724128</c:v>
                </c:pt>
                <c:pt idx="3">
                  <c:v>15.929025651749518</c:v>
                </c:pt>
                <c:pt idx="4">
                  <c:v>16.658929131055704</c:v>
                </c:pt>
                <c:pt idx="5">
                  <c:v>20.156069942823809</c:v>
                </c:pt>
                <c:pt idx="6">
                  <c:v>24.765998001699423</c:v>
                </c:pt>
                <c:pt idx="7">
                  <c:v>26.141593276498632</c:v>
                </c:pt>
                <c:pt idx="8">
                  <c:v>26.930389091701549</c:v>
                </c:pt>
                <c:pt idx="9">
                  <c:v>27.463775288146149</c:v>
                </c:pt>
                <c:pt idx="10">
                  <c:v>28.081512469557879</c:v>
                </c:pt>
                <c:pt idx="11">
                  <c:v>28.889976514752497</c:v>
                </c:pt>
                <c:pt idx="12">
                  <c:v>29.039289688595964</c:v>
                </c:pt>
                <c:pt idx="13">
                  <c:v>31.765479210312563</c:v>
                </c:pt>
                <c:pt idx="14">
                  <c:v>34.43184947588697</c:v>
                </c:pt>
                <c:pt idx="15">
                  <c:v>42.219096778484186</c:v>
                </c:pt>
                <c:pt idx="16">
                  <c:v>42.910092429667571</c:v>
                </c:pt>
                <c:pt idx="17">
                  <c:v>44.836729717263808</c:v>
                </c:pt>
                <c:pt idx="18">
                  <c:v>45.322977951759128</c:v>
                </c:pt>
                <c:pt idx="19">
                  <c:v>50.593170142007516</c:v>
                </c:pt>
                <c:pt idx="20">
                  <c:v>54.045121412693518</c:v>
                </c:pt>
                <c:pt idx="21">
                  <c:v>59.799003851571676</c:v>
                </c:pt>
                <c:pt idx="22">
                  <c:v>60.828826952702741</c:v>
                </c:pt>
                <c:pt idx="23">
                  <c:v>76.286149240396384</c:v>
                </c:pt>
                <c:pt idx="24">
                  <c:v>79.123618646127596</c:v>
                </c:pt>
                <c:pt idx="25">
                  <c:v>90.854653280408797</c:v>
                </c:pt>
                <c:pt idx="26">
                  <c:v>92.800332708459862</c:v>
                </c:pt>
                <c:pt idx="27">
                  <c:v>100</c:v>
                </c:pt>
              </c:numCache>
            </c:numRef>
          </c:val>
        </c:ser>
        <c:dLbls>
          <c:showLegendKey val="0"/>
          <c:showVal val="0"/>
          <c:showCatName val="0"/>
          <c:showSerName val="0"/>
          <c:showPercent val="0"/>
          <c:showBubbleSize val="0"/>
        </c:dLbls>
        <c:gapWidth val="70"/>
        <c:overlap val="100"/>
        <c:axId val="315433984"/>
        <c:axId val="326695680"/>
      </c:barChart>
      <c:catAx>
        <c:axId val="315433984"/>
        <c:scaling>
          <c:orientation val="minMax"/>
        </c:scaling>
        <c:delete val="0"/>
        <c:axPos val="b"/>
        <c:majorTickMark val="out"/>
        <c:minorTickMark val="none"/>
        <c:tickLblPos val="nextTo"/>
        <c:spPr>
          <a:ln>
            <a:solidFill>
              <a:srgbClr val="000000"/>
            </a:solidFill>
          </a:ln>
        </c:spPr>
        <c:txPr>
          <a:bodyPr rot="-5400000" vert="horz"/>
          <a:lstStyle/>
          <a:p>
            <a:pPr>
              <a:defRPr sz="800">
                <a:solidFill>
                  <a:srgbClr val="AFAFAF"/>
                </a:solidFill>
              </a:defRPr>
            </a:pPr>
            <a:endParaRPr lang="en-US"/>
          </a:p>
        </c:txPr>
        <c:crossAx val="326695680"/>
        <c:crosses val="autoZero"/>
        <c:auto val="1"/>
        <c:lblAlgn val="ctr"/>
        <c:lblOffset val="100"/>
        <c:noMultiLvlLbl val="0"/>
      </c:catAx>
      <c:valAx>
        <c:axId val="326695680"/>
        <c:scaling>
          <c:orientation val="minMax"/>
          <c:max val="100"/>
        </c:scaling>
        <c:delete val="0"/>
        <c:axPos val="l"/>
        <c:majorGridlines>
          <c:spPr>
            <a:ln>
              <a:solidFill>
                <a:srgbClr val="8EB4E3"/>
              </a:solidFill>
              <a:prstDash val="sysDash"/>
            </a:ln>
          </c:spPr>
        </c:majorGridlines>
        <c:numFmt formatCode="General" sourceLinked="1"/>
        <c:majorTickMark val="out"/>
        <c:minorTickMark val="none"/>
        <c:tickLblPos val="nextTo"/>
        <c:spPr>
          <a:ln>
            <a:solidFill>
              <a:srgbClr val="000000"/>
            </a:solidFill>
          </a:ln>
        </c:spPr>
        <c:txPr>
          <a:bodyPr/>
          <a:lstStyle/>
          <a:p>
            <a:pPr>
              <a:defRPr sz="800">
                <a:solidFill>
                  <a:srgbClr val="AFAFAF"/>
                </a:solidFill>
              </a:defRPr>
            </a:pPr>
            <a:endParaRPr lang="en-US"/>
          </a:p>
        </c:txPr>
        <c:crossAx val="315433984"/>
        <c:crosses val="autoZero"/>
        <c:crossBetween val="between"/>
      </c:valAx>
    </c:plotArea>
    <c:plotVisOnly val="1"/>
    <c:dispBlanksAs val="gap"/>
    <c:showDLblsOverMax val="0"/>
  </c:chart>
  <c:spPr>
    <a:ln w="6350">
      <a:noFill/>
    </a:ln>
  </c:spPr>
  <c:printSettings>
    <c:headerFooter/>
    <c:pageMargins b="0.75" l="0.7" r="0.7" t="0.75" header="0.3" footer="0.3"/>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a:t>Social and Environmental Indicator (SEI), KT(X&gt;0)</a:t>
            </a:r>
          </a:p>
        </c:rich>
      </c:tx>
      <c:layout/>
      <c:overlay val="0"/>
    </c:title>
    <c:autoTitleDeleted val="0"/>
    <c:plotArea>
      <c:layout>
        <c:manualLayout>
          <c:xMode val="edge"/>
          <c:yMode val="edge"/>
          <c:x val="2.1153846153846155E-2"/>
          <c:y val="0.11527586206896552"/>
          <c:w val="0.95769230769230773"/>
          <c:h val="0.81379310344827582"/>
        </c:manualLayout>
      </c:layout>
      <c:barChart>
        <c:barDir val="col"/>
        <c:grouping val="stacked"/>
        <c:varyColors val="0"/>
        <c:ser>
          <c:idx val="0"/>
          <c:order val="0"/>
          <c:spPr>
            <a:solidFill>
              <a:srgbClr val="8EB4E3"/>
            </a:solidFill>
          </c:spPr>
          <c:invertIfNegative val="0"/>
          <c:dPt>
            <c:idx val="20"/>
            <c:invertIfNegative val="0"/>
            <c:bubble3D val="0"/>
            <c:spPr>
              <a:solidFill>
                <a:srgbClr val="376092"/>
              </a:solidFill>
            </c:spPr>
          </c:dPt>
          <c:dPt>
            <c:idx val="21"/>
            <c:invertIfNegative val="0"/>
            <c:bubble3D val="0"/>
            <c:spPr>
              <a:solidFill>
                <a:srgbClr val="376092"/>
              </a:solidFill>
            </c:spPr>
          </c:dPt>
          <c:dPt>
            <c:idx val="22"/>
            <c:invertIfNegative val="0"/>
            <c:bubble3D val="0"/>
            <c:spPr>
              <a:solidFill>
                <a:srgbClr val="376092"/>
              </a:solidFill>
            </c:spPr>
          </c:dPt>
          <c:dPt>
            <c:idx val="23"/>
            <c:invertIfNegative val="0"/>
            <c:bubble3D val="0"/>
            <c:spPr>
              <a:solidFill>
                <a:srgbClr val="376092"/>
              </a:solidFill>
            </c:spPr>
          </c:dPt>
          <c:dPt>
            <c:idx val="24"/>
            <c:invertIfNegative val="0"/>
            <c:bubble3D val="0"/>
            <c:spPr>
              <a:solidFill>
                <a:srgbClr val="376092"/>
              </a:solidFill>
            </c:spPr>
          </c:dPt>
          <c:dPt>
            <c:idx val="25"/>
            <c:invertIfNegative val="0"/>
            <c:bubble3D val="0"/>
            <c:spPr>
              <a:solidFill>
                <a:srgbClr val="376092"/>
              </a:solidFill>
            </c:spPr>
          </c:dPt>
          <c:dPt>
            <c:idx val="26"/>
            <c:invertIfNegative val="0"/>
            <c:bubble3D val="0"/>
            <c:spPr>
              <a:solidFill>
                <a:srgbClr val="376092"/>
              </a:solidFill>
            </c:spPr>
          </c:dPt>
          <c:dPt>
            <c:idx val="27"/>
            <c:invertIfNegative val="0"/>
            <c:bubble3D val="0"/>
            <c:spPr>
              <a:solidFill>
                <a:srgbClr val="376092"/>
              </a:solidFill>
            </c:spPr>
          </c:dPt>
          <c:cat>
            <c:strRef>
              <c:f>'SEI Rank'!$EC$4:$EC$31</c:f>
              <c:strCache>
                <c:ptCount val="28"/>
                <c:pt idx="0">
                  <c:v>P9</c:v>
                </c:pt>
                <c:pt idx="1">
                  <c:v>P14</c:v>
                </c:pt>
                <c:pt idx="2">
                  <c:v>P15</c:v>
                </c:pt>
                <c:pt idx="3">
                  <c:v>P3</c:v>
                </c:pt>
                <c:pt idx="4">
                  <c:v>P22</c:v>
                </c:pt>
                <c:pt idx="5">
                  <c:v>P27</c:v>
                </c:pt>
                <c:pt idx="6">
                  <c:v>P28</c:v>
                </c:pt>
                <c:pt idx="7">
                  <c:v>P25</c:v>
                </c:pt>
                <c:pt idx="8">
                  <c:v>P19</c:v>
                </c:pt>
                <c:pt idx="9">
                  <c:v>P2</c:v>
                </c:pt>
                <c:pt idx="10">
                  <c:v>P13</c:v>
                </c:pt>
                <c:pt idx="11">
                  <c:v>P24</c:v>
                </c:pt>
                <c:pt idx="12">
                  <c:v>P23</c:v>
                </c:pt>
                <c:pt idx="13">
                  <c:v>P6</c:v>
                </c:pt>
                <c:pt idx="14">
                  <c:v>P26</c:v>
                </c:pt>
                <c:pt idx="15">
                  <c:v>P16</c:v>
                </c:pt>
                <c:pt idx="16">
                  <c:v>P7</c:v>
                </c:pt>
                <c:pt idx="17">
                  <c:v>P17</c:v>
                </c:pt>
                <c:pt idx="18">
                  <c:v>P18</c:v>
                </c:pt>
                <c:pt idx="19">
                  <c:v>P20</c:v>
                </c:pt>
                <c:pt idx="20">
                  <c:v>P8</c:v>
                </c:pt>
                <c:pt idx="21">
                  <c:v>P5</c:v>
                </c:pt>
                <c:pt idx="22">
                  <c:v>P1</c:v>
                </c:pt>
                <c:pt idx="23">
                  <c:v>P11</c:v>
                </c:pt>
                <c:pt idx="24">
                  <c:v>P4</c:v>
                </c:pt>
                <c:pt idx="25">
                  <c:v>P21</c:v>
                </c:pt>
                <c:pt idx="26">
                  <c:v>P10</c:v>
                </c:pt>
                <c:pt idx="27">
                  <c:v>P12</c:v>
                </c:pt>
              </c:strCache>
            </c:strRef>
          </c:cat>
          <c:val>
            <c:numRef>
              <c:f>'SEI Rank'!$EE$4:$EE$31</c:f>
              <c:numCache>
                <c:formatCode>General</c:formatCode>
                <c:ptCount val="28"/>
                <c:pt idx="0">
                  <c:v>1.5309752928840559</c:v>
                </c:pt>
                <c:pt idx="1">
                  <c:v>3.2471370023877197</c:v>
                </c:pt>
                <c:pt idx="2">
                  <c:v>11.962889544665902</c:v>
                </c:pt>
                <c:pt idx="3">
                  <c:v>16.123113325405829</c:v>
                </c:pt>
                <c:pt idx="4">
                  <c:v>16.54228255620438</c:v>
                </c:pt>
                <c:pt idx="5">
                  <c:v>19.999302157662441</c:v>
                </c:pt>
                <c:pt idx="6">
                  <c:v>24.507271265832411</c:v>
                </c:pt>
                <c:pt idx="7">
                  <c:v>26.282907016757711</c:v>
                </c:pt>
                <c:pt idx="8">
                  <c:v>26.802340632785338</c:v>
                </c:pt>
                <c:pt idx="9">
                  <c:v>27.434471420742639</c:v>
                </c:pt>
                <c:pt idx="10">
                  <c:v>27.991413576433988</c:v>
                </c:pt>
                <c:pt idx="11">
                  <c:v>28.933294281613222</c:v>
                </c:pt>
                <c:pt idx="12">
                  <c:v>29.017364797632311</c:v>
                </c:pt>
                <c:pt idx="13">
                  <c:v>31.675145777350849</c:v>
                </c:pt>
                <c:pt idx="14">
                  <c:v>34.734040904460969</c:v>
                </c:pt>
                <c:pt idx="15">
                  <c:v>42.089197068631478</c:v>
                </c:pt>
                <c:pt idx="16">
                  <c:v>42.844306058435606</c:v>
                </c:pt>
                <c:pt idx="17">
                  <c:v>45.055824294875215</c:v>
                </c:pt>
                <c:pt idx="18">
                  <c:v>45.432849484867752</c:v>
                </c:pt>
                <c:pt idx="19">
                  <c:v>50.617974909888439</c:v>
                </c:pt>
                <c:pt idx="20">
                  <c:v>54.032776817425301</c:v>
                </c:pt>
                <c:pt idx="21">
                  <c:v>59.607194600434219</c:v>
                </c:pt>
                <c:pt idx="22">
                  <c:v>61.045554751412389</c:v>
                </c:pt>
                <c:pt idx="23">
                  <c:v>76.148929862714127</c:v>
                </c:pt>
                <c:pt idx="24">
                  <c:v>79.149749145203728</c:v>
                </c:pt>
                <c:pt idx="25">
                  <c:v>90.40970324060612</c:v>
                </c:pt>
                <c:pt idx="26">
                  <c:v>92.898007384921328</c:v>
                </c:pt>
                <c:pt idx="27">
                  <c:v>100</c:v>
                </c:pt>
              </c:numCache>
            </c:numRef>
          </c:val>
        </c:ser>
        <c:dLbls>
          <c:showLegendKey val="0"/>
          <c:showVal val="0"/>
          <c:showCatName val="0"/>
          <c:showSerName val="0"/>
          <c:showPercent val="0"/>
          <c:showBubbleSize val="0"/>
        </c:dLbls>
        <c:gapWidth val="70"/>
        <c:overlap val="100"/>
        <c:axId val="316683264"/>
        <c:axId val="325608576"/>
      </c:barChart>
      <c:catAx>
        <c:axId val="316683264"/>
        <c:scaling>
          <c:orientation val="minMax"/>
        </c:scaling>
        <c:delete val="0"/>
        <c:axPos val="b"/>
        <c:majorTickMark val="out"/>
        <c:minorTickMark val="none"/>
        <c:tickLblPos val="nextTo"/>
        <c:spPr>
          <a:ln>
            <a:solidFill>
              <a:srgbClr val="000000"/>
            </a:solidFill>
          </a:ln>
        </c:spPr>
        <c:txPr>
          <a:bodyPr rot="-5400000" vert="horz"/>
          <a:lstStyle/>
          <a:p>
            <a:pPr>
              <a:defRPr sz="800">
                <a:solidFill>
                  <a:srgbClr val="AFAFAF"/>
                </a:solidFill>
              </a:defRPr>
            </a:pPr>
            <a:endParaRPr lang="en-US"/>
          </a:p>
        </c:txPr>
        <c:crossAx val="325608576"/>
        <c:crosses val="autoZero"/>
        <c:auto val="1"/>
        <c:lblAlgn val="ctr"/>
        <c:lblOffset val="100"/>
        <c:noMultiLvlLbl val="0"/>
      </c:catAx>
      <c:valAx>
        <c:axId val="325608576"/>
        <c:scaling>
          <c:orientation val="minMax"/>
          <c:max val="100"/>
        </c:scaling>
        <c:delete val="0"/>
        <c:axPos val="l"/>
        <c:majorGridlines>
          <c:spPr>
            <a:ln>
              <a:solidFill>
                <a:srgbClr val="8EB4E3"/>
              </a:solidFill>
              <a:prstDash val="sysDash"/>
            </a:ln>
          </c:spPr>
        </c:majorGridlines>
        <c:numFmt formatCode="General" sourceLinked="1"/>
        <c:majorTickMark val="out"/>
        <c:minorTickMark val="none"/>
        <c:tickLblPos val="nextTo"/>
        <c:spPr>
          <a:ln>
            <a:solidFill>
              <a:srgbClr val="000000"/>
            </a:solidFill>
          </a:ln>
        </c:spPr>
        <c:txPr>
          <a:bodyPr/>
          <a:lstStyle/>
          <a:p>
            <a:pPr>
              <a:defRPr sz="800">
                <a:solidFill>
                  <a:srgbClr val="AFAFAF"/>
                </a:solidFill>
              </a:defRPr>
            </a:pPr>
            <a:endParaRPr lang="en-US"/>
          </a:p>
        </c:txPr>
        <c:crossAx val="316683264"/>
        <c:crosses val="autoZero"/>
        <c:crossBetween val="between"/>
      </c:valAx>
    </c:plotArea>
    <c:plotVisOnly val="1"/>
    <c:dispBlanksAs val="gap"/>
    <c:showDLblsOverMax val="0"/>
  </c:chart>
  <c:spPr>
    <a:ln w="6350">
      <a:noFill/>
    </a:ln>
  </c:spPr>
  <c:printSettings>
    <c:headerFooter/>
    <c:pageMargins b="0.75" l="0.7" r="0.7" t="0.75" header="0.3" footer="0.3"/>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a:t>Social and Environmental Indicator (SEI), Simple Average</a:t>
            </a:r>
          </a:p>
        </c:rich>
      </c:tx>
      <c:layout/>
      <c:overlay val="0"/>
    </c:title>
    <c:autoTitleDeleted val="0"/>
    <c:plotArea>
      <c:layout>
        <c:manualLayout>
          <c:xMode val="edge"/>
          <c:yMode val="edge"/>
          <c:x val="2.1153846153846155E-2"/>
          <c:y val="0.11527586206896552"/>
          <c:w val="0.95769230769230773"/>
          <c:h val="0.81379310344827582"/>
        </c:manualLayout>
      </c:layout>
      <c:barChart>
        <c:barDir val="col"/>
        <c:grouping val="stacked"/>
        <c:varyColors val="0"/>
        <c:ser>
          <c:idx val="0"/>
          <c:order val="0"/>
          <c:spPr>
            <a:solidFill>
              <a:srgbClr val="8EB4E3"/>
            </a:solidFill>
          </c:spPr>
          <c:invertIfNegative val="0"/>
          <c:dPt>
            <c:idx val="19"/>
            <c:invertIfNegative val="0"/>
            <c:bubble3D val="0"/>
            <c:spPr>
              <a:solidFill>
                <a:srgbClr val="376092"/>
              </a:solidFill>
            </c:spPr>
          </c:dPt>
          <c:dPt>
            <c:idx val="20"/>
            <c:invertIfNegative val="0"/>
            <c:bubble3D val="0"/>
            <c:spPr>
              <a:solidFill>
                <a:srgbClr val="376092"/>
              </a:solidFill>
            </c:spPr>
          </c:dPt>
          <c:dPt>
            <c:idx val="21"/>
            <c:invertIfNegative val="0"/>
            <c:bubble3D val="0"/>
            <c:spPr>
              <a:solidFill>
                <a:srgbClr val="376092"/>
              </a:solidFill>
            </c:spPr>
          </c:dPt>
          <c:dPt>
            <c:idx val="22"/>
            <c:invertIfNegative val="0"/>
            <c:bubble3D val="0"/>
            <c:spPr>
              <a:solidFill>
                <a:srgbClr val="376092"/>
              </a:solidFill>
            </c:spPr>
          </c:dPt>
          <c:dPt>
            <c:idx val="23"/>
            <c:invertIfNegative val="0"/>
            <c:bubble3D val="0"/>
            <c:spPr>
              <a:solidFill>
                <a:srgbClr val="376092"/>
              </a:solidFill>
            </c:spPr>
          </c:dPt>
          <c:dPt>
            <c:idx val="24"/>
            <c:invertIfNegative val="0"/>
            <c:bubble3D val="0"/>
            <c:spPr>
              <a:solidFill>
                <a:srgbClr val="376092"/>
              </a:solidFill>
            </c:spPr>
          </c:dPt>
          <c:dPt>
            <c:idx val="25"/>
            <c:invertIfNegative val="0"/>
            <c:bubble3D val="0"/>
            <c:spPr>
              <a:solidFill>
                <a:srgbClr val="376092"/>
              </a:solidFill>
            </c:spPr>
          </c:dPt>
          <c:dPt>
            <c:idx val="26"/>
            <c:invertIfNegative val="0"/>
            <c:bubble3D val="0"/>
            <c:spPr>
              <a:solidFill>
                <a:srgbClr val="376092"/>
              </a:solidFill>
            </c:spPr>
          </c:dPt>
          <c:dPt>
            <c:idx val="27"/>
            <c:invertIfNegative val="0"/>
            <c:bubble3D val="0"/>
            <c:spPr>
              <a:solidFill>
                <a:srgbClr val="376092"/>
              </a:solidFill>
            </c:spPr>
          </c:dPt>
          <c:cat>
            <c:strRef>
              <c:f>'SEI Rank'!$FD$4:$FD$31</c:f>
              <c:strCache>
                <c:ptCount val="28"/>
                <c:pt idx="0">
                  <c:v>P14</c:v>
                </c:pt>
                <c:pt idx="1">
                  <c:v>P9</c:v>
                </c:pt>
                <c:pt idx="2">
                  <c:v>P15</c:v>
                </c:pt>
                <c:pt idx="3">
                  <c:v>P2</c:v>
                </c:pt>
                <c:pt idx="4">
                  <c:v>P22</c:v>
                </c:pt>
                <c:pt idx="5">
                  <c:v>P24</c:v>
                </c:pt>
                <c:pt idx="6">
                  <c:v>P6</c:v>
                </c:pt>
                <c:pt idx="7">
                  <c:v>P7</c:v>
                </c:pt>
                <c:pt idx="8">
                  <c:v>P28</c:v>
                </c:pt>
                <c:pt idx="9">
                  <c:v>P18</c:v>
                </c:pt>
                <c:pt idx="10">
                  <c:v>P19</c:v>
                </c:pt>
                <c:pt idx="11">
                  <c:v>P27</c:v>
                </c:pt>
                <c:pt idx="12">
                  <c:v>P3</c:v>
                </c:pt>
                <c:pt idx="13">
                  <c:v>P16</c:v>
                </c:pt>
                <c:pt idx="14">
                  <c:v>P13</c:v>
                </c:pt>
                <c:pt idx="15">
                  <c:v>P5</c:v>
                </c:pt>
                <c:pt idx="16">
                  <c:v>P20</c:v>
                </c:pt>
                <c:pt idx="17">
                  <c:v>P23</c:v>
                </c:pt>
                <c:pt idx="18">
                  <c:v>P17</c:v>
                </c:pt>
                <c:pt idx="19">
                  <c:v>P8</c:v>
                </c:pt>
                <c:pt idx="20">
                  <c:v>P11</c:v>
                </c:pt>
                <c:pt idx="21">
                  <c:v>P4</c:v>
                </c:pt>
                <c:pt idx="22">
                  <c:v>P26</c:v>
                </c:pt>
                <c:pt idx="23">
                  <c:v>P10</c:v>
                </c:pt>
                <c:pt idx="24">
                  <c:v>P25</c:v>
                </c:pt>
                <c:pt idx="25">
                  <c:v>P12</c:v>
                </c:pt>
                <c:pt idx="26">
                  <c:v>P21</c:v>
                </c:pt>
                <c:pt idx="27">
                  <c:v>P1</c:v>
                </c:pt>
              </c:strCache>
            </c:strRef>
          </c:cat>
          <c:val>
            <c:numRef>
              <c:f>'SEI Rank'!$FF$4:$FF$31</c:f>
              <c:numCache>
                <c:formatCode>General</c:formatCode>
                <c:ptCount val="28"/>
                <c:pt idx="0">
                  <c:v>11.843516438677721</c:v>
                </c:pt>
                <c:pt idx="1">
                  <c:v>14.379943493079454</c:v>
                </c:pt>
                <c:pt idx="2">
                  <c:v>23.411289859734602</c:v>
                </c:pt>
                <c:pt idx="3">
                  <c:v>26.114598494786307</c:v>
                </c:pt>
                <c:pt idx="4">
                  <c:v>35.319589561867865</c:v>
                </c:pt>
                <c:pt idx="5">
                  <c:v>35.375421726864083</c:v>
                </c:pt>
                <c:pt idx="6">
                  <c:v>35.796431728721103</c:v>
                </c:pt>
                <c:pt idx="7">
                  <c:v>37.856912933534993</c:v>
                </c:pt>
                <c:pt idx="8">
                  <c:v>42.203007131675889</c:v>
                </c:pt>
                <c:pt idx="9">
                  <c:v>42.591845153219985</c:v>
                </c:pt>
                <c:pt idx="10">
                  <c:v>43.191719781575614</c:v>
                </c:pt>
                <c:pt idx="11">
                  <c:v>43.324783205243754</c:v>
                </c:pt>
                <c:pt idx="12">
                  <c:v>46.943172198478123</c:v>
                </c:pt>
                <c:pt idx="13">
                  <c:v>52.355249566951215</c:v>
                </c:pt>
                <c:pt idx="14">
                  <c:v>52.526243306774425</c:v>
                </c:pt>
                <c:pt idx="15">
                  <c:v>52.608861370085769</c:v>
                </c:pt>
                <c:pt idx="16">
                  <c:v>54.127309156501013</c:v>
                </c:pt>
                <c:pt idx="17">
                  <c:v>58.86236331813506</c:v>
                </c:pt>
                <c:pt idx="18">
                  <c:v>61.5268683732195</c:v>
                </c:pt>
                <c:pt idx="19">
                  <c:v>63.849870167666701</c:v>
                </c:pt>
                <c:pt idx="20">
                  <c:v>67.489688126766339</c:v>
                </c:pt>
                <c:pt idx="21">
                  <c:v>69.090800818839753</c:v>
                </c:pt>
                <c:pt idx="22">
                  <c:v>70.435352896454177</c:v>
                </c:pt>
                <c:pt idx="23">
                  <c:v>76.106473058665372</c:v>
                </c:pt>
                <c:pt idx="24">
                  <c:v>81.461785758291214</c:v>
                </c:pt>
                <c:pt idx="25">
                  <c:v>93.392228041078425</c:v>
                </c:pt>
                <c:pt idx="26">
                  <c:v>99.088646316655328</c:v>
                </c:pt>
                <c:pt idx="27">
                  <c:v>100</c:v>
                </c:pt>
              </c:numCache>
            </c:numRef>
          </c:val>
        </c:ser>
        <c:dLbls>
          <c:showLegendKey val="0"/>
          <c:showVal val="0"/>
          <c:showCatName val="0"/>
          <c:showSerName val="0"/>
          <c:showPercent val="0"/>
          <c:showBubbleSize val="0"/>
        </c:dLbls>
        <c:gapWidth val="70"/>
        <c:overlap val="100"/>
        <c:axId val="316610048"/>
        <c:axId val="315363840"/>
      </c:barChart>
      <c:catAx>
        <c:axId val="316610048"/>
        <c:scaling>
          <c:orientation val="minMax"/>
        </c:scaling>
        <c:delete val="0"/>
        <c:axPos val="b"/>
        <c:majorTickMark val="out"/>
        <c:minorTickMark val="none"/>
        <c:tickLblPos val="nextTo"/>
        <c:spPr>
          <a:ln>
            <a:solidFill>
              <a:srgbClr val="000000"/>
            </a:solidFill>
          </a:ln>
        </c:spPr>
        <c:txPr>
          <a:bodyPr rot="-5400000" vert="horz"/>
          <a:lstStyle/>
          <a:p>
            <a:pPr>
              <a:defRPr sz="800">
                <a:solidFill>
                  <a:srgbClr val="AFAFAF"/>
                </a:solidFill>
              </a:defRPr>
            </a:pPr>
            <a:endParaRPr lang="en-US"/>
          </a:p>
        </c:txPr>
        <c:crossAx val="315363840"/>
        <c:crosses val="autoZero"/>
        <c:auto val="1"/>
        <c:lblAlgn val="ctr"/>
        <c:lblOffset val="100"/>
        <c:noMultiLvlLbl val="0"/>
      </c:catAx>
      <c:valAx>
        <c:axId val="315363840"/>
        <c:scaling>
          <c:orientation val="minMax"/>
          <c:max val="100"/>
        </c:scaling>
        <c:delete val="0"/>
        <c:axPos val="l"/>
        <c:majorGridlines>
          <c:spPr>
            <a:ln>
              <a:solidFill>
                <a:srgbClr val="8EB4E3"/>
              </a:solidFill>
              <a:prstDash val="sysDash"/>
            </a:ln>
          </c:spPr>
        </c:majorGridlines>
        <c:numFmt formatCode="General" sourceLinked="1"/>
        <c:majorTickMark val="out"/>
        <c:minorTickMark val="none"/>
        <c:tickLblPos val="nextTo"/>
        <c:spPr>
          <a:ln>
            <a:solidFill>
              <a:srgbClr val="000000"/>
            </a:solidFill>
          </a:ln>
        </c:spPr>
        <c:txPr>
          <a:bodyPr/>
          <a:lstStyle/>
          <a:p>
            <a:pPr>
              <a:defRPr sz="800">
                <a:solidFill>
                  <a:srgbClr val="AFAFAF"/>
                </a:solidFill>
              </a:defRPr>
            </a:pPr>
            <a:endParaRPr lang="en-US"/>
          </a:p>
        </c:txPr>
        <c:crossAx val="316610048"/>
        <c:crosses val="autoZero"/>
        <c:crossBetween val="between"/>
      </c:valAx>
    </c:plotArea>
    <c:plotVisOnly val="1"/>
    <c:dispBlanksAs val="gap"/>
    <c:showDLblsOverMax val="0"/>
  </c:chart>
  <c:spPr>
    <a:ln w="6350">
      <a:noFill/>
    </a:ln>
  </c:sp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a:t>Financial and Economic Indicator (FEI), Constrained Solution 1</a:t>
            </a:r>
          </a:p>
        </c:rich>
      </c:tx>
      <c:layout/>
      <c:overlay val="0"/>
    </c:title>
    <c:autoTitleDeleted val="0"/>
    <c:plotArea>
      <c:layout>
        <c:manualLayout>
          <c:xMode val="edge"/>
          <c:yMode val="edge"/>
          <c:x val="2.1153846153846155E-2"/>
          <c:y val="0.11527586206896552"/>
          <c:w val="0.95769230769230773"/>
          <c:h val="0.81379310344827582"/>
        </c:manualLayout>
      </c:layout>
      <c:barChart>
        <c:barDir val="col"/>
        <c:grouping val="stacked"/>
        <c:varyColors val="0"/>
        <c:ser>
          <c:idx val="0"/>
          <c:order val="0"/>
          <c:spPr>
            <a:solidFill>
              <a:srgbClr val="8EB4E3"/>
            </a:solidFill>
          </c:spPr>
          <c:invertIfNegative val="0"/>
          <c:dPt>
            <c:idx val="21"/>
            <c:invertIfNegative val="0"/>
            <c:bubble3D val="0"/>
            <c:spPr>
              <a:solidFill>
                <a:srgbClr val="376092"/>
              </a:solidFill>
            </c:spPr>
          </c:dPt>
          <c:dPt>
            <c:idx val="22"/>
            <c:invertIfNegative val="0"/>
            <c:bubble3D val="0"/>
            <c:spPr>
              <a:solidFill>
                <a:srgbClr val="376092"/>
              </a:solidFill>
            </c:spPr>
          </c:dPt>
          <c:dPt>
            <c:idx val="23"/>
            <c:invertIfNegative val="0"/>
            <c:bubble3D val="0"/>
            <c:spPr>
              <a:solidFill>
                <a:srgbClr val="376092"/>
              </a:solidFill>
            </c:spPr>
          </c:dPt>
          <c:dPt>
            <c:idx val="24"/>
            <c:invertIfNegative val="0"/>
            <c:bubble3D val="0"/>
            <c:spPr>
              <a:solidFill>
                <a:srgbClr val="376092"/>
              </a:solidFill>
            </c:spPr>
          </c:dPt>
          <c:dPt>
            <c:idx val="25"/>
            <c:invertIfNegative val="0"/>
            <c:bubble3D val="0"/>
            <c:spPr>
              <a:solidFill>
                <a:srgbClr val="376092"/>
              </a:solidFill>
            </c:spPr>
          </c:dPt>
          <c:dPt>
            <c:idx val="26"/>
            <c:invertIfNegative val="0"/>
            <c:bubble3D val="0"/>
            <c:spPr>
              <a:solidFill>
                <a:srgbClr val="376092"/>
              </a:solidFill>
            </c:spPr>
          </c:dPt>
          <c:dPt>
            <c:idx val="27"/>
            <c:invertIfNegative val="0"/>
            <c:bubble3D val="0"/>
            <c:spPr>
              <a:solidFill>
                <a:srgbClr val="376092"/>
              </a:solidFill>
            </c:spPr>
          </c:dPt>
          <c:cat>
            <c:strRef>
              <c:f>'FEI Rank'!$K$4:$K$31</c:f>
              <c:strCache>
                <c:ptCount val="28"/>
                <c:pt idx="0">
                  <c:v>P1</c:v>
                </c:pt>
                <c:pt idx="1">
                  <c:v>P27</c:v>
                </c:pt>
                <c:pt idx="2">
                  <c:v>P15</c:v>
                </c:pt>
                <c:pt idx="3">
                  <c:v>P7</c:v>
                </c:pt>
                <c:pt idx="4">
                  <c:v>P18</c:v>
                </c:pt>
                <c:pt idx="5">
                  <c:v>P25</c:v>
                </c:pt>
                <c:pt idx="6">
                  <c:v>P6</c:v>
                </c:pt>
                <c:pt idx="7">
                  <c:v>P19</c:v>
                </c:pt>
                <c:pt idx="8">
                  <c:v>P12</c:v>
                </c:pt>
                <c:pt idx="9">
                  <c:v>P21</c:v>
                </c:pt>
                <c:pt idx="10">
                  <c:v>P14</c:v>
                </c:pt>
                <c:pt idx="11">
                  <c:v>P20</c:v>
                </c:pt>
                <c:pt idx="12">
                  <c:v>P28</c:v>
                </c:pt>
                <c:pt idx="13">
                  <c:v>P23</c:v>
                </c:pt>
                <c:pt idx="14">
                  <c:v>P4</c:v>
                </c:pt>
                <c:pt idx="15">
                  <c:v>P2</c:v>
                </c:pt>
                <c:pt idx="16">
                  <c:v>P13</c:v>
                </c:pt>
                <c:pt idx="17">
                  <c:v>P24</c:v>
                </c:pt>
                <c:pt idx="18">
                  <c:v>P11</c:v>
                </c:pt>
                <c:pt idx="19">
                  <c:v>P8</c:v>
                </c:pt>
                <c:pt idx="20">
                  <c:v>P22</c:v>
                </c:pt>
                <c:pt idx="21">
                  <c:v>P16</c:v>
                </c:pt>
                <c:pt idx="22">
                  <c:v>P9</c:v>
                </c:pt>
                <c:pt idx="23">
                  <c:v>P17</c:v>
                </c:pt>
                <c:pt idx="24">
                  <c:v>P26</c:v>
                </c:pt>
                <c:pt idx="25">
                  <c:v>P5</c:v>
                </c:pt>
                <c:pt idx="26">
                  <c:v>P10</c:v>
                </c:pt>
                <c:pt idx="27">
                  <c:v>P3</c:v>
                </c:pt>
              </c:strCache>
            </c:strRef>
          </c:cat>
          <c:val>
            <c:numRef>
              <c:f>'FEI Rank'!$M$4:$M$31</c:f>
              <c:numCache>
                <c:formatCode>General</c:formatCode>
                <c:ptCount val="28"/>
                <c:pt idx="0">
                  <c:v>0</c:v>
                </c:pt>
                <c:pt idx="1">
                  <c:v>2.023525903704797</c:v>
                </c:pt>
                <c:pt idx="2">
                  <c:v>17.500936896523843</c:v>
                </c:pt>
                <c:pt idx="3">
                  <c:v>23.08211737795801</c:v>
                </c:pt>
                <c:pt idx="4">
                  <c:v>28.103409907901796</c:v>
                </c:pt>
                <c:pt idx="5">
                  <c:v>32.39561013708866</c:v>
                </c:pt>
                <c:pt idx="6">
                  <c:v>36.710777620910861</c:v>
                </c:pt>
                <c:pt idx="7">
                  <c:v>38.304700058750655</c:v>
                </c:pt>
                <c:pt idx="8">
                  <c:v>40.073006723844493</c:v>
                </c:pt>
                <c:pt idx="9">
                  <c:v>42.4872739270916</c:v>
                </c:pt>
                <c:pt idx="10">
                  <c:v>43.520991580309243</c:v>
                </c:pt>
                <c:pt idx="11">
                  <c:v>44.736635151440375</c:v>
                </c:pt>
                <c:pt idx="12">
                  <c:v>45.604169540939985</c:v>
                </c:pt>
                <c:pt idx="13">
                  <c:v>45.783134219472423</c:v>
                </c:pt>
                <c:pt idx="14">
                  <c:v>47.341677548874713</c:v>
                </c:pt>
                <c:pt idx="15">
                  <c:v>48.281284287045843</c:v>
                </c:pt>
                <c:pt idx="16">
                  <c:v>48.750601340205911</c:v>
                </c:pt>
                <c:pt idx="17">
                  <c:v>59.70091589343405</c:v>
                </c:pt>
                <c:pt idx="18">
                  <c:v>62.513819812972713</c:v>
                </c:pt>
                <c:pt idx="19">
                  <c:v>62.849274437047889</c:v>
                </c:pt>
                <c:pt idx="20">
                  <c:v>64.150533796115624</c:v>
                </c:pt>
                <c:pt idx="21">
                  <c:v>65.855281784266921</c:v>
                </c:pt>
                <c:pt idx="22">
                  <c:v>66.542453095214825</c:v>
                </c:pt>
                <c:pt idx="23">
                  <c:v>72.403756309053193</c:v>
                </c:pt>
                <c:pt idx="24">
                  <c:v>72.653298040538232</c:v>
                </c:pt>
                <c:pt idx="25">
                  <c:v>81.756079938771137</c:v>
                </c:pt>
                <c:pt idx="26">
                  <c:v>98.217798759212556</c:v>
                </c:pt>
                <c:pt idx="27">
                  <c:v>100</c:v>
                </c:pt>
              </c:numCache>
            </c:numRef>
          </c:val>
        </c:ser>
        <c:dLbls>
          <c:showLegendKey val="0"/>
          <c:showVal val="0"/>
          <c:showCatName val="0"/>
          <c:showSerName val="0"/>
          <c:showPercent val="0"/>
          <c:showBubbleSize val="0"/>
        </c:dLbls>
        <c:gapWidth val="70"/>
        <c:overlap val="100"/>
        <c:axId val="188201472"/>
        <c:axId val="325588032"/>
      </c:barChart>
      <c:catAx>
        <c:axId val="188201472"/>
        <c:scaling>
          <c:orientation val="minMax"/>
        </c:scaling>
        <c:delete val="0"/>
        <c:axPos val="b"/>
        <c:majorTickMark val="out"/>
        <c:minorTickMark val="none"/>
        <c:tickLblPos val="nextTo"/>
        <c:spPr>
          <a:ln>
            <a:solidFill>
              <a:srgbClr val="000000"/>
            </a:solidFill>
          </a:ln>
        </c:spPr>
        <c:txPr>
          <a:bodyPr rot="-5400000" vert="horz"/>
          <a:lstStyle/>
          <a:p>
            <a:pPr>
              <a:defRPr sz="800">
                <a:solidFill>
                  <a:srgbClr val="AFAFAF"/>
                </a:solidFill>
              </a:defRPr>
            </a:pPr>
            <a:endParaRPr lang="en-US"/>
          </a:p>
        </c:txPr>
        <c:crossAx val="325588032"/>
        <c:crosses val="autoZero"/>
        <c:auto val="1"/>
        <c:lblAlgn val="ctr"/>
        <c:lblOffset val="100"/>
        <c:noMultiLvlLbl val="0"/>
      </c:catAx>
      <c:valAx>
        <c:axId val="325588032"/>
        <c:scaling>
          <c:orientation val="minMax"/>
          <c:max val="100"/>
        </c:scaling>
        <c:delete val="0"/>
        <c:axPos val="l"/>
        <c:majorGridlines>
          <c:spPr>
            <a:ln>
              <a:solidFill>
                <a:srgbClr val="8EB4E3"/>
              </a:solidFill>
              <a:prstDash val="sysDash"/>
            </a:ln>
          </c:spPr>
        </c:majorGridlines>
        <c:numFmt formatCode="General" sourceLinked="1"/>
        <c:majorTickMark val="out"/>
        <c:minorTickMark val="none"/>
        <c:tickLblPos val="nextTo"/>
        <c:spPr>
          <a:ln>
            <a:solidFill>
              <a:srgbClr val="000000"/>
            </a:solidFill>
          </a:ln>
        </c:spPr>
        <c:txPr>
          <a:bodyPr/>
          <a:lstStyle/>
          <a:p>
            <a:pPr>
              <a:defRPr sz="800">
                <a:solidFill>
                  <a:srgbClr val="AFAFAF"/>
                </a:solidFill>
              </a:defRPr>
            </a:pPr>
            <a:endParaRPr lang="en-US"/>
          </a:p>
        </c:txPr>
        <c:crossAx val="188201472"/>
        <c:crosses val="autoZero"/>
        <c:crossBetween val="between"/>
      </c:valAx>
    </c:plotArea>
    <c:plotVisOnly val="1"/>
    <c:dispBlanksAs val="gap"/>
    <c:showDLblsOverMax val="0"/>
  </c:chart>
  <c:spPr>
    <a:ln w="6350">
      <a:noFill/>
    </a:ln>
  </c:spPr>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a:t>Financial and Economic Indicator (FEI), Constrained Solution 2</a:t>
            </a:r>
          </a:p>
        </c:rich>
      </c:tx>
      <c:layout/>
      <c:overlay val="0"/>
    </c:title>
    <c:autoTitleDeleted val="0"/>
    <c:plotArea>
      <c:layout>
        <c:manualLayout>
          <c:xMode val="edge"/>
          <c:yMode val="edge"/>
          <c:x val="2.1153846153846155E-2"/>
          <c:y val="0.11527586206896552"/>
          <c:w val="0.95769230769230773"/>
          <c:h val="0.81379310344827582"/>
        </c:manualLayout>
      </c:layout>
      <c:barChart>
        <c:barDir val="col"/>
        <c:grouping val="stacked"/>
        <c:varyColors val="0"/>
        <c:ser>
          <c:idx val="0"/>
          <c:order val="0"/>
          <c:spPr>
            <a:solidFill>
              <a:srgbClr val="8EB4E3"/>
            </a:solidFill>
          </c:spPr>
          <c:invertIfNegative val="0"/>
          <c:dPt>
            <c:idx val="21"/>
            <c:invertIfNegative val="0"/>
            <c:bubble3D val="0"/>
            <c:spPr>
              <a:solidFill>
                <a:srgbClr val="376092"/>
              </a:solidFill>
            </c:spPr>
          </c:dPt>
          <c:dPt>
            <c:idx val="22"/>
            <c:invertIfNegative val="0"/>
            <c:bubble3D val="0"/>
            <c:spPr>
              <a:solidFill>
                <a:srgbClr val="376092"/>
              </a:solidFill>
            </c:spPr>
          </c:dPt>
          <c:dPt>
            <c:idx val="23"/>
            <c:invertIfNegative val="0"/>
            <c:bubble3D val="0"/>
            <c:spPr>
              <a:solidFill>
                <a:srgbClr val="376092"/>
              </a:solidFill>
            </c:spPr>
          </c:dPt>
          <c:dPt>
            <c:idx val="24"/>
            <c:invertIfNegative val="0"/>
            <c:bubble3D val="0"/>
            <c:spPr>
              <a:solidFill>
                <a:srgbClr val="376092"/>
              </a:solidFill>
            </c:spPr>
          </c:dPt>
          <c:dPt>
            <c:idx val="25"/>
            <c:invertIfNegative val="0"/>
            <c:bubble3D val="0"/>
            <c:spPr>
              <a:solidFill>
                <a:srgbClr val="376092"/>
              </a:solidFill>
            </c:spPr>
          </c:dPt>
          <c:dPt>
            <c:idx val="26"/>
            <c:invertIfNegative val="0"/>
            <c:bubble3D val="0"/>
            <c:spPr>
              <a:solidFill>
                <a:srgbClr val="376092"/>
              </a:solidFill>
            </c:spPr>
          </c:dPt>
          <c:dPt>
            <c:idx val="27"/>
            <c:invertIfNegative val="0"/>
            <c:bubble3D val="0"/>
            <c:spPr>
              <a:solidFill>
                <a:srgbClr val="376092"/>
              </a:solidFill>
            </c:spPr>
          </c:dPt>
          <c:cat>
            <c:strRef>
              <c:f>'FEI Rank'!$X$4:$X$31</c:f>
              <c:strCache>
                <c:ptCount val="28"/>
                <c:pt idx="0">
                  <c:v>P1</c:v>
                </c:pt>
                <c:pt idx="1">
                  <c:v>P27</c:v>
                </c:pt>
                <c:pt idx="2">
                  <c:v>P15</c:v>
                </c:pt>
                <c:pt idx="3">
                  <c:v>P7</c:v>
                </c:pt>
                <c:pt idx="4">
                  <c:v>P18</c:v>
                </c:pt>
                <c:pt idx="5">
                  <c:v>P25</c:v>
                </c:pt>
                <c:pt idx="6">
                  <c:v>P19</c:v>
                </c:pt>
                <c:pt idx="7">
                  <c:v>P12</c:v>
                </c:pt>
                <c:pt idx="8">
                  <c:v>P6</c:v>
                </c:pt>
                <c:pt idx="9">
                  <c:v>P14</c:v>
                </c:pt>
                <c:pt idx="10">
                  <c:v>P20</c:v>
                </c:pt>
                <c:pt idx="11">
                  <c:v>P23</c:v>
                </c:pt>
                <c:pt idx="12">
                  <c:v>P28</c:v>
                </c:pt>
                <c:pt idx="13">
                  <c:v>P21</c:v>
                </c:pt>
                <c:pt idx="14">
                  <c:v>P13</c:v>
                </c:pt>
                <c:pt idx="15">
                  <c:v>P4</c:v>
                </c:pt>
                <c:pt idx="16">
                  <c:v>P24</c:v>
                </c:pt>
                <c:pt idx="17">
                  <c:v>P2</c:v>
                </c:pt>
                <c:pt idx="18">
                  <c:v>P8</c:v>
                </c:pt>
                <c:pt idx="19">
                  <c:v>P22</c:v>
                </c:pt>
                <c:pt idx="20">
                  <c:v>P11</c:v>
                </c:pt>
                <c:pt idx="21">
                  <c:v>P16</c:v>
                </c:pt>
                <c:pt idx="22">
                  <c:v>P9</c:v>
                </c:pt>
                <c:pt idx="23">
                  <c:v>P17</c:v>
                </c:pt>
                <c:pt idx="24">
                  <c:v>P26</c:v>
                </c:pt>
                <c:pt idx="25">
                  <c:v>P5</c:v>
                </c:pt>
                <c:pt idx="26">
                  <c:v>P10</c:v>
                </c:pt>
                <c:pt idx="27">
                  <c:v>P3</c:v>
                </c:pt>
              </c:strCache>
            </c:strRef>
          </c:cat>
          <c:val>
            <c:numRef>
              <c:f>'FEI Rank'!$Z$4:$Z$31</c:f>
              <c:numCache>
                <c:formatCode>General</c:formatCode>
                <c:ptCount val="28"/>
                <c:pt idx="0">
                  <c:v>0</c:v>
                </c:pt>
                <c:pt idx="1">
                  <c:v>2.0418163071947246</c:v>
                </c:pt>
                <c:pt idx="2">
                  <c:v>20.07512688233534</c:v>
                </c:pt>
                <c:pt idx="3">
                  <c:v>25.13912257762864</c:v>
                </c:pt>
                <c:pt idx="4">
                  <c:v>28.902821557275626</c:v>
                </c:pt>
                <c:pt idx="5">
                  <c:v>32.943910863312922</c:v>
                </c:pt>
                <c:pt idx="6">
                  <c:v>37.589674551110917</c:v>
                </c:pt>
                <c:pt idx="7">
                  <c:v>39.695293798709471</c:v>
                </c:pt>
                <c:pt idx="8">
                  <c:v>41.632295164944068</c:v>
                </c:pt>
                <c:pt idx="9">
                  <c:v>42.055446157475799</c:v>
                </c:pt>
                <c:pt idx="10">
                  <c:v>43.115759895885958</c:v>
                </c:pt>
                <c:pt idx="11">
                  <c:v>44.171718141174452</c:v>
                </c:pt>
                <c:pt idx="12">
                  <c:v>44.234566939847362</c:v>
                </c:pt>
                <c:pt idx="13">
                  <c:v>46.255552630973398</c:v>
                </c:pt>
                <c:pt idx="14">
                  <c:v>47.166007834765516</c:v>
                </c:pt>
                <c:pt idx="15">
                  <c:v>50.41536172199833</c:v>
                </c:pt>
                <c:pt idx="16">
                  <c:v>55.965997421987076</c:v>
                </c:pt>
                <c:pt idx="17">
                  <c:v>56.054111406060102</c:v>
                </c:pt>
                <c:pt idx="18">
                  <c:v>63.56246689370245</c:v>
                </c:pt>
                <c:pt idx="19">
                  <c:v>65.178501206205098</c:v>
                </c:pt>
                <c:pt idx="20">
                  <c:v>68.225751809395319</c:v>
                </c:pt>
                <c:pt idx="21">
                  <c:v>70.985623939820186</c:v>
                </c:pt>
                <c:pt idx="22">
                  <c:v>71.525216904007365</c:v>
                </c:pt>
                <c:pt idx="23">
                  <c:v>76.584820621239899</c:v>
                </c:pt>
                <c:pt idx="24">
                  <c:v>77.691930640006774</c:v>
                </c:pt>
                <c:pt idx="25">
                  <c:v>79.729890984699935</c:v>
                </c:pt>
                <c:pt idx="26">
                  <c:v>98.382066148783693</c:v>
                </c:pt>
                <c:pt idx="27">
                  <c:v>100</c:v>
                </c:pt>
              </c:numCache>
            </c:numRef>
          </c:val>
        </c:ser>
        <c:dLbls>
          <c:showLegendKey val="0"/>
          <c:showVal val="0"/>
          <c:showCatName val="0"/>
          <c:showSerName val="0"/>
          <c:showPercent val="0"/>
          <c:showBubbleSize val="0"/>
        </c:dLbls>
        <c:gapWidth val="70"/>
        <c:overlap val="100"/>
        <c:axId val="326112256"/>
        <c:axId val="325613760"/>
      </c:barChart>
      <c:catAx>
        <c:axId val="326112256"/>
        <c:scaling>
          <c:orientation val="minMax"/>
        </c:scaling>
        <c:delete val="0"/>
        <c:axPos val="b"/>
        <c:majorTickMark val="out"/>
        <c:minorTickMark val="none"/>
        <c:tickLblPos val="nextTo"/>
        <c:spPr>
          <a:ln>
            <a:solidFill>
              <a:srgbClr val="000000"/>
            </a:solidFill>
          </a:ln>
        </c:spPr>
        <c:txPr>
          <a:bodyPr rot="-5400000" vert="horz"/>
          <a:lstStyle/>
          <a:p>
            <a:pPr>
              <a:defRPr sz="800">
                <a:solidFill>
                  <a:srgbClr val="AFAFAF"/>
                </a:solidFill>
              </a:defRPr>
            </a:pPr>
            <a:endParaRPr lang="en-US"/>
          </a:p>
        </c:txPr>
        <c:crossAx val="325613760"/>
        <c:crosses val="autoZero"/>
        <c:auto val="1"/>
        <c:lblAlgn val="ctr"/>
        <c:lblOffset val="100"/>
        <c:noMultiLvlLbl val="0"/>
      </c:catAx>
      <c:valAx>
        <c:axId val="325613760"/>
        <c:scaling>
          <c:orientation val="minMax"/>
          <c:max val="100"/>
        </c:scaling>
        <c:delete val="0"/>
        <c:axPos val="l"/>
        <c:majorGridlines>
          <c:spPr>
            <a:ln>
              <a:solidFill>
                <a:srgbClr val="8EB4E3"/>
              </a:solidFill>
              <a:prstDash val="sysDash"/>
            </a:ln>
          </c:spPr>
        </c:majorGridlines>
        <c:numFmt formatCode="General" sourceLinked="1"/>
        <c:majorTickMark val="out"/>
        <c:minorTickMark val="none"/>
        <c:tickLblPos val="nextTo"/>
        <c:spPr>
          <a:ln>
            <a:solidFill>
              <a:srgbClr val="000000"/>
            </a:solidFill>
          </a:ln>
        </c:spPr>
        <c:txPr>
          <a:bodyPr/>
          <a:lstStyle/>
          <a:p>
            <a:pPr>
              <a:defRPr sz="800">
                <a:solidFill>
                  <a:srgbClr val="AFAFAF"/>
                </a:solidFill>
              </a:defRPr>
            </a:pPr>
            <a:endParaRPr lang="en-US"/>
          </a:p>
        </c:txPr>
        <c:crossAx val="326112256"/>
        <c:crosses val="autoZero"/>
        <c:crossBetween val="between"/>
      </c:valAx>
    </c:plotArea>
    <c:plotVisOnly val="1"/>
    <c:dispBlanksAs val="gap"/>
    <c:showDLblsOverMax val="0"/>
  </c:chart>
  <c:spPr>
    <a:ln w="6350">
      <a:noFill/>
    </a:ln>
  </c:spPr>
  <c:printSettings>
    <c:headerFooter/>
    <c:pageMargins b="0.75" l="0.7" r="0.7" t="0.75" header="0.3" footer="0.3"/>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a:t>Financial and Economic Indicator (FEI), PCA</a:t>
            </a:r>
          </a:p>
        </c:rich>
      </c:tx>
      <c:layout/>
      <c:overlay val="0"/>
    </c:title>
    <c:autoTitleDeleted val="0"/>
    <c:plotArea>
      <c:layout>
        <c:manualLayout>
          <c:xMode val="edge"/>
          <c:yMode val="edge"/>
          <c:x val="2.1153846153846155E-2"/>
          <c:y val="0.11527586206896552"/>
          <c:w val="0.95769230769230773"/>
          <c:h val="0.81379310344827582"/>
        </c:manualLayout>
      </c:layout>
      <c:barChart>
        <c:barDir val="col"/>
        <c:grouping val="stacked"/>
        <c:varyColors val="0"/>
        <c:ser>
          <c:idx val="0"/>
          <c:order val="0"/>
          <c:spPr>
            <a:solidFill>
              <a:srgbClr val="8EB4E3"/>
            </a:solidFill>
          </c:spPr>
          <c:invertIfNegative val="0"/>
          <c:dPt>
            <c:idx val="22"/>
            <c:invertIfNegative val="0"/>
            <c:bubble3D val="0"/>
            <c:spPr>
              <a:solidFill>
                <a:srgbClr val="376092"/>
              </a:solidFill>
            </c:spPr>
          </c:dPt>
          <c:dPt>
            <c:idx val="23"/>
            <c:invertIfNegative val="0"/>
            <c:bubble3D val="0"/>
            <c:spPr>
              <a:solidFill>
                <a:srgbClr val="376092"/>
              </a:solidFill>
            </c:spPr>
          </c:dPt>
          <c:dPt>
            <c:idx val="24"/>
            <c:invertIfNegative val="0"/>
            <c:bubble3D val="0"/>
            <c:spPr>
              <a:solidFill>
                <a:srgbClr val="376092"/>
              </a:solidFill>
            </c:spPr>
          </c:dPt>
          <c:dPt>
            <c:idx val="25"/>
            <c:invertIfNegative val="0"/>
            <c:bubble3D val="0"/>
            <c:spPr>
              <a:solidFill>
                <a:srgbClr val="376092"/>
              </a:solidFill>
            </c:spPr>
          </c:dPt>
          <c:dPt>
            <c:idx val="26"/>
            <c:invertIfNegative val="0"/>
            <c:bubble3D val="0"/>
            <c:spPr>
              <a:solidFill>
                <a:srgbClr val="376092"/>
              </a:solidFill>
            </c:spPr>
          </c:dPt>
          <c:dPt>
            <c:idx val="27"/>
            <c:invertIfNegative val="0"/>
            <c:bubble3D val="0"/>
            <c:spPr>
              <a:solidFill>
                <a:srgbClr val="376092"/>
              </a:solidFill>
            </c:spPr>
          </c:dPt>
          <c:cat>
            <c:strRef>
              <c:f>'FEI Rank'!$AK$4:$AK$31</c:f>
              <c:strCache>
                <c:ptCount val="28"/>
                <c:pt idx="0">
                  <c:v>P27</c:v>
                </c:pt>
                <c:pt idx="1">
                  <c:v>P1</c:v>
                </c:pt>
                <c:pt idx="2">
                  <c:v>P7</c:v>
                </c:pt>
                <c:pt idx="3">
                  <c:v>P15</c:v>
                </c:pt>
                <c:pt idx="4">
                  <c:v>P25</c:v>
                </c:pt>
                <c:pt idx="5">
                  <c:v>P12</c:v>
                </c:pt>
                <c:pt idx="6">
                  <c:v>P6</c:v>
                </c:pt>
                <c:pt idx="7">
                  <c:v>P18</c:v>
                </c:pt>
                <c:pt idx="8">
                  <c:v>P13</c:v>
                </c:pt>
                <c:pt idx="9">
                  <c:v>P28</c:v>
                </c:pt>
                <c:pt idx="10">
                  <c:v>P21</c:v>
                </c:pt>
                <c:pt idx="11">
                  <c:v>P19</c:v>
                </c:pt>
                <c:pt idx="12">
                  <c:v>P23</c:v>
                </c:pt>
                <c:pt idx="13">
                  <c:v>P4</c:v>
                </c:pt>
                <c:pt idx="14">
                  <c:v>P14</c:v>
                </c:pt>
                <c:pt idx="15">
                  <c:v>P20</c:v>
                </c:pt>
                <c:pt idx="16">
                  <c:v>P26</c:v>
                </c:pt>
                <c:pt idx="17">
                  <c:v>P2</c:v>
                </c:pt>
                <c:pt idx="18">
                  <c:v>P22</c:v>
                </c:pt>
                <c:pt idx="19">
                  <c:v>P24</c:v>
                </c:pt>
                <c:pt idx="20">
                  <c:v>P11</c:v>
                </c:pt>
                <c:pt idx="21">
                  <c:v>P8</c:v>
                </c:pt>
                <c:pt idx="22">
                  <c:v>P16</c:v>
                </c:pt>
                <c:pt idx="23">
                  <c:v>P9</c:v>
                </c:pt>
                <c:pt idx="24">
                  <c:v>P17</c:v>
                </c:pt>
                <c:pt idx="25">
                  <c:v>P5</c:v>
                </c:pt>
                <c:pt idx="26">
                  <c:v>P3</c:v>
                </c:pt>
                <c:pt idx="27">
                  <c:v>P10</c:v>
                </c:pt>
              </c:strCache>
            </c:strRef>
          </c:cat>
          <c:val>
            <c:numRef>
              <c:f>'FEI Rank'!$AM$4:$AM$31</c:f>
              <c:numCache>
                <c:formatCode>General</c:formatCode>
                <c:ptCount val="28"/>
                <c:pt idx="0">
                  <c:v>0</c:v>
                </c:pt>
                <c:pt idx="1">
                  <c:v>6.3312749763747043</c:v>
                </c:pt>
                <c:pt idx="2">
                  <c:v>13.940305536962704</c:v>
                </c:pt>
                <c:pt idx="3">
                  <c:v>16.779874689602238</c:v>
                </c:pt>
                <c:pt idx="4">
                  <c:v>25.834988596360692</c:v>
                </c:pt>
                <c:pt idx="5">
                  <c:v>27.456831761622819</c:v>
                </c:pt>
                <c:pt idx="6">
                  <c:v>28.123822050363785</c:v>
                </c:pt>
                <c:pt idx="7">
                  <c:v>31.796137254691502</c:v>
                </c:pt>
                <c:pt idx="8">
                  <c:v>33.41765196015983</c:v>
                </c:pt>
                <c:pt idx="9">
                  <c:v>36.991182209661545</c:v>
                </c:pt>
                <c:pt idx="10">
                  <c:v>41.104274613459076</c:v>
                </c:pt>
                <c:pt idx="11">
                  <c:v>41.267459844164037</c:v>
                </c:pt>
                <c:pt idx="12">
                  <c:v>42.702361530873361</c:v>
                </c:pt>
                <c:pt idx="13">
                  <c:v>44.939761899920526</c:v>
                </c:pt>
                <c:pt idx="14">
                  <c:v>45.495644428586886</c:v>
                </c:pt>
                <c:pt idx="15">
                  <c:v>45.976682531706658</c:v>
                </c:pt>
                <c:pt idx="16">
                  <c:v>48.463711208202817</c:v>
                </c:pt>
                <c:pt idx="17">
                  <c:v>48.607829898787074</c:v>
                </c:pt>
                <c:pt idx="18">
                  <c:v>48.962226758267633</c:v>
                </c:pt>
                <c:pt idx="19">
                  <c:v>57.101185204434678</c:v>
                </c:pt>
                <c:pt idx="20">
                  <c:v>60.482281203734665</c:v>
                </c:pt>
                <c:pt idx="21">
                  <c:v>60.839694492606277</c:v>
                </c:pt>
                <c:pt idx="22">
                  <c:v>65.788054904439235</c:v>
                </c:pt>
                <c:pt idx="23">
                  <c:v>67.599848275038639</c:v>
                </c:pt>
                <c:pt idx="24">
                  <c:v>71.278551030508439</c:v>
                </c:pt>
                <c:pt idx="25">
                  <c:v>76.656325203408542</c:v>
                </c:pt>
                <c:pt idx="26">
                  <c:v>99.07054315764087</c:v>
                </c:pt>
                <c:pt idx="27">
                  <c:v>100</c:v>
                </c:pt>
              </c:numCache>
            </c:numRef>
          </c:val>
        </c:ser>
        <c:dLbls>
          <c:showLegendKey val="0"/>
          <c:showVal val="0"/>
          <c:showCatName val="0"/>
          <c:showSerName val="0"/>
          <c:showPercent val="0"/>
          <c:showBubbleSize val="0"/>
        </c:dLbls>
        <c:gapWidth val="70"/>
        <c:overlap val="100"/>
        <c:axId val="315435008"/>
        <c:axId val="325610880"/>
      </c:barChart>
      <c:catAx>
        <c:axId val="315435008"/>
        <c:scaling>
          <c:orientation val="minMax"/>
        </c:scaling>
        <c:delete val="0"/>
        <c:axPos val="b"/>
        <c:majorTickMark val="out"/>
        <c:minorTickMark val="none"/>
        <c:tickLblPos val="nextTo"/>
        <c:spPr>
          <a:ln>
            <a:solidFill>
              <a:srgbClr val="000000"/>
            </a:solidFill>
          </a:ln>
        </c:spPr>
        <c:txPr>
          <a:bodyPr rot="-5400000" vert="horz"/>
          <a:lstStyle/>
          <a:p>
            <a:pPr>
              <a:defRPr sz="800">
                <a:solidFill>
                  <a:srgbClr val="AFAFAF"/>
                </a:solidFill>
              </a:defRPr>
            </a:pPr>
            <a:endParaRPr lang="en-US"/>
          </a:p>
        </c:txPr>
        <c:crossAx val="325610880"/>
        <c:crosses val="autoZero"/>
        <c:auto val="1"/>
        <c:lblAlgn val="ctr"/>
        <c:lblOffset val="100"/>
        <c:noMultiLvlLbl val="0"/>
      </c:catAx>
      <c:valAx>
        <c:axId val="325610880"/>
        <c:scaling>
          <c:orientation val="minMax"/>
          <c:max val="100"/>
        </c:scaling>
        <c:delete val="0"/>
        <c:axPos val="l"/>
        <c:majorGridlines>
          <c:spPr>
            <a:ln>
              <a:solidFill>
                <a:srgbClr val="8EB4E3"/>
              </a:solidFill>
              <a:prstDash val="sysDash"/>
            </a:ln>
          </c:spPr>
        </c:majorGridlines>
        <c:numFmt formatCode="General" sourceLinked="1"/>
        <c:majorTickMark val="out"/>
        <c:minorTickMark val="none"/>
        <c:tickLblPos val="nextTo"/>
        <c:spPr>
          <a:ln>
            <a:solidFill>
              <a:srgbClr val="000000"/>
            </a:solidFill>
          </a:ln>
        </c:spPr>
        <c:txPr>
          <a:bodyPr/>
          <a:lstStyle/>
          <a:p>
            <a:pPr>
              <a:defRPr sz="800">
                <a:solidFill>
                  <a:srgbClr val="AFAFAF"/>
                </a:solidFill>
              </a:defRPr>
            </a:pPr>
            <a:endParaRPr lang="en-US"/>
          </a:p>
        </c:txPr>
        <c:crossAx val="315435008"/>
        <c:crosses val="autoZero"/>
        <c:crossBetween val="between"/>
      </c:valAx>
    </c:plotArea>
    <c:plotVisOnly val="1"/>
    <c:dispBlanksAs val="gap"/>
    <c:showDLblsOverMax val="0"/>
  </c:chart>
  <c:spPr>
    <a:ln w="6350">
      <a:noFill/>
    </a:ln>
  </c:spPr>
  <c:printSettings>
    <c:headerFooter/>
    <c:pageMargins b="0.75" l="0.7" r="0.7" t="0.75" header="0.3" footer="0.3"/>
    <c:pageSetup/>
  </c:printSettings>
  <c:userShapes r:id="rId1"/>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a:t>Financial and Economic Indicator (FEI), KT(X&gt;=0)</a:t>
            </a:r>
          </a:p>
        </c:rich>
      </c:tx>
      <c:layout/>
      <c:overlay val="0"/>
    </c:title>
    <c:autoTitleDeleted val="0"/>
    <c:plotArea>
      <c:layout>
        <c:manualLayout>
          <c:xMode val="edge"/>
          <c:yMode val="edge"/>
          <c:x val="2.1153846153846155E-2"/>
          <c:y val="0.11527586206896552"/>
          <c:w val="0.95769230769230773"/>
          <c:h val="0.81379310344827582"/>
        </c:manualLayout>
      </c:layout>
      <c:barChart>
        <c:barDir val="col"/>
        <c:grouping val="stacked"/>
        <c:varyColors val="0"/>
        <c:ser>
          <c:idx val="0"/>
          <c:order val="0"/>
          <c:spPr>
            <a:solidFill>
              <a:srgbClr val="8EB4E3"/>
            </a:solidFill>
          </c:spPr>
          <c:invertIfNegative val="0"/>
          <c:dPt>
            <c:idx val="21"/>
            <c:invertIfNegative val="0"/>
            <c:bubble3D val="0"/>
            <c:spPr>
              <a:solidFill>
                <a:srgbClr val="376092"/>
              </a:solidFill>
            </c:spPr>
          </c:dPt>
          <c:dPt>
            <c:idx val="22"/>
            <c:invertIfNegative val="0"/>
            <c:bubble3D val="0"/>
            <c:spPr>
              <a:solidFill>
                <a:srgbClr val="376092"/>
              </a:solidFill>
            </c:spPr>
          </c:dPt>
          <c:dPt>
            <c:idx val="23"/>
            <c:invertIfNegative val="0"/>
            <c:bubble3D val="0"/>
            <c:spPr>
              <a:solidFill>
                <a:srgbClr val="376092"/>
              </a:solidFill>
            </c:spPr>
          </c:dPt>
          <c:dPt>
            <c:idx val="24"/>
            <c:invertIfNegative val="0"/>
            <c:bubble3D val="0"/>
            <c:spPr>
              <a:solidFill>
                <a:srgbClr val="376092"/>
              </a:solidFill>
            </c:spPr>
          </c:dPt>
          <c:dPt>
            <c:idx val="25"/>
            <c:invertIfNegative val="0"/>
            <c:bubble3D val="0"/>
            <c:spPr>
              <a:solidFill>
                <a:srgbClr val="376092"/>
              </a:solidFill>
            </c:spPr>
          </c:dPt>
          <c:dPt>
            <c:idx val="26"/>
            <c:invertIfNegative val="0"/>
            <c:bubble3D val="0"/>
            <c:spPr>
              <a:solidFill>
                <a:srgbClr val="376092"/>
              </a:solidFill>
            </c:spPr>
          </c:dPt>
          <c:dPt>
            <c:idx val="27"/>
            <c:invertIfNegative val="0"/>
            <c:bubble3D val="0"/>
            <c:spPr>
              <a:solidFill>
                <a:srgbClr val="376092"/>
              </a:solidFill>
            </c:spPr>
          </c:dPt>
          <c:cat>
            <c:strRef>
              <c:f>'FEI Rank'!$AX$4:$AX$31</c:f>
              <c:strCache>
                <c:ptCount val="28"/>
                <c:pt idx="0">
                  <c:v>P1</c:v>
                </c:pt>
                <c:pt idx="1">
                  <c:v>P27</c:v>
                </c:pt>
                <c:pt idx="2">
                  <c:v>P15</c:v>
                </c:pt>
                <c:pt idx="3">
                  <c:v>P7</c:v>
                </c:pt>
                <c:pt idx="4">
                  <c:v>P18</c:v>
                </c:pt>
                <c:pt idx="5">
                  <c:v>P25</c:v>
                </c:pt>
                <c:pt idx="6">
                  <c:v>P6</c:v>
                </c:pt>
                <c:pt idx="7">
                  <c:v>P12</c:v>
                </c:pt>
                <c:pt idx="8">
                  <c:v>P19</c:v>
                </c:pt>
                <c:pt idx="9">
                  <c:v>P21</c:v>
                </c:pt>
                <c:pt idx="10">
                  <c:v>P28</c:v>
                </c:pt>
                <c:pt idx="11">
                  <c:v>P14</c:v>
                </c:pt>
                <c:pt idx="12">
                  <c:v>P13</c:v>
                </c:pt>
                <c:pt idx="13">
                  <c:v>P20</c:v>
                </c:pt>
                <c:pt idx="14">
                  <c:v>P23</c:v>
                </c:pt>
                <c:pt idx="15">
                  <c:v>P4</c:v>
                </c:pt>
                <c:pt idx="16">
                  <c:v>P2</c:v>
                </c:pt>
                <c:pt idx="17">
                  <c:v>P24</c:v>
                </c:pt>
                <c:pt idx="18">
                  <c:v>P22</c:v>
                </c:pt>
                <c:pt idx="19">
                  <c:v>P11</c:v>
                </c:pt>
                <c:pt idx="20">
                  <c:v>P8</c:v>
                </c:pt>
                <c:pt idx="21">
                  <c:v>P16</c:v>
                </c:pt>
                <c:pt idx="22">
                  <c:v>P26</c:v>
                </c:pt>
                <c:pt idx="23">
                  <c:v>P9</c:v>
                </c:pt>
                <c:pt idx="24">
                  <c:v>P17</c:v>
                </c:pt>
                <c:pt idx="25">
                  <c:v>P5</c:v>
                </c:pt>
                <c:pt idx="26">
                  <c:v>P10</c:v>
                </c:pt>
                <c:pt idx="27">
                  <c:v>P3</c:v>
                </c:pt>
              </c:strCache>
            </c:strRef>
          </c:cat>
          <c:val>
            <c:numRef>
              <c:f>'FEI Rank'!$AZ$4:$AZ$31</c:f>
              <c:numCache>
                <c:formatCode>General</c:formatCode>
                <c:ptCount val="28"/>
                <c:pt idx="0">
                  <c:v>0</c:v>
                </c:pt>
                <c:pt idx="1">
                  <c:v>0</c:v>
                </c:pt>
                <c:pt idx="2">
                  <c:v>16.074149332082417</c:v>
                </c:pt>
                <c:pt idx="3">
                  <c:v>19.679523218917343</c:v>
                </c:pt>
                <c:pt idx="4">
                  <c:v>27.955533454871578</c:v>
                </c:pt>
                <c:pt idx="5">
                  <c:v>29.796910530107052</c:v>
                </c:pt>
                <c:pt idx="6">
                  <c:v>33.687348498425884</c:v>
                </c:pt>
                <c:pt idx="7">
                  <c:v>36.11934838147792</c:v>
                </c:pt>
                <c:pt idx="8">
                  <c:v>38.160302113129504</c:v>
                </c:pt>
                <c:pt idx="9">
                  <c:v>41.343896621154272</c:v>
                </c:pt>
                <c:pt idx="10">
                  <c:v>42.736986238651241</c:v>
                </c:pt>
                <c:pt idx="11">
                  <c:v>43.226778629726581</c:v>
                </c:pt>
                <c:pt idx="12">
                  <c:v>44.283163308084262</c:v>
                </c:pt>
                <c:pt idx="13">
                  <c:v>44.283163308084262</c:v>
                </c:pt>
                <c:pt idx="14">
                  <c:v>44.283163308084262</c:v>
                </c:pt>
                <c:pt idx="15">
                  <c:v>46.034381001292061</c:v>
                </c:pt>
                <c:pt idx="16">
                  <c:v>47.660871140440072</c:v>
                </c:pt>
                <c:pt idx="17">
                  <c:v>58.569839429645356</c:v>
                </c:pt>
                <c:pt idx="18">
                  <c:v>59.992974373046323</c:v>
                </c:pt>
                <c:pt idx="19">
                  <c:v>61.567961365059595</c:v>
                </c:pt>
                <c:pt idx="20">
                  <c:v>61.917591911036716</c:v>
                </c:pt>
                <c:pt idx="21">
                  <c:v>65.453825161698603</c:v>
                </c:pt>
                <c:pt idx="22">
                  <c:v>66.426610769055557</c:v>
                </c:pt>
                <c:pt idx="23">
                  <c:v>66.43063520371966</c:v>
                </c:pt>
                <c:pt idx="24">
                  <c:v>71.859214929771483</c:v>
                </c:pt>
                <c:pt idx="25">
                  <c:v>80.402511689562175</c:v>
                </c:pt>
                <c:pt idx="26">
                  <c:v>98.854320703264349</c:v>
                </c:pt>
                <c:pt idx="27">
                  <c:v>100</c:v>
                </c:pt>
              </c:numCache>
            </c:numRef>
          </c:val>
        </c:ser>
        <c:dLbls>
          <c:showLegendKey val="0"/>
          <c:showVal val="0"/>
          <c:showCatName val="0"/>
          <c:showSerName val="0"/>
          <c:showPercent val="0"/>
          <c:showBubbleSize val="0"/>
        </c:dLbls>
        <c:gapWidth val="70"/>
        <c:overlap val="100"/>
        <c:axId val="326113280"/>
        <c:axId val="325611456"/>
      </c:barChart>
      <c:catAx>
        <c:axId val="326113280"/>
        <c:scaling>
          <c:orientation val="minMax"/>
        </c:scaling>
        <c:delete val="0"/>
        <c:axPos val="b"/>
        <c:majorTickMark val="out"/>
        <c:minorTickMark val="none"/>
        <c:tickLblPos val="nextTo"/>
        <c:spPr>
          <a:ln>
            <a:solidFill>
              <a:srgbClr val="000000"/>
            </a:solidFill>
          </a:ln>
        </c:spPr>
        <c:txPr>
          <a:bodyPr rot="-5400000" vert="horz"/>
          <a:lstStyle/>
          <a:p>
            <a:pPr>
              <a:defRPr sz="800">
                <a:solidFill>
                  <a:srgbClr val="AFAFAF"/>
                </a:solidFill>
              </a:defRPr>
            </a:pPr>
            <a:endParaRPr lang="en-US"/>
          </a:p>
        </c:txPr>
        <c:crossAx val="325611456"/>
        <c:crosses val="autoZero"/>
        <c:auto val="1"/>
        <c:lblAlgn val="ctr"/>
        <c:lblOffset val="100"/>
        <c:noMultiLvlLbl val="0"/>
      </c:catAx>
      <c:valAx>
        <c:axId val="325611456"/>
        <c:scaling>
          <c:orientation val="minMax"/>
          <c:max val="100"/>
        </c:scaling>
        <c:delete val="0"/>
        <c:axPos val="l"/>
        <c:majorGridlines>
          <c:spPr>
            <a:ln>
              <a:solidFill>
                <a:srgbClr val="8EB4E3"/>
              </a:solidFill>
              <a:prstDash val="sysDash"/>
            </a:ln>
          </c:spPr>
        </c:majorGridlines>
        <c:numFmt formatCode="General" sourceLinked="1"/>
        <c:majorTickMark val="out"/>
        <c:minorTickMark val="none"/>
        <c:tickLblPos val="nextTo"/>
        <c:spPr>
          <a:ln>
            <a:solidFill>
              <a:srgbClr val="000000"/>
            </a:solidFill>
          </a:ln>
        </c:spPr>
        <c:txPr>
          <a:bodyPr/>
          <a:lstStyle/>
          <a:p>
            <a:pPr>
              <a:defRPr sz="800">
                <a:solidFill>
                  <a:srgbClr val="AFAFAF"/>
                </a:solidFill>
              </a:defRPr>
            </a:pPr>
            <a:endParaRPr lang="en-US"/>
          </a:p>
        </c:txPr>
        <c:crossAx val="326113280"/>
        <c:crosses val="autoZero"/>
        <c:crossBetween val="between"/>
      </c:valAx>
    </c:plotArea>
    <c:plotVisOnly val="1"/>
    <c:dispBlanksAs val="gap"/>
    <c:showDLblsOverMax val="0"/>
  </c:chart>
  <c:spPr>
    <a:ln w="6350">
      <a:noFill/>
    </a:ln>
  </c:spPr>
  <c:printSettings>
    <c:headerFooter/>
    <c:pageMargins b="0.75" l="0.7" r="0.7" t="0.75" header="0.3" footer="0.3"/>
    <c:pageSetup/>
  </c:printSettings>
  <c:userShapes r:id="rId1"/>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a:t>Financial and Economic Indicator (FEI), KT(X&gt;0)</a:t>
            </a:r>
          </a:p>
        </c:rich>
      </c:tx>
      <c:layout/>
      <c:overlay val="0"/>
    </c:title>
    <c:autoTitleDeleted val="0"/>
    <c:plotArea>
      <c:layout>
        <c:manualLayout>
          <c:xMode val="edge"/>
          <c:yMode val="edge"/>
          <c:x val="2.1153846153846155E-2"/>
          <c:y val="0.11527586206896552"/>
          <c:w val="0.95769230769230773"/>
          <c:h val="0.81379310344827582"/>
        </c:manualLayout>
      </c:layout>
      <c:barChart>
        <c:barDir val="col"/>
        <c:grouping val="stacked"/>
        <c:varyColors val="0"/>
        <c:ser>
          <c:idx val="0"/>
          <c:order val="0"/>
          <c:spPr>
            <a:solidFill>
              <a:srgbClr val="8EB4E3"/>
            </a:solidFill>
          </c:spPr>
          <c:invertIfNegative val="0"/>
          <c:dPt>
            <c:idx val="21"/>
            <c:invertIfNegative val="0"/>
            <c:bubble3D val="0"/>
            <c:spPr>
              <a:solidFill>
                <a:srgbClr val="376092"/>
              </a:solidFill>
            </c:spPr>
          </c:dPt>
          <c:dPt>
            <c:idx val="22"/>
            <c:invertIfNegative val="0"/>
            <c:bubble3D val="0"/>
            <c:spPr>
              <a:solidFill>
                <a:srgbClr val="376092"/>
              </a:solidFill>
            </c:spPr>
          </c:dPt>
          <c:dPt>
            <c:idx val="23"/>
            <c:invertIfNegative val="0"/>
            <c:bubble3D val="0"/>
            <c:spPr>
              <a:solidFill>
                <a:srgbClr val="376092"/>
              </a:solidFill>
            </c:spPr>
          </c:dPt>
          <c:dPt>
            <c:idx val="24"/>
            <c:invertIfNegative val="0"/>
            <c:bubble3D val="0"/>
            <c:spPr>
              <a:solidFill>
                <a:srgbClr val="376092"/>
              </a:solidFill>
            </c:spPr>
          </c:dPt>
          <c:dPt>
            <c:idx val="25"/>
            <c:invertIfNegative val="0"/>
            <c:bubble3D val="0"/>
            <c:spPr>
              <a:solidFill>
                <a:srgbClr val="376092"/>
              </a:solidFill>
            </c:spPr>
          </c:dPt>
          <c:dPt>
            <c:idx val="26"/>
            <c:invertIfNegative val="0"/>
            <c:bubble3D val="0"/>
            <c:spPr>
              <a:solidFill>
                <a:srgbClr val="376092"/>
              </a:solidFill>
            </c:spPr>
          </c:dPt>
          <c:dPt>
            <c:idx val="27"/>
            <c:invertIfNegative val="0"/>
            <c:bubble3D val="0"/>
            <c:spPr>
              <a:solidFill>
                <a:srgbClr val="376092"/>
              </a:solidFill>
            </c:spPr>
          </c:dPt>
          <c:cat>
            <c:strRef>
              <c:f>'FEI Rank'!$BK$4:$BK$31</c:f>
              <c:strCache>
                <c:ptCount val="28"/>
                <c:pt idx="0">
                  <c:v>P1</c:v>
                </c:pt>
                <c:pt idx="1">
                  <c:v>P27</c:v>
                </c:pt>
                <c:pt idx="2">
                  <c:v>P15</c:v>
                </c:pt>
                <c:pt idx="3">
                  <c:v>P7</c:v>
                </c:pt>
                <c:pt idx="4">
                  <c:v>P18</c:v>
                </c:pt>
                <c:pt idx="5">
                  <c:v>P25</c:v>
                </c:pt>
                <c:pt idx="6">
                  <c:v>P6</c:v>
                </c:pt>
                <c:pt idx="7">
                  <c:v>P12</c:v>
                </c:pt>
                <c:pt idx="8">
                  <c:v>P19</c:v>
                </c:pt>
                <c:pt idx="9">
                  <c:v>P21</c:v>
                </c:pt>
                <c:pt idx="10">
                  <c:v>P28</c:v>
                </c:pt>
                <c:pt idx="11">
                  <c:v>P14</c:v>
                </c:pt>
                <c:pt idx="12">
                  <c:v>P20</c:v>
                </c:pt>
                <c:pt idx="13">
                  <c:v>P23</c:v>
                </c:pt>
                <c:pt idx="14">
                  <c:v>P13</c:v>
                </c:pt>
                <c:pt idx="15">
                  <c:v>P4</c:v>
                </c:pt>
                <c:pt idx="16">
                  <c:v>P2</c:v>
                </c:pt>
                <c:pt idx="17">
                  <c:v>P24</c:v>
                </c:pt>
                <c:pt idx="18">
                  <c:v>P22</c:v>
                </c:pt>
                <c:pt idx="19">
                  <c:v>P11</c:v>
                </c:pt>
                <c:pt idx="20">
                  <c:v>P8</c:v>
                </c:pt>
                <c:pt idx="21">
                  <c:v>P16</c:v>
                </c:pt>
                <c:pt idx="22">
                  <c:v>P9</c:v>
                </c:pt>
                <c:pt idx="23">
                  <c:v>P26</c:v>
                </c:pt>
                <c:pt idx="24">
                  <c:v>P17</c:v>
                </c:pt>
                <c:pt idx="25">
                  <c:v>P5</c:v>
                </c:pt>
                <c:pt idx="26">
                  <c:v>P10</c:v>
                </c:pt>
                <c:pt idx="27">
                  <c:v>P3</c:v>
                </c:pt>
              </c:strCache>
            </c:strRef>
          </c:cat>
          <c:val>
            <c:numRef>
              <c:f>'FEI Rank'!$BM$4:$BM$31</c:f>
              <c:numCache>
                <c:formatCode>General</c:formatCode>
                <c:ptCount val="28"/>
                <c:pt idx="0">
                  <c:v>0</c:v>
                </c:pt>
                <c:pt idx="1">
                  <c:v>3.7927215374522281E-2</c:v>
                </c:pt>
                <c:pt idx="2">
                  <c:v>16.100877518570805</c:v>
                </c:pt>
                <c:pt idx="3">
                  <c:v>19.743287195028163</c:v>
                </c:pt>
                <c:pt idx="4">
                  <c:v>27.958300672541654</c:v>
                </c:pt>
                <c:pt idx="5">
                  <c:v>29.845615376215783</c:v>
                </c:pt>
                <c:pt idx="6">
                  <c:v>33.743989741048466</c:v>
                </c:pt>
                <c:pt idx="7">
                  <c:v>36.193454631633578</c:v>
                </c:pt>
                <c:pt idx="8">
                  <c:v>38.163012577581675</c:v>
                </c:pt>
                <c:pt idx="9">
                  <c:v>41.365306138457747</c:v>
                </c:pt>
                <c:pt idx="10">
                  <c:v>42.790734018900608</c:v>
                </c:pt>
                <c:pt idx="11">
                  <c:v>43.23230128949875</c:v>
                </c:pt>
                <c:pt idx="12">
                  <c:v>44.29167185268971</c:v>
                </c:pt>
                <c:pt idx="13">
                  <c:v>44.311286524026428</c:v>
                </c:pt>
                <c:pt idx="14">
                  <c:v>44.366906155284333</c:v>
                </c:pt>
                <c:pt idx="15">
                  <c:v>46.058866760350625</c:v>
                </c:pt>
                <c:pt idx="16">
                  <c:v>47.672456313627038</c:v>
                </c:pt>
                <c:pt idx="17">
                  <c:v>58.591060230724146</c:v>
                </c:pt>
                <c:pt idx="18">
                  <c:v>60.070894539962438</c:v>
                </c:pt>
                <c:pt idx="19">
                  <c:v>61.58565791159932</c:v>
                </c:pt>
                <c:pt idx="20">
                  <c:v>61.93505063056751</c:v>
                </c:pt>
                <c:pt idx="21">
                  <c:v>65.461321128086681</c:v>
                </c:pt>
                <c:pt idx="22">
                  <c:v>66.432703241170671</c:v>
                </c:pt>
                <c:pt idx="23">
                  <c:v>66.543290613945302</c:v>
                </c:pt>
                <c:pt idx="24">
                  <c:v>71.869398053552274</c:v>
                </c:pt>
                <c:pt idx="25">
                  <c:v>80.427893166472728</c:v>
                </c:pt>
                <c:pt idx="26">
                  <c:v>98.842389339634806</c:v>
                </c:pt>
                <c:pt idx="27">
                  <c:v>100</c:v>
                </c:pt>
              </c:numCache>
            </c:numRef>
          </c:val>
        </c:ser>
        <c:dLbls>
          <c:showLegendKey val="0"/>
          <c:showVal val="0"/>
          <c:showCatName val="0"/>
          <c:showSerName val="0"/>
          <c:showPercent val="0"/>
          <c:showBubbleSize val="0"/>
        </c:dLbls>
        <c:gapWidth val="70"/>
        <c:overlap val="100"/>
        <c:axId val="335799808"/>
        <c:axId val="335544320"/>
      </c:barChart>
      <c:catAx>
        <c:axId val="335799808"/>
        <c:scaling>
          <c:orientation val="minMax"/>
        </c:scaling>
        <c:delete val="0"/>
        <c:axPos val="b"/>
        <c:majorTickMark val="out"/>
        <c:minorTickMark val="none"/>
        <c:tickLblPos val="nextTo"/>
        <c:spPr>
          <a:ln>
            <a:solidFill>
              <a:srgbClr val="000000"/>
            </a:solidFill>
          </a:ln>
        </c:spPr>
        <c:txPr>
          <a:bodyPr rot="-5400000" vert="horz"/>
          <a:lstStyle/>
          <a:p>
            <a:pPr>
              <a:defRPr sz="800">
                <a:solidFill>
                  <a:srgbClr val="AFAFAF"/>
                </a:solidFill>
              </a:defRPr>
            </a:pPr>
            <a:endParaRPr lang="en-US"/>
          </a:p>
        </c:txPr>
        <c:crossAx val="335544320"/>
        <c:crosses val="autoZero"/>
        <c:auto val="1"/>
        <c:lblAlgn val="ctr"/>
        <c:lblOffset val="100"/>
        <c:noMultiLvlLbl val="0"/>
      </c:catAx>
      <c:valAx>
        <c:axId val="335544320"/>
        <c:scaling>
          <c:orientation val="minMax"/>
          <c:max val="100"/>
        </c:scaling>
        <c:delete val="0"/>
        <c:axPos val="l"/>
        <c:majorGridlines>
          <c:spPr>
            <a:ln>
              <a:solidFill>
                <a:srgbClr val="8EB4E3"/>
              </a:solidFill>
              <a:prstDash val="sysDash"/>
            </a:ln>
          </c:spPr>
        </c:majorGridlines>
        <c:numFmt formatCode="General" sourceLinked="1"/>
        <c:majorTickMark val="out"/>
        <c:minorTickMark val="none"/>
        <c:tickLblPos val="nextTo"/>
        <c:spPr>
          <a:ln>
            <a:solidFill>
              <a:srgbClr val="000000"/>
            </a:solidFill>
          </a:ln>
        </c:spPr>
        <c:txPr>
          <a:bodyPr/>
          <a:lstStyle/>
          <a:p>
            <a:pPr>
              <a:defRPr sz="800">
                <a:solidFill>
                  <a:srgbClr val="AFAFAF"/>
                </a:solidFill>
              </a:defRPr>
            </a:pPr>
            <a:endParaRPr lang="en-US"/>
          </a:p>
        </c:txPr>
        <c:crossAx val="335799808"/>
        <c:crosses val="autoZero"/>
        <c:crossBetween val="between"/>
      </c:valAx>
    </c:plotArea>
    <c:plotVisOnly val="1"/>
    <c:dispBlanksAs val="gap"/>
    <c:showDLblsOverMax val="0"/>
  </c:chart>
  <c:spPr>
    <a:ln w="6350">
      <a:noFill/>
    </a:ln>
  </c:spPr>
  <c:printSettings>
    <c:headerFooter/>
    <c:pageMargins b="0.75" l="0.7" r="0.7" t="0.75" header="0.3" footer="0.3"/>
    <c:pageSetup/>
  </c:printSettings>
  <c:userShapes r:id="rId1"/>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a:t>Financial and Economic Indicator (FEI), Simple Average</a:t>
            </a:r>
          </a:p>
        </c:rich>
      </c:tx>
      <c:layout/>
      <c:overlay val="0"/>
    </c:title>
    <c:autoTitleDeleted val="0"/>
    <c:plotArea>
      <c:layout>
        <c:manualLayout>
          <c:xMode val="edge"/>
          <c:yMode val="edge"/>
          <c:x val="2.1153846153846155E-2"/>
          <c:y val="0.11527586206896552"/>
          <c:w val="0.95769230769230773"/>
          <c:h val="0.81379310344827582"/>
        </c:manualLayout>
      </c:layout>
      <c:barChart>
        <c:barDir val="col"/>
        <c:grouping val="stacked"/>
        <c:varyColors val="0"/>
        <c:ser>
          <c:idx val="0"/>
          <c:order val="0"/>
          <c:spPr>
            <a:solidFill>
              <a:srgbClr val="8EB4E3"/>
            </a:solidFill>
          </c:spPr>
          <c:invertIfNegative val="0"/>
          <c:dPt>
            <c:idx val="21"/>
            <c:invertIfNegative val="0"/>
            <c:bubble3D val="0"/>
            <c:spPr>
              <a:solidFill>
                <a:srgbClr val="376092"/>
              </a:solidFill>
            </c:spPr>
          </c:dPt>
          <c:dPt>
            <c:idx val="22"/>
            <c:invertIfNegative val="0"/>
            <c:bubble3D val="0"/>
            <c:spPr>
              <a:solidFill>
                <a:srgbClr val="376092"/>
              </a:solidFill>
            </c:spPr>
          </c:dPt>
          <c:dPt>
            <c:idx val="23"/>
            <c:invertIfNegative val="0"/>
            <c:bubble3D val="0"/>
            <c:spPr>
              <a:solidFill>
                <a:srgbClr val="376092"/>
              </a:solidFill>
            </c:spPr>
          </c:dPt>
          <c:dPt>
            <c:idx val="24"/>
            <c:invertIfNegative val="0"/>
            <c:bubble3D val="0"/>
            <c:spPr>
              <a:solidFill>
                <a:srgbClr val="376092"/>
              </a:solidFill>
            </c:spPr>
          </c:dPt>
          <c:dPt>
            <c:idx val="25"/>
            <c:invertIfNegative val="0"/>
            <c:bubble3D val="0"/>
            <c:spPr>
              <a:solidFill>
                <a:srgbClr val="376092"/>
              </a:solidFill>
            </c:spPr>
          </c:dPt>
          <c:dPt>
            <c:idx val="26"/>
            <c:invertIfNegative val="0"/>
            <c:bubble3D val="0"/>
            <c:spPr>
              <a:solidFill>
                <a:srgbClr val="376092"/>
              </a:solidFill>
            </c:spPr>
          </c:dPt>
          <c:dPt>
            <c:idx val="27"/>
            <c:invertIfNegative val="0"/>
            <c:bubble3D val="0"/>
            <c:spPr>
              <a:solidFill>
                <a:srgbClr val="376092"/>
              </a:solidFill>
            </c:spPr>
          </c:dPt>
          <c:cat>
            <c:strRef>
              <c:f>'FEI Rank'!$BX$4:$BX$31</c:f>
              <c:strCache>
                <c:ptCount val="28"/>
                <c:pt idx="0">
                  <c:v>P1</c:v>
                </c:pt>
                <c:pt idx="1">
                  <c:v>P27</c:v>
                </c:pt>
                <c:pt idx="2">
                  <c:v>P15</c:v>
                </c:pt>
                <c:pt idx="3">
                  <c:v>P18</c:v>
                </c:pt>
                <c:pt idx="4">
                  <c:v>P19</c:v>
                </c:pt>
                <c:pt idx="5">
                  <c:v>P14</c:v>
                </c:pt>
                <c:pt idx="6">
                  <c:v>P20</c:v>
                </c:pt>
                <c:pt idx="7">
                  <c:v>P7</c:v>
                </c:pt>
                <c:pt idx="8">
                  <c:v>P21</c:v>
                </c:pt>
                <c:pt idx="9">
                  <c:v>P2</c:v>
                </c:pt>
                <c:pt idx="10">
                  <c:v>P25</c:v>
                </c:pt>
                <c:pt idx="11">
                  <c:v>P4</c:v>
                </c:pt>
                <c:pt idx="12">
                  <c:v>P23</c:v>
                </c:pt>
                <c:pt idx="13">
                  <c:v>P6</c:v>
                </c:pt>
                <c:pt idx="14">
                  <c:v>P9</c:v>
                </c:pt>
                <c:pt idx="15">
                  <c:v>P28</c:v>
                </c:pt>
                <c:pt idx="16">
                  <c:v>P16</c:v>
                </c:pt>
                <c:pt idx="17">
                  <c:v>P24</c:v>
                </c:pt>
                <c:pt idx="18">
                  <c:v>P11</c:v>
                </c:pt>
                <c:pt idx="19">
                  <c:v>P8</c:v>
                </c:pt>
                <c:pt idx="20">
                  <c:v>P12</c:v>
                </c:pt>
                <c:pt idx="21">
                  <c:v>P17</c:v>
                </c:pt>
                <c:pt idx="22">
                  <c:v>P13</c:v>
                </c:pt>
                <c:pt idx="23">
                  <c:v>P5</c:v>
                </c:pt>
                <c:pt idx="24">
                  <c:v>P10</c:v>
                </c:pt>
                <c:pt idx="25">
                  <c:v>P22</c:v>
                </c:pt>
                <c:pt idx="26">
                  <c:v>P3</c:v>
                </c:pt>
                <c:pt idx="27">
                  <c:v>P26</c:v>
                </c:pt>
              </c:strCache>
            </c:strRef>
          </c:cat>
          <c:val>
            <c:numRef>
              <c:f>'FEI Rank'!$BZ$4:$BZ$31</c:f>
              <c:numCache>
                <c:formatCode>General</c:formatCode>
                <c:ptCount val="28"/>
                <c:pt idx="0">
                  <c:v>0</c:v>
                </c:pt>
                <c:pt idx="1">
                  <c:v>14.78689573677393</c:v>
                </c:pt>
                <c:pt idx="2">
                  <c:v>23.483403978086091</c:v>
                </c:pt>
                <c:pt idx="3">
                  <c:v>24.141334550573486</c:v>
                </c:pt>
                <c:pt idx="4">
                  <c:v>32.707845821005385</c:v>
                </c:pt>
                <c:pt idx="5">
                  <c:v>38.068350045800322</c:v>
                </c:pt>
                <c:pt idx="6">
                  <c:v>40.121558561318778</c:v>
                </c:pt>
                <c:pt idx="7">
                  <c:v>40.957144868820713</c:v>
                </c:pt>
                <c:pt idx="8">
                  <c:v>42.211810742763326</c:v>
                </c:pt>
                <c:pt idx="9">
                  <c:v>43.232345407391307</c:v>
                </c:pt>
                <c:pt idx="10">
                  <c:v>43.601052783612495</c:v>
                </c:pt>
                <c:pt idx="11">
                  <c:v>47.358814021819306</c:v>
                </c:pt>
                <c:pt idx="12">
                  <c:v>47.768840258721042</c:v>
                </c:pt>
                <c:pt idx="13">
                  <c:v>49.503821199400235</c:v>
                </c:pt>
                <c:pt idx="14">
                  <c:v>55.319040235681925</c:v>
                </c:pt>
                <c:pt idx="15">
                  <c:v>56.457923783316325</c:v>
                </c:pt>
                <c:pt idx="16">
                  <c:v>56.613144776570209</c:v>
                </c:pt>
                <c:pt idx="17">
                  <c:v>57.101850294303269</c:v>
                </c:pt>
                <c:pt idx="18">
                  <c:v>57.319643069634942</c:v>
                </c:pt>
                <c:pt idx="19">
                  <c:v>57.986927284093937</c:v>
                </c:pt>
                <c:pt idx="20">
                  <c:v>58.825592802568913</c:v>
                </c:pt>
                <c:pt idx="21">
                  <c:v>63.051769130379242</c:v>
                </c:pt>
                <c:pt idx="22">
                  <c:v>69.45357720043917</c:v>
                </c:pt>
                <c:pt idx="23">
                  <c:v>76.633277398478327</c:v>
                </c:pt>
                <c:pt idx="24">
                  <c:v>77.149757104045548</c:v>
                </c:pt>
                <c:pt idx="25">
                  <c:v>79.939554599826351</c:v>
                </c:pt>
                <c:pt idx="26">
                  <c:v>82.765742522439609</c:v>
                </c:pt>
                <c:pt idx="27">
                  <c:v>100</c:v>
                </c:pt>
              </c:numCache>
            </c:numRef>
          </c:val>
        </c:ser>
        <c:dLbls>
          <c:showLegendKey val="0"/>
          <c:showVal val="0"/>
          <c:showCatName val="0"/>
          <c:showSerName val="0"/>
          <c:showPercent val="0"/>
          <c:showBubbleSize val="0"/>
        </c:dLbls>
        <c:gapWidth val="70"/>
        <c:overlap val="100"/>
        <c:axId val="336343040"/>
        <c:axId val="335546624"/>
      </c:barChart>
      <c:catAx>
        <c:axId val="336343040"/>
        <c:scaling>
          <c:orientation val="minMax"/>
        </c:scaling>
        <c:delete val="0"/>
        <c:axPos val="b"/>
        <c:majorTickMark val="out"/>
        <c:minorTickMark val="none"/>
        <c:tickLblPos val="nextTo"/>
        <c:spPr>
          <a:ln>
            <a:solidFill>
              <a:srgbClr val="000000"/>
            </a:solidFill>
          </a:ln>
        </c:spPr>
        <c:txPr>
          <a:bodyPr rot="-5400000" vert="horz"/>
          <a:lstStyle/>
          <a:p>
            <a:pPr>
              <a:defRPr sz="800">
                <a:solidFill>
                  <a:srgbClr val="AFAFAF"/>
                </a:solidFill>
              </a:defRPr>
            </a:pPr>
            <a:endParaRPr lang="en-US"/>
          </a:p>
        </c:txPr>
        <c:crossAx val="335546624"/>
        <c:crosses val="autoZero"/>
        <c:auto val="1"/>
        <c:lblAlgn val="ctr"/>
        <c:lblOffset val="100"/>
        <c:noMultiLvlLbl val="0"/>
      </c:catAx>
      <c:valAx>
        <c:axId val="335546624"/>
        <c:scaling>
          <c:orientation val="minMax"/>
          <c:max val="100"/>
        </c:scaling>
        <c:delete val="0"/>
        <c:axPos val="l"/>
        <c:majorGridlines>
          <c:spPr>
            <a:ln>
              <a:solidFill>
                <a:srgbClr val="8EB4E3"/>
              </a:solidFill>
              <a:prstDash val="sysDash"/>
            </a:ln>
          </c:spPr>
        </c:majorGridlines>
        <c:numFmt formatCode="General" sourceLinked="1"/>
        <c:majorTickMark val="out"/>
        <c:minorTickMark val="none"/>
        <c:tickLblPos val="nextTo"/>
        <c:spPr>
          <a:ln>
            <a:solidFill>
              <a:srgbClr val="000000"/>
            </a:solidFill>
          </a:ln>
        </c:spPr>
        <c:txPr>
          <a:bodyPr/>
          <a:lstStyle/>
          <a:p>
            <a:pPr>
              <a:defRPr sz="800">
                <a:solidFill>
                  <a:srgbClr val="AFAFAF"/>
                </a:solidFill>
              </a:defRPr>
            </a:pPr>
            <a:endParaRPr lang="en-US"/>
          </a:p>
        </c:txPr>
        <c:crossAx val="336343040"/>
        <c:crosses val="autoZero"/>
        <c:crossBetween val="between"/>
      </c:valAx>
    </c:plotArea>
    <c:plotVisOnly val="1"/>
    <c:dispBlanksAs val="gap"/>
    <c:showDLblsOverMax val="0"/>
  </c:chart>
  <c:spPr>
    <a:ln w="6350">
      <a:noFill/>
    </a:ln>
  </c:spPr>
  <c:printSettings>
    <c:headerFooter/>
    <c:pageMargins b="0.75" l="0.7" r="0.7" t="0.75" header="0.3" footer="0.3"/>
    <c:pageSetup/>
  </c:printSettings>
  <c:userShapes r:id="rId1"/>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6.4162679425837324E-2"/>
          <c:y val="3.5369774919614148E-2"/>
          <c:w val="0.90952153110047851"/>
          <c:h val="0.88102893890675238"/>
        </c:manualLayout>
      </c:layout>
      <c:scatterChart>
        <c:scatterStyle val="lineMarker"/>
        <c:varyColors val="0"/>
        <c:ser>
          <c:idx val="0"/>
          <c:order val="0"/>
          <c:spPr>
            <a:solidFill>
              <a:srgbClr val="FFFFFF"/>
            </a:solidFill>
            <a:ln w="19050">
              <a:noFill/>
            </a:ln>
          </c:spPr>
          <c:marker>
            <c:symbol val="circle"/>
            <c:size val="7"/>
            <c:spPr>
              <a:solidFill>
                <a:srgbClr val="B40000"/>
              </a:solidFill>
            </c:spPr>
          </c:marker>
          <c:dPt>
            <c:idx val="0"/>
            <c:marker>
              <c:spPr>
                <a:pattFill>
                  <a:fgClr>
                    <a:srgbClr val="B40000"/>
                  </a:fgClr>
                  <a:bgClr>
                    <a:srgbClr val="B40000"/>
                  </a:bgClr>
                </a:patt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0000"/>
                      </a:solidFill>
                      <a:prstDash val="solid"/>
                      <a:round/>
                      <a:headEnd type="none" w="med" len="med"/>
                      <a:tailEnd type="none" w="med" len="med"/>
                    </a14:hiddenLine>
                  </a:ext>
                </a:extLst>
              </c:spPr>
            </c:marker>
            <c:bubble3D val="0"/>
            <c:spPr>
              <a:solidFill>
                <a:srgbClr val="FFFFFF"/>
              </a:solid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0000"/>
                    </a:solidFill>
                    <a:prstDash val="solid"/>
                    <a:round/>
                    <a:headEnd type="none" w="med" len="med"/>
                    <a:tailEnd type="none" w="med" len="med"/>
                  </a14:hiddenLine>
                </a:ext>
              </a:extLst>
            </c:spPr>
          </c:dPt>
          <c:dPt>
            <c:idx val="1"/>
            <c:marker>
              <c:spPr>
                <a:pattFill>
                  <a:fgClr>
                    <a:srgbClr val="B40000"/>
                  </a:fgClr>
                  <a:bgClr>
                    <a:srgbClr val="B40000"/>
                  </a:bgClr>
                </a:patt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0000"/>
                      </a:solidFill>
                      <a:prstDash val="solid"/>
                      <a:round/>
                      <a:headEnd type="none" w="med" len="med"/>
                      <a:tailEnd type="none" w="med" len="med"/>
                    </a14:hiddenLine>
                  </a:ext>
                </a:extLst>
              </c:spPr>
            </c:marker>
            <c:bubble3D val="0"/>
            <c:spPr>
              <a:solidFill>
                <a:srgbClr val="FFFFFF"/>
              </a:solid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0000"/>
                    </a:solidFill>
                    <a:prstDash val="solid"/>
                    <a:round/>
                    <a:headEnd type="none" w="med" len="med"/>
                    <a:tailEnd type="none" w="med" len="med"/>
                  </a14:hiddenLine>
                </a:ext>
              </a:extLst>
            </c:spPr>
          </c:dPt>
          <c:dPt>
            <c:idx val="2"/>
            <c:marker>
              <c:spPr>
                <a:pattFill>
                  <a:fgClr>
                    <a:srgbClr val="B40000"/>
                  </a:fgClr>
                  <a:bgClr>
                    <a:srgbClr val="B40000"/>
                  </a:bgClr>
                </a:patt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0000"/>
                      </a:solidFill>
                      <a:prstDash val="solid"/>
                      <a:round/>
                      <a:headEnd type="none" w="med" len="med"/>
                      <a:tailEnd type="none" w="med" len="med"/>
                    </a14:hiddenLine>
                  </a:ext>
                </a:extLst>
              </c:spPr>
            </c:marker>
            <c:bubble3D val="0"/>
            <c:spPr>
              <a:solidFill>
                <a:srgbClr val="FFFFFF"/>
              </a:solid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0000"/>
                    </a:solidFill>
                    <a:prstDash val="solid"/>
                    <a:round/>
                    <a:headEnd type="none" w="med" len="med"/>
                    <a:tailEnd type="none" w="med" len="med"/>
                  </a14:hiddenLine>
                </a:ext>
              </a:extLst>
            </c:spPr>
          </c:dPt>
          <c:dPt>
            <c:idx val="3"/>
            <c:marker>
              <c:spPr>
                <a:pattFill>
                  <a:fgClr>
                    <a:srgbClr val="B40000"/>
                  </a:fgClr>
                  <a:bgClr>
                    <a:srgbClr val="B40000"/>
                  </a:bgClr>
                </a:patt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0000"/>
                      </a:solidFill>
                      <a:prstDash val="solid"/>
                      <a:round/>
                      <a:headEnd type="none" w="med" len="med"/>
                      <a:tailEnd type="none" w="med" len="med"/>
                    </a14:hiddenLine>
                  </a:ext>
                </a:extLst>
              </c:spPr>
            </c:marker>
            <c:bubble3D val="0"/>
            <c:spPr>
              <a:solidFill>
                <a:srgbClr val="FFFFFF"/>
              </a:solid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0000"/>
                    </a:solidFill>
                    <a:prstDash val="solid"/>
                    <a:round/>
                    <a:headEnd type="none" w="med" len="med"/>
                    <a:tailEnd type="none" w="med" len="med"/>
                  </a14:hiddenLine>
                </a:ext>
              </a:extLst>
            </c:spPr>
          </c:dPt>
          <c:dPt>
            <c:idx val="4"/>
            <c:marker>
              <c:spPr>
                <a:pattFill>
                  <a:fgClr>
                    <a:srgbClr val="B40000"/>
                  </a:fgClr>
                  <a:bgClr>
                    <a:srgbClr val="B40000"/>
                  </a:bgClr>
                </a:patt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0000"/>
                      </a:solidFill>
                      <a:prstDash val="solid"/>
                      <a:round/>
                      <a:headEnd type="none" w="med" len="med"/>
                      <a:tailEnd type="none" w="med" len="med"/>
                    </a14:hiddenLine>
                  </a:ext>
                </a:extLst>
              </c:spPr>
            </c:marker>
            <c:bubble3D val="0"/>
            <c:spPr>
              <a:solidFill>
                <a:srgbClr val="FFFFFF"/>
              </a:solid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0000"/>
                    </a:solidFill>
                    <a:prstDash val="solid"/>
                    <a:round/>
                    <a:headEnd type="none" w="med" len="med"/>
                    <a:tailEnd type="none" w="med" len="med"/>
                  </a14:hiddenLine>
                </a:ext>
              </a:extLst>
            </c:spPr>
          </c:dPt>
          <c:dPt>
            <c:idx val="5"/>
            <c:marker>
              <c:spPr>
                <a:pattFill>
                  <a:fgClr>
                    <a:srgbClr val="B40000"/>
                  </a:fgClr>
                  <a:bgClr>
                    <a:srgbClr val="B40000"/>
                  </a:bgClr>
                </a:patt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0000"/>
                      </a:solidFill>
                      <a:prstDash val="solid"/>
                      <a:round/>
                      <a:headEnd type="none" w="med" len="med"/>
                      <a:tailEnd type="none" w="med" len="med"/>
                    </a14:hiddenLine>
                  </a:ext>
                </a:extLst>
              </c:spPr>
            </c:marker>
            <c:bubble3D val="0"/>
            <c:spPr>
              <a:solidFill>
                <a:srgbClr val="FFFFFF"/>
              </a:solid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0000"/>
                    </a:solidFill>
                    <a:prstDash val="solid"/>
                    <a:round/>
                    <a:headEnd type="none" w="med" len="med"/>
                    <a:tailEnd type="none" w="med" len="med"/>
                  </a14:hiddenLine>
                </a:ext>
              </a:extLst>
            </c:spPr>
          </c:dPt>
          <c:dPt>
            <c:idx val="6"/>
            <c:marker>
              <c:spPr>
                <a:pattFill>
                  <a:fgClr>
                    <a:srgbClr val="B40000"/>
                  </a:fgClr>
                  <a:bgClr>
                    <a:srgbClr val="B40000"/>
                  </a:bgClr>
                </a:patt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0000"/>
                      </a:solidFill>
                      <a:prstDash val="solid"/>
                      <a:round/>
                      <a:headEnd type="none" w="med" len="med"/>
                      <a:tailEnd type="none" w="med" len="med"/>
                    </a14:hiddenLine>
                  </a:ext>
                </a:extLst>
              </c:spPr>
            </c:marker>
            <c:bubble3D val="0"/>
            <c:spPr>
              <a:solidFill>
                <a:srgbClr val="FFFFFF"/>
              </a:solid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0000"/>
                    </a:solidFill>
                    <a:prstDash val="solid"/>
                    <a:round/>
                    <a:headEnd type="none" w="med" len="med"/>
                    <a:tailEnd type="none" w="med" len="med"/>
                  </a14:hiddenLine>
                </a:ext>
              </a:extLst>
            </c:spPr>
          </c:dPt>
          <c:dPt>
            <c:idx val="7"/>
            <c:marker>
              <c:spPr>
                <a:pattFill>
                  <a:fgClr>
                    <a:srgbClr val="B40000"/>
                  </a:fgClr>
                  <a:bgClr>
                    <a:srgbClr val="B40000"/>
                  </a:bgClr>
                </a:patt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0000"/>
                      </a:solidFill>
                      <a:prstDash val="solid"/>
                      <a:round/>
                      <a:headEnd type="none" w="med" len="med"/>
                      <a:tailEnd type="none" w="med" len="med"/>
                    </a14:hiddenLine>
                  </a:ext>
                </a:extLst>
              </c:spPr>
            </c:marker>
            <c:bubble3D val="0"/>
            <c:spPr>
              <a:solidFill>
                <a:srgbClr val="FFFFFF"/>
              </a:solid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0000"/>
                    </a:solidFill>
                    <a:prstDash val="solid"/>
                    <a:round/>
                    <a:headEnd type="none" w="med" len="med"/>
                    <a:tailEnd type="none" w="med" len="med"/>
                  </a14:hiddenLine>
                </a:ext>
              </a:extLst>
            </c:spPr>
          </c:dPt>
          <c:dPt>
            <c:idx val="8"/>
            <c:marker>
              <c:spPr>
                <a:pattFill>
                  <a:fgClr>
                    <a:srgbClr val="B40000"/>
                  </a:fgClr>
                  <a:bgClr>
                    <a:srgbClr val="B40000"/>
                  </a:bgClr>
                </a:patt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0000"/>
                      </a:solidFill>
                      <a:prstDash val="solid"/>
                      <a:round/>
                      <a:headEnd type="none" w="med" len="med"/>
                      <a:tailEnd type="none" w="med" len="med"/>
                    </a14:hiddenLine>
                  </a:ext>
                </a:extLst>
              </c:spPr>
            </c:marker>
            <c:bubble3D val="0"/>
            <c:spPr>
              <a:solidFill>
                <a:srgbClr val="FFFFFF"/>
              </a:solid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0000"/>
                    </a:solidFill>
                    <a:prstDash val="solid"/>
                    <a:round/>
                    <a:headEnd type="none" w="med" len="med"/>
                    <a:tailEnd type="none" w="med" len="med"/>
                  </a14:hiddenLine>
                </a:ext>
              </a:extLst>
            </c:spPr>
          </c:dPt>
          <c:dPt>
            <c:idx val="9"/>
            <c:marker>
              <c:spPr>
                <a:pattFill>
                  <a:fgClr>
                    <a:srgbClr val="B40000"/>
                  </a:fgClr>
                  <a:bgClr>
                    <a:srgbClr val="B40000"/>
                  </a:bgClr>
                </a:patt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0000"/>
                      </a:solidFill>
                      <a:prstDash val="solid"/>
                      <a:round/>
                      <a:headEnd type="none" w="med" len="med"/>
                      <a:tailEnd type="none" w="med" len="med"/>
                    </a14:hiddenLine>
                  </a:ext>
                </a:extLst>
              </c:spPr>
            </c:marker>
            <c:bubble3D val="0"/>
            <c:spPr>
              <a:solidFill>
                <a:srgbClr val="FFFFFF"/>
              </a:solid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0000"/>
                    </a:solidFill>
                    <a:prstDash val="solid"/>
                    <a:round/>
                    <a:headEnd type="none" w="med" len="med"/>
                    <a:tailEnd type="none" w="med" len="med"/>
                  </a14:hiddenLine>
                </a:ext>
              </a:extLst>
            </c:spPr>
          </c:dPt>
          <c:dPt>
            <c:idx val="10"/>
            <c:marker>
              <c:spPr>
                <a:pattFill>
                  <a:fgClr>
                    <a:srgbClr val="B40000"/>
                  </a:fgClr>
                  <a:bgClr>
                    <a:srgbClr val="B40000"/>
                  </a:bgClr>
                </a:patt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0000"/>
                      </a:solidFill>
                      <a:prstDash val="solid"/>
                      <a:round/>
                      <a:headEnd type="none" w="med" len="med"/>
                      <a:tailEnd type="none" w="med" len="med"/>
                    </a14:hiddenLine>
                  </a:ext>
                </a:extLst>
              </c:spPr>
            </c:marker>
            <c:bubble3D val="0"/>
            <c:spPr>
              <a:solidFill>
                <a:srgbClr val="FFFFFF"/>
              </a:solid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0000"/>
                    </a:solidFill>
                    <a:prstDash val="solid"/>
                    <a:round/>
                    <a:headEnd type="none" w="med" len="med"/>
                    <a:tailEnd type="none" w="med" len="med"/>
                  </a14:hiddenLine>
                </a:ext>
              </a:extLst>
            </c:spPr>
          </c:dPt>
          <c:dPt>
            <c:idx val="11"/>
            <c:marker>
              <c:spPr>
                <a:pattFill>
                  <a:fgClr>
                    <a:srgbClr val="B40000"/>
                  </a:fgClr>
                  <a:bgClr>
                    <a:srgbClr val="B40000"/>
                  </a:bgClr>
                </a:patt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0000"/>
                      </a:solidFill>
                      <a:prstDash val="solid"/>
                      <a:round/>
                      <a:headEnd type="none" w="med" len="med"/>
                      <a:tailEnd type="none" w="med" len="med"/>
                    </a14:hiddenLine>
                  </a:ext>
                </a:extLst>
              </c:spPr>
            </c:marker>
            <c:bubble3D val="0"/>
            <c:spPr>
              <a:solidFill>
                <a:srgbClr val="FFFFFF"/>
              </a:solid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0000"/>
                    </a:solidFill>
                    <a:prstDash val="solid"/>
                    <a:round/>
                    <a:headEnd type="none" w="med" len="med"/>
                    <a:tailEnd type="none" w="med" len="med"/>
                  </a14:hiddenLine>
                </a:ext>
              </a:extLst>
            </c:spPr>
          </c:dPt>
          <c:dPt>
            <c:idx val="12"/>
            <c:marker>
              <c:spPr>
                <a:pattFill>
                  <a:fgClr>
                    <a:srgbClr val="B40000"/>
                  </a:fgClr>
                  <a:bgClr>
                    <a:srgbClr val="B40000"/>
                  </a:bgClr>
                </a:patt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0000"/>
                      </a:solidFill>
                      <a:prstDash val="solid"/>
                      <a:round/>
                      <a:headEnd type="none" w="med" len="med"/>
                      <a:tailEnd type="none" w="med" len="med"/>
                    </a14:hiddenLine>
                  </a:ext>
                </a:extLst>
              </c:spPr>
            </c:marker>
            <c:bubble3D val="0"/>
            <c:spPr>
              <a:solidFill>
                <a:srgbClr val="FFFFFF"/>
              </a:solid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0000"/>
                    </a:solidFill>
                    <a:prstDash val="solid"/>
                    <a:round/>
                    <a:headEnd type="none" w="med" len="med"/>
                    <a:tailEnd type="none" w="med" len="med"/>
                  </a14:hiddenLine>
                </a:ext>
              </a:extLst>
            </c:spPr>
          </c:dPt>
          <c:dPt>
            <c:idx val="13"/>
            <c:marker>
              <c:spPr>
                <a:pattFill>
                  <a:fgClr>
                    <a:srgbClr val="B40000"/>
                  </a:fgClr>
                  <a:bgClr>
                    <a:srgbClr val="B40000"/>
                  </a:bgClr>
                </a:patt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0000"/>
                      </a:solidFill>
                      <a:prstDash val="solid"/>
                      <a:round/>
                      <a:headEnd type="none" w="med" len="med"/>
                      <a:tailEnd type="none" w="med" len="med"/>
                    </a14:hiddenLine>
                  </a:ext>
                </a:extLst>
              </c:spPr>
            </c:marker>
            <c:bubble3D val="0"/>
            <c:spPr>
              <a:solidFill>
                <a:srgbClr val="FFFFFF"/>
              </a:solid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0000"/>
                    </a:solidFill>
                    <a:prstDash val="solid"/>
                    <a:round/>
                    <a:headEnd type="none" w="med" len="med"/>
                    <a:tailEnd type="none" w="med" len="med"/>
                  </a14:hiddenLine>
                </a:ext>
              </a:extLst>
            </c:spPr>
          </c:dPt>
          <c:dPt>
            <c:idx val="14"/>
            <c:marker>
              <c:spPr>
                <a:pattFill>
                  <a:fgClr>
                    <a:srgbClr val="B40000"/>
                  </a:fgClr>
                  <a:bgClr>
                    <a:srgbClr val="B40000"/>
                  </a:bgClr>
                </a:patt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0000"/>
                      </a:solidFill>
                      <a:prstDash val="solid"/>
                      <a:round/>
                      <a:headEnd type="none" w="med" len="med"/>
                      <a:tailEnd type="none" w="med" len="med"/>
                    </a14:hiddenLine>
                  </a:ext>
                </a:extLst>
              </c:spPr>
            </c:marker>
            <c:bubble3D val="0"/>
            <c:spPr>
              <a:solidFill>
                <a:srgbClr val="FFFFFF"/>
              </a:solid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0000"/>
                    </a:solidFill>
                    <a:prstDash val="solid"/>
                    <a:round/>
                    <a:headEnd type="none" w="med" len="med"/>
                    <a:tailEnd type="none" w="med" len="med"/>
                  </a14:hiddenLine>
                </a:ext>
              </a:extLst>
            </c:spPr>
          </c:dPt>
          <c:dPt>
            <c:idx val="15"/>
            <c:marker>
              <c:spPr>
                <a:pattFill>
                  <a:fgClr>
                    <a:srgbClr val="B4B400"/>
                  </a:fgClr>
                  <a:bgClr>
                    <a:srgbClr val="B4B400"/>
                  </a:bgClr>
                </a:patt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B400"/>
                      </a:solidFill>
                      <a:prstDash val="solid"/>
                      <a:round/>
                      <a:headEnd type="none" w="med" len="med"/>
                      <a:tailEnd type="none" w="med" len="med"/>
                    </a14:hiddenLine>
                  </a:ext>
                </a:extLst>
              </c:spPr>
            </c:marker>
            <c:bubble3D val="0"/>
            <c:spPr>
              <a:solidFill>
                <a:srgbClr val="FFFFFF"/>
              </a:solid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B400"/>
                    </a:solidFill>
                    <a:prstDash val="solid"/>
                    <a:round/>
                    <a:headEnd type="none" w="med" len="med"/>
                    <a:tailEnd type="none" w="med" len="med"/>
                  </a14:hiddenLine>
                </a:ext>
              </a:extLst>
            </c:spPr>
          </c:dPt>
          <c:dPt>
            <c:idx val="16"/>
            <c:marker>
              <c:spPr>
                <a:pattFill>
                  <a:fgClr>
                    <a:srgbClr val="B4B400"/>
                  </a:fgClr>
                  <a:bgClr>
                    <a:srgbClr val="B4B400"/>
                  </a:bgClr>
                </a:patt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B400"/>
                      </a:solidFill>
                      <a:prstDash val="solid"/>
                      <a:round/>
                      <a:headEnd type="none" w="med" len="med"/>
                      <a:tailEnd type="none" w="med" len="med"/>
                    </a14:hiddenLine>
                  </a:ext>
                </a:extLst>
              </c:spPr>
            </c:marker>
            <c:bubble3D val="0"/>
            <c:spPr>
              <a:solidFill>
                <a:srgbClr val="FFFFFF"/>
              </a:solid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B400"/>
                    </a:solidFill>
                    <a:prstDash val="solid"/>
                    <a:round/>
                    <a:headEnd type="none" w="med" len="med"/>
                    <a:tailEnd type="none" w="med" len="med"/>
                  </a14:hiddenLine>
                </a:ext>
              </a:extLst>
            </c:spPr>
          </c:dPt>
          <c:dPt>
            <c:idx val="17"/>
            <c:marker>
              <c:spPr>
                <a:pattFill>
                  <a:fgClr>
                    <a:srgbClr val="B4B400"/>
                  </a:fgClr>
                  <a:bgClr>
                    <a:srgbClr val="B4B400"/>
                  </a:bgClr>
                </a:patt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B400"/>
                      </a:solidFill>
                      <a:prstDash val="solid"/>
                      <a:round/>
                      <a:headEnd type="none" w="med" len="med"/>
                      <a:tailEnd type="none" w="med" len="med"/>
                    </a14:hiddenLine>
                  </a:ext>
                </a:extLst>
              </c:spPr>
            </c:marker>
            <c:bubble3D val="0"/>
            <c:spPr>
              <a:solidFill>
                <a:srgbClr val="FFFFFF"/>
              </a:solid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B400"/>
                    </a:solidFill>
                    <a:prstDash val="solid"/>
                    <a:round/>
                    <a:headEnd type="none" w="med" len="med"/>
                    <a:tailEnd type="none" w="med" len="med"/>
                  </a14:hiddenLine>
                </a:ext>
              </a:extLst>
            </c:spPr>
          </c:dPt>
          <c:dPt>
            <c:idx val="18"/>
            <c:marker>
              <c:spPr>
                <a:pattFill>
                  <a:fgClr>
                    <a:srgbClr val="B4B400"/>
                  </a:fgClr>
                  <a:bgClr>
                    <a:srgbClr val="B4B400"/>
                  </a:bgClr>
                </a:patt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B400"/>
                      </a:solidFill>
                      <a:prstDash val="solid"/>
                      <a:round/>
                      <a:headEnd type="none" w="med" len="med"/>
                      <a:tailEnd type="none" w="med" len="med"/>
                    </a14:hiddenLine>
                  </a:ext>
                </a:extLst>
              </c:spPr>
            </c:marker>
            <c:bubble3D val="0"/>
            <c:spPr>
              <a:solidFill>
                <a:srgbClr val="FFFFFF"/>
              </a:solid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B400"/>
                    </a:solidFill>
                    <a:prstDash val="solid"/>
                    <a:round/>
                    <a:headEnd type="none" w="med" len="med"/>
                    <a:tailEnd type="none" w="med" len="med"/>
                  </a14:hiddenLine>
                </a:ext>
              </a:extLst>
            </c:spPr>
          </c:dPt>
          <c:dPt>
            <c:idx val="19"/>
            <c:marker>
              <c:spPr>
                <a:pattFill>
                  <a:fgClr>
                    <a:srgbClr val="B4B400"/>
                  </a:fgClr>
                  <a:bgClr>
                    <a:srgbClr val="B4B400"/>
                  </a:bgClr>
                </a:patt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B400"/>
                      </a:solidFill>
                      <a:prstDash val="solid"/>
                      <a:round/>
                      <a:headEnd type="none" w="med" len="med"/>
                      <a:tailEnd type="none" w="med" len="med"/>
                    </a14:hiddenLine>
                  </a:ext>
                </a:extLst>
              </c:spPr>
            </c:marker>
            <c:bubble3D val="0"/>
            <c:spPr>
              <a:solidFill>
                <a:srgbClr val="FFFFFF"/>
              </a:solid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B400"/>
                    </a:solidFill>
                    <a:prstDash val="solid"/>
                    <a:round/>
                    <a:headEnd type="none" w="med" len="med"/>
                    <a:tailEnd type="none" w="med" len="med"/>
                  </a14:hiddenLine>
                </a:ext>
              </a:extLst>
            </c:spPr>
          </c:dPt>
          <c:dPt>
            <c:idx val="20"/>
            <c:marker>
              <c:spPr>
                <a:pattFill>
                  <a:fgClr>
                    <a:srgbClr val="B4B400"/>
                  </a:fgClr>
                  <a:bgClr>
                    <a:srgbClr val="B4B400"/>
                  </a:bgClr>
                </a:patt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B400"/>
                      </a:solidFill>
                      <a:prstDash val="solid"/>
                      <a:round/>
                      <a:headEnd type="none" w="med" len="med"/>
                      <a:tailEnd type="none" w="med" len="med"/>
                    </a14:hiddenLine>
                  </a:ext>
                </a:extLst>
              </c:spPr>
            </c:marker>
            <c:bubble3D val="0"/>
            <c:spPr>
              <a:solidFill>
                <a:srgbClr val="FFFFFF"/>
              </a:solid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B400"/>
                    </a:solidFill>
                    <a:prstDash val="solid"/>
                    <a:round/>
                    <a:headEnd type="none" w="med" len="med"/>
                    <a:tailEnd type="none" w="med" len="med"/>
                  </a14:hiddenLine>
                </a:ext>
              </a:extLst>
            </c:spPr>
          </c:dPt>
          <c:dPt>
            <c:idx val="21"/>
            <c:marker>
              <c:spPr>
                <a:pattFill>
                  <a:fgClr>
                    <a:srgbClr val="B4B400"/>
                  </a:fgClr>
                  <a:bgClr>
                    <a:srgbClr val="B4B400"/>
                  </a:bgClr>
                </a:patt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B400"/>
                      </a:solidFill>
                      <a:prstDash val="solid"/>
                      <a:round/>
                      <a:headEnd type="none" w="med" len="med"/>
                      <a:tailEnd type="none" w="med" len="med"/>
                    </a14:hiddenLine>
                  </a:ext>
                </a:extLst>
              </c:spPr>
            </c:marker>
            <c:bubble3D val="0"/>
            <c:spPr>
              <a:solidFill>
                <a:srgbClr val="FFFFFF"/>
              </a:solid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B400"/>
                    </a:solidFill>
                    <a:prstDash val="solid"/>
                    <a:round/>
                    <a:headEnd type="none" w="med" len="med"/>
                    <a:tailEnd type="none" w="med" len="med"/>
                  </a14:hiddenLine>
                </a:ext>
              </a:extLst>
            </c:spPr>
          </c:dPt>
          <c:dPt>
            <c:idx val="22"/>
            <c:marker>
              <c:spPr>
                <a:pattFill>
                  <a:fgClr>
                    <a:srgbClr val="B4B400"/>
                  </a:fgClr>
                  <a:bgClr>
                    <a:srgbClr val="B4B400"/>
                  </a:bgClr>
                </a:patt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B400"/>
                      </a:solidFill>
                      <a:prstDash val="solid"/>
                      <a:round/>
                      <a:headEnd type="none" w="med" len="med"/>
                      <a:tailEnd type="none" w="med" len="med"/>
                    </a14:hiddenLine>
                  </a:ext>
                </a:extLst>
              </c:spPr>
            </c:marker>
            <c:bubble3D val="0"/>
            <c:spPr>
              <a:solidFill>
                <a:srgbClr val="FFFFFF"/>
              </a:solid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B400"/>
                    </a:solidFill>
                    <a:prstDash val="solid"/>
                    <a:round/>
                    <a:headEnd type="none" w="med" len="med"/>
                    <a:tailEnd type="none" w="med" len="med"/>
                  </a14:hiddenLine>
                </a:ext>
              </a:extLst>
            </c:spPr>
          </c:dPt>
          <c:dPt>
            <c:idx val="23"/>
            <c:marker>
              <c:spPr>
                <a:pattFill>
                  <a:fgClr>
                    <a:srgbClr val="B4B400"/>
                  </a:fgClr>
                  <a:bgClr>
                    <a:srgbClr val="B4B400"/>
                  </a:bgClr>
                </a:patt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B400"/>
                      </a:solidFill>
                      <a:prstDash val="solid"/>
                      <a:round/>
                      <a:headEnd type="none" w="med" len="med"/>
                      <a:tailEnd type="none" w="med" len="med"/>
                    </a14:hiddenLine>
                  </a:ext>
                </a:extLst>
              </c:spPr>
            </c:marker>
            <c:bubble3D val="0"/>
            <c:spPr>
              <a:solidFill>
                <a:srgbClr val="FFFFFF"/>
              </a:solid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B400"/>
                    </a:solidFill>
                    <a:prstDash val="solid"/>
                    <a:round/>
                    <a:headEnd type="none" w="med" len="med"/>
                    <a:tailEnd type="none" w="med" len="med"/>
                  </a14:hiddenLine>
                </a:ext>
              </a:extLst>
            </c:spPr>
          </c:dPt>
          <c:dPt>
            <c:idx val="24"/>
            <c:marker>
              <c:spPr>
                <a:pattFill>
                  <a:fgClr>
                    <a:srgbClr val="B4B400"/>
                  </a:fgClr>
                  <a:bgClr>
                    <a:srgbClr val="B4B400"/>
                  </a:bgClr>
                </a:patt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B400"/>
                      </a:solidFill>
                      <a:prstDash val="solid"/>
                      <a:round/>
                      <a:headEnd type="none" w="med" len="med"/>
                      <a:tailEnd type="none" w="med" len="med"/>
                    </a14:hiddenLine>
                  </a:ext>
                </a:extLst>
              </c:spPr>
            </c:marker>
            <c:bubble3D val="0"/>
            <c:spPr>
              <a:solidFill>
                <a:srgbClr val="FFFFFF"/>
              </a:solid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B400"/>
                    </a:solidFill>
                    <a:prstDash val="solid"/>
                    <a:round/>
                    <a:headEnd type="none" w="med" len="med"/>
                    <a:tailEnd type="none" w="med" len="med"/>
                  </a14:hiddenLine>
                </a:ext>
              </a:extLst>
            </c:spPr>
          </c:dPt>
          <c:dPt>
            <c:idx val="25"/>
            <c:marker>
              <c:spPr>
                <a:pattFill>
                  <a:fgClr>
                    <a:srgbClr val="B4B400"/>
                  </a:fgClr>
                  <a:bgClr>
                    <a:srgbClr val="B4B400"/>
                  </a:bgClr>
                </a:patt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B400"/>
                      </a:solidFill>
                      <a:prstDash val="solid"/>
                      <a:round/>
                      <a:headEnd type="none" w="med" len="med"/>
                      <a:tailEnd type="none" w="med" len="med"/>
                    </a14:hiddenLine>
                  </a:ext>
                </a:extLst>
              </c:spPr>
            </c:marker>
            <c:bubble3D val="0"/>
            <c:spPr>
              <a:solidFill>
                <a:srgbClr val="FFFFFF"/>
              </a:solid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B400"/>
                    </a:solidFill>
                    <a:prstDash val="solid"/>
                    <a:round/>
                    <a:headEnd type="none" w="med" len="med"/>
                    <a:tailEnd type="none" w="med" len="med"/>
                  </a14:hiddenLine>
                </a:ext>
              </a:extLst>
            </c:spPr>
          </c:dPt>
          <c:dPt>
            <c:idx val="26"/>
            <c:marker>
              <c:spPr>
                <a:pattFill>
                  <a:fgClr>
                    <a:srgbClr val="00B400"/>
                  </a:fgClr>
                  <a:bgClr>
                    <a:srgbClr val="00B400"/>
                  </a:bgClr>
                </a:patt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00B400"/>
                      </a:solidFill>
                      <a:prstDash val="solid"/>
                      <a:round/>
                      <a:headEnd type="none" w="med" len="med"/>
                      <a:tailEnd type="none" w="med" len="med"/>
                    </a14:hiddenLine>
                  </a:ext>
                </a:extLst>
              </c:spPr>
            </c:marker>
            <c:bubble3D val="0"/>
            <c:spPr>
              <a:solidFill>
                <a:srgbClr val="FFFFFF"/>
              </a:solid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00B400"/>
                    </a:solidFill>
                    <a:prstDash val="solid"/>
                    <a:round/>
                    <a:headEnd type="none" w="med" len="med"/>
                    <a:tailEnd type="none" w="med" len="med"/>
                  </a14:hiddenLine>
                </a:ext>
              </a:extLst>
            </c:spPr>
          </c:dPt>
          <c:dPt>
            <c:idx val="27"/>
            <c:marker>
              <c:spPr>
                <a:pattFill>
                  <a:fgClr>
                    <a:srgbClr val="00B400"/>
                  </a:fgClr>
                  <a:bgClr>
                    <a:srgbClr val="00B400"/>
                  </a:bgClr>
                </a:patt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00B400"/>
                      </a:solidFill>
                      <a:prstDash val="solid"/>
                      <a:round/>
                      <a:headEnd type="none" w="med" len="med"/>
                      <a:tailEnd type="none" w="med" len="med"/>
                    </a14:hiddenLine>
                  </a:ext>
                </a:extLst>
              </c:spPr>
            </c:marker>
            <c:bubble3D val="0"/>
            <c:spPr>
              <a:solidFill>
                <a:srgbClr val="FFFFFF"/>
              </a:solid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00B400"/>
                    </a:solidFill>
                    <a:prstDash val="solid"/>
                    <a:round/>
                    <a:headEnd type="none" w="med" len="med"/>
                    <a:tailEnd type="none" w="med" len="med"/>
                  </a14:hiddenLine>
                </a:ext>
              </a:extLst>
            </c:spPr>
          </c:dPt>
          <c:dLbls>
            <c:dLbl>
              <c:idx val="0"/>
              <c:layout/>
              <c:tx>
                <c:rich>
                  <a:bodyPr/>
                  <a:lstStyle/>
                  <a:p>
                    <a:r>
                      <a:rPr lang="en-US"/>
                      <a:t>P20</a:t>
                    </a:r>
                  </a:p>
                </c:rich>
              </c:tx>
              <c:showLegendKey val="0"/>
              <c:showVal val="1"/>
              <c:showCatName val="0"/>
              <c:showSerName val="0"/>
              <c:showPercent val="0"/>
              <c:showBubbleSize val="0"/>
            </c:dLbl>
            <c:dLbl>
              <c:idx val="1"/>
              <c:layout/>
              <c:tx>
                <c:rich>
                  <a:bodyPr/>
                  <a:lstStyle/>
                  <a:p>
                    <a:r>
                      <a:rPr lang="en-US"/>
                      <a:t>P14</a:t>
                    </a:r>
                  </a:p>
                </c:rich>
              </c:tx>
              <c:showLegendKey val="0"/>
              <c:showVal val="1"/>
              <c:showCatName val="0"/>
              <c:showSerName val="0"/>
              <c:showPercent val="0"/>
              <c:showBubbleSize val="0"/>
            </c:dLbl>
            <c:dLbl>
              <c:idx val="2"/>
              <c:layout/>
              <c:tx>
                <c:rich>
                  <a:bodyPr/>
                  <a:lstStyle/>
                  <a:p>
                    <a:r>
                      <a:rPr lang="en-US"/>
                      <a:t>P15</a:t>
                    </a:r>
                  </a:p>
                </c:rich>
              </c:tx>
              <c:showLegendKey val="0"/>
              <c:showVal val="1"/>
              <c:showCatName val="0"/>
              <c:showSerName val="0"/>
              <c:showPercent val="0"/>
              <c:showBubbleSize val="0"/>
            </c:dLbl>
            <c:dLbl>
              <c:idx val="3"/>
              <c:layout/>
              <c:tx>
                <c:rich>
                  <a:bodyPr/>
                  <a:lstStyle/>
                  <a:p>
                    <a:r>
                      <a:rPr lang="en-US"/>
                      <a:t>P7</a:t>
                    </a:r>
                  </a:p>
                </c:rich>
              </c:tx>
              <c:showLegendKey val="0"/>
              <c:showVal val="1"/>
              <c:showCatName val="0"/>
              <c:showSerName val="0"/>
              <c:showPercent val="0"/>
              <c:showBubbleSize val="0"/>
            </c:dLbl>
            <c:dLbl>
              <c:idx val="4"/>
              <c:layout/>
              <c:tx>
                <c:rich>
                  <a:bodyPr/>
                  <a:lstStyle/>
                  <a:p>
                    <a:r>
                      <a:rPr lang="en-US"/>
                      <a:t>P25</a:t>
                    </a:r>
                  </a:p>
                </c:rich>
              </c:tx>
              <c:showLegendKey val="0"/>
              <c:showVal val="1"/>
              <c:showCatName val="0"/>
              <c:showSerName val="0"/>
              <c:showPercent val="0"/>
              <c:showBubbleSize val="0"/>
            </c:dLbl>
            <c:dLbl>
              <c:idx val="5"/>
              <c:layout/>
              <c:tx>
                <c:rich>
                  <a:bodyPr/>
                  <a:lstStyle/>
                  <a:p>
                    <a:r>
                      <a:rPr lang="en-US"/>
                      <a:t>P22</a:t>
                    </a:r>
                  </a:p>
                </c:rich>
              </c:tx>
              <c:showLegendKey val="0"/>
              <c:showVal val="1"/>
              <c:showCatName val="0"/>
              <c:showSerName val="0"/>
              <c:showPercent val="0"/>
              <c:showBubbleSize val="0"/>
            </c:dLbl>
            <c:dLbl>
              <c:idx val="6"/>
              <c:layout/>
              <c:tx>
                <c:rich>
                  <a:bodyPr/>
                  <a:lstStyle/>
                  <a:p>
                    <a:r>
                      <a:rPr lang="en-US"/>
                      <a:t>P2</a:t>
                    </a:r>
                  </a:p>
                </c:rich>
              </c:tx>
              <c:showLegendKey val="0"/>
              <c:showVal val="1"/>
              <c:showCatName val="0"/>
              <c:showSerName val="0"/>
              <c:showPercent val="0"/>
              <c:showBubbleSize val="0"/>
            </c:dLbl>
            <c:dLbl>
              <c:idx val="7"/>
              <c:layout/>
              <c:tx>
                <c:rich>
                  <a:bodyPr/>
                  <a:lstStyle/>
                  <a:p>
                    <a:r>
                      <a:rPr lang="en-US"/>
                      <a:t>P27</a:t>
                    </a:r>
                  </a:p>
                </c:rich>
              </c:tx>
              <c:showLegendKey val="0"/>
              <c:showVal val="1"/>
              <c:showCatName val="0"/>
              <c:showSerName val="0"/>
              <c:showPercent val="0"/>
              <c:showBubbleSize val="0"/>
            </c:dLbl>
            <c:dLbl>
              <c:idx val="8"/>
              <c:layout/>
              <c:tx>
                <c:rich>
                  <a:bodyPr/>
                  <a:lstStyle/>
                  <a:p>
                    <a:r>
                      <a:rPr lang="en-US"/>
                      <a:t>P24</a:t>
                    </a:r>
                  </a:p>
                </c:rich>
              </c:tx>
              <c:showLegendKey val="0"/>
              <c:showVal val="1"/>
              <c:showCatName val="0"/>
              <c:showSerName val="0"/>
              <c:showPercent val="0"/>
              <c:showBubbleSize val="0"/>
            </c:dLbl>
            <c:dLbl>
              <c:idx val="9"/>
              <c:layout/>
              <c:tx>
                <c:rich>
                  <a:bodyPr/>
                  <a:lstStyle/>
                  <a:p>
                    <a:r>
                      <a:rPr lang="en-US"/>
                      <a:t>P6</a:t>
                    </a:r>
                  </a:p>
                </c:rich>
              </c:tx>
              <c:showLegendKey val="0"/>
              <c:showVal val="1"/>
              <c:showCatName val="0"/>
              <c:showSerName val="0"/>
              <c:showPercent val="0"/>
              <c:showBubbleSize val="0"/>
            </c:dLbl>
            <c:dLbl>
              <c:idx val="10"/>
              <c:layout/>
              <c:tx>
                <c:rich>
                  <a:bodyPr/>
                  <a:lstStyle/>
                  <a:p>
                    <a:r>
                      <a:rPr lang="en-US"/>
                      <a:t>P18</a:t>
                    </a:r>
                  </a:p>
                </c:rich>
              </c:tx>
              <c:showLegendKey val="0"/>
              <c:showVal val="1"/>
              <c:showCatName val="0"/>
              <c:showSerName val="0"/>
              <c:showPercent val="0"/>
              <c:showBubbleSize val="0"/>
            </c:dLbl>
            <c:dLbl>
              <c:idx val="11"/>
              <c:layout/>
              <c:tx>
                <c:rich>
                  <a:bodyPr/>
                  <a:lstStyle/>
                  <a:p>
                    <a:r>
                      <a:rPr lang="en-US"/>
                      <a:t>P23</a:t>
                    </a:r>
                  </a:p>
                </c:rich>
              </c:tx>
              <c:showLegendKey val="0"/>
              <c:showVal val="1"/>
              <c:showCatName val="0"/>
              <c:showSerName val="0"/>
              <c:showPercent val="0"/>
              <c:showBubbleSize val="0"/>
            </c:dLbl>
            <c:dLbl>
              <c:idx val="12"/>
              <c:layout/>
              <c:tx>
                <c:rich>
                  <a:bodyPr/>
                  <a:lstStyle/>
                  <a:p>
                    <a:r>
                      <a:rPr lang="en-US"/>
                      <a:t>P19</a:t>
                    </a:r>
                  </a:p>
                </c:rich>
              </c:tx>
              <c:showLegendKey val="0"/>
              <c:showVal val="1"/>
              <c:showCatName val="0"/>
              <c:showSerName val="0"/>
              <c:showPercent val="0"/>
              <c:showBubbleSize val="0"/>
            </c:dLbl>
            <c:dLbl>
              <c:idx val="13"/>
              <c:layout/>
              <c:tx>
                <c:rich>
                  <a:bodyPr/>
                  <a:lstStyle/>
                  <a:p>
                    <a:r>
                      <a:rPr lang="en-US"/>
                      <a:t>P13</a:t>
                    </a:r>
                  </a:p>
                </c:rich>
              </c:tx>
              <c:showLegendKey val="0"/>
              <c:showVal val="1"/>
              <c:showCatName val="0"/>
              <c:showSerName val="0"/>
              <c:showPercent val="0"/>
              <c:showBubbleSize val="0"/>
            </c:dLbl>
            <c:dLbl>
              <c:idx val="14"/>
              <c:layout/>
              <c:tx>
                <c:rich>
                  <a:bodyPr/>
                  <a:lstStyle/>
                  <a:p>
                    <a:r>
                      <a:rPr lang="en-US"/>
                      <a:t>P28</a:t>
                    </a:r>
                  </a:p>
                </c:rich>
              </c:tx>
              <c:showLegendKey val="0"/>
              <c:showVal val="1"/>
              <c:showCatName val="0"/>
              <c:showSerName val="0"/>
              <c:showPercent val="0"/>
              <c:showBubbleSize val="0"/>
            </c:dLbl>
            <c:dLbl>
              <c:idx val="15"/>
              <c:layout/>
              <c:tx>
                <c:rich>
                  <a:bodyPr/>
                  <a:lstStyle/>
                  <a:p>
                    <a:r>
                      <a:rPr lang="en-US"/>
                      <a:t>P17</a:t>
                    </a:r>
                  </a:p>
                </c:rich>
              </c:tx>
              <c:showLegendKey val="0"/>
              <c:showVal val="1"/>
              <c:showCatName val="0"/>
              <c:showSerName val="0"/>
              <c:showPercent val="0"/>
              <c:showBubbleSize val="0"/>
            </c:dLbl>
            <c:dLbl>
              <c:idx val="16"/>
              <c:layout/>
              <c:tx>
                <c:rich>
                  <a:bodyPr/>
                  <a:lstStyle/>
                  <a:p>
                    <a:r>
                      <a:rPr lang="en-US"/>
                      <a:t>P26</a:t>
                    </a:r>
                  </a:p>
                </c:rich>
              </c:tx>
              <c:showLegendKey val="0"/>
              <c:showVal val="1"/>
              <c:showCatName val="0"/>
              <c:showSerName val="0"/>
              <c:showPercent val="0"/>
              <c:showBubbleSize val="0"/>
            </c:dLbl>
            <c:dLbl>
              <c:idx val="17"/>
              <c:layout/>
              <c:tx>
                <c:rich>
                  <a:bodyPr/>
                  <a:lstStyle/>
                  <a:p>
                    <a:r>
                      <a:rPr lang="en-US"/>
                      <a:t>P3</a:t>
                    </a:r>
                  </a:p>
                </c:rich>
              </c:tx>
              <c:showLegendKey val="0"/>
              <c:showVal val="1"/>
              <c:showCatName val="0"/>
              <c:showSerName val="0"/>
              <c:showPercent val="0"/>
              <c:showBubbleSize val="0"/>
            </c:dLbl>
            <c:dLbl>
              <c:idx val="18"/>
              <c:layout/>
              <c:tx>
                <c:rich>
                  <a:bodyPr/>
                  <a:lstStyle/>
                  <a:p>
                    <a:r>
                      <a:rPr lang="en-US"/>
                      <a:t>P16</a:t>
                    </a:r>
                  </a:p>
                </c:rich>
              </c:tx>
              <c:showLegendKey val="0"/>
              <c:showVal val="1"/>
              <c:showCatName val="0"/>
              <c:showSerName val="0"/>
              <c:showPercent val="0"/>
              <c:showBubbleSize val="0"/>
            </c:dLbl>
            <c:dLbl>
              <c:idx val="19"/>
              <c:layout/>
              <c:tx>
                <c:rich>
                  <a:bodyPr/>
                  <a:lstStyle/>
                  <a:p>
                    <a:r>
                      <a:rPr lang="en-US"/>
                      <a:t>P9</a:t>
                    </a:r>
                  </a:p>
                </c:rich>
              </c:tx>
              <c:showLegendKey val="0"/>
              <c:showVal val="1"/>
              <c:showCatName val="0"/>
              <c:showSerName val="0"/>
              <c:showPercent val="0"/>
              <c:showBubbleSize val="0"/>
            </c:dLbl>
            <c:dLbl>
              <c:idx val="20"/>
              <c:layout/>
              <c:tx>
                <c:rich>
                  <a:bodyPr/>
                  <a:lstStyle/>
                  <a:p>
                    <a:r>
                      <a:rPr lang="en-US"/>
                      <a:t>P8</a:t>
                    </a:r>
                  </a:p>
                </c:rich>
              </c:tx>
              <c:showLegendKey val="0"/>
              <c:showVal val="1"/>
              <c:showCatName val="0"/>
              <c:showSerName val="0"/>
              <c:showPercent val="0"/>
              <c:showBubbleSize val="0"/>
            </c:dLbl>
            <c:dLbl>
              <c:idx val="21"/>
              <c:layout/>
              <c:tx>
                <c:rich>
                  <a:bodyPr/>
                  <a:lstStyle/>
                  <a:p>
                    <a:r>
                      <a:rPr lang="en-US"/>
                      <a:t>P21</a:t>
                    </a:r>
                  </a:p>
                </c:rich>
              </c:tx>
              <c:showLegendKey val="0"/>
              <c:showVal val="1"/>
              <c:showCatName val="0"/>
              <c:showSerName val="0"/>
              <c:showPercent val="0"/>
              <c:showBubbleSize val="0"/>
            </c:dLbl>
            <c:dLbl>
              <c:idx val="22"/>
              <c:layout/>
              <c:tx>
                <c:rich>
                  <a:bodyPr/>
                  <a:lstStyle/>
                  <a:p>
                    <a:r>
                      <a:rPr lang="en-US"/>
                      <a:t>P1</a:t>
                    </a:r>
                  </a:p>
                </c:rich>
              </c:tx>
              <c:showLegendKey val="0"/>
              <c:showVal val="1"/>
              <c:showCatName val="0"/>
              <c:showSerName val="0"/>
              <c:showPercent val="0"/>
              <c:showBubbleSize val="0"/>
            </c:dLbl>
            <c:dLbl>
              <c:idx val="23"/>
              <c:layout/>
              <c:tx>
                <c:rich>
                  <a:bodyPr/>
                  <a:lstStyle/>
                  <a:p>
                    <a:r>
                      <a:rPr lang="en-US"/>
                      <a:t>P11</a:t>
                    </a:r>
                  </a:p>
                </c:rich>
              </c:tx>
              <c:showLegendKey val="0"/>
              <c:showVal val="1"/>
              <c:showCatName val="0"/>
              <c:showSerName val="0"/>
              <c:showPercent val="0"/>
              <c:showBubbleSize val="0"/>
            </c:dLbl>
            <c:dLbl>
              <c:idx val="24"/>
              <c:layout/>
              <c:tx>
                <c:rich>
                  <a:bodyPr/>
                  <a:lstStyle/>
                  <a:p>
                    <a:r>
                      <a:rPr lang="en-US"/>
                      <a:t>P4</a:t>
                    </a:r>
                  </a:p>
                </c:rich>
              </c:tx>
              <c:showLegendKey val="0"/>
              <c:showVal val="1"/>
              <c:showCatName val="0"/>
              <c:showSerName val="0"/>
              <c:showPercent val="0"/>
              <c:showBubbleSize val="0"/>
            </c:dLbl>
            <c:dLbl>
              <c:idx val="25"/>
              <c:layout/>
              <c:tx>
                <c:rich>
                  <a:bodyPr/>
                  <a:lstStyle/>
                  <a:p>
                    <a:r>
                      <a:rPr lang="en-US"/>
                      <a:t>P12</a:t>
                    </a:r>
                  </a:p>
                </c:rich>
              </c:tx>
              <c:showLegendKey val="0"/>
              <c:showVal val="1"/>
              <c:showCatName val="0"/>
              <c:showSerName val="0"/>
              <c:showPercent val="0"/>
              <c:showBubbleSize val="0"/>
            </c:dLbl>
            <c:dLbl>
              <c:idx val="26"/>
              <c:layout/>
              <c:tx>
                <c:rich>
                  <a:bodyPr/>
                  <a:lstStyle/>
                  <a:p>
                    <a:r>
                      <a:rPr lang="en-US"/>
                      <a:t>P10</a:t>
                    </a:r>
                  </a:p>
                </c:rich>
              </c:tx>
              <c:showLegendKey val="0"/>
              <c:showVal val="1"/>
              <c:showCatName val="0"/>
              <c:showSerName val="0"/>
              <c:showPercent val="0"/>
              <c:showBubbleSize val="0"/>
            </c:dLbl>
            <c:dLbl>
              <c:idx val="27"/>
              <c:layout/>
              <c:tx>
                <c:rich>
                  <a:bodyPr/>
                  <a:lstStyle/>
                  <a:p>
                    <a:r>
                      <a:rPr lang="en-US"/>
                      <a:t>P5</a:t>
                    </a:r>
                  </a:p>
                </c:rich>
              </c:tx>
              <c:showLegendKey val="0"/>
              <c:showVal val="1"/>
              <c:showCatName val="0"/>
              <c:showSerName val="0"/>
              <c:showPercent val="0"/>
              <c:showBubbleSize val="0"/>
            </c:dLbl>
            <c:showLegendKey val="0"/>
            <c:showVal val="1"/>
            <c:showCatName val="0"/>
            <c:showSerName val="0"/>
            <c:showPercent val="0"/>
            <c:showBubbleSize val="0"/>
            <c:showLeaderLines val="0"/>
          </c:dLbls>
          <c:xVal>
            <c:numRef>
              <c:f>'IPF Matrix'!$J$3:$J$30</c:f>
              <c:numCache>
                <c:formatCode>General</c:formatCode>
                <c:ptCount val="28"/>
                <c:pt idx="0">
                  <c:v>44.736635151440375</c:v>
                </c:pt>
                <c:pt idx="1">
                  <c:v>43.520991580309243</c:v>
                </c:pt>
                <c:pt idx="2">
                  <c:v>17.500936896523843</c:v>
                </c:pt>
                <c:pt idx="3">
                  <c:v>23.08211737795801</c:v>
                </c:pt>
                <c:pt idx="4">
                  <c:v>32.39561013708866</c:v>
                </c:pt>
                <c:pt idx="5">
                  <c:v>64.150533796115624</c:v>
                </c:pt>
                <c:pt idx="6">
                  <c:v>48.281284287045843</c:v>
                </c:pt>
                <c:pt idx="7">
                  <c:v>2.023525903704797</c:v>
                </c:pt>
                <c:pt idx="8">
                  <c:v>59.70091589343405</c:v>
                </c:pt>
                <c:pt idx="9">
                  <c:v>36.710777620910861</c:v>
                </c:pt>
                <c:pt idx="10">
                  <c:v>28.103409907901796</c:v>
                </c:pt>
                <c:pt idx="11">
                  <c:v>45.783134219472423</c:v>
                </c:pt>
                <c:pt idx="12">
                  <c:v>38.304700058750655</c:v>
                </c:pt>
                <c:pt idx="13">
                  <c:v>48.750601340205911</c:v>
                </c:pt>
                <c:pt idx="14">
                  <c:v>45.604169540939985</c:v>
                </c:pt>
                <c:pt idx="15">
                  <c:v>72.403756309053193</c:v>
                </c:pt>
                <c:pt idx="16">
                  <c:v>72.653298040538232</c:v>
                </c:pt>
                <c:pt idx="17">
                  <c:v>100</c:v>
                </c:pt>
                <c:pt idx="18">
                  <c:v>65.855281784266921</c:v>
                </c:pt>
                <c:pt idx="19">
                  <c:v>66.542453095214825</c:v>
                </c:pt>
                <c:pt idx="20">
                  <c:v>62.849274437047889</c:v>
                </c:pt>
                <c:pt idx="21">
                  <c:v>42.4872739270916</c:v>
                </c:pt>
                <c:pt idx="22">
                  <c:v>0</c:v>
                </c:pt>
                <c:pt idx="23">
                  <c:v>62.513819812972713</c:v>
                </c:pt>
                <c:pt idx="24">
                  <c:v>47.341677548874713</c:v>
                </c:pt>
                <c:pt idx="25">
                  <c:v>40.073006723844493</c:v>
                </c:pt>
                <c:pt idx="26">
                  <c:v>98.217798759212556</c:v>
                </c:pt>
                <c:pt idx="27">
                  <c:v>81.756079938771137</c:v>
                </c:pt>
              </c:numCache>
            </c:numRef>
          </c:xVal>
          <c:yVal>
            <c:numRef>
              <c:f>'IPF Matrix'!$I$3:$I$30</c:f>
              <c:numCache>
                <c:formatCode>General</c:formatCode>
                <c:ptCount val="28"/>
                <c:pt idx="0">
                  <c:v>50.007480250680558</c:v>
                </c:pt>
                <c:pt idx="1">
                  <c:v>3.1876835748931631</c:v>
                </c:pt>
                <c:pt idx="2">
                  <c:v>12.181525800614383</c:v>
                </c:pt>
                <c:pt idx="3">
                  <c:v>40.642035587311589</c:v>
                </c:pt>
                <c:pt idx="4">
                  <c:v>22.412769499699003</c:v>
                </c:pt>
                <c:pt idx="5">
                  <c:v>25.74742485966004</c:v>
                </c:pt>
                <c:pt idx="6">
                  <c:v>26.406748298628013</c:v>
                </c:pt>
                <c:pt idx="7">
                  <c:v>26.427641432772653</c:v>
                </c:pt>
                <c:pt idx="8">
                  <c:v>28.954451375511987</c:v>
                </c:pt>
                <c:pt idx="9">
                  <c:v>30.163248678254639</c:v>
                </c:pt>
                <c:pt idx="10">
                  <c:v>40.270775932950322</c:v>
                </c:pt>
                <c:pt idx="11">
                  <c:v>31.982849913823213</c:v>
                </c:pt>
                <c:pt idx="12">
                  <c:v>31.985499270627326</c:v>
                </c:pt>
                <c:pt idx="13">
                  <c:v>34.189962457309868</c:v>
                </c:pt>
                <c:pt idx="14">
                  <c:v>36.026342818999169</c:v>
                </c:pt>
                <c:pt idx="15">
                  <c:v>39.687562307851735</c:v>
                </c:pt>
                <c:pt idx="16">
                  <c:v>30.727707203055456</c:v>
                </c:pt>
                <c:pt idx="17">
                  <c:v>14.456308071837285</c:v>
                </c:pt>
                <c:pt idx="18">
                  <c:v>45.138662726693354</c:v>
                </c:pt>
                <c:pt idx="19">
                  <c:v>0.74471647616712822</c:v>
                </c:pt>
                <c:pt idx="20">
                  <c:v>54.323693927348906</c:v>
                </c:pt>
                <c:pt idx="21">
                  <c:v>100</c:v>
                </c:pt>
                <c:pt idx="22">
                  <c:v>59.072644235894536</c:v>
                </c:pt>
                <c:pt idx="23">
                  <c:v>72.361271775596904</c:v>
                </c:pt>
                <c:pt idx="24">
                  <c:v>72.56976898202592</c:v>
                </c:pt>
                <c:pt idx="25">
                  <c:v>95.103901756386549</c:v>
                </c:pt>
                <c:pt idx="26">
                  <c:v>84.076202764765185</c:v>
                </c:pt>
                <c:pt idx="27">
                  <c:v>58.623232210413178</c:v>
                </c:pt>
              </c:numCache>
            </c:numRef>
          </c:yVal>
          <c:smooth val="0"/>
        </c:ser>
        <c:dLbls>
          <c:showLegendKey val="0"/>
          <c:showVal val="0"/>
          <c:showCatName val="0"/>
          <c:showSerName val="0"/>
          <c:showPercent val="0"/>
          <c:showBubbleSize val="0"/>
        </c:dLbls>
        <c:axId val="336173248"/>
        <c:axId val="336171520"/>
      </c:scatterChart>
      <c:valAx>
        <c:axId val="336173248"/>
        <c:scaling>
          <c:orientation val="minMax"/>
          <c:max val="100"/>
        </c:scaling>
        <c:delete val="0"/>
        <c:axPos val="b"/>
        <c:title>
          <c:tx>
            <c:rich>
              <a:bodyPr/>
              <a:lstStyle/>
              <a:p>
                <a:pPr>
                  <a:defRPr sz="1050" b="1"/>
                </a:pPr>
                <a:r>
                  <a:rPr lang="en-US"/>
                  <a:t>FEI - Constrained Solution 1</a:t>
                </a:r>
              </a:p>
            </c:rich>
          </c:tx>
          <c:layout/>
          <c:overlay val="0"/>
        </c:title>
        <c:numFmt formatCode="General" sourceLinked="1"/>
        <c:majorTickMark val="out"/>
        <c:minorTickMark val="none"/>
        <c:tickLblPos val="nextTo"/>
        <c:spPr>
          <a:ln>
            <a:solidFill>
              <a:srgbClr val="000000"/>
            </a:solidFill>
          </a:ln>
        </c:spPr>
        <c:txPr>
          <a:bodyPr/>
          <a:lstStyle/>
          <a:p>
            <a:pPr>
              <a:defRPr sz="800">
                <a:solidFill>
                  <a:srgbClr val="000000"/>
                </a:solidFill>
              </a:defRPr>
            </a:pPr>
            <a:endParaRPr lang="en-US"/>
          </a:p>
        </c:txPr>
        <c:crossAx val="336171520"/>
        <c:crosses val="autoZero"/>
        <c:crossBetween val="midCat"/>
      </c:valAx>
      <c:valAx>
        <c:axId val="336171520"/>
        <c:scaling>
          <c:orientation val="minMax"/>
          <c:max val="100"/>
        </c:scaling>
        <c:delete val="0"/>
        <c:axPos val="l"/>
        <c:majorGridlines>
          <c:spPr>
            <a:ln>
              <a:solidFill>
                <a:srgbClr val="F4F4F4"/>
              </a:solidFill>
              <a:prstDash val="solid"/>
            </a:ln>
          </c:spPr>
        </c:majorGridlines>
        <c:title>
          <c:tx>
            <c:rich>
              <a:bodyPr/>
              <a:lstStyle/>
              <a:p>
                <a:pPr>
                  <a:defRPr sz="1050" b="1"/>
                </a:pPr>
                <a:r>
                  <a:rPr lang="en-US"/>
                  <a:t>SEI - Constrained Solution 2</a:t>
                </a:r>
              </a:p>
            </c:rich>
          </c:tx>
          <c:layout/>
          <c:overlay val="0"/>
        </c:title>
        <c:numFmt formatCode="General" sourceLinked="1"/>
        <c:majorTickMark val="out"/>
        <c:minorTickMark val="none"/>
        <c:tickLblPos val="nextTo"/>
        <c:spPr>
          <a:ln>
            <a:solidFill>
              <a:srgbClr val="000000"/>
            </a:solidFill>
          </a:ln>
        </c:spPr>
        <c:txPr>
          <a:bodyPr/>
          <a:lstStyle/>
          <a:p>
            <a:pPr>
              <a:defRPr sz="800">
                <a:solidFill>
                  <a:srgbClr val="000000"/>
                </a:solidFill>
              </a:defRPr>
            </a:pPr>
            <a:endParaRPr lang="en-US"/>
          </a:p>
        </c:txPr>
        <c:crossAx val="336173248"/>
        <c:crosses val="autoZero"/>
        <c:crossBetween val="midCat"/>
      </c:valAx>
    </c:plotArea>
    <c:plotVisOnly val="1"/>
    <c:dispBlanksAs val="gap"/>
    <c:showDLblsOverMax val="0"/>
  </c:chart>
  <c:spPr>
    <a:ln w="6350">
      <a:noFill/>
    </a:ln>
  </c:spPr>
  <c:printSettings>
    <c:headerFooter/>
    <c:pageMargins b="0.75" l="0.7" r="0.7" t="0.75" header="0.3" footer="0.3"/>
    <c:pageSetup/>
  </c:printSettings>
  <c:userShapes r:id="rId1"/>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6.4162679425837324E-2"/>
          <c:y val="3.5369774919614148E-2"/>
          <c:w val="0.90952153110047851"/>
          <c:h val="0.88102893890675238"/>
        </c:manualLayout>
      </c:layout>
      <c:scatterChart>
        <c:scatterStyle val="lineMarker"/>
        <c:varyColors val="0"/>
        <c:ser>
          <c:idx val="0"/>
          <c:order val="0"/>
          <c:spPr>
            <a:solidFill>
              <a:srgbClr val="FFFFFF"/>
            </a:solidFill>
            <a:ln w="19050">
              <a:noFill/>
            </a:ln>
          </c:spPr>
          <c:marker>
            <c:symbol val="circle"/>
            <c:size val="7"/>
            <c:spPr>
              <a:solidFill>
                <a:srgbClr val="B40000"/>
              </a:solidFill>
            </c:spPr>
          </c:marker>
          <c:dPt>
            <c:idx val="0"/>
            <c:marker>
              <c:spPr>
                <a:pattFill>
                  <a:fgClr>
                    <a:srgbClr val="B40000"/>
                  </a:fgClr>
                  <a:bgClr>
                    <a:srgbClr val="B40000"/>
                  </a:bgClr>
                </a:patt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0000"/>
                      </a:solidFill>
                      <a:prstDash val="solid"/>
                      <a:round/>
                      <a:headEnd type="none" w="med" len="med"/>
                      <a:tailEnd type="none" w="med" len="med"/>
                    </a14:hiddenLine>
                  </a:ext>
                </a:extLst>
              </c:spPr>
            </c:marker>
            <c:bubble3D val="0"/>
            <c:spPr>
              <a:solidFill>
                <a:srgbClr val="FFFFFF"/>
              </a:solid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0000"/>
                    </a:solidFill>
                    <a:prstDash val="solid"/>
                    <a:round/>
                    <a:headEnd type="none" w="med" len="med"/>
                    <a:tailEnd type="none" w="med" len="med"/>
                  </a14:hiddenLine>
                </a:ext>
              </a:extLst>
            </c:spPr>
          </c:dPt>
          <c:dPt>
            <c:idx val="1"/>
            <c:marker>
              <c:spPr>
                <a:pattFill>
                  <a:fgClr>
                    <a:srgbClr val="B40000"/>
                  </a:fgClr>
                  <a:bgClr>
                    <a:srgbClr val="B40000"/>
                  </a:bgClr>
                </a:patt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0000"/>
                      </a:solidFill>
                      <a:prstDash val="solid"/>
                      <a:round/>
                      <a:headEnd type="none" w="med" len="med"/>
                      <a:tailEnd type="none" w="med" len="med"/>
                    </a14:hiddenLine>
                  </a:ext>
                </a:extLst>
              </c:spPr>
            </c:marker>
            <c:bubble3D val="0"/>
            <c:spPr>
              <a:solidFill>
                <a:srgbClr val="FFFFFF"/>
              </a:solid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0000"/>
                    </a:solidFill>
                    <a:prstDash val="solid"/>
                    <a:round/>
                    <a:headEnd type="none" w="med" len="med"/>
                    <a:tailEnd type="none" w="med" len="med"/>
                  </a14:hiddenLine>
                </a:ext>
              </a:extLst>
            </c:spPr>
          </c:dPt>
          <c:dPt>
            <c:idx val="2"/>
            <c:marker>
              <c:spPr>
                <a:pattFill>
                  <a:fgClr>
                    <a:srgbClr val="B40000"/>
                  </a:fgClr>
                  <a:bgClr>
                    <a:srgbClr val="B40000"/>
                  </a:bgClr>
                </a:patt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0000"/>
                      </a:solidFill>
                      <a:prstDash val="solid"/>
                      <a:round/>
                      <a:headEnd type="none" w="med" len="med"/>
                      <a:tailEnd type="none" w="med" len="med"/>
                    </a14:hiddenLine>
                  </a:ext>
                </a:extLst>
              </c:spPr>
            </c:marker>
            <c:bubble3D val="0"/>
            <c:spPr>
              <a:solidFill>
                <a:srgbClr val="FFFFFF"/>
              </a:solid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0000"/>
                    </a:solidFill>
                    <a:prstDash val="solid"/>
                    <a:round/>
                    <a:headEnd type="none" w="med" len="med"/>
                    <a:tailEnd type="none" w="med" len="med"/>
                  </a14:hiddenLine>
                </a:ext>
              </a:extLst>
            </c:spPr>
          </c:dPt>
          <c:dPt>
            <c:idx val="3"/>
            <c:marker>
              <c:spPr>
                <a:pattFill>
                  <a:fgClr>
                    <a:srgbClr val="B40000"/>
                  </a:fgClr>
                  <a:bgClr>
                    <a:srgbClr val="B40000"/>
                  </a:bgClr>
                </a:patt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0000"/>
                      </a:solidFill>
                      <a:prstDash val="solid"/>
                      <a:round/>
                      <a:headEnd type="none" w="med" len="med"/>
                      <a:tailEnd type="none" w="med" len="med"/>
                    </a14:hiddenLine>
                  </a:ext>
                </a:extLst>
              </c:spPr>
            </c:marker>
            <c:bubble3D val="0"/>
            <c:spPr>
              <a:solidFill>
                <a:srgbClr val="FFFFFF"/>
              </a:solid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0000"/>
                    </a:solidFill>
                    <a:prstDash val="solid"/>
                    <a:round/>
                    <a:headEnd type="none" w="med" len="med"/>
                    <a:tailEnd type="none" w="med" len="med"/>
                  </a14:hiddenLine>
                </a:ext>
              </a:extLst>
            </c:spPr>
          </c:dPt>
          <c:dPt>
            <c:idx val="4"/>
            <c:marker>
              <c:spPr>
                <a:pattFill>
                  <a:fgClr>
                    <a:srgbClr val="B40000"/>
                  </a:fgClr>
                  <a:bgClr>
                    <a:srgbClr val="B40000"/>
                  </a:bgClr>
                </a:patt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0000"/>
                      </a:solidFill>
                      <a:prstDash val="solid"/>
                      <a:round/>
                      <a:headEnd type="none" w="med" len="med"/>
                      <a:tailEnd type="none" w="med" len="med"/>
                    </a14:hiddenLine>
                  </a:ext>
                </a:extLst>
              </c:spPr>
            </c:marker>
            <c:bubble3D val="0"/>
            <c:spPr>
              <a:solidFill>
                <a:srgbClr val="FFFFFF"/>
              </a:solid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0000"/>
                    </a:solidFill>
                    <a:prstDash val="solid"/>
                    <a:round/>
                    <a:headEnd type="none" w="med" len="med"/>
                    <a:tailEnd type="none" w="med" len="med"/>
                  </a14:hiddenLine>
                </a:ext>
              </a:extLst>
            </c:spPr>
          </c:dPt>
          <c:dPt>
            <c:idx val="5"/>
            <c:marker>
              <c:spPr>
                <a:pattFill>
                  <a:fgClr>
                    <a:srgbClr val="B40000"/>
                  </a:fgClr>
                  <a:bgClr>
                    <a:srgbClr val="B40000"/>
                  </a:bgClr>
                </a:patt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0000"/>
                      </a:solidFill>
                      <a:prstDash val="solid"/>
                      <a:round/>
                      <a:headEnd type="none" w="med" len="med"/>
                      <a:tailEnd type="none" w="med" len="med"/>
                    </a14:hiddenLine>
                  </a:ext>
                </a:extLst>
              </c:spPr>
            </c:marker>
            <c:bubble3D val="0"/>
            <c:spPr>
              <a:solidFill>
                <a:srgbClr val="FFFFFF"/>
              </a:solid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0000"/>
                    </a:solidFill>
                    <a:prstDash val="solid"/>
                    <a:round/>
                    <a:headEnd type="none" w="med" len="med"/>
                    <a:tailEnd type="none" w="med" len="med"/>
                  </a14:hiddenLine>
                </a:ext>
              </a:extLst>
            </c:spPr>
          </c:dPt>
          <c:dPt>
            <c:idx val="6"/>
            <c:marker>
              <c:spPr>
                <a:pattFill>
                  <a:fgClr>
                    <a:srgbClr val="B40000"/>
                  </a:fgClr>
                  <a:bgClr>
                    <a:srgbClr val="B40000"/>
                  </a:bgClr>
                </a:patt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0000"/>
                      </a:solidFill>
                      <a:prstDash val="solid"/>
                      <a:round/>
                      <a:headEnd type="none" w="med" len="med"/>
                      <a:tailEnd type="none" w="med" len="med"/>
                    </a14:hiddenLine>
                  </a:ext>
                </a:extLst>
              </c:spPr>
            </c:marker>
            <c:bubble3D val="0"/>
            <c:spPr>
              <a:solidFill>
                <a:srgbClr val="FFFFFF"/>
              </a:solid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0000"/>
                    </a:solidFill>
                    <a:prstDash val="solid"/>
                    <a:round/>
                    <a:headEnd type="none" w="med" len="med"/>
                    <a:tailEnd type="none" w="med" len="med"/>
                  </a14:hiddenLine>
                </a:ext>
              </a:extLst>
            </c:spPr>
          </c:dPt>
          <c:dPt>
            <c:idx val="7"/>
            <c:marker>
              <c:spPr>
                <a:pattFill>
                  <a:fgClr>
                    <a:srgbClr val="B40000"/>
                  </a:fgClr>
                  <a:bgClr>
                    <a:srgbClr val="B40000"/>
                  </a:bgClr>
                </a:patt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0000"/>
                      </a:solidFill>
                      <a:prstDash val="solid"/>
                      <a:round/>
                      <a:headEnd type="none" w="med" len="med"/>
                      <a:tailEnd type="none" w="med" len="med"/>
                    </a14:hiddenLine>
                  </a:ext>
                </a:extLst>
              </c:spPr>
            </c:marker>
            <c:bubble3D val="0"/>
            <c:spPr>
              <a:solidFill>
                <a:srgbClr val="FFFFFF"/>
              </a:solid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0000"/>
                    </a:solidFill>
                    <a:prstDash val="solid"/>
                    <a:round/>
                    <a:headEnd type="none" w="med" len="med"/>
                    <a:tailEnd type="none" w="med" len="med"/>
                  </a14:hiddenLine>
                </a:ext>
              </a:extLst>
            </c:spPr>
          </c:dPt>
          <c:dPt>
            <c:idx val="8"/>
            <c:marker>
              <c:spPr>
                <a:pattFill>
                  <a:fgClr>
                    <a:srgbClr val="B40000"/>
                  </a:fgClr>
                  <a:bgClr>
                    <a:srgbClr val="B40000"/>
                  </a:bgClr>
                </a:patt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0000"/>
                      </a:solidFill>
                      <a:prstDash val="solid"/>
                      <a:round/>
                      <a:headEnd type="none" w="med" len="med"/>
                      <a:tailEnd type="none" w="med" len="med"/>
                    </a14:hiddenLine>
                  </a:ext>
                </a:extLst>
              </c:spPr>
            </c:marker>
            <c:bubble3D val="0"/>
            <c:spPr>
              <a:solidFill>
                <a:srgbClr val="FFFFFF"/>
              </a:solid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0000"/>
                    </a:solidFill>
                    <a:prstDash val="solid"/>
                    <a:round/>
                    <a:headEnd type="none" w="med" len="med"/>
                    <a:tailEnd type="none" w="med" len="med"/>
                  </a14:hiddenLine>
                </a:ext>
              </a:extLst>
            </c:spPr>
          </c:dPt>
          <c:dPt>
            <c:idx val="9"/>
            <c:marker>
              <c:spPr>
                <a:pattFill>
                  <a:fgClr>
                    <a:srgbClr val="B40000"/>
                  </a:fgClr>
                  <a:bgClr>
                    <a:srgbClr val="B40000"/>
                  </a:bgClr>
                </a:patt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0000"/>
                      </a:solidFill>
                      <a:prstDash val="solid"/>
                      <a:round/>
                      <a:headEnd type="none" w="med" len="med"/>
                      <a:tailEnd type="none" w="med" len="med"/>
                    </a14:hiddenLine>
                  </a:ext>
                </a:extLst>
              </c:spPr>
            </c:marker>
            <c:bubble3D val="0"/>
            <c:spPr>
              <a:solidFill>
                <a:srgbClr val="FFFFFF"/>
              </a:solid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0000"/>
                    </a:solidFill>
                    <a:prstDash val="solid"/>
                    <a:round/>
                    <a:headEnd type="none" w="med" len="med"/>
                    <a:tailEnd type="none" w="med" len="med"/>
                  </a14:hiddenLine>
                </a:ext>
              </a:extLst>
            </c:spPr>
          </c:dPt>
          <c:dPt>
            <c:idx val="10"/>
            <c:marker>
              <c:spPr>
                <a:pattFill>
                  <a:fgClr>
                    <a:srgbClr val="B40000"/>
                  </a:fgClr>
                  <a:bgClr>
                    <a:srgbClr val="B40000"/>
                  </a:bgClr>
                </a:patt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0000"/>
                      </a:solidFill>
                      <a:prstDash val="solid"/>
                      <a:round/>
                      <a:headEnd type="none" w="med" len="med"/>
                      <a:tailEnd type="none" w="med" len="med"/>
                    </a14:hiddenLine>
                  </a:ext>
                </a:extLst>
              </c:spPr>
            </c:marker>
            <c:bubble3D val="0"/>
            <c:spPr>
              <a:solidFill>
                <a:srgbClr val="FFFFFF"/>
              </a:solid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0000"/>
                    </a:solidFill>
                    <a:prstDash val="solid"/>
                    <a:round/>
                    <a:headEnd type="none" w="med" len="med"/>
                    <a:tailEnd type="none" w="med" len="med"/>
                  </a14:hiddenLine>
                </a:ext>
              </a:extLst>
            </c:spPr>
          </c:dPt>
          <c:dPt>
            <c:idx val="11"/>
            <c:marker>
              <c:spPr>
                <a:pattFill>
                  <a:fgClr>
                    <a:srgbClr val="B40000"/>
                  </a:fgClr>
                  <a:bgClr>
                    <a:srgbClr val="B40000"/>
                  </a:bgClr>
                </a:patt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0000"/>
                      </a:solidFill>
                      <a:prstDash val="solid"/>
                      <a:round/>
                      <a:headEnd type="none" w="med" len="med"/>
                      <a:tailEnd type="none" w="med" len="med"/>
                    </a14:hiddenLine>
                  </a:ext>
                </a:extLst>
              </c:spPr>
            </c:marker>
            <c:bubble3D val="0"/>
            <c:spPr>
              <a:solidFill>
                <a:srgbClr val="FFFFFF"/>
              </a:solid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0000"/>
                    </a:solidFill>
                    <a:prstDash val="solid"/>
                    <a:round/>
                    <a:headEnd type="none" w="med" len="med"/>
                    <a:tailEnd type="none" w="med" len="med"/>
                  </a14:hiddenLine>
                </a:ext>
              </a:extLst>
            </c:spPr>
          </c:dPt>
          <c:dPt>
            <c:idx val="12"/>
            <c:marker>
              <c:spPr>
                <a:pattFill>
                  <a:fgClr>
                    <a:srgbClr val="B40000"/>
                  </a:fgClr>
                  <a:bgClr>
                    <a:srgbClr val="B40000"/>
                  </a:bgClr>
                </a:patt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0000"/>
                      </a:solidFill>
                      <a:prstDash val="solid"/>
                      <a:round/>
                      <a:headEnd type="none" w="med" len="med"/>
                      <a:tailEnd type="none" w="med" len="med"/>
                    </a14:hiddenLine>
                  </a:ext>
                </a:extLst>
              </c:spPr>
            </c:marker>
            <c:bubble3D val="0"/>
            <c:spPr>
              <a:solidFill>
                <a:srgbClr val="FFFFFF"/>
              </a:solid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0000"/>
                    </a:solidFill>
                    <a:prstDash val="solid"/>
                    <a:round/>
                    <a:headEnd type="none" w="med" len="med"/>
                    <a:tailEnd type="none" w="med" len="med"/>
                  </a14:hiddenLine>
                </a:ext>
              </a:extLst>
            </c:spPr>
          </c:dPt>
          <c:dPt>
            <c:idx val="13"/>
            <c:marker>
              <c:spPr>
                <a:pattFill>
                  <a:fgClr>
                    <a:srgbClr val="B40000"/>
                  </a:fgClr>
                  <a:bgClr>
                    <a:srgbClr val="B40000"/>
                  </a:bgClr>
                </a:patt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0000"/>
                      </a:solidFill>
                      <a:prstDash val="solid"/>
                      <a:round/>
                      <a:headEnd type="none" w="med" len="med"/>
                      <a:tailEnd type="none" w="med" len="med"/>
                    </a14:hiddenLine>
                  </a:ext>
                </a:extLst>
              </c:spPr>
            </c:marker>
            <c:bubble3D val="0"/>
            <c:spPr>
              <a:solidFill>
                <a:srgbClr val="FFFFFF"/>
              </a:solid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0000"/>
                    </a:solidFill>
                    <a:prstDash val="solid"/>
                    <a:round/>
                    <a:headEnd type="none" w="med" len="med"/>
                    <a:tailEnd type="none" w="med" len="med"/>
                  </a14:hiddenLine>
                </a:ext>
              </a:extLst>
            </c:spPr>
          </c:dPt>
          <c:dPt>
            <c:idx val="14"/>
            <c:marker>
              <c:spPr>
                <a:pattFill>
                  <a:fgClr>
                    <a:srgbClr val="B40000"/>
                  </a:fgClr>
                  <a:bgClr>
                    <a:srgbClr val="B40000"/>
                  </a:bgClr>
                </a:patt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0000"/>
                      </a:solidFill>
                      <a:prstDash val="solid"/>
                      <a:round/>
                      <a:headEnd type="none" w="med" len="med"/>
                      <a:tailEnd type="none" w="med" len="med"/>
                    </a14:hiddenLine>
                  </a:ext>
                </a:extLst>
              </c:spPr>
            </c:marker>
            <c:bubble3D val="0"/>
            <c:spPr>
              <a:solidFill>
                <a:srgbClr val="FFFFFF"/>
              </a:solid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0000"/>
                    </a:solidFill>
                    <a:prstDash val="solid"/>
                    <a:round/>
                    <a:headEnd type="none" w="med" len="med"/>
                    <a:tailEnd type="none" w="med" len="med"/>
                  </a14:hiddenLine>
                </a:ext>
              </a:extLst>
            </c:spPr>
          </c:dPt>
          <c:dPt>
            <c:idx val="15"/>
            <c:marker>
              <c:spPr>
                <a:pattFill>
                  <a:fgClr>
                    <a:srgbClr val="B40000"/>
                  </a:fgClr>
                  <a:bgClr>
                    <a:srgbClr val="B40000"/>
                  </a:bgClr>
                </a:patt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0000"/>
                      </a:solidFill>
                      <a:prstDash val="solid"/>
                      <a:round/>
                      <a:headEnd type="none" w="med" len="med"/>
                      <a:tailEnd type="none" w="med" len="med"/>
                    </a14:hiddenLine>
                  </a:ext>
                </a:extLst>
              </c:spPr>
            </c:marker>
            <c:bubble3D val="0"/>
            <c:spPr>
              <a:solidFill>
                <a:srgbClr val="FFFFFF"/>
              </a:solid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0000"/>
                    </a:solidFill>
                    <a:prstDash val="solid"/>
                    <a:round/>
                    <a:headEnd type="none" w="med" len="med"/>
                    <a:tailEnd type="none" w="med" len="med"/>
                  </a14:hiddenLine>
                </a:ext>
              </a:extLst>
            </c:spPr>
          </c:dPt>
          <c:dPt>
            <c:idx val="16"/>
            <c:marker>
              <c:spPr>
                <a:pattFill>
                  <a:fgClr>
                    <a:srgbClr val="B4B400"/>
                  </a:fgClr>
                  <a:bgClr>
                    <a:srgbClr val="B4B400"/>
                  </a:bgClr>
                </a:patt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B400"/>
                      </a:solidFill>
                      <a:prstDash val="solid"/>
                      <a:round/>
                      <a:headEnd type="none" w="med" len="med"/>
                      <a:tailEnd type="none" w="med" len="med"/>
                    </a14:hiddenLine>
                  </a:ext>
                </a:extLst>
              </c:spPr>
            </c:marker>
            <c:bubble3D val="0"/>
            <c:spPr>
              <a:solidFill>
                <a:srgbClr val="FFFFFF"/>
              </a:solid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B400"/>
                    </a:solidFill>
                    <a:prstDash val="solid"/>
                    <a:round/>
                    <a:headEnd type="none" w="med" len="med"/>
                    <a:tailEnd type="none" w="med" len="med"/>
                  </a14:hiddenLine>
                </a:ext>
              </a:extLst>
            </c:spPr>
          </c:dPt>
          <c:dPt>
            <c:idx val="17"/>
            <c:marker>
              <c:spPr>
                <a:pattFill>
                  <a:fgClr>
                    <a:srgbClr val="B4B400"/>
                  </a:fgClr>
                  <a:bgClr>
                    <a:srgbClr val="B4B400"/>
                  </a:bgClr>
                </a:patt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B400"/>
                      </a:solidFill>
                      <a:prstDash val="solid"/>
                      <a:round/>
                      <a:headEnd type="none" w="med" len="med"/>
                      <a:tailEnd type="none" w="med" len="med"/>
                    </a14:hiddenLine>
                  </a:ext>
                </a:extLst>
              </c:spPr>
            </c:marker>
            <c:bubble3D val="0"/>
            <c:spPr>
              <a:solidFill>
                <a:srgbClr val="FFFFFF"/>
              </a:solid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B400"/>
                    </a:solidFill>
                    <a:prstDash val="solid"/>
                    <a:round/>
                    <a:headEnd type="none" w="med" len="med"/>
                    <a:tailEnd type="none" w="med" len="med"/>
                  </a14:hiddenLine>
                </a:ext>
              </a:extLst>
            </c:spPr>
          </c:dPt>
          <c:dPt>
            <c:idx val="18"/>
            <c:marker>
              <c:spPr>
                <a:pattFill>
                  <a:fgClr>
                    <a:srgbClr val="B4B400"/>
                  </a:fgClr>
                  <a:bgClr>
                    <a:srgbClr val="B4B400"/>
                  </a:bgClr>
                </a:patt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B400"/>
                      </a:solidFill>
                      <a:prstDash val="solid"/>
                      <a:round/>
                      <a:headEnd type="none" w="med" len="med"/>
                      <a:tailEnd type="none" w="med" len="med"/>
                    </a14:hiddenLine>
                  </a:ext>
                </a:extLst>
              </c:spPr>
            </c:marker>
            <c:bubble3D val="0"/>
            <c:spPr>
              <a:solidFill>
                <a:srgbClr val="FFFFFF"/>
              </a:solid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B400"/>
                    </a:solidFill>
                    <a:prstDash val="solid"/>
                    <a:round/>
                    <a:headEnd type="none" w="med" len="med"/>
                    <a:tailEnd type="none" w="med" len="med"/>
                  </a14:hiddenLine>
                </a:ext>
              </a:extLst>
            </c:spPr>
          </c:dPt>
          <c:dPt>
            <c:idx val="19"/>
            <c:marker>
              <c:spPr>
                <a:pattFill>
                  <a:fgClr>
                    <a:srgbClr val="B4B400"/>
                  </a:fgClr>
                  <a:bgClr>
                    <a:srgbClr val="B4B400"/>
                  </a:bgClr>
                </a:patt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B400"/>
                      </a:solidFill>
                      <a:prstDash val="solid"/>
                      <a:round/>
                      <a:headEnd type="none" w="med" len="med"/>
                      <a:tailEnd type="none" w="med" len="med"/>
                    </a14:hiddenLine>
                  </a:ext>
                </a:extLst>
              </c:spPr>
            </c:marker>
            <c:bubble3D val="0"/>
            <c:spPr>
              <a:solidFill>
                <a:srgbClr val="FFFFFF"/>
              </a:solid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B400"/>
                    </a:solidFill>
                    <a:prstDash val="solid"/>
                    <a:round/>
                    <a:headEnd type="none" w="med" len="med"/>
                    <a:tailEnd type="none" w="med" len="med"/>
                  </a14:hiddenLine>
                </a:ext>
              </a:extLst>
            </c:spPr>
          </c:dPt>
          <c:dPt>
            <c:idx val="20"/>
            <c:marker>
              <c:spPr>
                <a:pattFill>
                  <a:fgClr>
                    <a:srgbClr val="B4B400"/>
                  </a:fgClr>
                  <a:bgClr>
                    <a:srgbClr val="B4B400"/>
                  </a:bgClr>
                </a:patt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B400"/>
                      </a:solidFill>
                      <a:prstDash val="solid"/>
                      <a:round/>
                      <a:headEnd type="none" w="med" len="med"/>
                      <a:tailEnd type="none" w="med" len="med"/>
                    </a14:hiddenLine>
                  </a:ext>
                </a:extLst>
              </c:spPr>
            </c:marker>
            <c:bubble3D val="0"/>
            <c:spPr>
              <a:solidFill>
                <a:srgbClr val="FFFFFF"/>
              </a:solid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B400"/>
                    </a:solidFill>
                    <a:prstDash val="solid"/>
                    <a:round/>
                    <a:headEnd type="none" w="med" len="med"/>
                    <a:tailEnd type="none" w="med" len="med"/>
                  </a14:hiddenLine>
                </a:ext>
              </a:extLst>
            </c:spPr>
          </c:dPt>
          <c:dPt>
            <c:idx val="21"/>
            <c:marker>
              <c:spPr>
                <a:pattFill>
                  <a:fgClr>
                    <a:srgbClr val="B4B400"/>
                  </a:fgClr>
                  <a:bgClr>
                    <a:srgbClr val="B4B400"/>
                  </a:bgClr>
                </a:patt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B400"/>
                      </a:solidFill>
                      <a:prstDash val="solid"/>
                      <a:round/>
                      <a:headEnd type="none" w="med" len="med"/>
                      <a:tailEnd type="none" w="med" len="med"/>
                    </a14:hiddenLine>
                  </a:ext>
                </a:extLst>
              </c:spPr>
            </c:marker>
            <c:bubble3D val="0"/>
            <c:spPr>
              <a:solidFill>
                <a:srgbClr val="FFFFFF"/>
              </a:solid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B400"/>
                    </a:solidFill>
                    <a:prstDash val="solid"/>
                    <a:round/>
                    <a:headEnd type="none" w="med" len="med"/>
                    <a:tailEnd type="none" w="med" len="med"/>
                  </a14:hiddenLine>
                </a:ext>
              </a:extLst>
            </c:spPr>
          </c:dPt>
          <c:dPt>
            <c:idx val="22"/>
            <c:marker>
              <c:spPr>
                <a:pattFill>
                  <a:fgClr>
                    <a:srgbClr val="B4B400"/>
                  </a:fgClr>
                  <a:bgClr>
                    <a:srgbClr val="B4B400"/>
                  </a:bgClr>
                </a:patt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B400"/>
                      </a:solidFill>
                      <a:prstDash val="solid"/>
                      <a:round/>
                      <a:headEnd type="none" w="med" len="med"/>
                      <a:tailEnd type="none" w="med" len="med"/>
                    </a14:hiddenLine>
                  </a:ext>
                </a:extLst>
              </c:spPr>
            </c:marker>
            <c:bubble3D val="0"/>
            <c:spPr>
              <a:solidFill>
                <a:srgbClr val="FFFFFF"/>
              </a:solid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B400"/>
                    </a:solidFill>
                    <a:prstDash val="solid"/>
                    <a:round/>
                    <a:headEnd type="none" w="med" len="med"/>
                    <a:tailEnd type="none" w="med" len="med"/>
                  </a14:hiddenLine>
                </a:ext>
              </a:extLst>
            </c:spPr>
          </c:dPt>
          <c:dPt>
            <c:idx val="23"/>
            <c:marker>
              <c:spPr>
                <a:pattFill>
                  <a:fgClr>
                    <a:srgbClr val="B4B400"/>
                  </a:fgClr>
                  <a:bgClr>
                    <a:srgbClr val="B4B400"/>
                  </a:bgClr>
                </a:patt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B400"/>
                      </a:solidFill>
                      <a:prstDash val="solid"/>
                      <a:round/>
                      <a:headEnd type="none" w="med" len="med"/>
                      <a:tailEnd type="none" w="med" len="med"/>
                    </a14:hiddenLine>
                  </a:ext>
                </a:extLst>
              </c:spPr>
            </c:marker>
            <c:bubble3D val="0"/>
            <c:spPr>
              <a:solidFill>
                <a:srgbClr val="FFFFFF"/>
              </a:solid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B400"/>
                    </a:solidFill>
                    <a:prstDash val="solid"/>
                    <a:round/>
                    <a:headEnd type="none" w="med" len="med"/>
                    <a:tailEnd type="none" w="med" len="med"/>
                  </a14:hiddenLine>
                </a:ext>
              </a:extLst>
            </c:spPr>
          </c:dPt>
          <c:dPt>
            <c:idx val="24"/>
            <c:marker>
              <c:spPr>
                <a:pattFill>
                  <a:fgClr>
                    <a:srgbClr val="B4B400"/>
                  </a:fgClr>
                  <a:bgClr>
                    <a:srgbClr val="B4B400"/>
                  </a:bgClr>
                </a:patt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B400"/>
                      </a:solidFill>
                      <a:prstDash val="solid"/>
                      <a:round/>
                      <a:headEnd type="none" w="med" len="med"/>
                      <a:tailEnd type="none" w="med" len="med"/>
                    </a14:hiddenLine>
                  </a:ext>
                </a:extLst>
              </c:spPr>
            </c:marker>
            <c:bubble3D val="0"/>
            <c:spPr>
              <a:solidFill>
                <a:srgbClr val="FFFFFF"/>
              </a:solid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B400"/>
                    </a:solidFill>
                    <a:prstDash val="solid"/>
                    <a:round/>
                    <a:headEnd type="none" w="med" len="med"/>
                    <a:tailEnd type="none" w="med" len="med"/>
                  </a14:hiddenLine>
                </a:ext>
              </a:extLst>
            </c:spPr>
          </c:dPt>
          <c:dPt>
            <c:idx val="25"/>
            <c:marker>
              <c:spPr>
                <a:pattFill>
                  <a:fgClr>
                    <a:srgbClr val="B4B400"/>
                  </a:fgClr>
                  <a:bgClr>
                    <a:srgbClr val="B4B400"/>
                  </a:bgClr>
                </a:patt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B400"/>
                      </a:solidFill>
                      <a:prstDash val="solid"/>
                      <a:round/>
                      <a:headEnd type="none" w="med" len="med"/>
                      <a:tailEnd type="none" w="med" len="med"/>
                    </a14:hiddenLine>
                  </a:ext>
                </a:extLst>
              </c:spPr>
            </c:marker>
            <c:bubble3D val="0"/>
            <c:spPr>
              <a:solidFill>
                <a:srgbClr val="FFFFFF"/>
              </a:solid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B400"/>
                    </a:solidFill>
                    <a:prstDash val="solid"/>
                    <a:round/>
                    <a:headEnd type="none" w="med" len="med"/>
                    <a:tailEnd type="none" w="med" len="med"/>
                  </a14:hiddenLine>
                </a:ext>
              </a:extLst>
            </c:spPr>
          </c:dPt>
          <c:dPt>
            <c:idx val="26"/>
            <c:marker>
              <c:spPr>
                <a:pattFill>
                  <a:fgClr>
                    <a:srgbClr val="00B400"/>
                  </a:fgClr>
                  <a:bgClr>
                    <a:srgbClr val="00B400"/>
                  </a:bgClr>
                </a:patt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00B400"/>
                      </a:solidFill>
                      <a:prstDash val="solid"/>
                      <a:round/>
                      <a:headEnd type="none" w="med" len="med"/>
                      <a:tailEnd type="none" w="med" len="med"/>
                    </a14:hiddenLine>
                  </a:ext>
                </a:extLst>
              </c:spPr>
            </c:marker>
            <c:bubble3D val="0"/>
            <c:spPr>
              <a:solidFill>
                <a:srgbClr val="FFFFFF"/>
              </a:solid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00B400"/>
                    </a:solidFill>
                    <a:prstDash val="solid"/>
                    <a:round/>
                    <a:headEnd type="none" w="med" len="med"/>
                    <a:tailEnd type="none" w="med" len="med"/>
                  </a14:hiddenLine>
                </a:ext>
              </a:extLst>
            </c:spPr>
          </c:dPt>
          <c:dPt>
            <c:idx val="27"/>
            <c:marker>
              <c:spPr>
                <a:pattFill>
                  <a:fgClr>
                    <a:srgbClr val="00B400"/>
                  </a:fgClr>
                  <a:bgClr>
                    <a:srgbClr val="00B400"/>
                  </a:bgClr>
                </a:patt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00B400"/>
                      </a:solidFill>
                      <a:prstDash val="solid"/>
                      <a:round/>
                      <a:headEnd type="none" w="med" len="med"/>
                      <a:tailEnd type="none" w="med" len="med"/>
                    </a14:hiddenLine>
                  </a:ext>
                </a:extLst>
              </c:spPr>
            </c:marker>
            <c:bubble3D val="0"/>
            <c:spPr>
              <a:solidFill>
                <a:srgbClr val="FFFFFF"/>
              </a:solid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00B400"/>
                    </a:solidFill>
                    <a:prstDash val="solid"/>
                    <a:round/>
                    <a:headEnd type="none" w="med" len="med"/>
                    <a:tailEnd type="none" w="med" len="med"/>
                  </a14:hiddenLine>
                </a:ext>
              </a:extLst>
            </c:spPr>
          </c:dPt>
          <c:dLbls>
            <c:dLbl>
              <c:idx val="0"/>
              <c:layout/>
              <c:tx>
                <c:rich>
                  <a:bodyPr/>
                  <a:lstStyle/>
                  <a:p>
                    <a:r>
                      <a:rPr lang="en-US"/>
                      <a:t>P20</a:t>
                    </a:r>
                  </a:p>
                </c:rich>
              </c:tx>
              <c:showLegendKey val="0"/>
              <c:showVal val="1"/>
              <c:showCatName val="0"/>
              <c:showSerName val="0"/>
              <c:showPercent val="0"/>
              <c:showBubbleSize val="0"/>
            </c:dLbl>
            <c:dLbl>
              <c:idx val="1"/>
              <c:layout/>
              <c:tx>
                <c:rich>
                  <a:bodyPr/>
                  <a:lstStyle/>
                  <a:p>
                    <a:r>
                      <a:rPr lang="en-US"/>
                      <a:t>P14</a:t>
                    </a:r>
                  </a:p>
                </c:rich>
              </c:tx>
              <c:showLegendKey val="0"/>
              <c:showVal val="1"/>
              <c:showCatName val="0"/>
              <c:showSerName val="0"/>
              <c:showPercent val="0"/>
              <c:showBubbleSize val="0"/>
            </c:dLbl>
            <c:dLbl>
              <c:idx val="2"/>
              <c:layout/>
              <c:tx>
                <c:rich>
                  <a:bodyPr/>
                  <a:lstStyle/>
                  <a:p>
                    <a:r>
                      <a:rPr lang="en-US"/>
                      <a:t>P15</a:t>
                    </a:r>
                  </a:p>
                </c:rich>
              </c:tx>
              <c:showLegendKey val="0"/>
              <c:showVal val="1"/>
              <c:showCatName val="0"/>
              <c:showSerName val="0"/>
              <c:showPercent val="0"/>
              <c:showBubbleSize val="0"/>
            </c:dLbl>
            <c:dLbl>
              <c:idx val="3"/>
              <c:layout/>
              <c:tx>
                <c:rich>
                  <a:bodyPr/>
                  <a:lstStyle/>
                  <a:p>
                    <a:r>
                      <a:rPr lang="en-US"/>
                      <a:t>P7</a:t>
                    </a:r>
                  </a:p>
                </c:rich>
              </c:tx>
              <c:showLegendKey val="0"/>
              <c:showVal val="1"/>
              <c:showCatName val="0"/>
              <c:showSerName val="0"/>
              <c:showPercent val="0"/>
              <c:showBubbleSize val="0"/>
            </c:dLbl>
            <c:dLbl>
              <c:idx val="4"/>
              <c:layout/>
              <c:tx>
                <c:rich>
                  <a:bodyPr/>
                  <a:lstStyle/>
                  <a:p>
                    <a:r>
                      <a:rPr lang="en-US"/>
                      <a:t>P25</a:t>
                    </a:r>
                  </a:p>
                </c:rich>
              </c:tx>
              <c:showLegendKey val="0"/>
              <c:showVal val="1"/>
              <c:showCatName val="0"/>
              <c:showSerName val="0"/>
              <c:showPercent val="0"/>
              <c:showBubbleSize val="0"/>
            </c:dLbl>
            <c:dLbl>
              <c:idx val="5"/>
              <c:layout/>
              <c:tx>
                <c:rich>
                  <a:bodyPr/>
                  <a:lstStyle/>
                  <a:p>
                    <a:r>
                      <a:rPr lang="en-US"/>
                      <a:t>P22</a:t>
                    </a:r>
                  </a:p>
                </c:rich>
              </c:tx>
              <c:showLegendKey val="0"/>
              <c:showVal val="1"/>
              <c:showCatName val="0"/>
              <c:showSerName val="0"/>
              <c:showPercent val="0"/>
              <c:showBubbleSize val="0"/>
            </c:dLbl>
            <c:dLbl>
              <c:idx val="6"/>
              <c:layout/>
              <c:tx>
                <c:rich>
                  <a:bodyPr/>
                  <a:lstStyle/>
                  <a:p>
                    <a:r>
                      <a:rPr lang="en-US"/>
                      <a:t>P2</a:t>
                    </a:r>
                  </a:p>
                </c:rich>
              </c:tx>
              <c:showLegendKey val="0"/>
              <c:showVal val="1"/>
              <c:showCatName val="0"/>
              <c:showSerName val="0"/>
              <c:showPercent val="0"/>
              <c:showBubbleSize val="0"/>
            </c:dLbl>
            <c:dLbl>
              <c:idx val="7"/>
              <c:layout/>
              <c:tx>
                <c:rich>
                  <a:bodyPr/>
                  <a:lstStyle/>
                  <a:p>
                    <a:r>
                      <a:rPr lang="en-US"/>
                      <a:t>P27</a:t>
                    </a:r>
                  </a:p>
                </c:rich>
              </c:tx>
              <c:showLegendKey val="0"/>
              <c:showVal val="1"/>
              <c:showCatName val="0"/>
              <c:showSerName val="0"/>
              <c:showPercent val="0"/>
              <c:showBubbleSize val="0"/>
            </c:dLbl>
            <c:dLbl>
              <c:idx val="8"/>
              <c:layout/>
              <c:tx>
                <c:rich>
                  <a:bodyPr/>
                  <a:lstStyle/>
                  <a:p>
                    <a:r>
                      <a:rPr lang="en-US"/>
                      <a:t>P24</a:t>
                    </a:r>
                  </a:p>
                </c:rich>
              </c:tx>
              <c:showLegendKey val="0"/>
              <c:showVal val="1"/>
              <c:showCatName val="0"/>
              <c:showSerName val="0"/>
              <c:showPercent val="0"/>
              <c:showBubbleSize val="0"/>
            </c:dLbl>
            <c:dLbl>
              <c:idx val="9"/>
              <c:layout/>
              <c:tx>
                <c:rich>
                  <a:bodyPr/>
                  <a:lstStyle/>
                  <a:p>
                    <a:r>
                      <a:rPr lang="en-US"/>
                      <a:t>P6</a:t>
                    </a:r>
                  </a:p>
                </c:rich>
              </c:tx>
              <c:showLegendKey val="0"/>
              <c:showVal val="1"/>
              <c:showCatName val="0"/>
              <c:showSerName val="0"/>
              <c:showPercent val="0"/>
              <c:showBubbleSize val="0"/>
            </c:dLbl>
            <c:dLbl>
              <c:idx val="10"/>
              <c:layout/>
              <c:tx>
                <c:rich>
                  <a:bodyPr/>
                  <a:lstStyle/>
                  <a:p>
                    <a:r>
                      <a:rPr lang="en-US"/>
                      <a:t>P26</a:t>
                    </a:r>
                  </a:p>
                </c:rich>
              </c:tx>
              <c:showLegendKey val="0"/>
              <c:showVal val="1"/>
              <c:showCatName val="0"/>
              <c:showSerName val="0"/>
              <c:showPercent val="0"/>
              <c:showBubbleSize val="0"/>
            </c:dLbl>
            <c:dLbl>
              <c:idx val="11"/>
              <c:layout/>
              <c:tx>
                <c:rich>
                  <a:bodyPr/>
                  <a:lstStyle/>
                  <a:p>
                    <a:r>
                      <a:rPr lang="en-US"/>
                      <a:t>P23</a:t>
                    </a:r>
                  </a:p>
                </c:rich>
              </c:tx>
              <c:showLegendKey val="0"/>
              <c:showVal val="1"/>
              <c:showCatName val="0"/>
              <c:showSerName val="0"/>
              <c:showPercent val="0"/>
              <c:showBubbleSize val="0"/>
            </c:dLbl>
            <c:dLbl>
              <c:idx val="12"/>
              <c:layout/>
              <c:tx>
                <c:rich>
                  <a:bodyPr/>
                  <a:lstStyle/>
                  <a:p>
                    <a:r>
                      <a:rPr lang="en-US"/>
                      <a:t>P19</a:t>
                    </a:r>
                  </a:p>
                </c:rich>
              </c:tx>
              <c:showLegendKey val="0"/>
              <c:showVal val="1"/>
              <c:showCatName val="0"/>
              <c:showSerName val="0"/>
              <c:showPercent val="0"/>
              <c:showBubbleSize val="0"/>
            </c:dLbl>
            <c:dLbl>
              <c:idx val="13"/>
              <c:layout/>
              <c:tx>
                <c:rich>
                  <a:bodyPr/>
                  <a:lstStyle/>
                  <a:p>
                    <a:r>
                      <a:rPr lang="en-US"/>
                      <a:t>P13</a:t>
                    </a:r>
                  </a:p>
                </c:rich>
              </c:tx>
              <c:showLegendKey val="0"/>
              <c:showVal val="1"/>
              <c:showCatName val="0"/>
              <c:showSerName val="0"/>
              <c:showPercent val="0"/>
              <c:showBubbleSize val="0"/>
            </c:dLbl>
            <c:dLbl>
              <c:idx val="14"/>
              <c:layout/>
              <c:tx>
                <c:rich>
                  <a:bodyPr/>
                  <a:lstStyle/>
                  <a:p>
                    <a:r>
                      <a:rPr lang="en-US"/>
                      <a:t>P28</a:t>
                    </a:r>
                  </a:p>
                </c:rich>
              </c:tx>
              <c:showLegendKey val="0"/>
              <c:showVal val="1"/>
              <c:showCatName val="0"/>
              <c:showSerName val="0"/>
              <c:showPercent val="0"/>
              <c:showBubbleSize val="0"/>
            </c:dLbl>
            <c:dLbl>
              <c:idx val="15"/>
              <c:layout/>
              <c:tx>
                <c:rich>
                  <a:bodyPr/>
                  <a:lstStyle/>
                  <a:p>
                    <a:r>
                      <a:rPr lang="en-US"/>
                      <a:t>P18</a:t>
                    </a:r>
                  </a:p>
                </c:rich>
              </c:tx>
              <c:showLegendKey val="0"/>
              <c:showVal val="1"/>
              <c:showCatName val="0"/>
              <c:showSerName val="0"/>
              <c:showPercent val="0"/>
              <c:showBubbleSize val="0"/>
            </c:dLbl>
            <c:dLbl>
              <c:idx val="16"/>
              <c:layout/>
              <c:tx>
                <c:rich>
                  <a:bodyPr/>
                  <a:lstStyle/>
                  <a:p>
                    <a:r>
                      <a:rPr lang="en-US"/>
                      <a:t>P17</a:t>
                    </a:r>
                  </a:p>
                </c:rich>
              </c:tx>
              <c:showLegendKey val="0"/>
              <c:showVal val="1"/>
              <c:showCatName val="0"/>
              <c:showSerName val="0"/>
              <c:showPercent val="0"/>
              <c:showBubbleSize val="0"/>
            </c:dLbl>
            <c:dLbl>
              <c:idx val="17"/>
              <c:layout/>
              <c:tx>
                <c:rich>
                  <a:bodyPr/>
                  <a:lstStyle/>
                  <a:p>
                    <a:r>
                      <a:rPr lang="en-US"/>
                      <a:t>P3</a:t>
                    </a:r>
                  </a:p>
                </c:rich>
              </c:tx>
              <c:showLegendKey val="0"/>
              <c:showVal val="1"/>
              <c:showCatName val="0"/>
              <c:showSerName val="0"/>
              <c:showPercent val="0"/>
              <c:showBubbleSize val="0"/>
            </c:dLbl>
            <c:dLbl>
              <c:idx val="18"/>
              <c:layout/>
              <c:tx>
                <c:rich>
                  <a:bodyPr/>
                  <a:lstStyle/>
                  <a:p>
                    <a:r>
                      <a:rPr lang="en-US"/>
                      <a:t>P16</a:t>
                    </a:r>
                  </a:p>
                </c:rich>
              </c:tx>
              <c:showLegendKey val="0"/>
              <c:showVal val="1"/>
              <c:showCatName val="0"/>
              <c:showSerName val="0"/>
              <c:showPercent val="0"/>
              <c:showBubbleSize val="0"/>
            </c:dLbl>
            <c:dLbl>
              <c:idx val="19"/>
              <c:layout/>
              <c:tx>
                <c:rich>
                  <a:bodyPr/>
                  <a:lstStyle/>
                  <a:p>
                    <a:r>
                      <a:rPr lang="en-US"/>
                      <a:t>P9</a:t>
                    </a:r>
                  </a:p>
                </c:rich>
              </c:tx>
              <c:showLegendKey val="0"/>
              <c:showVal val="1"/>
              <c:showCatName val="0"/>
              <c:showSerName val="0"/>
              <c:showPercent val="0"/>
              <c:showBubbleSize val="0"/>
            </c:dLbl>
            <c:dLbl>
              <c:idx val="20"/>
              <c:layout/>
              <c:tx>
                <c:rich>
                  <a:bodyPr/>
                  <a:lstStyle/>
                  <a:p>
                    <a:r>
                      <a:rPr lang="en-US"/>
                      <a:t>P8</a:t>
                    </a:r>
                  </a:p>
                </c:rich>
              </c:tx>
              <c:showLegendKey val="0"/>
              <c:showVal val="1"/>
              <c:showCatName val="0"/>
              <c:showSerName val="0"/>
              <c:showPercent val="0"/>
              <c:showBubbleSize val="0"/>
            </c:dLbl>
            <c:dLbl>
              <c:idx val="21"/>
              <c:layout/>
              <c:tx>
                <c:rich>
                  <a:bodyPr/>
                  <a:lstStyle/>
                  <a:p>
                    <a:r>
                      <a:rPr lang="en-US"/>
                      <a:t>P21</a:t>
                    </a:r>
                  </a:p>
                </c:rich>
              </c:tx>
              <c:showLegendKey val="0"/>
              <c:showVal val="1"/>
              <c:showCatName val="0"/>
              <c:showSerName val="0"/>
              <c:showPercent val="0"/>
              <c:showBubbleSize val="0"/>
            </c:dLbl>
            <c:dLbl>
              <c:idx val="22"/>
              <c:layout/>
              <c:tx>
                <c:rich>
                  <a:bodyPr/>
                  <a:lstStyle/>
                  <a:p>
                    <a:r>
                      <a:rPr lang="en-US"/>
                      <a:t>P1</a:t>
                    </a:r>
                  </a:p>
                </c:rich>
              </c:tx>
              <c:showLegendKey val="0"/>
              <c:showVal val="1"/>
              <c:showCatName val="0"/>
              <c:showSerName val="0"/>
              <c:showPercent val="0"/>
              <c:showBubbleSize val="0"/>
            </c:dLbl>
            <c:dLbl>
              <c:idx val="23"/>
              <c:layout/>
              <c:tx>
                <c:rich>
                  <a:bodyPr/>
                  <a:lstStyle/>
                  <a:p>
                    <a:r>
                      <a:rPr lang="en-US"/>
                      <a:t>P11</a:t>
                    </a:r>
                  </a:p>
                </c:rich>
              </c:tx>
              <c:showLegendKey val="0"/>
              <c:showVal val="1"/>
              <c:showCatName val="0"/>
              <c:showSerName val="0"/>
              <c:showPercent val="0"/>
              <c:showBubbleSize val="0"/>
            </c:dLbl>
            <c:dLbl>
              <c:idx val="24"/>
              <c:layout/>
              <c:tx>
                <c:rich>
                  <a:bodyPr/>
                  <a:lstStyle/>
                  <a:p>
                    <a:r>
                      <a:rPr lang="en-US"/>
                      <a:t>P4</a:t>
                    </a:r>
                  </a:p>
                </c:rich>
              </c:tx>
              <c:showLegendKey val="0"/>
              <c:showVal val="1"/>
              <c:showCatName val="0"/>
              <c:showSerName val="0"/>
              <c:showPercent val="0"/>
              <c:showBubbleSize val="0"/>
            </c:dLbl>
            <c:dLbl>
              <c:idx val="25"/>
              <c:layout/>
              <c:tx>
                <c:rich>
                  <a:bodyPr/>
                  <a:lstStyle/>
                  <a:p>
                    <a:r>
                      <a:rPr lang="en-US"/>
                      <a:t>P12</a:t>
                    </a:r>
                  </a:p>
                </c:rich>
              </c:tx>
              <c:showLegendKey val="0"/>
              <c:showVal val="1"/>
              <c:showCatName val="0"/>
              <c:showSerName val="0"/>
              <c:showPercent val="0"/>
              <c:showBubbleSize val="0"/>
            </c:dLbl>
            <c:dLbl>
              <c:idx val="26"/>
              <c:layout/>
              <c:tx>
                <c:rich>
                  <a:bodyPr/>
                  <a:lstStyle/>
                  <a:p>
                    <a:r>
                      <a:rPr lang="en-US"/>
                      <a:t>P10</a:t>
                    </a:r>
                  </a:p>
                </c:rich>
              </c:tx>
              <c:showLegendKey val="0"/>
              <c:showVal val="1"/>
              <c:showCatName val="0"/>
              <c:showSerName val="0"/>
              <c:showPercent val="0"/>
              <c:showBubbleSize val="0"/>
            </c:dLbl>
            <c:dLbl>
              <c:idx val="27"/>
              <c:layout/>
              <c:tx>
                <c:rich>
                  <a:bodyPr/>
                  <a:lstStyle/>
                  <a:p>
                    <a:r>
                      <a:rPr lang="en-US"/>
                      <a:t>P5</a:t>
                    </a:r>
                  </a:p>
                </c:rich>
              </c:tx>
              <c:showLegendKey val="0"/>
              <c:showVal val="1"/>
              <c:showCatName val="0"/>
              <c:showSerName val="0"/>
              <c:showPercent val="0"/>
              <c:showBubbleSize val="0"/>
            </c:dLbl>
            <c:showLegendKey val="0"/>
            <c:showVal val="1"/>
            <c:showCatName val="0"/>
            <c:showSerName val="0"/>
            <c:showPercent val="0"/>
            <c:showBubbleSize val="0"/>
            <c:showLeaderLines val="0"/>
          </c:dLbls>
          <c:xVal>
            <c:numRef>
              <c:f>'IPF Matrix'!$T$3:$T$30</c:f>
              <c:numCache>
                <c:formatCode>General</c:formatCode>
                <c:ptCount val="28"/>
                <c:pt idx="0">
                  <c:v>45.976682531706658</c:v>
                </c:pt>
                <c:pt idx="1">
                  <c:v>45.495644428586886</c:v>
                </c:pt>
                <c:pt idx="2">
                  <c:v>16.779874689602238</c:v>
                </c:pt>
                <c:pt idx="3">
                  <c:v>13.940305536962704</c:v>
                </c:pt>
                <c:pt idx="4">
                  <c:v>25.834988596360692</c:v>
                </c:pt>
                <c:pt idx="5">
                  <c:v>48.962226758267633</c:v>
                </c:pt>
                <c:pt idx="6">
                  <c:v>48.607829898787074</c:v>
                </c:pt>
                <c:pt idx="7">
                  <c:v>0</c:v>
                </c:pt>
                <c:pt idx="8">
                  <c:v>57.101185204434678</c:v>
                </c:pt>
                <c:pt idx="9">
                  <c:v>28.123822050363785</c:v>
                </c:pt>
                <c:pt idx="10">
                  <c:v>48.463711208202817</c:v>
                </c:pt>
                <c:pt idx="11">
                  <c:v>42.702361530873361</c:v>
                </c:pt>
                <c:pt idx="12">
                  <c:v>41.267459844164037</c:v>
                </c:pt>
                <c:pt idx="13">
                  <c:v>33.41765196015983</c:v>
                </c:pt>
                <c:pt idx="14">
                  <c:v>36.991182209661545</c:v>
                </c:pt>
                <c:pt idx="15">
                  <c:v>31.796137254691502</c:v>
                </c:pt>
                <c:pt idx="16">
                  <c:v>71.278551030508439</c:v>
                </c:pt>
                <c:pt idx="17">
                  <c:v>99.07054315764087</c:v>
                </c:pt>
                <c:pt idx="18">
                  <c:v>65.788054904439235</c:v>
                </c:pt>
                <c:pt idx="19">
                  <c:v>67.599848275038639</c:v>
                </c:pt>
                <c:pt idx="20">
                  <c:v>60.839694492606277</c:v>
                </c:pt>
                <c:pt idx="21">
                  <c:v>41.104274613459076</c:v>
                </c:pt>
                <c:pt idx="22">
                  <c:v>6.3312749763747043</c:v>
                </c:pt>
                <c:pt idx="23">
                  <c:v>60.482281203734665</c:v>
                </c:pt>
                <c:pt idx="24">
                  <c:v>44.939761899920526</c:v>
                </c:pt>
                <c:pt idx="25">
                  <c:v>27.456831761622819</c:v>
                </c:pt>
                <c:pt idx="26">
                  <c:v>100</c:v>
                </c:pt>
                <c:pt idx="27">
                  <c:v>76.656325203408542</c:v>
                </c:pt>
              </c:numCache>
            </c:numRef>
          </c:xVal>
          <c:yVal>
            <c:numRef>
              <c:f>'IPF Matrix'!$S$3:$S$30</c:f>
              <c:numCache>
                <c:formatCode>General</c:formatCode>
                <c:ptCount val="28"/>
                <c:pt idx="0">
                  <c:v>50.007480250680558</c:v>
                </c:pt>
                <c:pt idx="1">
                  <c:v>3.1876835748931631</c:v>
                </c:pt>
                <c:pt idx="2">
                  <c:v>12.181525800614383</c:v>
                </c:pt>
                <c:pt idx="3">
                  <c:v>40.642035587311589</c:v>
                </c:pt>
                <c:pt idx="4">
                  <c:v>22.412769499699003</c:v>
                </c:pt>
                <c:pt idx="5">
                  <c:v>25.74742485966004</c:v>
                </c:pt>
                <c:pt idx="6">
                  <c:v>26.406748298628013</c:v>
                </c:pt>
                <c:pt idx="7">
                  <c:v>26.427641432772653</c:v>
                </c:pt>
                <c:pt idx="8">
                  <c:v>28.954451375511987</c:v>
                </c:pt>
                <c:pt idx="9">
                  <c:v>30.163248678254639</c:v>
                </c:pt>
                <c:pt idx="10">
                  <c:v>30.727707203055456</c:v>
                </c:pt>
                <c:pt idx="11">
                  <c:v>31.982849913823213</c:v>
                </c:pt>
                <c:pt idx="12">
                  <c:v>31.985499270627326</c:v>
                </c:pt>
                <c:pt idx="13">
                  <c:v>34.189962457309868</c:v>
                </c:pt>
                <c:pt idx="14">
                  <c:v>36.026342818999169</c:v>
                </c:pt>
                <c:pt idx="15">
                  <c:v>40.270775932950322</c:v>
                </c:pt>
                <c:pt idx="16">
                  <c:v>39.687562307851735</c:v>
                </c:pt>
                <c:pt idx="17">
                  <c:v>14.456308071837285</c:v>
                </c:pt>
                <c:pt idx="18">
                  <c:v>45.138662726693354</c:v>
                </c:pt>
                <c:pt idx="19">
                  <c:v>0.74471647616712822</c:v>
                </c:pt>
                <c:pt idx="20">
                  <c:v>54.323693927348906</c:v>
                </c:pt>
                <c:pt idx="21">
                  <c:v>100</c:v>
                </c:pt>
                <c:pt idx="22">
                  <c:v>59.072644235894536</c:v>
                </c:pt>
                <c:pt idx="23">
                  <c:v>72.361271775596904</c:v>
                </c:pt>
                <c:pt idx="24">
                  <c:v>72.56976898202592</c:v>
                </c:pt>
                <c:pt idx="25">
                  <c:v>95.103901756386549</c:v>
                </c:pt>
                <c:pt idx="26">
                  <c:v>84.076202764765185</c:v>
                </c:pt>
                <c:pt idx="27">
                  <c:v>58.623232210413178</c:v>
                </c:pt>
              </c:numCache>
            </c:numRef>
          </c:yVal>
          <c:smooth val="0"/>
        </c:ser>
        <c:dLbls>
          <c:showLegendKey val="0"/>
          <c:showVal val="0"/>
          <c:showCatName val="0"/>
          <c:showSerName val="0"/>
          <c:showPercent val="0"/>
          <c:showBubbleSize val="0"/>
        </c:dLbls>
        <c:axId val="336142912"/>
        <c:axId val="325585728"/>
      </c:scatterChart>
      <c:valAx>
        <c:axId val="336142912"/>
        <c:scaling>
          <c:orientation val="minMax"/>
          <c:max val="100"/>
        </c:scaling>
        <c:delete val="0"/>
        <c:axPos val="b"/>
        <c:title>
          <c:tx>
            <c:rich>
              <a:bodyPr/>
              <a:lstStyle/>
              <a:p>
                <a:pPr>
                  <a:defRPr sz="1050" b="1"/>
                </a:pPr>
                <a:r>
                  <a:rPr lang="en-US"/>
                  <a:t>FEI - PCA</a:t>
                </a:r>
              </a:p>
            </c:rich>
          </c:tx>
          <c:layout/>
          <c:overlay val="0"/>
        </c:title>
        <c:numFmt formatCode="General" sourceLinked="1"/>
        <c:majorTickMark val="out"/>
        <c:minorTickMark val="none"/>
        <c:tickLblPos val="nextTo"/>
        <c:spPr>
          <a:ln>
            <a:solidFill>
              <a:srgbClr val="000000"/>
            </a:solidFill>
          </a:ln>
        </c:spPr>
        <c:txPr>
          <a:bodyPr/>
          <a:lstStyle/>
          <a:p>
            <a:pPr>
              <a:defRPr sz="800">
                <a:solidFill>
                  <a:srgbClr val="000000"/>
                </a:solidFill>
              </a:defRPr>
            </a:pPr>
            <a:endParaRPr lang="en-US"/>
          </a:p>
        </c:txPr>
        <c:crossAx val="325585728"/>
        <c:crosses val="autoZero"/>
        <c:crossBetween val="midCat"/>
      </c:valAx>
      <c:valAx>
        <c:axId val="325585728"/>
        <c:scaling>
          <c:orientation val="minMax"/>
          <c:max val="100"/>
        </c:scaling>
        <c:delete val="0"/>
        <c:axPos val="l"/>
        <c:majorGridlines>
          <c:spPr>
            <a:ln>
              <a:solidFill>
                <a:srgbClr val="F4F4F4"/>
              </a:solidFill>
              <a:prstDash val="solid"/>
            </a:ln>
          </c:spPr>
        </c:majorGridlines>
        <c:title>
          <c:tx>
            <c:rich>
              <a:bodyPr/>
              <a:lstStyle/>
              <a:p>
                <a:pPr>
                  <a:defRPr sz="1050" b="1"/>
                </a:pPr>
                <a:r>
                  <a:rPr lang="en-US"/>
                  <a:t>SEI - Constrained Solution 2</a:t>
                </a:r>
              </a:p>
            </c:rich>
          </c:tx>
          <c:layout/>
          <c:overlay val="0"/>
        </c:title>
        <c:numFmt formatCode="General" sourceLinked="1"/>
        <c:majorTickMark val="out"/>
        <c:minorTickMark val="none"/>
        <c:tickLblPos val="nextTo"/>
        <c:spPr>
          <a:ln>
            <a:solidFill>
              <a:srgbClr val="000000"/>
            </a:solidFill>
          </a:ln>
        </c:spPr>
        <c:txPr>
          <a:bodyPr/>
          <a:lstStyle/>
          <a:p>
            <a:pPr>
              <a:defRPr sz="800">
                <a:solidFill>
                  <a:srgbClr val="000000"/>
                </a:solidFill>
              </a:defRPr>
            </a:pPr>
            <a:endParaRPr lang="en-US"/>
          </a:p>
        </c:txPr>
        <c:crossAx val="336142912"/>
        <c:crosses val="autoZero"/>
        <c:crossBetween val="midCat"/>
      </c:valAx>
    </c:plotArea>
    <c:plotVisOnly val="1"/>
    <c:dispBlanksAs val="gap"/>
    <c:showDLblsOverMax val="0"/>
  </c:chart>
  <c:spPr>
    <a:ln w="6350">
      <a:noFill/>
    </a:ln>
  </c:spPr>
  <c:printSettings>
    <c:headerFooter/>
    <c:pageMargins b="0.75" l="0.7" r="0.7" t="0.75" header="0.3" footer="0.3"/>
    <c:pageSetup/>
  </c:printSettings>
  <c:userShapes r:id="rId1"/>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6.4162679425837324E-2"/>
          <c:y val="3.5369774919614148E-2"/>
          <c:w val="0.90952153110047851"/>
          <c:h val="0.88102893890675238"/>
        </c:manualLayout>
      </c:layout>
      <c:scatterChart>
        <c:scatterStyle val="lineMarker"/>
        <c:varyColors val="0"/>
        <c:ser>
          <c:idx val="0"/>
          <c:order val="0"/>
          <c:spPr>
            <a:solidFill>
              <a:srgbClr val="FFFFFF"/>
            </a:solidFill>
            <a:ln w="19050">
              <a:noFill/>
            </a:ln>
          </c:spPr>
          <c:marker>
            <c:symbol val="circle"/>
            <c:size val="7"/>
            <c:spPr>
              <a:solidFill>
                <a:srgbClr val="B40000"/>
              </a:solidFill>
            </c:spPr>
          </c:marker>
          <c:dPt>
            <c:idx val="0"/>
            <c:marker>
              <c:spPr>
                <a:pattFill>
                  <a:fgClr>
                    <a:srgbClr val="B40000"/>
                  </a:fgClr>
                  <a:bgClr>
                    <a:srgbClr val="B40000"/>
                  </a:bgClr>
                </a:patt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0000"/>
                      </a:solidFill>
                      <a:prstDash val="solid"/>
                      <a:round/>
                      <a:headEnd type="none" w="med" len="med"/>
                      <a:tailEnd type="none" w="med" len="med"/>
                    </a14:hiddenLine>
                  </a:ext>
                </a:extLst>
              </c:spPr>
            </c:marker>
            <c:bubble3D val="0"/>
            <c:spPr>
              <a:solidFill>
                <a:srgbClr val="FFFFFF"/>
              </a:solid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0000"/>
                    </a:solidFill>
                    <a:prstDash val="solid"/>
                    <a:round/>
                    <a:headEnd type="none" w="med" len="med"/>
                    <a:tailEnd type="none" w="med" len="med"/>
                  </a14:hiddenLine>
                </a:ext>
              </a:extLst>
            </c:spPr>
          </c:dPt>
          <c:dPt>
            <c:idx val="1"/>
            <c:marker>
              <c:spPr>
                <a:pattFill>
                  <a:fgClr>
                    <a:srgbClr val="B40000"/>
                  </a:fgClr>
                  <a:bgClr>
                    <a:srgbClr val="B40000"/>
                  </a:bgClr>
                </a:patt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0000"/>
                      </a:solidFill>
                      <a:prstDash val="solid"/>
                      <a:round/>
                      <a:headEnd type="none" w="med" len="med"/>
                      <a:tailEnd type="none" w="med" len="med"/>
                    </a14:hiddenLine>
                  </a:ext>
                </a:extLst>
              </c:spPr>
            </c:marker>
            <c:bubble3D val="0"/>
            <c:spPr>
              <a:solidFill>
                <a:srgbClr val="FFFFFF"/>
              </a:solid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0000"/>
                    </a:solidFill>
                    <a:prstDash val="solid"/>
                    <a:round/>
                    <a:headEnd type="none" w="med" len="med"/>
                    <a:tailEnd type="none" w="med" len="med"/>
                  </a14:hiddenLine>
                </a:ext>
              </a:extLst>
            </c:spPr>
          </c:dPt>
          <c:dPt>
            <c:idx val="2"/>
            <c:marker>
              <c:spPr>
                <a:pattFill>
                  <a:fgClr>
                    <a:srgbClr val="B40000"/>
                  </a:fgClr>
                  <a:bgClr>
                    <a:srgbClr val="B40000"/>
                  </a:bgClr>
                </a:patt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0000"/>
                      </a:solidFill>
                      <a:prstDash val="solid"/>
                      <a:round/>
                      <a:headEnd type="none" w="med" len="med"/>
                      <a:tailEnd type="none" w="med" len="med"/>
                    </a14:hiddenLine>
                  </a:ext>
                </a:extLst>
              </c:spPr>
            </c:marker>
            <c:bubble3D val="0"/>
            <c:spPr>
              <a:solidFill>
                <a:srgbClr val="FFFFFF"/>
              </a:solid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0000"/>
                    </a:solidFill>
                    <a:prstDash val="solid"/>
                    <a:round/>
                    <a:headEnd type="none" w="med" len="med"/>
                    <a:tailEnd type="none" w="med" len="med"/>
                  </a14:hiddenLine>
                </a:ext>
              </a:extLst>
            </c:spPr>
          </c:dPt>
          <c:dPt>
            <c:idx val="3"/>
            <c:marker>
              <c:spPr>
                <a:pattFill>
                  <a:fgClr>
                    <a:srgbClr val="B40000"/>
                  </a:fgClr>
                  <a:bgClr>
                    <a:srgbClr val="B40000"/>
                  </a:bgClr>
                </a:patt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0000"/>
                      </a:solidFill>
                      <a:prstDash val="solid"/>
                      <a:round/>
                      <a:headEnd type="none" w="med" len="med"/>
                      <a:tailEnd type="none" w="med" len="med"/>
                    </a14:hiddenLine>
                  </a:ext>
                </a:extLst>
              </c:spPr>
            </c:marker>
            <c:bubble3D val="0"/>
            <c:spPr>
              <a:solidFill>
                <a:srgbClr val="FFFFFF"/>
              </a:solid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0000"/>
                    </a:solidFill>
                    <a:prstDash val="solid"/>
                    <a:round/>
                    <a:headEnd type="none" w="med" len="med"/>
                    <a:tailEnd type="none" w="med" len="med"/>
                  </a14:hiddenLine>
                </a:ext>
              </a:extLst>
            </c:spPr>
          </c:dPt>
          <c:dPt>
            <c:idx val="4"/>
            <c:marker>
              <c:spPr>
                <a:pattFill>
                  <a:fgClr>
                    <a:srgbClr val="B40000"/>
                  </a:fgClr>
                  <a:bgClr>
                    <a:srgbClr val="B40000"/>
                  </a:bgClr>
                </a:patt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0000"/>
                      </a:solidFill>
                      <a:prstDash val="solid"/>
                      <a:round/>
                      <a:headEnd type="none" w="med" len="med"/>
                      <a:tailEnd type="none" w="med" len="med"/>
                    </a14:hiddenLine>
                  </a:ext>
                </a:extLst>
              </c:spPr>
            </c:marker>
            <c:bubble3D val="0"/>
            <c:spPr>
              <a:solidFill>
                <a:srgbClr val="FFFFFF"/>
              </a:solid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0000"/>
                    </a:solidFill>
                    <a:prstDash val="solid"/>
                    <a:round/>
                    <a:headEnd type="none" w="med" len="med"/>
                    <a:tailEnd type="none" w="med" len="med"/>
                  </a14:hiddenLine>
                </a:ext>
              </a:extLst>
            </c:spPr>
          </c:dPt>
          <c:dPt>
            <c:idx val="5"/>
            <c:marker>
              <c:spPr>
                <a:pattFill>
                  <a:fgClr>
                    <a:srgbClr val="B40000"/>
                  </a:fgClr>
                  <a:bgClr>
                    <a:srgbClr val="B40000"/>
                  </a:bgClr>
                </a:patt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0000"/>
                      </a:solidFill>
                      <a:prstDash val="solid"/>
                      <a:round/>
                      <a:headEnd type="none" w="med" len="med"/>
                      <a:tailEnd type="none" w="med" len="med"/>
                    </a14:hiddenLine>
                  </a:ext>
                </a:extLst>
              </c:spPr>
            </c:marker>
            <c:bubble3D val="0"/>
            <c:spPr>
              <a:solidFill>
                <a:srgbClr val="FFFFFF"/>
              </a:solid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0000"/>
                    </a:solidFill>
                    <a:prstDash val="solid"/>
                    <a:round/>
                    <a:headEnd type="none" w="med" len="med"/>
                    <a:tailEnd type="none" w="med" len="med"/>
                  </a14:hiddenLine>
                </a:ext>
              </a:extLst>
            </c:spPr>
          </c:dPt>
          <c:dPt>
            <c:idx val="6"/>
            <c:marker>
              <c:spPr>
                <a:pattFill>
                  <a:fgClr>
                    <a:srgbClr val="B40000"/>
                  </a:fgClr>
                  <a:bgClr>
                    <a:srgbClr val="B40000"/>
                  </a:bgClr>
                </a:patt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0000"/>
                      </a:solidFill>
                      <a:prstDash val="solid"/>
                      <a:round/>
                      <a:headEnd type="none" w="med" len="med"/>
                      <a:tailEnd type="none" w="med" len="med"/>
                    </a14:hiddenLine>
                  </a:ext>
                </a:extLst>
              </c:spPr>
            </c:marker>
            <c:bubble3D val="0"/>
            <c:spPr>
              <a:solidFill>
                <a:srgbClr val="FFFFFF"/>
              </a:solid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0000"/>
                    </a:solidFill>
                    <a:prstDash val="solid"/>
                    <a:round/>
                    <a:headEnd type="none" w="med" len="med"/>
                    <a:tailEnd type="none" w="med" len="med"/>
                  </a14:hiddenLine>
                </a:ext>
              </a:extLst>
            </c:spPr>
          </c:dPt>
          <c:dPt>
            <c:idx val="7"/>
            <c:marker>
              <c:spPr>
                <a:pattFill>
                  <a:fgClr>
                    <a:srgbClr val="B40000"/>
                  </a:fgClr>
                  <a:bgClr>
                    <a:srgbClr val="B40000"/>
                  </a:bgClr>
                </a:patt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0000"/>
                      </a:solidFill>
                      <a:prstDash val="solid"/>
                      <a:round/>
                      <a:headEnd type="none" w="med" len="med"/>
                      <a:tailEnd type="none" w="med" len="med"/>
                    </a14:hiddenLine>
                  </a:ext>
                </a:extLst>
              </c:spPr>
            </c:marker>
            <c:bubble3D val="0"/>
            <c:spPr>
              <a:solidFill>
                <a:srgbClr val="FFFFFF"/>
              </a:solid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0000"/>
                    </a:solidFill>
                    <a:prstDash val="solid"/>
                    <a:round/>
                    <a:headEnd type="none" w="med" len="med"/>
                    <a:tailEnd type="none" w="med" len="med"/>
                  </a14:hiddenLine>
                </a:ext>
              </a:extLst>
            </c:spPr>
          </c:dPt>
          <c:dPt>
            <c:idx val="8"/>
            <c:marker>
              <c:spPr>
                <a:pattFill>
                  <a:fgClr>
                    <a:srgbClr val="B40000"/>
                  </a:fgClr>
                  <a:bgClr>
                    <a:srgbClr val="B40000"/>
                  </a:bgClr>
                </a:patt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0000"/>
                      </a:solidFill>
                      <a:prstDash val="solid"/>
                      <a:round/>
                      <a:headEnd type="none" w="med" len="med"/>
                      <a:tailEnd type="none" w="med" len="med"/>
                    </a14:hiddenLine>
                  </a:ext>
                </a:extLst>
              </c:spPr>
            </c:marker>
            <c:bubble3D val="0"/>
            <c:spPr>
              <a:solidFill>
                <a:srgbClr val="FFFFFF"/>
              </a:solid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0000"/>
                    </a:solidFill>
                    <a:prstDash val="solid"/>
                    <a:round/>
                    <a:headEnd type="none" w="med" len="med"/>
                    <a:tailEnd type="none" w="med" len="med"/>
                  </a14:hiddenLine>
                </a:ext>
              </a:extLst>
            </c:spPr>
          </c:dPt>
          <c:dPt>
            <c:idx val="9"/>
            <c:marker>
              <c:spPr>
                <a:pattFill>
                  <a:fgClr>
                    <a:srgbClr val="B40000"/>
                  </a:fgClr>
                  <a:bgClr>
                    <a:srgbClr val="B40000"/>
                  </a:bgClr>
                </a:patt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0000"/>
                      </a:solidFill>
                      <a:prstDash val="solid"/>
                      <a:round/>
                      <a:headEnd type="none" w="med" len="med"/>
                      <a:tailEnd type="none" w="med" len="med"/>
                    </a14:hiddenLine>
                  </a:ext>
                </a:extLst>
              </c:spPr>
            </c:marker>
            <c:bubble3D val="0"/>
            <c:spPr>
              <a:solidFill>
                <a:srgbClr val="FFFFFF"/>
              </a:solid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0000"/>
                    </a:solidFill>
                    <a:prstDash val="solid"/>
                    <a:round/>
                    <a:headEnd type="none" w="med" len="med"/>
                    <a:tailEnd type="none" w="med" len="med"/>
                  </a14:hiddenLine>
                </a:ext>
              </a:extLst>
            </c:spPr>
          </c:dPt>
          <c:dPt>
            <c:idx val="10"/>
            <c:marker>
              <c:spPr>
                <a:pattFill>
                  <a:fgClr>
                    <a:srgbClr val="B40000"/>
                  </a:fgClr>
                  <a:bgClr>
                    <a:srgbClr val="B40000"/>
                  </a:bgClr>
                </a:patt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0000"/>
                      </a:solidFill>
                      <a:prstDash val="solid"/>
                      <a:round/>
                      <a:headEnd type="none" w="med" len="med"/>
                      <a:tailEnd type="none" w="med" len="med"/>
                    </a14:hiddenLine>
                  </a:ext>
                </a:extLst>
              </c:spPr>
            </c:marker>
            <c:bubble3D val="0"/>
            <c:spPr>
              <a:solidFill>
                <a:srgbClr val="FFFFFF"/>
              </a:solid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0000"/>
                    </a:solidFill>
                    <a:prstDash val="solid"/>
                    <a:round/>
                    <a:headEnd type="none" w="med" len="med"/>
                    <a:tailEnd type="none" w="med" len="med"/>
                  </a14:hiddenLine>
                </a:ext>
              </a:extLst>
            </c:spPr>
          </c:dPt>
          <c:dPt>
            <c:idx val="11"/>
            <c:marker>
              <c:spPr>
                <a:pattFill>
                  <a:fgClr>
                    <a:srgbClr val="B40000"/>
                  </a:fgClr>
                  <a:bgClr>
                    <a:srgbClr val="B40000"/>
                  </a:bgClr>
                </a:patt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0000"/>
                      </a:solidFill>
                      <a:prstDash val="solid"/>
                      <a:round/>
                      <a:headEnd type="none" w="med" len="med"/>
                      <a:tailEnd type="none" w="med" len="med"/>
                    </a14:hiddenLine>
                  </a:ext>
                </a:extLst>
              </c:spPr>
            </c:marker>
            <c:bubble3D val="0"/>
            <c:spPr>
              <a:solidFill>
                <a:srgbClr val="FFFFFF"/>
              </a:solid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0000"/>
                    </a:solidFill>
                    <a:prstDash val="solid"/>
                    <a:round/>
                    <a:headEnd type="none" w="med" len="med"/>
                    <a:tailEnd type="none" w="med" len="med"/>
                  </a14:hiddenLine>
                </a:ext>
              </a:extLst>
            </c:spPr>
          </c:dPt>
          <c:dPt>
            <c:idx val="12"/>
            <c:marker>
              <c:spPr>
                <a:pattFill>
                  <a:fgClr>
                    <a:srgbClr val="B40000"/>
                  </a:fgClr>
                  <a:bgClr>
                    <a:srgbClr val="B40000"/>
                  </a:bgClr>
                </a:patt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0000"/>
                      </a:solidFill>
                      <a:prstDash val="solid"/>
                      <a:round/>
                      <a:headEnd type="none" w="med" len="med"/>
                      <a:tailEnd type="none" w="med" len="med"/>
                    </a14:hiddenLine>
                  </a:ext>
                </a:extLst>
              </c:spPr>
            </c:marker>
            <c:bubble3D val="0"/>
            <c:spPr>
              <a:solidFill>
                <a:srgbClr val="FFFFFF"/>
              </a:solid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0000"/>
                    </a:solidFill>
                    <a:prstDash val="solid"/>
                    <a:round/>
                    <a:headEnd type="none" w="med" len="med"/>
                    <a:tailEnd type="none" w="med" len="med"/>
                  </a14:hiddenLine>
                </a:ext>
              </a:extLst>
            </c:spPr>
          </c:dPt>
          <c:dPt>
            <c:idx val="13"/>
            <c:marker>
              <c:spPr>
                <a:pattFill>
                  <a:fgClr>
                    <a:srgbClr val="B40000"/>
                  </a:fgClr>
                  <a:bgClr>
                    <a:srgbClr val="B40000"/>
                  </a:bgClr>
                </a:patt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0000"/>
                      </a:solidFill>
                      <a:prstDash val="solid"/>
                      <a:round/>
                      <a:headEnd type="none" w="med" len="med"/>
                      <a:tailEnd type="none" w="med" len="med"/>
                    </a14:hiddenLine>
                  </a:ext>
                </a:extLst>
              </c:spPr>
            </c:marker>
            <c:bubble3D val="0"/>
            <c:spPr>
              <a:solidFill>
                <a:srgbClr val="FFFFFF"/>
              </a:solid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0000"/>
                    </a:solidFill>
                    <a:prstDash val="solid"/>
                    <a:round/>
                    <a:headEnd type="none" w="med" len="med"/>
                    <a:tailEnd type="none" w="med" len="med"/>
                  </a14:hiddenLine>
                </a:ext>
              </a:extLst>
            </c:spPr>
          </c:dPt>
          <c:dPt>
            <c:idx val="14"/>
            <c:marker>
              <c:spPr>
                <a:pattFill>
                  <a:fgClr>
                    <a:srgbClr val="B40000"/>
                  </a:fgClr>
                  <a:bgClr>
                    <a:srgbClr val="B40000"/>
                  </a:bgClr>
                </a:patt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0000"/>
                      </a:solidFill>
                      <a:prstDash val="solid"/>
                      <a:round/>
                      <a:headEnd type="none" w="med" len="med"/>
                      <a:tailEnd type="none" w="med" len="med"/>
                    </a14:hiddenLine>
                  </a:ext>
                </a:extLst>
              </c:spPr>
            </c:marker>
            <c:bubble3D val="0"/>
            <c:spPr>
              <a:solidFill>
                <a:srgbClr val="FFFFFF"/>
              </a:solid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0000"/>
                    </a:solidFill>
                    <a:prstDash val="solid"/>
                    <a:round/>
                    <a:headEnd type="none" w="med" len="med"/>
                    <a:tailEnd type="none" w="med" len="med"/>
                  </a14:hiddenLine>
                </a:ext>
              </a:extLst>
            </c:spPr>
          </c:dPt>
          <c:dPt>
            <c:idx val="15"/>
            <c:marker>
              <c:spPr>
                <a:pattFill>
                  <a:fgClr>
                    <a:srgbClr val="B40000"/>
                  </a:fgClr>
                  <a:bgClr>
                    <a:srgbClr val="B40000"/>
                  </a:bgClr>
                </a:patt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0000"/>
                      </a:solidFill>
                      <a:prstDash val="solid"/>
                      <a:round/>
                      <a:headEnd type="none" w="med" len="med"/>
                      <a:tailEnd type="none" w="med" len="med"/>
                    </a14:hiddenLine>
                  </a:ext>
                </a:extLst>
              </c:spPr>
            </c:marker>
            <c:bubble3D val="0"/>
            <c:spPr>
              <a:solidFill>
                <a:srgbClr val="FFFFFF"/>
              </a:solid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0000"/>
                    </a:solidFill>
                    <a:prstDash val="solid"/>
                    <a:round/>
                    <a:headEnd type="none" w="med" len="med"/>
                    <a:tailEnd type="none" w="med" len="med"/>
                  </a14:hiddenLine>
                </a:ext>
              </a:extLst>
            </c:spPr>
          </c:dPt>
          <c:dPt>
            <c:idx val="16"/>
            <c:marker>
              <c:spPr>
                <a:pattFill>
                  <a:fgClr>
                    <a:srgbClr val="B4B400"/>
                  </a:fgClr>
                  <a:bgClr>
                    <a:srgbClr val="B4B400"/>
                  </a:bgClr>
                </a:patt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B400"/>
                      </a:solidFill>
                      <a:prstDash val="solid"/>
                      <a:round/>
                      <a:headEnd type="none" w="med" len="med"/>
                      <a:tailEnd type="none" w="med" len="med"/>
                    </a14:hiddenLine>
                  </a:ext>
                </a:extLst>
              </c:spPr>
            </c:marker>
            <c:bubble3D val="0"/>
            <c:spPr>
              <a:solidFill>
                <a:srgbClr val="FFFFFF"/>
              </a:solid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B400"/>
                    </a:solidFill>
                    <a:prstDash val="solid"/>
                    <a:round/>
                    <a:headEnd type="none" w="med" len="med"/>
                    <a:tailEnd type="none" w="med" len="med"/>
                  </a14:hiddenLine>
                </a:ext>
              </a:extLst>
            </c:spPr>
          </c:dPt>
          <c:dPt>
            <c:idx val="17"/>
            <c:marker>
              <c:spPr>
                <a:pattFill>
                  <a:fgClr>
                    <a:srgbClr val="B4B400"/>
                  </a:fgClr>
                  <a:bgClr>
                    <a:srgbClr val="B4B400"/>
                  </a:bgClr>
                </a:patt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B400"/>
                      </a:solidFill>
                      <a:prstDash val="solid"/>
                      <a:round/>
                      <a:headEnd type="none" w="med" len="med"/>
                      <a:tailEnd type="none" w="med" len="med"/>
                    </a14:hiddenLine>
                  </a:ext>
                </a:extLst>
              </c:spPr>
            </c:marker>
            <c:bubble3D val="0"/>
            <c:spPr>
              <a:solidFill>
                <a:srgbClr val="FFFFFF"/>
              </a:solid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B400"/>
                    </a:solidFill>
                    <a:prstDash val="solid"/>
                    <a:round/>
                    <a:headEnd type="none" w="med" len="med"/>
                    <a:tailEnd type="none" w="med" len="med"/>
                  </a14:hiddenLine>
                </a:ext>
              </a:extLst>
            </c:spPr>
          </c:dPt>
          <c:dPt>
            <c:idx val="18"/>
            <c:marker>
              <c:spPr>
                <a:pattFill>
                  <a:fgClr>
                    <a:srgbClr val="B4B400"/>
                  </a:fgClr>
                  <a:bgClr>
                    <a:srgbClr val="B4B400"/>
                  </a:bgClr>
                </a:patt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B400"/>
                      </a:solidFill>
                      <a:prstDash val="solid"/>
                      <a:round/>
                      <a:headEnd type="none" w="med" len="med"/>
                      <a:tailEnd type="none" w="med" len="med"/>
                    </a14:hiddenLine>
                  </a:ext>
                </a:extLst>
              </c:spPr>
            </c:marker>
            <c:bubble3D val="0"/>
            <c:spPr>
              <a:solidFill>
                <a:srgbClr val="FFFFFF"/>
              </a:solid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B400"/>
                    </a:solidFill>
                    <a:prstDash val="solid"/>
                    <a:round/>
                    <a:headEnd type="none" w="med" len="med"/>
                    <a:tailEnd type="none" w="med" len="med"/>
                  </a14:hiddenLine>
                </a:ext>
              </a:extLst>
            </c:spPr>
          </c:dPt>
          <c:dPt>
            <c:idx val="19"/>
            <c:marker>
              <c:spPr>
                <a:pattFill>
                  <a:fgClr>
                    <a:srgbClr val="B4B400"/>
                  </a:fgClr>
                  <a:bgClr>
                    <a:srgbClr val="B4B400"/>
                  </a:bgClr>
                </a:patt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B400"/>
                      </a:solidFill>
                      <a:prstDash val="solid"/>
                      <a:round/>
                      <a:headEnd type="none" w="med" len="med"/>
                      <a:tailEnd type="none" w="med" len="med"/>
                    </a14:hiddenLine>
                  </a:ext>
                </a:extLst>
              </c:spPr>
            </c:marker>
            <c:bubble3D val="0"/>
            <c:spPr>
              <a:solidFill>
                <a:srgbClr val="FFFFFF"/>
              </a:solid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B400"/>
                    </a:solidFill>
                    <a:prstDash val="solid"/>
                    <a:round/>
                    <a:headEnd type="none" w="med" len="med"/>
                    <a:tailEnd type="none" w="med" len="med"/>
                  </a14:hiddenLine>
                </a:ext>
              </a:extLst>
            </c:spPr>
          </c:dPt>
          <c:dPt>
            <c:idx val="20"/>
            <c:marker>
              <c:spPr>
                <a:pattFill>
                  <a:fgClr>
                    <a:srgbClr val="B4B400"/>
                  </a:fgClr>
                  <a:bgClr>
                    <a:srgbClr val="B4B400"/>
                  </a:bgClr>
                </a:patt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B400"/>
                      </a:solidFill>
                      <a:prstDash val="solid"/>
                      <a:round/>
                      <a:headEnd type="none" w="med" len="med"/>
                      <a:tailEnd type="none" w="med" len="med"/>
                    </a14:hiddenLine>
                  </a:ext>
                </a:extLst>
              </c:spPr>
            </c:marker>
            <c:bubble3D val="0"/>
            <c:spPr>
              <a:solidFill>
                <a:srgbClr val="FFFFFF"/>
              </a:solid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B400"/>
                    </a:solidFill>
                    <a:prstDash val="solid"/>
                    <a:round/>
                    <a:headEnd type="none" w="med" len="med"/>
                    <a:tailEnd type="none" w="med" len="med"/>
                  </a14:hiddenLine>
                </a:ext>
              </a:extLst>
            </c:spPr>
          </c:dPt>
          <c:dPt>
            <c:idx val="21"/>
            <c:marker>
              <c:spPr>
                <a:pattFill>
                  <a:fgClr>
                    <a:srgbClr val="B4B400"/>
                  </a:fgClr>
                  <a:bgClr>
                    <a:srgbClr val="B4B400"/>
                  </a:bgClr>
                </a:patt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B400"/>
                      </a:solidFill>
                      <a:prstDash val="solid"/>
                      <a:round/>
                      <a:headEnd type="none" w="med" len="med"/>
                      <a:tailEnd type="none" w="med" len="med"/>
                    </a14:hiddenLine>
                  </a:ext>
                </a:extLst>
              </c:spPr>
            </c:marker>
            <c:bubble3D val="0"/>
            <c:spPr>
              <a:solidFill>
                <a:srgbClr val="FFFFFF"/>
              </a:solid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B400"/>
                    </a:solidFill>
                    <a:prstDash val="solid"/>
                    <a:round/>
                    <a:headEnd type="none" w="med" len="med"/>
                    <a:tailEnd type="none" w="med" len="med"/>
                  </a14:hiddenLine>
                </a:ext>
              </a:extLst>
            </c:spPr>
          </c:dPt>
          <c:dPt>
            <c:idx val="22"/>
            <c:marker>
              <c:spPr>
                <a:pattFill>
                  <a:fgClr>
                    <a:srgbClr val="B4B400"/>
                  </a:fgClr>
                  <a:bgClr>
                    <a:srgbClr val="B4B400"/>
                  </a:bgClr>
                </a:patt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B400"/>
                      </a:solidFill>
                      <a:prstDash val="solid"/>
                      <a:round/>
                      <a:headEnd type="none" w="med" len="med"/>
                      <a:tailEnd type="none" w="med" len="med"/>
                    </a14:hiddenLine>
                  </a:ext>
                </a:extLst>
              </c:spPr>
            </c:marker>
            <c:bubble3D val="0"/>
            <c:spPr>
              <a:solidFill>
                <a:srgbClr val="FFFFFF"/>
              </a:solid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B400"/>
                    </a:solidFill>
                    <a:prstDash val="solid"/>
                    <a:round/>
                    <a:headEnd type="none" w="med" len="med"/>
                    <a:tailEnd type="none" w="med" len="med"/>
                  </a14:hiddenLine>
                </a:ext>
              </a:extLst>
            </c:spPr>
          </c:dPt>
          <c:dPt>
            <c:idx val="23"/>
            <c:marker>
              <c:spPr>
                <a:pattFill>
                  <a:fgClr>
                    <a:srgbClr val="B4B400"/>
                  </a:fgClr>
                  <a:bgClr>
                    <a:srgbClr val="B4B400"/>
                  </a:bgClr>
                </a:patt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B400"/>
                      </a:solidFill>
                      <a:prstDash val="solid"/>
                      <a:round/>
                      <a:headEnd type="none" w="med" len="med"/>
                      <a:tailEnd type="none" w="med" len="med"/>
                    </a14:hiddenLine>
                  </a:ext>
                </a:extLst>
              </c:spPr>
            </c:marker>
            <c:bubble3D val="0"/>
            <c:spPr>
              <a:solidFill>
                <a:srgbClr val="FFFFFF"/>
              </a:solid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B400"/>
                    </a:solidFill>
                    <a:prstDash val="solid"/>
                    <a:round/>
                    <a:headEnd type="none" w="med" len="med"/>
                    <a:tailEnd type="none" w="med" len="med"/>
                  </a14:hiddenLine>
                </a:ext>
              </a:extLst>
            </c:spPr>
          </c:dPt>
          <c:dPt>
            <c:idx val="24"/>
            <c:marker>
              <c:spPr>
                <a:pattFill>
                  <a:fgClr>
                    <a:srgbClr val="B4B400"/>
                  </a:fgClr>
                  <a:bgClr>
                    <a:srgbClr val="B4B400"/>
                  </a:bgClr>
                </a:patt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B400"/>
                      </a:solidFill>
                      <a:prstDash val="solid"/>
                      <a:round/>
                      <a:headEnd type="none" w="med" len="med"/>
                      <a:tailEnd type="none" w="med" len="med"/>
                    </a14:hiddenLine>
                  </a:ext>
                </a:extLst>
              </c:spPr>
            </c:marker>
            <c:bubble3D val="0"/>
            <c:spPr>
              <a:solidFill>
                <a:srgbClr val="FFFFFF"/>
              </a:solid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B400"/>
                    </a:solidFill>
                    <a:prstDash val="solid"/>
                    <a:round/>
                    <a:headEnd type="none" w="med" len="med"/>
                    <a:tailEnd type="none" w="med" len="med"/>
                  </a14:hiddenLine>
                </a:ext>
              </a:extLst>
            </c:spPr>
          </c:dPt>
          <c:dPt>
            <c:idx val="25"/>
            <c:marker>
              <c:spPr>
                <a:pattFill>
                  <a:fgClr>
                    <a:srgbClr val="B4B400"/>
                  </a:fgClr>
                  <a:bgClr>
                    <a:srgbClr val="B4B400"/>
                  </a:bgClr>
                </a:patt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B400"/>
                      </a:solidFill>
                      <a:prstDash val="solid"/>
                      <a:round/>
                      <a:headEnd type="none" w="med" len="med"/>
                      <a:tailEnd type="none" w="med" len="med"/>
                    </a14:hiddenLine>
                  </a:ext>
                </a:extLst>
              </c:spPr>
            </c:marker>
            <c:bubble3D val="0"/>
            <c:spPr>
              <a:solidFill>
                <a:srgbClr val="FFFFFF"/>
              </a:solid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B400"/>
                    </a:solidFill>
                    <a:prstDash val="solid"/>
                    <a:round/>
                    <a:headEnd type="none" w="med" len="med"/>
                    <a:tailEnd type="none" w="med" len="med"/>
                  </a14:hiddenLine>
                </a:ext>
              </a:extLst>
            </c:spPr>
          </c:dPt>
          <c:dPt>
            <c:idx val="26"/>
            <c:marker>
              <c:spPr>
                <a:pattFill>
                  <a:fgClr>
                    <a:srgbClr val="00B400"/>
                  </a:fgClr>
                  <a:bgClr>
                    <a:srgbClr val="00B400"/>
                  </a:bgClr>
                </a:patt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00B400"/>
                      </a:solidFill>
                      <a:prstDash val="solid"/>
                      <a:round/>
                      <a:headEnd type="none" w="med" len="med"/>
                      <a:tailEnd type="none" w="med" len="med"/>
                    </a14:hiddenLine>
                  </a:ext>
                </a:extLst>
              </c:spPr>
            </c:marker>
            <c:bubble3D val="0"/>
            <c:spPr>
              <a:solidFill>
                <a:srgbClr val="FFFFFF"/>
              </a:solid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00B400"/>
                    </a:solidFill>
                    <a:prstDash val="solid"/>
                    <a:round/>
                    <a:headEnd type="none" w="med" len="med"/>
                    <a:tailEnd type="none" w="med" len="med"/>
                  </a14:hiddenLine>
                </a:ext>
              </a:extLst>
            </c:spPr>
          </c:dPt>
          <c:dPt>
            <c:idx val="27"/>
            <c:marker>
              <c:spPr>
                <a:pattFill>
                  <a:fgClr>
                    <a:srgbClr val="00B400"/>
                  </a:fgClr>
                  <a:bgClr>
                    <a:srgbClr val="00B400"/>
                  </a:bgClr>
                </a:patt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00B400"/>
                      </a:solidFill>
                      <a:prstDash val="solid"/>
                      <a:round/>
                      <a:headEnd type="none" w="med" len="med"/>
                      <a:tailEnd type="none" w="med" len="med"/>
                    </a14:hiddenLine>
                  </a:ext>
                </a:extLst>
              </c:spPr>
            </c:marker>
            <c:bubble3D val="0"/>
            <c:spPr>
              <a:solidFill>
                <a:srgbClr val="FFFFFF"/>
              </a:solid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00B400"/>
                    </a:solidFill>
                    <a:prstDash val="solid"/>
                    <a:round/>
                    <a:headEnd type="none" w="med" len="med"/>
                    <a:tailEnd type="none" w="med" len="med"/>
                  </a14:hiddenLine>
                </a:ext>
              </a:extLst>
            </c:spPr>
          </c:dPt>
          <c:dLbls>
            <c:dLbl>
              <c:idx val="0"/>
              <c:layout/>
              <c:tx>
                <c:rich>
                  <a:bodyPr/>
                  <a:lstStyle/>
                  <a:p>
                    <a:r>
                      <a:rPr lang="en-US"/>
                      <a:t>P20</a:t>
                    </a:r>
                  </a:p>
                </c:rich>
              </c:tx>
              <c:showLegendKey val="0"/>
              <c:showVal val="1"/>
              <c:showCatName val="0"/>
              <c:showSerName val="0"/>
              <c:showPercent val="0"/>
              <c:showBubbleSize val="0"/>
            </c:dLbl>
            <c:dLbl>
              <c:idx val="1"/>
              <c:layout/>
              <c:tx>
                <c:rich>
                  <a:bodyPr/>
                  <a:lstStyle/>
                  <a:p>
                    <a:r>
                      <a:rPr lang="en-US"/>
                      <a:t>P14</a:t>
                    </a:r>
                  </a:p>
                </c:rich>
              </c:tx>
              <c:showLegendKey val="0"/>
              <c:showVal val="1"/>
              <c:showCatName val="0"/>
              <c:showSerName val="0"/>
              <c:showPercent val="0"/>
              <c:showBubbleSize val="0"/>
            </c:dLbl>
            <c:dLbl>
              <c:idx val="2"/>
              <c:layout/>
              <c:tx>
                <c:rich>
                  <a:bodyPr/>
                  <a:lstStyle/>
                  <a:p>
                    <a:r>
                      <a:rPr lang="en-US"/>
                      <a:t>P15</a:t>
                    </a:r>
                  </a:p>
                </c:rich>
              </c:tx>
              <c:showLegendKey val="0"/>
              <c:showVal val="1"/>
              <c:showCatName val="0"/>
              <c:showSerName val="0"/>
              <c:showPercent val="0"/>
              <c:showBubbleSize val="0"/>
            </c:dLbl>
            <c:dLbl>
              <c:idx val="3"/>
              <c:layout/>
              <c:tx>
                <c:rich>
                  <a:bodyPr/>
                  <a:lstStyle/>
                  <a:p>
                    <a:r>
                      <a:rPr lang="en-US"/>
                      <a:t>P18</a:t>
                    </a:r>
                  </a:p>
                </c:rich>
              </c:tx>
              <c:showLegendKey val="0"/>
              <c:showVal val="1"/>
              <c:showCatName val="0"/>
              <c:showSerName val="0"/>
              <c:showPercent val="0"/>
              <c:showBubbleSize val="0"/>
            </c:dLbl>
            <c:dLbl>
              <c:idx val="4"/>
              <c:layout/>
              <c:tx>
                <c:rich>
                  <a:bodyPr/>
                  <a:lstStyle/>
                  <a:p>
                    <a:r>
                      <a:rPr lang="en-US"/>
                      <a:t>P22</a:t>
                    </a:r>
                  </a:p>
                </c:rich>
              </c:tx>
              <c:showLegendKey val="0"/>
              <c:showVal val="1"/>
              <c:showCatName val="0"/>
              <c:showSerName val="0"/>
              <c:showPercent val="0"/>
              <c:showBubbleSize val="0"/>
            </c:dLbl>
            <c:dLbl>
              <c:idx val="5"/>
              <c:layout/>
              <c:tx>
                <c:rich>
                  <a:bodyPr/>
                  <a:lstStyle/>
                  <a:p>
                    <a:r>
                      <a:rPr lang="en-US"/>
                      <a:t>P27</a:t>
                    </a:r>
                  </a:p>
                </c:rich>
              </c:tx>
              <c:showLegendKey val="0"/>
              <c:showVal val="1"/>
              <c:showCatName val="0"/>
              <c:showSerName val="0"/>
              <c:showPercent val="0"/>
              <c:showBubbleSize val="0"/>
            </c:dLbl>
            <c:dLbl>
              <c:idx val="6"/>
              <c:layout/>
              <c:tx>
                <c:rich>
                  <a:bodyPr/>
                  <a:lstStyle/>
                  <a:p>
                    <a:r>
                      <a:rPr lang="en-US"/>
                      <a:t>P28</a:t>
                    </a:r>
                  </a:p>
                </c:rich>
              </c:tx>
              <c:showLegendKey val="0"/>
              <c:showVal val="1"/>
              <c:showCatName val="0"/>
              <c:showSerName val="0"/>
              <c:showPercent val="0"/>
              <c:showBubbleSize val="0"/>
            </c:dLbl>
            <c:dLbl>
              <c:idx val="7"/>
              <c:layout/>
              <c:tx>
                <c:rich>
                  <a:bodyPr/>
                  <a:lstStyle/>
                  <a:p>
                    <a:r>
                      <a:rPr lang="en-US"/>
                      <a:t>P25</a:t>
                    </a:r>
                  </a:p>
                </c:rich>
              </c:tx>
              <c:showLegendKey val="0"/>
              <c:showVal val="1"/>
              <c:showCatName val="0"/>
              <c:showSerName val="0"/>
              <c:showPercent val="0"/>
              <c:showBubbleSize val="0"/>
            </c:dLbl>
            <c:dLbl>
              <c:idx val="8"/>
              <c:layout/>
              <c:tx>
                <c:rich>
                  <a:bodyPr/>
                  <a:lstStyle/>
                  <a:p>
                    <a:r>
                      <a:rPr lang="en-US"/>
                      <a:t>P19</a:t>
                    </a:r>
                  </a:p>
                </c:rich>
              </c:tx>
              <c:showLegendKey val="0"/>
              <c:showVal val="1"/>
              <c:showCatName val="0"/>
              <c:showSerName val="0"/>
              <c:showPercent val="0"/>
              <c:showBubbleSize val="0"/>
            </c:dLbl>
            <c:dLbl>
              <c:idx val="9"/>
              <c:layout/>
              <c:tx>
                <c:rich>
                  <a:bodyPr/>
                  <a:lstStyle/>
                  <a:p>
                    <a:r>
                      <a:rPr lang="en-US"/>
                      <a:t>P2</a:t>
                    </a:r>
                  </a:p>
                </c:rich>
              </c:tx>
              <c:showLegendKey val="0"/>
              <c:showVal val="1"/>
              <c:showCatName val="0"/>
              <c:showSerName val="0"/>
              <c:showPercent val="0"/>
              <c:showBubbleSize val="0"/>
            </c:dLbl>
            <c:dLbl>
              <c:idx val="10"/>
              <c:layout/>
              <c:tx>
                <c:rich>
                  <a:bodyPr/>
                  <a:lstStyle/>
                  <a:p>
                    <a:r>
                      <a:rPr lang="en-US"/>
                      <a:t>P13</a:t>
                    </a:r>
                  </a:p>
                </c:rich>
              </c:tx>
              <c:showLegendKey val="0"/>
              <c:showVal val="1"/>
              <c:showCatName val="0"/>
              <c:showSerName val="0"/>
              <c:showPercent val="0"/>
              <c:showBubbleSize val="0"/>
            </c:dLbl>
            <c:dLbl>
              <c:idx val="11"/>
              <c:layout/>
              <c:tx>
                <c:rich>
                  <a:bodyPr/>
                  <a:lstStyle/>
                  <a:p>
                    <a:r>
                      <a:rPr lang="en-US"/>
                      <a:t>P24</a:t>
                    </a:r>
                  </a:p>
                </c:rich>
              </c:tx>
              <c:showLegendKey val="0"/>
              <c:showVal val="1"/>
              <c:showCatName val="0"/>
              <c:showSerName val="0"/>
              <c:showPercent val="0"/>
              <c:showBubbleSize val="0"/>
            </c:dLbl>
            <c:dLbl>
              <c:idx val="12"/>
              <c:layout/>
              <c:tx>
                <c:rich>
                  <a:bodyPr/>
                  <a:lstStyle/>
                  <a:p>
                    <a:r>
                      <a:rPr lang="en-US"/>
                      <a:t>P23</a:t>
                    </a:r>
                  </a:p>
                </c:rich>
              </c:tx>
              <c:showLegendKey val="0"/>
              <c:showVal val="1"/>
              <c:showCatName val="0"/>
              <c:showSerName val="0"/>
              <c:showPercent val="0"/>
              <c:showBubbleSize val="0"/>
            </c:dLbl>
            <c:dLbl>
              <c:idx val="13"/>
              <c:layout/>
              <c:tx>
                <c:rich>
                  <a:bodyPr/>
                  <a:lstStyle/>
                  <a:p>
                    <a:r>
                      <a:rPr lang="en-US"/>
                      <a:t>P6</a:t>
                    </a:r>
                  </a:p>
                </c:rich>
              </c:tx>
              <c:showLegendKey val="0"/>
              <c:showVal val="1"/>
              <c:showCatName val="0"/>
              <c:showSerName val="0"/>
              <c:showPercent val="0"/>
              <c:showBubbleSize val="0"/>
            </c:dLbl>
            <c:dLbl>
              <c:idx val="14"/>
              <c:layout/>
              <c:tx>
                <c:rich>
                  <a:bodyPr/>
                  <a:lstStyle/>
                  <a:p>
                    <a:r>
                      <a:rPr lang="en-US"/>
                      <a:t>P26</a:t>
                    </a:r>
                  </a:p>
                </c:rich>
              </c:tx>
              <c:showLegendKey val="0"/>
              <c:showVal val="1"/>
              <c:showCatName val="0"/>
              <c:showSerName val="0"/>
              <c:showPercent val="0"/>
              <c:showBubbleSize val="0"/>
            </c:dLbl>
            <c:dLbl>
              <c:idx val="15"/>
              <c:layout/>
              <c:tx>
                <c:rich>
                  <a:bodyPr/>
                  <a:lstStyle/>
                  <a:p>
                    <a:r>
                      <a:rPr lang="en-US"/>
                      <a:t>P7</a:t>
                    </a:r>
                  </a:p>
                </c:rich>
              </c:tx>
              <c:showLegendKey val="0"/>
              <c:showVal val="1"/>
              <c:showCatName val="0"/>
              <c:showSerName val="0"/>
              <c:showPercent val="0"/>
              <c:showBubbleSize val="0"/>
            </c:dLbl>
            <c:dLbl>
              <c:idx val="16"/>
              <c:layout/>
              <c:tx>
                <c:rich>
                  <a:bodyPr/>
                  <a:lstStyle/>
                  <a:p>
                    <a:r>
                      <a:rPr lang="en-US"/>
                      <a:t>P16</a:t>
                    </a:r>
                  </a:p>
                </c:rich>
              </c:tx>
              <c:showLegendKey val="0"/>
              <c:showVal val="1"/>
              <c:showCatName val="0"/>
              <c:showSerName val="0"/>
              <c:showPercent val="0"/>
              <c:showBubbleSize val="0"/>
            </c:dLbl>
            <c:dLbl>
              <c:idx val="17"/>
              <c:layout/>
              <c:tx>
                <c:rich>
                  <a:bodyPr/>
                  <a:lstStyle/>
                  <a:p>
                    <a:r>
                      <a:rPr lang="en-US"/>
                      <a:t>P17</a:t>
                    </a:r>
                  </a:p>
                </c:rich>
              </c:tx>
              <c:showLegendKey val="0"/>
              <c:showVal val="1"/>
              <c:showCatName val="0"/>
              <c:showSerName val="0"/>
              <c:showPercent val="0"/>
              <c:showBubbleSize val="0"/>
            </c:dLbl>
            <c:dLbl>
              <c:idx val="18"/>
              <c:layout/>
              <c:tx>
                <c:rich>
                  <a:bodyPr/>
                  <a:lstStyle/>
                  <a:p>
                    <a:r>
                      <a:rPr lang="en-US"/>
                      <a:t>P3</a:t>
                    </a:r>
                  </a:p>
                </c:rich>
              </c:tx>
              <c:showLegendKey val="0"/>
              <c:showVal val="1"/>
              <c:showCatName val="0"/>
              <c:showSerName val="0"/>
              <c:showPercent val="0"/>
              <c:showBubbleSize val="0"/>
            </c:dLbl>
            <c:dLbl>
              <c:idx val="19"/>
              <c:layout/>
              <c:tx>
                <c:rich>
                  <a:bodyPr/>
                  <a:lstStyle/>
                  <a:p>
                    <a:r>
                      <a:rPr lang="en-US"/>
                      <a:t>P9</a:t>
                    </a:r>
                  </a:p>
                </c:rich>
              </c:tx>
              <c:showLegendKey val="0"/>
              <c:showVal val="1"/>
              <c:showCatName val="0"/>
              <c:showSerName val="0"/>
              <c:showPercent val="0"/>
              <c:showBubbleSize val="0"/>
            </c:dLbl>
            <c:dLbl>
              <c:idx val="20"/>
              <c:layout/>
              <c:tx>
                <c:rich>
                  <a:bodyPr/>
                  <a:lstStyle/>
                  <a:p>
                    <a:r>
                      <a:rPr lang="en-US"/>
                      <a:t>P8</a:t>
                    </a:r>
                  </a:p>
                </c:rich>
              </c:tx>
              <c:showLegendKey val="0"/>
              <c:showVal val="1"/>
              <c:showCatName val="0"/>
              <c:showSerName val="0"/>
              <c:showPercent val="0"/>
              <c:showBubbleSize val="0"/>
            </c:dLbl>
            <c:dLbl>
              <c:idx val="21"/>
              <c:layout/>
              <c:tx>
                <c:rich>
                  <a:bodyPr/>
                  <a:lstStyle/>
                  <a:p>
                    <a:r>
                      <a:rPr lang="en-US"/>
                      <a:t>P12</a:t>
                    </a:r>
                  </a:p>
                </c:rich>
              </c:tx>
              <c:showLegendKey val="0"/>
              <c:showVal val="1"/>
              <c:showCatName val="0"/>
              <c:showSerName val="0"/>
              <c:showPercent val="0"/>
              <c:showBubbleSize val="0"/>
            </c:dLbl>
            <c:dLbl>
              <c:idx val="22"/>
              <c:layout/>
              <c:tx>
                <c:rich>
                  <a:bodyPr/>
                  <a:lstStyle/>
                  <a:p>
                    <a:r>
                      <a:rPr lang="en-US"/>
                      <a:t>P1</a:t>
                    </a:r>
                  </a:p>
                </c:rich>
              </c:tx>
              <c:showLegendKey val="0"/>
              <c:showVal val="1"/>
              <c:showCatName val="0"/>
              <c:showSerName val="0"/>
              <c:showPercent val="0"/>
              <c:showBubbleSize val="0"/>
            </c:dLbl>
            <c:dLbl>
              <c:idx val="23"/>
              <c:layout/>
              <c:tx>
                <c:rich>
                  <a:bodyPr/>
                  <a:lstStyle/>
                  <a:p>
                    <a:r>
                      <a:rPr lang="en-US"/>
                      <a:t>P11</a:t>
                    </a:r>
                  </a:p>
                </c:rich>
              </c:tx>
              <c:showLegendKey val="0"/>
              <c:showVal val="1"/>
              <c:showCatName val="0"/>
              <c:showSerName val="0"/>
              <c:showPercent val="0"/>
              <c:showBubbleSize val="0"/>
            </c:dLbl>
            <c:dLbl>
              <c:idx val="24"/>
              <c:layout/>
              <c:tx>
                <c:rich>
                  <a:bodyPr/>
                  <a:lstStyle/>
                  <a:p>
                    <a:r>
                      <a:rPr lang="en-US"/>
                      <a:t>P4</a:t>
                    </a:r>
                  </a:p>
                </c:rich>
              </c:tx>
              <c:showLegendKey val="0"/>
              <c:showVal val="1"/>
              <c:showCatName val="0"/>
              <c:showSerName val="0"/>
              <c:showPercent val="0"/>
              <c:showBubbleSize val="0"/>
            </c:dLbl>
            <c:dLbl>
              <c:idx val="25"/>
              <c:layout/>
              <c:tx>
                <c:rich>
                  <a:bodyPr/>
                  <a:lstStyle/>
                  <a:p>
                    <a:r>
                      <a:rPr lang="en-US"/>
                      <a:t>P21</a:t>
                    </a:r>
                  </a:p>
                </c:rich>
              </c:tx>
              <c:showLegendKey val="0"/>
              <c:showVal val="1"/>
              <c:showCatName val="0"/>
              <c:showSerName val="0"/>
              <c:showPercent val="0"/>
              <c:showBubbleSize val="0"/>
            </c:dLbl>
            <c:dLbl>
              <c:idx val="26"/>
              <c:layout/>
              <c:tx>
                <c:rich>
                  <a:bodyPr/>
                  <a:lstStyle/>
                  <a:p>
                    <a:r>
                      <a:rPr lang="en-US"/>
                      <a:t>P10</a:t>
                    </a:r>
                  </a:p>
                </c:rich>
              </c:tx>
              <c:showLegendKey val="0"/>
              <c:showVal val="1"/>
              <c:showCatName val="0"/>
              <c:showSerName val="0"/>
              <c:showPercent val="0"/>
              <c:showBubbleSize val="0"/>
            </c:dLbl>
            <c:dLbl>
              <c:idx val="27"/>
              <c:layout/>
              <c:tx>
                <c:rich>
                  <a:bodyPr/>
                  <a:lstStyle/>
                  <a:p>
                    <a:r>
                      <a:rPr lang="en-US"/>
                      <a:t>P5</a:t>
                    </a:r>
                  </a:p>
                </c:rich>
              </c:tx>
              <c:showLegendKey val="0"/>
              <c:showVal val="1"/>
              <c:showCatName val="0"/>
              <c:showSerName val="0"/>
              <c:showPercent val="0"/>
              <c:showBubbleSize val="0"/>
            </c:dLbl>
            <c:showLegendKey val="0"/>
            <c:showVal val="1"/>
            <c:showCatName val="0"/>
            <c:showSerName val="0"/>
            <c:showPercent val="0"/>
            <c:showBubbleSize val="0"/>
            <c:showLeaderLines val="0"/>
          </c:dLbls>
          <c:xVal>
            <c:numRef>
              <c:f>'IPF Matrix'!$AD$3:$AD$30</c:f>
              <c:numCache>
                <c:formatCode>General</c:formatCode>
                <c:ptCount val="28"/>
                <c:pt idx="0">
                  <c:v>45.976682531706658</c:v>
                </c:pt>
                <c:pt idx="1">
                  <c:v>45.495644428586886</c:v>
                </c:pt>
                <c:pt idx="2">
                  <c:v>16.779874689602238</c:v>
                </c:pt>
                <c:pt idx="3">
                  <c:v>31.796137254691502</c:v>
                </c:pt>
                <c:pt idx="4">
                  <c:v>48.962226758267633</c:v>
                </c:pt>
                <c:pt idx="5">
                  <c:v>0</c:v>
                </c:pt>
                <c:pt idx="6">
                  <c:v>36.991182209661545</c:v>
                </c:pt>
                <c:pt idx="7">
                  <c:v>25.834988596360692</c:v>
                </c:pt>
                <c:pt idx="8">
                  <c:v>41.267459844164037</c:v>
                </c:pt>
                <c:pt idx="9">
                  <c:v>48.607829898787074</c:v>
                </c:pt>
                <c:pt idx="10">
                  <c:v>33.41765196015983</c:v>
                </c:pt>
                <c:pt idx="11">
                  <c:v>57.101185204434678</c:v>
                </c:pt>
                <c:pt idx="12">
                  <c:v>42.702361530873361</c:v>
                </c:pt>
                <c:pt idx="13">
                  <c:v>28.123822050363785</c:v>
                </c:pt>
                <c:pt idx="14">
                  <c:v>48.463711208202817</c:v>
                </c:pt>
                <c:pt idx="15">
                  <c:v>13.940305536962704</c:v>
                </c:pt>
                <c:pt idx="16">
                  <c:v>65.788054904439235</c:v>
                </c:pt>
                <c:pt idx="17">
                  <c:v>71.278551030508439</c:v>
                </c:pt>
                <c:pt idx="18">
                  <c:v>99.07054315764087</c:v>
                </c:pt>
                <c:pt idx="19">
                  <c:v>67.599848275038639</c:v>
                </c:pt>
                <c:pt idx="20">
                  <c:v>60.839694492606277</c:v>
                </c:pt>
                <c:pt idx="21">
                  <c:v>27.456831761622819</c:v>
                </c:pt>
                <c:pt idx="22">
                  <c:v>6.3312749763747043</c:v>
                </c:pt>
                <c:pt idx="23">
                  <c:v>60.482281203734665</c:v>
                </c:pt>
                <c:pt idx="24">
                  <c:v>44.939761899920526</c:v>
                </c:pt>
                <c:pt idx="25">
                  <c:v>41.104274613459076</c:v>
                </c:pt>
                <c:pt idx="26">
                  <c:v>100</c:v>
                </c:pt>
                <c:pt idx="27">
                  <c:v>76.656325203408542</c:v>
                </c:pt>
              </c:numCache>
            </c:numRef>
          </c:xVal>
          <c:yVal>
            <c:numRef>
              <c:f>'IPF Matrix'!$AC$3:$AC$30</c:f>
              <c:numCache>
                <c:formatCode>General</c:formatCode>
                <c:ptCount val="28"/>
                <c:pt idx="0">
                  <c:v>50.593170142007516</c:v>
                </c:pt>
                <c:pt idx="1">
                  <c:v>3.238795374513074</c:v>
                </c:pt>
                <c:pt idx="2">
                  <c:v>11.948592820724128</c:v>
                </c:pt>
                <c:pt idx="3">
                  <c:v>45.322977951759128</c:v>
                </c:pt>
                <c:pt idx="4">
                  <c:v>16.658929131055704</c:v>
                </c:pt>
                <c:pt idx="5">
                  <c:v>20.156069942823809</c:v>
                </c:pt>
                <c:pt idx="6">
                  <c:v>24.765998001699423</c:v>
                </c:pt>
                <c:pt idx="7">
                  <c:v>26.141593276498632</c:v>
                </c:pt>
                <c:pt idx="8">
                  <c:v>26.930389091701549</c:v>
                </c:pt>
                <c:pt idx="9">
                  <c:v>27.463775288146149</c:v>
                </c:pt>
                <c:pt idx="10">
                  <c:v>28.081512469557879</c:v>
                </c:pt>
                <c:pt idx="11">
                  <c:v>28.889976514752497</c:v>
                </c:pt>
                <c:pt idx="12">
                  <c:v>29.039289688595964</c:v>
                </c:pt>
                <c:pt idx="13">
                  <c:v>31.765479210312563</c:v>
                </c:pt>
                <c:pt idx="14">
                  <c:v>34.43184947588697</c:v>
                </c:pt>
                <c:pt idx="15">
                  <c:v>42.910092429667571</c:v>
                </c:pt>
                <c:pt idx="16">
                  <c:v>42.219096778484186</c:v>
                </c:pt>
                <c:pt idx="17">
                  <c:v>44.836729717263808</c:v>
                </c:pt>
                <c:pt idx="18">
                  <c:v>15.929025651749518</c:v>
                </c:pt>
                <c:pt idx="19">
                  <c:v>1.5318348204426835</c:v>
                </c:pt>
                <c:pt idx="20">
                  <c:v>54.045121412693518</c:v>
                </c:pt>
                <c:pt idx="21">
                  <c:v>100</c:v>
                </c:pt>
                <c:pt idx="22">
                  <c:v>60.828826952702741</c:v>
                </c:pt>
                <c:pt idx="23">
                  <c:v>76.286149240396384</c:v>
                </c:pt>
                <c:pt idx="24">
                  <c:v>79.123618646127596</c:v>
                </c:pt>
                <c:pt idx="25">
                  <c:v>90.854653280408797</c:v>
                </c:pt>
                <c:pt idx="26">
                  <c:v>92.800332708459862</c:v>
                </c:pt>
                <c:pt idx="27">
                  <c:v>59.799003851571676</c:v>
                </c:pt>
              </c:numCache>
            </c:numRef>
          </c:yVal>
          <c:smooth val="0"/>
        </c:ser>
        <c:dLbls>
          <c:showLegendKey val="0"/>
          <c:showVal val="0"/>
          <c:showCatName val="0"/>
          <c:showSerName val="0"/>
          <c:showPercent val="0"/>
          <c:showBubbleSize val="0"/>
        </c:dLbls>
        <c:axId val="336144064"/>
        <c:axId val="336172096"/>
      </c:scatterChart>
      <c:valAx>
        <c:axId val="336144064"/>
        <c:scaling>
          <c:orientation val="minMax"/>
          <c:max val="100"/>
        </c:scaling>
        <c:delete val="0"/>
        <c:axPos val="b"/>
        <c:title>
          <c:tx>
            <c:rich>
              <a:bodyPr/>
              <a:lstStyle/>
              <a:p>
                <a:pPr>
                  <a:defRPr sz="1050" b="1"/>
                </a:pPr>
                <a:r>
                  <a:rPr lang="en-US"/>
                  <a:t>FEI - PCA</a:t>
                </a:r>
              </a:p>
            </c:rich>
          </c:tx>
          <c:layout/>
          <c:overlay val="0"/>
        </c:title>
        <c:numFmt formatCode="General" sourceLinked="1"/>
        <c:majorTickMark val="out"/>
        <c:minorTickMark val="none"/>
        <c:tickLblPos val="nextTo"/>
        <c:spPr>
          <a:ln>
            <a:solidFill>
              <a:srgbClr val="000000"/>
            </a:solidFill>
          </a:ln>
        </c:spPr>
        <c:txPr>
          <a:bodyPr/>
          <a:lstStyle/>
          <a:p>
            <a:pPr>
              <a:defRPr sz="800">
                <a:solidFill>
                  <a:srgbClr val="000000"/>
                </a:solidFill>
              </a:defRPr>
            </a:pPr>
            <a:endParaRPr lang="en-US"/>
          </a:p>
        </c:txPr>
        <c:crossAx val="336172096"/>
        <c:crosses val="autoZero"/>
        <c:crossBetween val="midCat"/>
      </c:valAx>
      <c:valAx>
        <c:axId val="336172096"/>
        <c:scaling>
          <c:orientation val="minMax"/>
          <c:max val="100"/>
        </c:scaling>
        <c:delete val="0"/>
        <c:axPos val="l"/>
        <c:majorGridlines>
          <c:spPr>
            <a:ln>
              <a:solidFill>
                <a:srgbClr val="F4F4F4"/>
              </a:solidFill>
              <a:prstDash val="solid"/>
            </a:ln>
          </c:spPr>
        </c:majorGridlines>
        <c:title>
          <c:tx>
            <c:rich>
              <a:bodyPr/>
              <a:lstStyle/>
              <a:p>
                <a:pPr>
                  <a:defRPr sz="1050" b="1"/>
                </a:pPr>
                <a:r>
                  <a:rPr lang="en-US"/>
                  <a:t>SEI - KT(X&gt;=0)</a:t>
                </a:r>
              </a:p>
            </c:rich>
          </c:tx>
          <c:layout/>
          <c:overlay val="0"/>
        </c:title>
        <c:numFmt formatCode="General" sourceLinked="1"/>
        <c:majorTickMark val="out"/>
        <c:minorTickMark val="none"/>
        <c:tickLblPos val="nextTo"/>
        <c:spPr>
          <a:ln>
            <a:solidFill>
              <a:srgbClr val="000000"/>
            </a:solidFill>
          </a:ln>
        </c:spPr>
        <c:txPr>
          <a:bodyPr/>
          <a:lstStyle/>
          <a:p>
            <a:pPr>
              <a:defRPr sz="800">
                <a:solidFill>
                  <a:srgbClr val="000000"/>
                </a:solidFill>
              </a:defRPr>
            </a:pPr>
            <a:endParaRPr lang="en-US"/>
          </a:p>
        </c:txPr>
        <c:crossAx val="336144064"/>
        <c:crosses val="autoZero"/>
        <c:crossBetween val="midCat"/>
      </c:valAx>
    </c:plotArea>
    <c:plotVisOnly val="1"/>
    <c:dispBlanksAs val="gap"/>
    <c:showDLblsOverMax val="0"/>
  </c:chart>
  <c:spPr>
    <a:ln w="6350">
      <a:noFill/>
    </a:ln>
  </c:spPr>
  <c:printSettings>
    <c:headerFooter/>
    <c:pageMargins b="0.75" l="0.7" r="0.7" t="0.75" header="0.3" footer="0.3"/>
    <c:pageSetup/>
  </c:printSettings>
  <c:userShapes r:id="rId1"/>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6.4162679425837324E-2"/>
          <c:y val="3.5369774919614148E-2"/>
          <c:w val="0.90952153110047851"/>
          <c:h val="0.88102893890675238"/>
        </c:manualLayout>
      </c:layout>
      <c:scatterChart>
        <c:scatterStyle val="lineMarker"/>
        <c:varyColors val="0"/>
        <c:ser>
          <c:idx val="0"/>
          <c:order val="0"/>
          <c:spPr>
            <a:solidFill>
              <a:srgbClr val="FFFFFF"/>
            </a:solidFill>
            <a:ln w="19050">
              <a:noFill/>
            </a:ln>
          </c:spPr>
          <c:marker>
            <c:symbol val="circle"/>
            <c:size val="7"/>
            <c:spPr>
              <a:solidFill>
                <a:srgbClr val="B40000"/>
              </a:solidFill>
            </c:spPr>
          </c:marker>
          <c:dPt>
            <c:idx val="0"/>
            <c:marker>
              <c:spPr>
                <a:pattFill>
                  <a:fgClr>
                    <a:srgbClr val="B40000"/>
                  </a:fgClr>
                  <a:bgClr>
                    <a:srgbClr val="B40000"/>
                  </a:bgClr>
                </a:patt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0000"/>
                      </a:solidFill>
                      <a:prstDash val="solid"/>
                      <a:round/>
                      <a:headEnd type="none" w="med" len="med"/>
                      <a:tailEnd type="none" w="med" len="med"/>
                    </a14:hiddenLine>
                  </a:ext>
                </a:extLst>
              </c:spPr>
            </c:marker>
            <c:bubble3D val="0"/>
            <c:spPr>
              <a:solidFill>
                <a:srgbClr val="FFFFFF"/>
              </a:solid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0000"/>
                    </a:solidFill>
                    <a:prstDash val="solid"/>
                    <a:round/>
                    <a:headEnd type="none" w="med" len="med"/>
                    <a:tailEnd type="none" w="med" len="med"/>
                  </a14:hiddenLine>
                </a:ext>
              </a:extLst>
            </c:spPr>
          </c:dPt>
          <c:dPt>
            <c:idx val="1"/>
            <c:marker>
              <c:spPr>
                <a:pattFill>
                  <a:fgClr>
                    <a:srgbClr val="B40000"/>
                  </a:fgClr>
                  <a:bgClr>
                    <a:srgbClr val="B40000"/>
                  </a:bgClr>
                </a:patt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0000"/>
                      </a:solidFill>
                      <a:prstDash val="solid"/>
                      <a:round/>
                      <a:headEnd type="none" w="med" len="med"/>
                      <a:tailEnd type="none" w="med" len="med"/>
                    </a14:hiddenLine>
                  </a:ext>
                </a:extLst>
              </c:spPr>
            </c:marker>
            <c:bubble3D val="0"/>
            <c:spPr>
              <a:solidFill>
                <a:srgbClr val="FFFFFF"/>
              </a:solid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0000"/>
                    </a:solidFill>
                    <a:prstDash val="solid"/>
                    <a:round/>
                    <a:headEnd type="none" w="med" len="med"/>
                    <a:tailEnd type="none" w="med" len="med"/>
                  </a14:hiddenLine>
                </a:ext>
              </a:extLst>
            </c:spPr>
          </c:dPt>
          <c:dPt>
            <c:idx val="2"/>
            <c:marker>
              <c:spPr>
                <a:pattFill>
                  <a:fgClr>
                    <a:srgbClr val="B40000"/>
                  </a:fgClr>
                  <a:bgClr>
                    <a:srgbClr val="B40000"/>
                  </a:bgClr>
                </a:patt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0000"/>
                      </a:solidFill>
                      <a:prstDash val="solid"/>
                      <a:round/>
                      <a:headEnd type="none" w="med" len="med"/>
                      <a:tailEnd type="none" w="med" len="med"/>
                    </a14:hiddenLine>
                  </a:ext>
                </a:extLst>
              </c:spPr>
            </c:marker>
            <c:bubble3D val="0"/>
            <c:spPr>
              <a:solidFill>
                <a:srgbClr val="FFFFFF"/>
              </a:solid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0000"/>
                    </a:solidFill>
                    <a:prstDash val="solid"/>
                    <a:round/>
                    <a:headEnd type="none" w="med" len="med"/>
                    <a:tailEnd type="none" w="med" len="med"/>
                  </a14:hiddenLine>
                </a:ext>
              </a:extLst>
            </c:spPr>
          </c:dPt>
          <c:dPt>
            <c:idx val="3"/>
            <c:marker>
              <c:spPr>
                <a:pattFill>
                  <a:fgClr>
                    <a:srgbClr val="B40000"/>
                  </a:fgClr>
                  <a:bgClr>
                    <a:srgbClr val="B40000"/>
                  </a:bgClr>
                </a:patt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0000"/>
                      </a:solidFill>
                      <a:prstDash val="solid"/>
                      <a:round/>
                      <a:headEnd type="none" w="med" len="med"/>
                      <a:tailEnd type="none" w="med" len="med"/>
                    </a14:hiddenLine>
                  </a:ext>
                </a:extLst>
              </c:spPr>
            </c:marker>
            <c:bubble3D val="0"/>
            <c:spPr>
              <a:solidFill>
                <a:srgbClr val="FFFFFF"/>
              </a:solid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0000"/>
                    </a:solidFill>
                    <a:prstDash val="solid"/>
                    <a:round/>
                    <a:headEnd type="none" w="med" len="med"/>
                    <a:tailEnd type="none" w="med" len="med"/>
                  </a14:hiddenLine>
                </a:ext>
              </a:extLst>
            </c:spPr>
          </c:dPt>
          <c:dPt>
            <c:idx val="4"/>
            <c:marker>
              <c:spPr>
                <a:pattFill>
                  <a:fgClr>
                    <a:srgbClr val="B40000"/>
                  </a:fgClr>
                  <a:bgClr>
                    <a:srgbClr val="B40000"/>
                  </a:bgClr>
                </a:patt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0000"/>
                      </a:solidFill>
                      <a:prstDash val="solid"/>
                      <a:round/>
                      <a:headEnd type="none" w="med" len="med"/>
                      <a:tailEnd type="none" w="med" len="med"/>
                    </a14:hiddenLine>
                  </a:ext>
                </a:extLst>
              </c:spPr>
            </c:marker>
            <c:bubble3D val="0"/>
            <c:spPr>
              <a:solidFill>
                <a:srgbClr val="FFFFFF"/>
              </a:solid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0000"/>
                    </a:solidFill>
                    <a:prstDash val="solid"/>
                    <a:round/>
                    <a:headEnd type="none" w="med" len="med"/>
                    <a:tailEnd type="none" w="med" len="med"/>
                  </a14:hiddenLine>
                </a:ext>
              </a:extLst>
            </c:spPr>
          </c:dPt>
          <c:dPt>
            <c:idx val="5"/>
            <c:marker>
              <c:spPr>
                <a:pattFill>
                  <a:fgClr>
                    <a:srgbClr val="B40000"/>
                  </a:fgClr>
                  <a:bgClr>
                    <a:srgbClr val="B40000"/>
                  </a:bgClr>
                </a:patt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0000"/>
                      </a:solidFill>
                      <a:prstDash val="solid"/>
                      <a:round/>
                      <a:headEnd type="none" w="med" len="med"/>
                      <a:tailEnd type="none" w="med" len="med"/>
                    </a14:hiddenLine>
                  </a:ext>
                </a:extLst>
              </c:spPr>
            </c:marker>
            <c:bubble3D val="0"/>
            <c:spPr>
              <a:solidFill>
                <a:srgbClr val="FFFFFF"/>
              </a:solid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0000"/>
                    </a:solidFill>
                    <a:prstDash val="solid"/>
                    <a:round/>
                    <a:headEnd type="none" w="med" len="med"/>
                    <a:tailEnd type="none" w="med" len="med"/>
                  </a14:hiddenLine>
                </a:ext>
              </a:extLst>
            </c:spPr>
          </c:dPt>
          <c:dPt>
            <c:idx val="6"/>
            <c:marker>
              <c:spPr>
                <a:pattFill>
                  <a:fgClr>
                    <a:srgbClr val="B40000"/>
                  </a:fgClr>
                  <a:bgClr>
                    <a:srgbClr val="B40000"/>
                  </a:bgClr>
                </a:patt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0000"/>
                      </a:solidFill>
                      <a:prstDash val="solid"/>
                      <a:round/>
                      <a:headEnd type="none" w="med" len="med"/>
                      <a:tailEnd type="none" w="med" len="med"/>
                    </a14:hiddenLine>
                  </a:ext>
                </a:extLst>
              </c:spPr>
            </c:marker>
            <c:bubble3D val="0"/>
            <c:spPr>
              <a:solidFill>
                <a:srgbClr val="FFFFFF"/>
              </a:solid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0000"/>
                    </a:solidFill>
                    <a:prstDash val="solid"/>
                    <a:round/>
                    <a:headEnd type="none" w="med" len="med"/>
                    <a:tailEnd type="none" w="med" len="med"/>
                  </a14:hiddenLine>
                </a:ext>
              </a:extLst>
            </c:spPr>
          </c:dPt>
          <c:dPt>
            <c:idx val="7"/>
            <c:marker>
              <c:spPr>
                <a:pattFill>
                  <a:fgClr>
                    <a:srgbClr val="B40000"/>
                  </a:fgClr>
                  <a:bgClr>
                    <a:srgbClr val="B40000"/>
                  </a:bgClr>
                </a:patt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0000"/>
                      </a:solidFill>
                      <a:prstDash val="solid"/>
                      <a:round/>
                      <a:headEnd type="none" w="med" len="med"/>
                      <a:tailEnd type="none" w="med" len="med"/>
                    </a14:hiddenLine>
                  </a:ext>
                </a:extLst>
              </c:spPr>
            </c:marker>
            <c:bubble3D val="0"/>
            <c:spPr>
              <a:solidFill>
                <a:srgbClr val="FFFFFF"/>
              </a:solid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0000"/>
                    </a:solidFill>
                    <a:prstDash val="solid"/>
                    <a:round/>
                    <a:headEnd type="none" w="med" len="med"/>
                    <a:tailEnd type="none" w="med" len="med"/>
                  </a14:hiddenLine>
                </a:ext>
              </a:extLst>
            </c:spPr>
          </c:dPt>
          <c:dPt>
            <c:idx val="8"/>
            <c:marker>
              <c:spPr>
                <a:pattFill>
                  <a:fgClr>
                    <a:srgbClr val="B40000"/>
                  </a:fgClr>
                  <a:bgClr>
                    <a:srgbClr val="B40000"/>
                  </a:bgClr>
                </a:patt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0000"/>
                      </a:solidFill>
                      <a:prstDash val="solid"/>
                      <a:round/>
                      <a:headEnd type="none" w="med" len="med"/>
                      <a:tailEnd type="none" w="med" len="med"/>
                    </a14:hiddenLine>
                  </a:ext>
                </a:extLst>
              </c:spPr>
            </c:marker>
            <c:bubble3D val="0"/>
            <c:spPr>
              <a:solidFill>
                <a:srgbClr val="FFFFFF"/>
              </a:solid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0000"/>
                    </a:solidFill>
                    <a:prstDash val="solid"/>
                    <a:round/>
                    <a:headEnd type="none" w="med" len="med"/>
                    <a:tailEnd type="none" w="med" len="med"/>
                  </a14:hiddenLine>
                </a:ext>
              </a:extLst>
            </c:spPr>
          </c:dPt>
          <c:dPt>
            <c:idx val="9"/>
            <c:marker>
              <c:spPr>
                <a:pattFill>
                  <a:fgClr>
                    <a:srgbClr val="B40000"/>
                  </a:fgClr>
                  <a:bgClr>
                    <a:srgbClr val="B40000"/>
                  </a:bgClr>
                </a:patt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0000"/>
                      </a:solidFill>
                      <a:prstDash val="solid"/>
                      <a:round/>
                      <a:headEnd type="none" w="med" len="med"/>
                      <a:tailEnd type="none" w="med" len="med"/>
                    </a14:hiddenLine>
                  </a:ext>
                </a:extLst>
              </c:spPr>
            </c:marker>
            <c:bubble3D val="0"/>
            <c:spPr>
              <a:solidFill>
                <a:srgbClr val="FFFFFF"/>
              </a:solid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0000"/>
                    </a:solidFill>
                    <a:prstDash val="solid"/>
                    <a:round/>
                    <a:headEnd type="none" w="med" len="med"/>
                    <a:tailEnd type="none" w="med" len="med"/>
                  </a14:hiddenLine>
                </a:ext>
              </a:extLst>
            </c:spPr>
          </c:dPt>
          <c:dPt>
            <c:idx val="10"/>
            <c:marker>
              <c:spPr>
                <a:pattFill>
                  <a:fgClr>
                    <a:srgbClr val="B40000"/>
                  </a:fgClr>
                  <a:bgClr>
                    <a:srgbClr val="B40000"/>
                  </a:bgClr>
                </a:patt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0000"/>
                      </a:solidFill>
                      <a:prstDash val="solid"/>
                      <a:round/>
                      <a:headEnd type="none" w="med" len="med"/>
                      <a:tailEnd type="none" w="med" len="med"/>
                    </a14:hiddenLine>
                  </a:ext>
                </a:extLst>
              </c:spPr>
            </c:marker>
            <c:bubble3D val="0"/>
            <c:spPr>
              <a:solidFill>
                <a:srgbClr val="FFFFFF"/>
              </a:solid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0000"/>
                    </a:solidFill>
                    <a:prstDash val="solid"/>
                    <a:round/>
                    <a:headEnd type="none" w="med" len="med"/>
                    <a:tailEnd type="none" w="med" len="med"/>
                  </a14:hiddenLine>
                </a:ext>
              </a:extLst>
            </c:spPr>
          </c:dPt>
          <c:dPt>
            <c:idx val="11"/>
            <c:marker>
              <c:spPr>
                <a:pattFill>
                  <a:fgClr>
                    <a:srgbClr val="B40000"/>
                  </a:fgClr>
                  <a:bgClr>
                    <a:srgbClr val="B40000"/>
                  </a:bgClr>
                </a:patt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0000"/>
                      </a:solidFill>
                      <a:prstDash val="solid"/>
                      <a:round/>
                      <a:headEnd type="none" w="med" len="med"/>
                      <a:tailEnd type="none" w="med" len="med"/>
                    </a14:hiddenLine>
                  </a:ext>
                </a:extLst>
              </c:spPr>
            </c:marker>
            <c:bubble3D val="0"/>
            <c:spPr>
              <a:solidFill>
                <a:srgbClr val="FFFFFF"/>
              </a:solid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0000"/>
                    </a:solidFill>
                    <a:prstDash val="solid"/>
                    <a:round/>
                    <a:headEnd type="none" w="med" len="med"/>
                    <a:tailEnd type="none" w="med" len="med"/>
                  </a14:hiddenLine>
                </a:ext>
              </a:extLst>
            </c:spPr>
          </c:dPt>
          <c:dPt>
            <c:idx val="12"/>
            <c:marker>
              <c:spPr>
                <a:pattFill>
                  <a:fgClr>
                    <a:srgbClr val="B40000"/>
                  </a:fgClr>
                  <a:bgClr>
                    <a:srgbClr val="B40000"/>
                  </a:bgClr>
                </a:patt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0000"/>
                      </a:solidFill>
                      <a:prstDash val="solid"/>
                      <a:round/>
                      <a:headEnd type="none" w="med" len="med"/>
                      <a:tailEnd type="none" w="med" len="med"/>
                    </a14:hiddenLine>
                  </a:ext>
                </a:extLst>
              </c:spPr>
            </c:marker>
            <c:bubble3D val="0"/>
            <c:spPr>
              <a:solidFill>
                <a:srgbClr val="FFFFFF"/>
              </a:solid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0000"/>
                    </a:solidFill>
                    <a:prstDash val="solid"/>
                    <a:round/>
                    <a:headEnd type="none" w="med" len="med"/>
                    <a:tailEnd type="none" w="med" len="med"/>
                  </a14:hiddenLine>
                </a:ext>
              </a:extLst>
            </c:spPr>
          </c:dPt>
          <c:dPt>
            <c:idx val="13"/>
            <c:marker>
              <c:spPr>
                <a:pattFill>
                  <a:fgClr>
                    <a:srgbClr val="B40000"/>
                  </a:fgClr>
                  <a:bgClr>
                    <a:srgbClr val="B40000"/>
                  </a:bgClr>
                </a:patt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0000"/>
                      </a:solidFill>
                      <a:prstDash val="solid"/>
                      <a:round/>
                      <a:headEnd type="none" w="med" len="med"/>
                      <a:tailEnd type="none" w="med" len="med"/>
                    </a14:hiddenLine>
                  </a:ext>
                </a:extLst>
              </c:spPr>
            </c:marker>
            <c:bubble3D val="0"/>
            <c:spPr>
              <a:solidFill>
                <a:srgbClr val="FFFFFF"/>
              </a:solid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0000"/>
                    </a:solidFill>
                    <a:prstDash val="solid"/>
                    <a:round/>
                    <a:headEnd type="none" w="med" len="med"/>
                    <a:tailEnd type="none" w="med" len="med"/>
                  </a14:hiddenLine>
                </a:ext>
              </a:extLst>
            </c:spPr>
          </c:dPt>
          <c:dPt>
            <c:idx val="14"/>
            <c:marker>
              <c:spPr>
                <a:pattFill>
                  <a:fgClr>
                    <a:srgbClr val="B40000"/>
                  </a:fgClr>
                  <a:bgClr>
                    <a:srgbClr val="B40000"/>
                  </a:bgClr>
                </a:patt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0000"/>
                      </a:solidFill>
                      <a:prstDash val="solid"/>
                      <a:round/>
                      <a:headEnd type="none" w="med" len="med"/>
                      <a:tailEnd type="none" w="med" len="med"/>
                    </a14:hiddenLine>
                  </a:ext>
                </a:extLst>
              </c:spPr>
            </c:marker>
            <c:bubble3D val="0"/>
            <c:spPr>
              <a:solidFill>
                <a:srgbClr val="FFFFFF"/>
              </a:solid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0000"/>
                    </a:solidFill>
                    <a:prstDash val="solid"/>
                    <a:round/>
                    <a:headEnd type="none" w="med" len="med"/>
                    <a:tailEnd type="none" w="med" len="med"/>
                  </a14:hiddenLine>
                </a:ext>
              </a:extLst>
            </c:spPr>
          </c:dPt>
          <c:dPt>
            <c:idx val="15"/>
            <c:marker>
              <c:spPr>
                <a:pattFill>
                  <a:fgClr>
                    <a:srgbClr val="B4B400"/>
                  </a:fgClr>
                  <a:bgClr>
                    <a:srgbClr val="B4B400"/>
                  </a:bgClr>
                </a:patt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B400"/>
                      </a:solidFill>
                      <a:prstDash val="solid"/>
                      <a:round/>
                      <a:headEnd type="none" w="med" len="med"/>
                      <a:tailEnd type="none" w="med" len="med"/>
                    </a14:hiddenLine>
                  </a:ext>
                </a:extLst>
              </c:spPr>
            </c:marker>
            <c:bubble3D val="0"/>
            <c:spPr>
              <a:solidFill>
                <a:srgbClr val="FFFFFF"/>
              </a:solid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B400"/>
                    </a:solidFill>
                    <a:prstDash val="solid"/>
                    <a:round/>
                    <a:headEnd type="none" w="med" len="med"/>
                    <a:tailEnd type="none" w="med" len="med"/>
                  </a14:hiddenLine>
                </a:ext>
              </a:extLst>
            </c:spPr>
          </c:dPt>
          <c:dPt>
            <c:idx val="16"/>
            <c:marker>
              <c:spPr>
                <a:pattFill>
                  <a:fgClr>
                    <a:srgbClr val="B4B400"/>
                  </a:fgClr>
                  <a:bgClr>
                    <a:srgbClr val="B4B400"/>
                  </a:bgClr>
                </a:patt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B400"/>
                      </a:solidFill>
                      <a:prstDash val="solid"/>
                      <a:round/>
                      <a:headEnd type="none" w="med" len="med"/>
                      <a:tailEnd type="none" w="med" len="med"/>
                    </a14:hiddenLine>
                  </a:ext>
                </a:extLst>
              </c:spPr>
            </c:marker>
            <c:bubble3D val="0"/>
            <c:spPr>
              <a:solidFill>
                <a:srgbClr val="FFFFFF"/>
              </a:solid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B400"/>
                    </a:solidFill>
                    <a:prstDash val="solid"/>
                    <a:round/>
                    <a:headEnd type="none" w="med" len="med"/>
                    <a:tailEnd type="none" w="med" len="med"/>
                  </a14:hiddenLine>
                </a:ext>
              </a:extLst>
            </c:spPr>
          </c:dPt>
          <c:dPt>
            <c:idx val="17"/>
            <c:marker>
              <c:spPr>
                <a:pattFill>
                  <a:fgClr>
                    <a:srgbClr val="B4B400"/>
                  </a:fgClr>
                  <a:bgClr>
                    <a:srgbClr val="B4B400"/>
                  </a:bgClr>
                </a:patt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B400"/>
                      </a:solidFill>
                      <a:prstDash val="solid"/>
                      <a:round/>
                      <a:headEnd type="none" w="med" len="med"/>
                      <a:tailEnd type="none" w="med" len="med"/>
                    </a14:hiddenLine>
                  </a:ext>
                </a:extLst>
              </c:spPr>
            </c:marker>
            <c:bubble3D val="0"/>
            <c:spPr>
              <a:solidFill>
                <a:srgbClr val="FFFFFF"/>
              </a:solid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B400"/>
                    </a:solidFill>
                    <a:prstDash val="solid"/>
                    <a:round/>
                    <a:headEnd type="none" w="med" len="med"/>
                    <a:tailEnd type="none" w="med" len="med"/>
                  </a14:hiddenLine>
                </a:ext>
              </a:extLst>
            </c:spPr>
          </c:dPt>
          <c:dPt>
            <c:idx val="18"/>
            <c:marker>
              <c:spPr>
                <a:pattFill>
                  <a:fgClr>
                    <a:srgbClr val="B4B400"/>
                  </a:fgClr>
                  <a:bgClr>
                    <a:srgbClr val="B4B400"/>
                  </a:bgClr>
                </a:patt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B400"/>
                      </a:solidFill>
                      <a:prstDash val="solid"/>
                      <a:round/>
                      <a:headEnd type="none" w="med" len="med"/>
                      <a:tailEnd type="none" w="med" len="med"/>
                    </a14:hiddenLine>
                  </a:ext>
                </a:extLst>
              </c:spPr>
            </c:marker>
            <c:bubble3D val="0"/>
            <c:spPr>
              <a:solidFill>
                <a:srgbClr val="FFFFFF"/>
              </a:solid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B400"/>
                    </a:solidFill>
                    <a:prstDash val="solid"/>
                    <a:round/>
                    <a:headEnd type="none" w="med" len="med"/>
                    <a:tailEnd type="none" w="med" len="med"/>
                  </a14:hiddenLine>
                </a:ext>
              </a:extLst>
            </c:spPr>
          </c:dPt>
          <c:dPt>
            <c:idx val="19"/>
            <c:marker>
              <c:spPr>
                <a:pattFill>
                  <a:fgClr>
                    <a:srgbClr val="B4B400"/>
                  </a:fgClr>
                  <a:bgClr>
                    <a:srgbClr val="B4B400"/>
                  </a:bgClr>
                </a:patt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B400"/>
                      </a:solidFill>
                      <a:prstDash val="solid"/>
                      <a:round/>
                      <a:headEnd type="none" w="med" len="med"/>
                      <a:tailEnd type="none" w="med" len="med"/>
                    </a14:hiddenLine>
                  </a:ext>
                </a:extLst>
              </c:spPr>
            </c:marker>
            <c:bubble3D val="0"/>
            <c:spPr>
              <a:solidFill>
                <a:srgbClr val="FFFFFF"/>
              </a:solid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B400"/>
                    </a:solidFill>
                    <a:prstDash val="solid"/>
                    <a:round/>
                    <a:headEnd type="none" w="med" len="med"/>
                    <a:tailEnd type="none" w="med" len="med"/>
                  </a14:hiddenLine>
                </a:ext>
              </a:extLst>
            </c:spPr>
          </c:dPt>
          <c:dPt>
            <c:idx val="20"/>
            <c:marker>
              <c:spPr>
                <a:pattFill>
                  <a:fgClr>
                    <a:srgbClr val="B4B400"/>
                  </a:fgClr>
                  <a:bgClr>
                    <a:srgbClr val="B4B400"/>
                  </a:bgClr>
                </a:patt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B400"/>
                      </a:solidFill>
                      <a:prstDash val="solid"/>
                      <a:round/>
                      <a:headEnd type="none" w="med" len="med"/>
                      <a:tailEnd type="none" w="med" len="med"/>
                    </a14:hiddenLine>
                  </a:ext>
                </a:extLst>
              </c:spPr>
            </c:marker>
            <c:bubble3D val="0"/>
            <c:spPr>
              <a:solidFill>
                <a:srgbClr val="FFFFFF"/>
              </a:solid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B400"/>
                    </a:solidFill>
                    <a:prstDash val="solid"/>
                    <a:round/>
                    <a:headEnd type="none" w="med" len="med"/>
                    <a:tailEnd type="none" w="med" len="med"/>
                  </a14:hiddenLine>
                </a:ext>
              </a:extLst>
            </c:spPr>
          </c:dPt>
          <c:dPt>
            <c:idx val="21"/>
            <c:marker>
              <c:spPr>
                <a:pattFill>
                  <a:fgClr>
                    <a:srgbClr val="B4B400"/>
                  </a:fgClr>
                  <a:bgClr>
                    <a:srgbClr val="B4B400"/>
                  </a:bgClr>
                </a:patt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B400"/>
                      </a:solidFill>
                      <a:prstDash val="solid"/>
                      <a:round/>
                      <a:headEnd type="none" w="med" len="med"/>
                      <a:tailEnd type="none" w="med" len="med"/>
                    </a14:hiddenLine>
                  </a:ext>
                </a:extLst>
              </c:spPr>
            </c:marker>
            <c:bubble3D val="0"/>
            <c:spPr>
              <a:solidFill>
                <a:srgbClr val="FFFFFF"/>
              </a:solid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B400"/>
                    </a:solidFill>
                    <a:prstDash val="solid"/>
                    <a:round/>
                    <a:headEnd type="none" w="med" len="med"/>
                    <a:tailEnd type="none" w="med" len="med"/>
                  </a14:hiddenLine>
                </a:ext>
              </a:extLst>
            </c:spPr>
          </c:dPt>
          <c:dPt>
            <c:idx val="22"/>
            <c:marker>
              <c:spPr>
                <a:pattFill>
                  <a:fgClr>
                    <a:srgbClr val="B4B400"/>
                  </a:fgClr>
                  <a:bgClr>
                    <a:srgbClr val="B4B400"/>
                  </a:bgClr>
                </a:patt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B400"/>
                      </a:solidFill>
                      <a:prstDash val="solid"/>
                      <a:round/>
                      <a:headEnd type="none" w="med" len="med"/>
                      <a:tailEnd type="none" w="med" len="med"/>
                    </a14:hiddenLine>
                  </a:ext>
                </a:extLst>
              </c:spPr>
            </c:marker>
            <c:bubble3D val="0"/>
            <c:spPr>
              <a:solidFill>
                <a:srgbClr val="FFFFFF"/>
              </a:solid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B400"/>
                    </a:solidFill>
                    <a:prstDash val="solid"/>
                    <a:round/>
                    <a:headEnd type="none" w="med" len="med"/>
                    <a:tailEnd type="none" w="med" len="med"/>
                  </a14:hiddenLine>
                </a:ext>
              </a:extLst>
            </c:spPr>
          </c:dPt>
          <c:dPt>
            <c:idx val="23"/>
            <c:marker>
              <c:spPr>
                <a:pattFill>
                  <a:fgClr>
                    <a:srgbClr val="B4B400"/>
                  </a:fgClr>
                  <a:bgClr>
                    <a:srgbClr val="B4B400"/>
                  </a:bgClr>
                </a:patt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B400"/>
                      </a:solidFill>
                      <a:prstDash val="solid"/>
                      <a:round/>
                      <a:headEnd type="none" w="med" len="med"/>
                      <a:tailEnd type="none" w="med" len="med"/>
                    </a14:hiddenLine>
                  </a:ext>
                </a:extLst>
              </c:spPr>
            </c:marker>
            <c:bubble3D val="0"/>
            <c:spPr>
              <a:solidFill>
                <a:srgbClr val="FFFFFF"/>
              </a:solid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B400"/>
                    </a:solidFill>
                    <a:prstDash val="solid"/>
                    <a:round/>
                    <a:headEnd type="none" w="med" len="med"/>
                    <a:tailEnd type="none" w="med" len="med"/>
                  </a14:hiddenLine>
                </a:ext>
              </a:extLst>
            </c:spPr>
          </c:dPt>
          <c:dPt>
            <c:idx val="24"/>
            <c:marker>
              <c:spPr>
                <a:pattFill>
                  <a:fgClr>
                    <a:srgbClr val="B4B400"/>
                  </a:fgClr>
                  <a:bgClr>
                    <a:srgbClr val="B4B400"/>
                  </a:bgClr>
                </a:patt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B400"/>
                      </a:solidFill>
                      <a:prstDash val="solid"/>
                      <a:round/>
                      <a:headEnd type="none" w="med" len="med"/>
                      <a:tailEnd type="none" w="med" len="med"/>
                    </a14:hiddenLine>
                  </a:ext>
                </a:extLst>
              </c:spPr>
            </c:marker>
            <c:bubble3D val="0"/>
            <c:spPr>
              <a:solidFill>
                <a:srgbClr val="FFFFFF"/>
              </a:solid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B400"/>
                    </a:solidFill>
                    <a:prstDash val="solid"/>
                    <a:round/>
                    <a:headEnd type="none" w="med" len="med"/>
                    <a:tailEnd type="none" w="med" len="med"/>
                  </a14:hiddenLine>
                </a:ext>
              </a:extLst>
            </c:spPr>
          </c:dPt>
          <c:dPt>
            <c:idx val="25"/>
            <c:marker>
              <c:spPr>
                <a:pattFill>
                  <a:fgClr>
                    <a:srgbClr val="B4B400"/>
                  </a:fgClr>
                  <a:bgClr>
                    <a:srgbClr val="B4B400"/>
                  </a:bgClr>
                </a:patt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B400"/>
                      </a:solidFill>
                      <a:prstDash val="solid"/>
                      <a:round/>
                      <a:headEnd type="none" w="med" len="med"/>
                      <a:tailEnd type="none" w="med" len="med"/>
                    </a14:hiddenLine>
                  </a:ext>
                </a:extLst>
              </c:spPr>
            </c:marker>
            <c:bubble3D val="0"/>
            <c:spPr>
              <a:solidFill>
                <a:srgbClr val="FFFFFF"/>
              </a:solid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B4B400"/>
                    </a:solidFill>
                    <a:prstDash val="solid"/>
                    <a:round/>
                    <a:headEnd type="none" w="med" len="med"/>
                    <a:tailEnd type="none" w="med" len="med"/>
                  </a14:hiddenLine>
                </a:ext>
              </a:extLst>
            </c:spPr>
          </c:dPt>
          <c:dPt>
            <c:idx val="26"/>
            <c:marker>
              <c:spPr>
                <a:pattFill>
                  <a:fgClr>
                    <a:srgbClr val="00B400"/>
                  </a:fgClr>
                  <a:bgClr>
                    <a:srgbClr val="00B400"/>
                  </a:bgClr>
                </a:patt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00B400"/>
                      </a:solidFill>
                      <a:prstDash val="solid"/>
                      <a:round/>
                      <a:headEnd type="none" w="med" len="med"/>
                      <a:tailEnd type="none" w="med" len="med"/>
                    </a14:hiddenLine>
                  </a:ext>
                </a:extLst>
              </c:spPr>
            </c:marker>
            <c:bubble3D val="0"/>
            <c:spPr>
              <a:solidFill>
                <a:srgbClr val="FFFFFF"/>
              </a:solid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00B400"/>
                    </a:solidFill>
                    <a:prstDash val="solid"/>
                    <a:round/>
                    <a:headEnd type="none" w="med" len="med"/>
                    <a:tailEnd type="none" w="med" len="med"/>
                  </a14:hiddenLine>
                </a:ext>
              </a:extLst>
            </c:spPr>
          </c:dPt>
          <c:dPt>
            <c:idx val="27"/>
            <c:marker>
              <c:spPr>
                <a:pattFill>
                  <a:fgClr>
                    <a:srgbClr val="00B400"/>
                  </a:fgClr>
                  <a:bgClr>
                    <a:srgbClr val="00B400"/>
                  </a:bgClr>
                </a:patt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00B400"/>
                      </a:solidFill>
                      <a:prstDash val="solid"/>
                      <a:round/>
                      <a:headEnd type="none" w="med" len="med"/>
                      <a:tailEnd type="none" w="med" len="med"/>
                    </a14:hiddenLine>
                  </a:ext>
                </a:extLst>
              </c:spPr>
            </c:marker>
            <c:bubble3D val="0"/>
            <c:spPr>
              <a:solidFill>
                <a:srgbClr val="FFFFFF"/>
              </a:solidFill>
              <a:ln w="19050" cap="rnd" cmpd="sng" algn="ctr">
                <a:noFill/>
                <a:prstDash val="solid"/>
                <a:round/>
                <a:headEnd type="none" w="med" len="med"/>
                <a:tailEnd type="none" w="med" len="med"/>
              </a:ln>
              <a:effectLst/>
              <a:extLst>
                <a:ext uri="{91240B29-F687-4F45-9708-019B960494DF}">
                  <a14:hiddenLine xmlns:a14="http://schemas.microsoft.com/office/drawing/2010/main" w="19050" cap="rnd" cmpd="sng" algn="ctr">
                    <a:solidFill>
                      <a:srgbClr val="00B400"/>
                    </a:solidFill>
                    <a:prstDash val="solid"/>
                    <a:round/>
                    <a:headEnd type="none" w="med" len="med"/>
                    <a:tailEnd type="none" w="med" len="med"/>
                  </a14:hiddenLine>
                </a:ext>
              </a:extLst>
            </c:spPr>
          </c:dPt>
          <c:dLbls>
            <c:dLbl>
              <c:idx val="0"/>
              <c:layout/>
              <c:tx>
                <c:rich>
                  <a:bodyPr/>
                  <a:lstStyle/>
                  <a:p>
                    <a:r>
                      <a:rPr lang="en-US"/>
                      <a:t>P20</a:t>
                    </a:r>
                  </a:p>
                </c:rich>
              </c:tx>
              <c:showLegendKey val="0"/>
              <c:showVal val="1"/>
              <c:showCatName val="0"/>
              <c:showSerName val="0"/>
              <c:showPercent val="0"/>
              <c:showBubbleSize val="0"/>
            </c:dLbl>
            <c:dLbl>
              <c:idx val="1"/>
              <c:layout/>
              <c:tx>
                <c:rich>
                  <a:bodyPr/>
                  <a:lstStyle/>
                  <a:p>
                    <a:r>
                      <a:rPr lang="en-US"/>
                      <a:t>P14</a:t>
                    </a:r>
                  </a:p>
                </c:rich>
              </c:tx>
              <c:showLegendKey val="0"/>
              <c:showVal val="1"/>
              <c:showCatName val="0"/>
              <c:showSerName val="0"/>
              <c:showPercent val="0"/>
              <c:showBubbleSize val="0"/>
            </c:dLbl>
            <c:dLbl>
              <c:idx val="2"/>
              <c:layout/>
              <c:tx>
                <c:rich>
                  <a:bodyPr/>
                  <a:lstStyle/>
                  <a:p>
                    <a:r>
                      <a:rPr lang="en-US"/>
                      <a:t>P15</a:t>
                    </a:r>
                  </a:p>
                </c:rich>
              </c:tx>
              <c:showLegendKey val="0"/>
              <c:showVal val="1"/>
              <c:showCatName val="0"/>
              <c:showSerName val="0"/>
              <c:showPercent val="0"/>
              <c:showBubbleSize val="0"/>
            </c:dLbl>
            <c:dLbl>
              <c:idx val="3"/>
              <c:layout/>
              <c:tx>
                <c:rich>
                  <a:bodyPr/>
                  <a:lstStyle/>
                  <a:p>
                    <a:r>
                      <a:rPr lang="en-US"/>
                      <a:t>P18</a:t>
                    </a:r>
                  </a:p>
                </c:rich>
              </c:tx>
              <c:showLegendKey val="0"/>
              <c:showVal val="1"/>
              <c:showCatName val="0"/>
              <c:showSerName val="0"/>
              <c:showPercent val="0"/>
              <c:showBubbleSize val="0"/>
            </c:dLbl>
            <c:dLbl>
              <c:idx val="4"/>
              <c:layout/>
              <c:tx>
                <c:rich>
                  <a:bodyPr/>
                  <a:lstStyle/>
                  <a:p>
                    <a:r>
                      <a:rPr lang="en-US"/>
                      <a:t>P22</a:t>
                    </a:r>
                  </a:p>
                </c:rich>
              </c:tx>
              <c:showLegendKey val="0"/>
              <c:showVal val="1"/>
              <c:showCatName val="0"/>
              <c:showSerName val="0"/>
              <c:showPercent val="0"/>
              <c:showBubbleSize val="0"/>
            </c:dLbl>
            <c:dLbl>
              <c:idx val="5"/>
              <c:layout/>
              <c:tx>
                <c:rich>
                  <a:bodyPr/>
                  <a:lstStyle/>
                  <a:p>
                    <a:r>
                      <a:rPr lang="en-US"/>
                      <a:t>P27</a:t>
                    </a:r>
                  </a:p>
                </c:rich>
              </c:tx>
              <c:showLegendKey val="0"/>
              <c:showVal val="1"/>
              <c:showCatName val="0"/>
              <c:showSerName val="0"/>
              <c:showPercent val="0"/>
              <c:showBubbleSize val="0"/>
            </c:dLbl>
            <c:dLbl>
              <c:idx val="6"/>
              <c:layout/>
              <c:tx>
                <c:rich>
                  <a:bodyPr/>
                  <a:lstStyle/>
                  <a:p>
                    <a:r>
                      <a:rPr lang="en-US"/>
                      <a:t>P28</a:t>
                    </a:r>
                  </a:p>
                </c:rich>
              </c:tx>
              <c:showLegendKey val="0"/>
              <c:showVal val="1"/>
              <c:showCatName val="0"/>
              <c:showSerName val="0"/>
              <c:showPercent val="0"/>
              <c:showBubbleSize val="0"/>
            </c:dLbl>
            <c:dLbl>
              <c:idx val="7"/>
              <c:layout/>
              <c:tx>
                <c:rich>
                  <a:bodyPr/>
                  <a:lstStyle/>
                  <a:p>
                    <a:r>
                      <a:rPr lang="en-US"/>
                      <a:t>P25</a:t>
                    </a:r>
                  </a:p>
                </c:rich>
              </c:tx>
              <c:showLegendKey val="0"/>
              <c:showVal val="1"/>
              <c:showCatName val="0"/>
              <c:showSerName val="0"/>
              <c:showPercent val="0"/>
              <c:showBubbleSize val="0"/>
            </c:dLbl>
            <c:dLbl>
              <c:idx val="8"/>
              <c:layout/>
              <c:tx>
                <c:rich>
                  <a:bodyPr/>
                  <a:lstStyle/>
                  <a:p>
                    <a:r>
                      <a:rPr lang="en-US"/>
                      <a:t>P19</a:t>
                    </a:r>
                  </a:p>
                </c:rich>
              </c:tx>
              <c:showLegendKey val="0"/>
              <c:showVal val="1"/>
              <c:showCatName val="0"/>
              <c:showSerName val="0"/>
              <c:showPercent val="0"/>
              <c:showBubbleSize val="0"/>
            </c:dLbl>
            <c:dLbl>
              <c:idx val="9"/>
              <c:layout/>
              <c:tx>
                <c:rich>
                  <a:bodyPr/>
                  <a:lstStyle/>
                  <a:p>
                    <a:r>
                      <a:rPr lang="en-US"/>
                      <a:t>P2</a:t>
                    </a:r>
                  </a:p>
                </c:rich>
              </c:tx>
              <c:showLegendKey val="0"/>
              <c:showVal val="1"/>
              <c:showCatName val="0"/>
              <c:showSerName val="0"/>
              <c:showPercent val="0"/>
              <c:showBubbleSize val="0"/>
            </c:dLbl>
            <c:dLbl>
              <c:idx val="10"/>
              <c:layout/>
              <c:tx>
                <c:rich>
                  <a:bodyPr/>
                  <a:lstStyle/>
                  <a:p>
                    <a:r>
                      <a:rPr lang="en-US"/>
                      <a:t>P13</a:t>
                    </a:r>
                  </a:p>
                </c:rich>
              </c:tx>
              <c:showLegendKey val="0"/>
              <c:showVal val="1"/>
              <c:showCatName val="0"/>
              <c:showSerName val="0"/>
              <c:showPercent val="0"/>
              <c:showBubbleSize val="0"/>
            </c:dLbl>
            <c:dLbl>
              <c:idx val="11"/>
              <c:layout/>
              <c:tx>
                <c:rich>
                  <a:bodyPr/>
                  <a:lstStyle/>
                  <a:p>
                    <a:r>
                      <a:rPr lang="en-US"/>
                      <a:t>P24</a:t>
                    </a:r>
                  </a:p>
                </c:rich>
              </c:tx>
              <c:showLegendKey val="0"/>
              <c:showVal val="1"/>
              <c:showCatName val="0"/>
              <c:showSerName val="0"/>
              <c:showPercent val="0"/>
              <c:showBubbleSize val="0"/>
            </c:dLbl>
            <c:dLbl>
              <c:idx val="12"/>
              <c:layout/>
              <c:tx>
                <c:rich>
                  <a:bodyPr/>
                  <a:lstStyle/>
                  <a:p>
                    <a:r>
                      <a:rPr lang="en-US"/>
                      <a:t>P23</a:t>
                    </a:r>
                  </a:p>
                </c:rich>
              </c:tx>
              <c:showLegendKey val="0"/>
              <c:showVal val="1"/>
              <c:showCatName val="0"/>
              <c:showSerName val="0"/>
              <c:showPercent val="0"/>
              <c:showBubbleSize val="0"/>
            </c:dLbl>
            <c:dLbl>
              <c:idx val="13"/>
              <c:layout/>
              <c:tx>
                <c:rich>
                  <a:bodyPr/>
                  <a:lstStyle/>
                  <a:p>
                    <a:r>
                      <a:rPr lang="en-US"/>
                      <a:t>P6</a:t>
                    </a:r>
                  </a:p>
                </c:rich>
              </c:tx>
              <c:showLegendKey val="0"/>
              <c:showVal val="1"/>
              <c:showCatName val="0"/>
              <c:showSerName val="0"/>
              <c:showPercent val="0"/>
              <c:showBubbleSize val="0"/>
            </c:dLbl>
            <c:dLbl>
              <c:idx val="14"/>
              <c:layout/>
              <c:tx>
                <c:rich>
                  <a:bodyPr/>
                  <a:lstStyle/>
                  <a:p>
                    <a:r>
                      <a:rPr lang="en-US"/>
                      <a:t>P7</a:t>
                    </a:r>
                  </a:p>
                </c:rich>
              </c:tx>
              <c:showLegendKey val="0"/>
              <c:showVal val="1"/>
              <c:showCatName val="0"/>
              <c:showSerName val="0"/>
              <c:showPercent val="0"/>
              <c:showBubbleSize val="0"/>
            </c:dLbl>
            <c:dLbl>
              <c:idx val="15"/>
              <c:layout/>
              <c:tx>
                <c:rich>
                  <a:bodyPr/>
                  <a:lstStyle/>
                  <a:p>
                    <a:r>
                      <a:rPr lang="en-US"/>
                      <a:t>P16</a:t>
                    </a:r>
                  </a:p>
                </c:rich>
              </c:tx>
              <c:showLegendKey val="0"/>
              <c:showVal val="1"/>
              <c:showCatName val="0"/>
              <c:showSerName val="0"/>
              <c:showPercent val="0"/>
              <c:showBubbleSize val="0"/>
            </c:dLbl>
            <c:dLbl>
              <c:idx val="16"/>
              <c:layout/>
              <c:tx>
                <c:rich>
                  <a:bodyPr/>
                  <a:lstStyle/>
                  <a:p>
                    <a:r>
                      <a:rPr lang="en-US"/>
                      <a:t>P26</a:t>
                    </a:r>
                  </a:p>
                </c:rich>
              </c:tx>
              <c:showLegendKey val="0"/>
              <c:showVal val="1"/>
              <c:showCatName val="0"/>
              <c:showSerName val="0"/>
              <c:showPercent val="0"/>
              <c:showBubbleSize val="0"/>
            </c:dLbl>
            <c:dLbl>
              <c:idx val="17"/>
              <c:layout/>
              <c:tx>
                <c:rich>
                  <a:bodyPr/>
                  <a:lstStyle/>
                  <a:p>
                    <a:r>
                      <a:rPr lang="en-US"/>
                      <a:t>P17</a:t>
                    </a:r>
                  </a:p>
                </c:rich>
              </c:tx>
              <c:showLegendKey val="0"/>
              <c:showVal val="1"/>
              <c:showCatName val="0"/>
              <c:showSerName val="0"/>
              <c:showPercent val="0"/>
              <c:showBubbleSize val="0"/>
            </c:dLbl>
            <c:dLbl>
              <c:idx val="18"/>
              <c:layout/>
              <c:tx>
                <c:rich>
                  <a:bodyPr/>
                  <a:lstStyle/>
                  <a:p>
                    <a:r>
                      <a:rPr lang="en-US"/>
                      <a:t>P3</a:t>
                    </a:r>
                  </a:p>
                </c:rich>
              </c:tx>
              <c:showLegendKey val="0"/>
              <c:showVal val="1"/>
              <c:showCatName val="0"/>
              <c:showSerName val="0"/>
              <c:showPercent val="0"/>
              <c:showBubbleSize val="0"/>
            </c:dLbl>
            <c:dLbl>
              <c:idx val="19"/>
              <c:layout/>
              <c:tx>
                <c:rich>
                  <a:bodyPr/>
                  <a:lstStyle/>
                  <a:p>
                    <a:r>
                      <a:rPr lang="en-US"/>
                      <a:t>P9</a:t>
                    </a:r>
                  </a:p>
                </c:rich>
              </c:tx>
              <c:showLegendKey val="0"/>
              <c:showVal val="1"/>
              <c:showCatName val="0"/>
              <c:showSerName val="0"/>
              <c:showPercent val="0"/>
              <c:showBubbleSize val="0"/>
            </c:dLbl>
            <c:dLbl>
              <c:idx val="20"/>
              <c:layout/>
              <c:tx>
                <c:rich>
                  <a:bodyPr/>
                  <a:lstStyle/>
                  <a:p>
                    <a:r>
                      <a:rPr lang="en-US"/>
                      <a:t>P8</a:t>
                    </a:r>
                  </a:p>
                </c:rich>
              </c:tx>
              <c:showLegendKey val="0"/>
              <c:showVal val="1"/>
              <c:showCatName val="0"/>
              <c:showSerName val="0"/>
              <c:showPercent val="0"/>
              <c:showBubbleSize val="0"/>
            </c:dLbl>
            <c:dLbl>
              <c:idx val="21"/>
              <c:layout/>
              <c:tx>
                <c:rich>
                  <a:bodyPr/>
                  <a:lstStyle/>
                  <a:p>
                    <a:r>
                      <a:rPr lang="en-US"/>
                      <a:t>P12</a:t>
                    </a:r>
                  </a:p>
                </c:rich>
              </c:tx>
              <c:showLegendKey val="0"/>
              <c:showVal val="1"/>
              <c:showCatName val="0"/>
              <c:showSerName val="0"/>
              <c:showPercent val="0"/>
              <c:showBubbleSize val="0"/>
            </c:dLbl>
            <c:dLbl>
              <c:idx val="22"/>
              <c:layout/>
              <c:tx>
                <c:rich>
                  <a:bodyPr/>
                  <a:lstStyle/>
                  <a:p>
                    <a:r>
                      <a:rPr lang="en-US"/>
                      <a:t>P1</a:t>
                    </a:r>
                  </a:p>
                </c:rich>
              </c:tx>
              <c:showLegendKey val="0"/>
              <c:showVal val="1"/>
              <c:showCatName val="0"/>
              <c:showSerName val="0"/>
              <c:showPercent val="0"/>
              <c:showBubbleSize val="0"/>
            </c:dLbl>
            <c:dLbl>
              <c:idx val="23"/>
              <c:layout/>
              <c:tx>
                <c:rich>
                  <a:bodyPr/>
                  <a:lstStyle/>
                  <a:p>
                    <a:r>
                      <a:rPr lang="en-US"/>
                      <a:t>P11</a:t>
                    </a:r>
                  </a:p>
                </c:rich>
              </c:tx>
              <c:showLegendKey val="0"/>
              <c:showVal val="1"/>
              <c:showCatName val="0"/>
              <c:showSerName val="0"/>
              <c:showPercent val="0"/>
              <c:showBubbleSize val="0"/>
            </c:dLbl>
            <c:dLbl>
              <c:idx val="24"/>
              <c:layout/>
              <c:tx>
                <c:rich>
                  <a:bodyPr/>
                  <a:lstStyle/>
                  <a:p>
                    <a:r>
                      <a:rPr lang="en-US"/>
                      <a:t>P4</a:t>
                    </a:r>
                  </a:p>
                </c:rich>
              </c:tx>
              <c:showLegendKey val="0"/>
              <c:showVal val="1"/>
              <c:showCatName val="0"/>
              <c:showSerName val="0"/>
              <c:showPercent val="0"/>
              <c:showBubbleSize val="0"/>
            </c:dLbl>
            <c:dLbl>
              <c:idx val="25"/>
              <c:layout/>
              <c:tx>
                <c:rich>
                  <a:bodyPr/>
                  <a:lstStyle/>
                  <a:p>
                    <a:r>
                      <a:rPr lang="en-US"/>
                      <a:t>P21</a:t>
                    </a:r>
                  </a:p>
                </c:rich>
              </c:tx>
              <c:showLegendKey val="0"/>
              <c:showVal val="1"/>
              <c:showCatName val="0"/>
              <c:showSerName val="0"/>
              <c:showPercent val="0"/>
              <c:showBubbleSize val="0"/>
            </c:dLbl>
            <c:dLbl>
              <c:idx val="26"/>
              <c:layout/>
              <c:tx>
                <c:rich>
                  <a:bodyPr/>
                  <a:lstStyle/>
                  <a:p>
                    <a:r>
                      <a:rPr lang="en-US"/>
                      <a:t>P10</a:t>
                    </a:r>
                  </a:p>
                </c:rich>
              </c:tx>
              <c:showLegendKey val="0"/>
              <c:showVal val="1"/>
              <c:showCatName val="0"/>
              <c:showSerName val="0"/>
              <c:showPercent val="0"/>
              <c:showBubbleSize val="0"/>
            </c:dLbl>
            <c:dLbl>
              <c:idx val="27"/>
              <c:layout/>
              <c:tx>
                <c:rich>
                  <a:bodyPr/>
                  <a:lstStyle/>
                  <a:p>
                    <a:r>
                      <a:rPr lang="en-US"/>
                      <a:t>P5</a:t>
                    </a:r>
                  </a:p>
                </c:rich>
              </c:tx>
              <c:showLegendKey val="0"/>
              <c:showVal val="1"/>
              <c:showCatName val="0"/>
              <c:showSerName val="0"/>
              <c:showPercent val="0"/>
              <c:showBubbleSize val="0"/>
            </c:dLbl>
            <c:showLegendKey val="0"/>
            <c:showVal val="1"/>
            <c:showCatName val="0"/>
            <c:showSerName val="0"/>
            <c:showPercent val="0"/>
            <c:showBubbleSize val="0"/>
            <c:showLeaderLines val="0"/>
          </c:dLbls>
          <c:xVal>
            <c:numRef>
              <c:f>'IPF Matrix'!$AN$3:$AN$30</c:f>
              <c:numCache>
                <c:formatCode>General</c:formatCode>
                <c:ptCount val="28"/>
                <c:pt idx="0">
                  <c:v>44.29167185268971</c:v>
                </c:pt>
                <c:pt idx="1">
                  <c:v>43.23230128949875</c:v>
                </c:pt>
                <c:pt idx="2">
                  <c:v>16.100877518570805</c:v>
                </c:pt>
                <c:pt idx="3">
                  <c:v>27.958300672541654</c:v>
                </c:pt>
                <c:pt idx="4">
                  <c:v>60.070894539962438</c:v>
                </c:pt>
                <c:pt idx="5">
                  <c:v>3.7927215374522281E-2</c:v>
                </c:pt>
                <c:pt idx="6">
                  <c:v>42.790734018900608</c:v>
                </c:pt>
                <c:pt idx="7">
                  <c:v>29.845615376215783</c:v>
                </c:pt>
                <c:pt idx="8">
                  <c:v>38.163012577581675</c:v>
                </c:pt>
                <c:pt idx="9">
                  <c:v>47.672456313627038</c:v>
                </c:pt>
                <c:pt idx="10">
                  <c:v>44.366906155284333</c:v>
                </c:pt>
                <c:pt idx="11">
                  <c:v>58.591060230724146</c:v>
                </c:pt>
                <c:pt idx="12">
                  <c:v>44.311286524026428</c:v>
                </c:pt>
                <c:pt idx="13">
                  <c:v>33.743989741048466</c:v>
                </c:pt>
                <c:pt idx="14">
                  <c:v>19.743287195028163</c:v>
                </c:pt>
                <c:pt idx="15">
                  <c:v>65.461321128086681</c:v>
                </c:pt>
                <c:pt idx="16">
                  <c:v>66.543290613945302</c:v>
                </c:pt>
                <c:pt idx="17">
                  <c:v>71.869398053552274</c:v>
                </c:pt>
                <c:pt idx="18">
                  <c:v>100</c:v>
                </c:pt>
                <c:pt idx="19">
                  <c:v>66.432703241170671</c:v>
                </c:pt>
                <c:pt idx="20">
                  <c:v>61.93505063056751</c:v>
                </c:pt>
                <c:pt idx="21">
                  <c:v>36.193454631633578</c:v>
                </c:pt>
                <c:pt idx="22">
                  <c:v>0</c:v>
                </c:pt>
                <c:pt idx="23">
                  <c:v>61.58565791159932</c:v>
                </c:pt>
                <c:pt idx="24">
                  <c:v>46.058866760350625</c:v>
                </c:pt>
                <c:pt idx="25">
                  <c:v>41.365306138457747</c:v>
                </c:pt>
                <c:pt idx="26">
                  <c:v>98.842389339634806</c:v>
                </c:pt>
                <c:pt idx="27">
                  <c:v>80.427893166472728</c:v>
                </c:pt>
              </c:numCache>
            </c:numRef>
          </c:xVal>
          <c:yVal>
            <c:numRef>
              <c:f>'IPF Matrix'!$AM$3:$AM$30</c:f>
              <c:numCache>
                <c:formatCode>General</c:formatCode>
                <c:ptCount val="28"/>
                <c:pt idx="0">
                  <c:v>50.593170142007516</c:v>
                </c:pt>
                <c:pt idx="1">
                  <c:v>3.238795374513074</c:v>
                </c:pt>
                <c:pt idx="2">
                  <c:v>11.948592820724128</c:v>
                </c:pt>
                <c:pt idx="3">
                  <c:v>45.322977951759128</c:v>
                </c:pt>
                <c:pt idx="4">
                  <c:v>16.658929131055704</c:v>
                </c:pt>
                <c:pt idx="5">
                  <c:v>20.156069942823809</c:v>
                </c:pt>
                <c:pt idx="6">
                  <c:v>24.765998001699423</c:v>
                </c:pt>
                <c:pt idx="7">
                  <c:v>26.141593276498632</c:v>
                </c:pt>
                <c:pt idx="8">
                  <c:v>26.930389091701549</c:v>
                </c:pt>
                <c:pt idx="9">
                  <c:v>27.463775288146149</c:v>
                </c:pt>
                <c:pt idx="10">
                  <c:v>28.081512469557879</c:v>
                </c:pt>
                <c:pt idx="11">
                  <c:v>28.889976514752497</c:v>
                </c:pt>
                <c:pt idx="12">
                  <c:v>29.039289688595964</c:v>
                </c:pt>
                <c:pt idx="13">
                  <c:v>31.765479210312563</c:v>
                </c:pt>
                <c:pt idx="14">
                  <c:v>42.910092429667571</c:v>
                </c:pt>
                <c:pt idx="15">
                  <c:v>42.219096778484186</c:v>
                </c:pt>
                <c:pt idx="16">
                  <c:v>34.43184947588697</c:v>
                </c:pt>
                <c:pt idx="17">
                  <c:v>44.836729717263808</c:v>
                </c:pt>
                <c:pt idx="18">
                  <c:v>15.929025651749518</c:v>
                </c:pt>
                <c:pt idx="19">
                  <c:v>1.5318348204426835</c:v>
                </c:pt>
                <c:pt idx="20">
                  <c:v>54.045121412693518</c:v>
                </c:pt>
                <c:pt idx="21">
                  <c:v>100</c:v>
                </c:pt>
                <c:pt idx="22">
                  <c:v>60.828826952702741</c:v>
                </c:pt>
                <c:pt idx="23">
                  <c:v>76.286149240396384</c:v>
                </c:pt>
                <c:pt idx="24">
                  <c:v>79.123618646127596</c:v>
                </c:pt>
                <c:pt idx="25">
                  <c:v>90.854653280408797</c:v>
                </c:pt>
                <c:pt idx="26">
                  <c:v>92.800332708459862</c:v>
                </c:pt>
                <c:pt idx="27">
                  <c:v>59.799003851571676</c:v>
                </c:pt>
              </c:numCache>
            </c:numRef>
          </c:yVal>
          <c:smooth val="0"/>
        </c:ser>
        <c:dLbls>
          <c:showLegendKey val="0"/>
          <c:showVal val="0"/>
          <c:showCatName val="0"/>
          <c:showSerName val="0"/>
          <c:showPercent val="0"/>
          <c:showBubbleSize val="0"/>
        </c:dLbls>
        <c:axId val="336149824"/>
        <c:axId val="336144640"/>
      </c:scatterChart>
      <c:valAx>
        <c:axId val="336149824"/>
        <c:scaling>
          <c:orientation val="minMax"/>
          <c:max val="100"/>
        </c:scaling>
        <c:delete val="0"/>
        <c:axPos val="b"/>
        <c:title>
          <c:tx>
            <c:rich>
              <a:bodyPr/>
              <a:lstStyle/>
              <a:p>
                <a:pPr>
                  <a:defRPr sz="1050" b="1"/>
                </a:pPr>
                <a:r>
                  <a:rPr lang="en-US"/>
                  <a:t>FEI - KT(X&gt;0)</a:t>
                </a:r>
              </a:p>
            </c:rich>
          </c:tx>
          <c:layout/>
          <c:overlay val="0"/>
        </c:title>
        <c:numFmt formatCode="General" sourceLinked="1"/>
        <c:majorTickMark val="out"/>
        <c:minorTickMark val="none"/>
        <c:tickLblPos val="nextTo"/>
        <c:spPr>
          <a:ln>
            <a:solidFill>
              <a:srgbClr val="000000"/>
            </a:solidFill>
          </a:ln>
        </c:spPr>
        <c:txPr>
          <a:bodyPr/>
          <a:lstStyle/>
          <a:p>
            <a:pPr>
              <a:defRPr sz="800">
                <a:solidFill>
                  <a:srgbClr val="000000"/>
                </a:solidFill>
              </a:defRPr>
            </a:pPr>
            <a:endParaRPr lang="en-US"/>
          </a:p>
        </c:txPr>
        <c:crossAx val="336144640"/>
        <c:crosses val="autoZero"/>
        <c:crossBetween val="midCat"/>
      </c:valAx>
      <c:valAx>
        <c:axId val="336144640"/>
        <c:scaling>
          <c:orientation val="minMax"/>
          <c:max val="100"/>
        </c:scaling>
        <c:delete val="0"/>
        <c:axPos val="l"/>
        <c:majorGridlines>
          <c:spPr>
            <a:ln>
              <a:solidFill>
                <a:srgbClr val="F4F4F4"/>
              </a:solidFill>
              <a:prstDash val="solid"/>
            </a:ln>
          </c:spPr>
        </c:majorGridlines>
        <c:title>
          <c:tx>
            <c:rich>
              <a:bodyPr/>
              <a:lstStyle/>
              <a:p>
                <a:pPr>
                  <a:defRPr sz="1050" b="1"/>
                </a:pPr>
                <a:r>
                  <a:rPr lang="en-US"/>
                  <a:t>SEI - KT(X&gt;=0)</a:t>
                </a:r>
              </a:p>
            </c:rich>
          </c:tx>
          <c:layout/>
          <c:overlay val="0"/>
        </c:title>
        <c:numFmt formatCode="General" sourceLinked="1"/>
        <c:majorTickMark val="out"/>
        <c:minorTickMark val="none"/>
        <c:tickLblPos val="nextTo"/>
        <c:spPr>
          <a:ln>
            <a:solidFill>
              <a:srgbClr val="000000"/>
            </a:solidFill>
          </a:ln>
        </c:spPr>
        <c:txPr>
          <a:bodyPr/>
          <a:lstStyle/>
          <a:p>
            <a:pPr>
              <a:defRPr sz="800">
                <a:solidFill>
                  <a:srgbClr val="000000"/>
                </a:solidFill>
              </a:defRPr>
            </a:pPr>
            <a:endParaRPr lang="en-US"/>
          </a:p>
        </c:txPr>
        <c:crossAx val="336149824"/>
        <c:crosses val="autoZero"/>
        <c:crossBetween val="midCat"/>
      </c:valAx>
    </c:plotArea>
    <c:plotVisOnly val="1"/>
    <c:dispBlanksAs val="gap"/>
    <c:showDLblsOverMax val="0"/>
  </c:chart>
  <c:spPr>
    <a:ln w="6350">
      <a:noFill/>
    </a:ln>
  </c:spPr>
  <c:printSettings>
    <c:headerFooter/>
    <c:pageMargins b="0.75" l="0.7" r="0.7" t="0.75" header="0.3" footer="0.3"/>
    <c:pageSetup/>
  </c:printSettings>
  <c:userShapes r:id="rId1"/>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 Type="http://schemas.openxmlformats.org/officeDocument/2006/relationships/image" Target="../media/image2.png"/><Relationship Id="rId16" Type="http://schemas.openxmlformats.org/officeDocument/2006/relationships/image" Target="../media/image16.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19" Type="http://schemas.openxmlformats.org/officeDocument/2006/relationships/image" Target="../media/image19.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_rels/drawing8.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15.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15.xml"/><Relationship Id="rId2" Type="http://schemas.openxmlformats.org/officeDocument/2006/relationships/chart" Target="../charts/chart14.xml"/><Relationship Id="rId1" Type="http://schemas.openxmlformats.org/officeDocument/2006/relationships/chart" Target="../charts/chart13.xml"/><Relationship Id="rId4" Type="http://schemas.openxmlformats.org/officeDocument/2006/relationships/chart" Target="../charts/chart16.xml"/></Relationships>
</file>

<file path=xl/drawings/drawing1.xml><?xml version="1.0" encoding="utf-8"?>
<xdr:wsDr xmlns:xdr="http://schemas.openxmlformats.org/drawingml/2006/spreadsheetDrawing" xmlns:a="http://schemas.openxmlformats.org/drawingml/2006/main">
  <xdr:twoCellAnchor editAs="oneCell">
    <xdr:from>
      <xdr:col>2</xdr:col>
      <xdr:colOff>0</xdr:colOff>
      <xdr:row>95</xdr:row>
      <xdr:rowOff>0</xdr:rowOff>
    </xdr:from>
    <xdr:to>
      <xdr:col>5</xdr:col>
      <xdr:colOff>85486</xdr:colOff>
      <xdr:row>99</xdr:row>
      <xdr:rowOff>161810</xdr:rowOff>
    </xdr:to>
    <xdr:pic>
      <xdr:nvPicPr>
        <xdr:cNvPr id="2" name="Picture 1"/>
        <xdr:cNvPicPr>
          <a:picLocks noChangeAspect="1"/>
        </xdr:cNvPicPr>
      </xdr:nvPicPr>
      <xdr:blipFill>
        <a:blip xmlns:r="http://schemas.openxmlformats.org/officeDocument/2006/relationships" r:embed="rId1" cstate="print"/>
        <a:stretch>
          <a:fillRect/>
        </a:stretch>
      </xdr:blipFill>
      <xdr:spPr>
        <a:xfrm>
          <a:off x="295275" y="17240250"/>
          <a:ext cx="1914286" cy="923810"/>
        </a:xfrm>
        <a:prstGeom prst="rect">
          <a:avLst/>
        </a:prstGeom>
      </xdr:spPr>
    </xdr:pic>
    <xdr:clientData/>
  </xdr:twoCellAnchor>
  <xdr:twoCellAnchor editAs="oneCell">
    <xdr:from>
      <xdr:col>2</xdr:col>
      <xdr:colOff>38100</xdr:colOff>
      <xdr:row>45</xdr:row>
      <xdr:rowOff>19050</xdr:rowOff>
    </xdr:from>
    <xdr:to>
      <xdr:col>5</xdr:col>
      <xdr:colOff>256919</xdr:colOff>
      <xdr:row>47</xdr:row>
      <xdr:rowOff>38050</xdr:rowOff>
    </xdr:to>
    <xdr:pic>
      <xdr:nvPicPr>
        <xdr:cNvPr id="4" name="Picture 3"/>
        <xdr:cNvPicPr>
          <a:picLocks noChangeAspect="1"/>
        </xdr:cNvPicPr>
      </xdr:nvPicPr>
      <xdr:blipFill>
        <a:blip xmlns:r="http://schemas.openxmlformats.org/officeDocument/2006/relationships" r:embed="rId2"/>
        <a:stretch>
          <a:fillRect/>
        </a:stretch>
      </xdr:blipFill>
      <xdr:spPr>
        <a:xfrm>
          <a:off x="333375" y="8362950"/>
          <a:ext cx="2047619" cy="400000"/>
        </a:xfrm>
        <a:prstGeom prst="rect">
          <a:avLst/>
        </a:prstGeom>
      </xdr:spPr>
    </xdr:pic>
    <xdr:clientData/>
  </xdr:twoCellAnchor>
  <xdr:twoCellAnchor editAs="oneCell">
    <xdr:from>
      <xdr:col>5</xdr:col>
      <xdr:colOff>485775</xdr:colOff>
      <xdr:row>45</xdr:row>
      <xdr:rowOff>28575</xdr:rowOff>
    </xdr:from>
    <xdr:to>
      <xdr:col>9</xdr:col>
      <xdr:colOff>247375</xdr:colOff>
      <xdr:row>47</xdr:row>
      <xdr:rowOff>38051</xdr:rowOff>
    </xdr:to>
    <xdr:pic>
      <xdr:nvPicPr>
        <xdr:cNvPr id="8" name="Picture 7"/>
        <xdr:cNvPicPr>
          <a:picLocks noChangeAspect="1"/>
        </xdr:cNvPicPr>
      </xdr:nvPicPr>
      <xdr:blipFill>
        <a:blip xmlns:r="http://schemas.openxmlformats.org/officeDocument/2006/relationships" r:embed="rId3"/>
        <a:stretch>
          <a:fillRect/>
        </a:stretch>
      </xdr:blipFill>
      <xdr:spPr>
        <a:xfrm>
          <a:off x="2609850" y="8372475"/>
          <a:ext cx="2200000" cy="390476"/>
        </a:xfrm>
        <a:prstGeom prst="rect">
          <a:avLst/>
        </a:prstGeom>
      </xdr:spPr>
    </xdr:pic>
    <xdr:clientData/>
  </xdr:twoCellAnchor>
  <xdr:twoCellAnchor editAs="oneCell">
    <xdr:from>
      <xdr:col>3</xdr:col>
      <xdr:colOff>435179</xdr:colOff>
      <xdr:row>228</xdr:row>
      <xdr:rowOff>161927</xdr:rowOff>
    </xdr:from>
    <xdr:to>
      <xdr:col>4</xdr:col>
      <xdr:colOff>3764</xdr:colOff>
      <xdr:row>230</xdr:row>
      <xdr:rowOff>47625</xdr:rowOff>
    </xdr:to>
    <xdr:pic>
      <xdr:nvPicPr>
        <xdr:cNvPr id="13" name="Picture 12" descr="C:\Users\dilip\AppData\Local\Microsoft\Windows\INetCache\IE\6A6A30HB\Mouse-Cursor-Arow-Fixed[1].png"/>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1340054" y="42519602"/>
          <a:ext cx="178185" cy="2666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57150</xdr:colOff>
      <xdr:row>233</xdr:row>
      <xdr:rowOff>28575</xdr:rowOff>
    </xdr:from>
    <xdr:to>
      <xdr:col>8</xdr:col>
      <xdr:colOff>485265</xdr:colOff>
      <xdr:row>248</xdr:row>
      <xdr:rowOff>28218</xdr:rowOff>
    </xdr:to>
    <xdr:pic>
      <xdr:nvPicPr>
        <xdr:cNvPr id="15" name="Picture 14"/>
        <xdr:cNvPicPr>
          <a:picLocks noChangeAspect="1"/>
        </xdr:cNvPicPr>
      </xdr:nvPicPr>
      <xdr:blipFill>
        <a:blip xmlns:r="http://schemas.openxmlformats.org/officeDocument/2006/relationships" r:embed="rId5"/>
        <a:stretch>
          <a:fillRect/>
        </a:stretch>
      </xdr:blipFill>
      <xdr:spPr>
        <a:xfrm>
          <a:off x="352425" y="43338750"/>
          <a:ext cx="4085715" cy="2857143"/>
        </a:xfrm>
        <a:prstGeom prst="rect">
          <a:avLst/>
        </a:prstGeom>
      </xdr:spPr>
    </xdr:pic>
    <xdr:clientData/>
  </xdr:twoCellAnchor>
  <xdr:oneCellAnchor>
    <xdr:from>
      <xdr:col>5</xdr:col>
      <xdr:colOff>101804</xdr:colOff>
      <xdr:row>281</xdr:row>
      <xdr:rowOff>152402</xdr:rowOff>
    </xdr:from>
    <xdr:ext cx="178185" cy="266698"/>
    <xdr:pic>
      <xdr:nvPicPr>
        <xdr:cNvPr id="17" name="Picture 16" descr="C:\Users\dilip\AppData\Local\Microsoft\Windows\INetCache\IE\6A6A30HB\Mouse-Cursor-Arow-Fixed[1].png"/>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2225879" y="53130452"/>
          <a:ext cx="178185" cy="2666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66675</xdr:colOff>
      <xdr:row>12</xdr:row>
      <xdr:rowOff>38100</xdr:rowOff>
    </xdr:from>
    <xdr:to>
      <xdr:col>5</xdr:col>
      <xdr:colOff>504542</xdr:colOff>
      <xdr:row>40</xdr:row>
      <xdr:rowOff>37447</xdr:rowOff>
    </xdr:to>
    <xdr:pic>
      <xdr:nvPicPr>
        <xdr:cNvPr id="18" name="Picture 17"/>
        <xdr:cNvPicPr>
          <a:picLocks noChangeAspect="1"/>
        </xdr:cNvPicPr>
      </xdr:nvPicPr>
      <xdr:blipFill>
        <a:blip xmlns:r="http://schemas.openxmlformats.org/officeDocument/2006/relationships" r:embed="rId6"/>
        <a:stretch>
          <a:fillRect/>
        </a:stretch>
      </xdr:blipFill>
      <xdr:spPr>
        <a:xfrm>
          <a:off x="361950" y="2257425"/>
          <a:ext cx="2266667" cy="5228572"/>
        </a:xfrm>
        <a:prstGeom prst="rect">
          <a:avLst/>
        </a:prstGeom>
      </xdr:spPr>
    </xdr:pic>
    <xdr:clientData/>
  </xdr:twoCellAnchor>
  <xdr:twoCellAnchor editAs="oneCell">
    <xdr:from>
      <xdr:col>2</xdr:col>
      <xdr:colOff>38100</xdr:colOff>
      <xdr:row>66</xdr:row>
      <xdr:rowOff>57150</xdr:rowOff>
    </xdr:from>
    <xdr:to>
      <xdr:col>9</xdr:col>
      <xdr:colOff>150613</xdr:colOff>
      <xdr:row>84</xdr:row>
      <xdr:rowOff>145419</xdr:rowOff>
    </xdr:to>
    <xdr:pic>
      <xdr:nvPicPr>
        <xdr:cNvPr id="22" name="Picture 21"/>
        <xdr:cNvPicPr>
          <a:picLocks noChangeAspect="1"/>
        </xdr:cNvPicPr>
      </xdr:nvPicPr>
      <xdr:blipFill>
        <a:blip xmlns:r="http://schemas.openxmlformats.org/officeDocument/2006/relationships" r:embed="rId7"/>
        <a:stretch>
          <a:fillRect/>
        </a:stretch>
      </xdr:blipFill>
      <xdr:spPr>
        <a:xfrm>
          <a:off x="333375" y="11582400"/>
          <a:ext cx="4379713" cy="3517269"/>
        </a:xfrm>
        <a:prstGeom prst="rect">
          <a:avLst/>
        </a:prstGeom>
      </xdr:spPr>
    </xdr:pic>
    <xdr:clientData/>
  </xdr:twoCellAnchor>
  <xdr:twoCellAnchor editAs="oneCell">
    <xdr:from>
      <xdr:col>2</xdr:col>
      <xdr:colOff>38100</xdr:colOff>
      <xdr:row>58</xdr:row>
      <xdr:rowOff>76200</xdr:rowOff>
    </xdr:from>
    <xdr:to>
      <xdr:col>5</xdr:col>
      <xdr:colOff>505146</xdr:colOff>
      <xdr:row>64</xdr:row>
      <xdr:rowOff>38254</xdr:rowOff>
    </xdr:to>
    <xdr:pic>
      <xdr:nvPicPr>
        <xdr:cNvPr id="7" name="Picture 6"/>
        <xdr:cNvPicPr>
          <a:picLocks noChangeAspect="1"/>
        </xdr:cNvPicPr>
      </xdr:nvPicPr>
      <xdr:blipFill>
        <a:blip xmlns:r="http://schemas.openxmlformats.org/officeDocument/2006/relationships" r:embed="rId8"/>
        <a:stretch>
          <a:fillRect/>
        </a:stretch>
      </xdr:blipFill>
      <xdr:spPr>
        <a:xfrm>
          <a:off x="333375" y="10039350"/>
          <a:ext cx="2295846" cy="1105054"/>
        </a:xfrm>
        <a:prstGeom prst="rect">
          <a:avLst/>
        </a:prstGeom>
      </xdr:spPr>
    </xdr:pic>
    <xdr:clientData/>
  </xdr:twoCellAnchor>
  <xdr:twoCellAnchor editAs="oneCell">
    <xdr:from>
      <xdr:col>2</xdr:col>
      <xdr:colOff>114300</xdr:colOff>
      <xdr:row>104</xdr:row>
      <xdr:rowOff>38100</xdr:rowOff>
    </xdr:from>
    <xdr:to>
      <xdr:col>15</xdr:col>
      <xdr:colOff>382144</xdr:colOff>
      <xdr:row>131</xdr:row>
      <xdr:rowOff>105503</xdr:rowOff>
    </xdr:to>
    <xdr:pic>
      <xdr:nvPicPr>
        <xdr:cNvPr id="5" name="Picture 4"/>
        <xdr:cNvPicPr>
          <a:picLocks noChangeAspect="1"/>
        </xdr:cNvPicPr>
      </xdr:nvPicPr>
      <xdr:blipFill>
        <a:blip xmlns:r="http://schemas.openxmlformats.org/officeDocument/2006/relationships" r:embed="rId9"/>
        <a:stretch>
          <a:fillRect/>
        </a:stretch>
      </xdr:blipFill>
      <xdr:spPr>
        <a:xfrm>
          <a:off x="409575" y="19516725"/>
          <a:ext cx="8192644" cy="5210903"/>
        </a:xfrm>
        <a:prstGeom prst="rect">
          <a:avLst/>
        </a:prstGeom>
      </xdr:spPr>
    </xdr:pic>
    <xdr:clientData/>
  </xdr:twoCellAnchor>
  <xdr:twoCellAnchor editAs="oneCell">
    <xdr:from>
      <xdr:col>2</xdr:col>
      <xdr:colOff>104775</xdr:colOff>
      <xdr:row>133</xdr:row>
      <xdr:rowOff>66675</xdr:rowOff>
    </xdr:from>
    <xdr:to>
      <xdr:col>11</xdr:col>
      <xdr:colOff>172226</xdr:colOff>
      <xdr:row>156</xdr:row>
      <xdr:rowOff>153024</xdr:rowOff>
    </xdr:to>
    <xdr:pic>
      <xdr:nvPicPr>
        <xdr:cNvPr id="23" name="Picture 22"/>
        <xdr:cNvPicPr>
          <a:picLocks noChangeAspect="1"/>
        </xdr:cNvPicPr>
      </xdr:nvPicPr>
      <xdr:blipFill>
        <a:blip xmlns:r="http://schemas.openxmlformats.org/officeDocument/2006/relationships" r:embed="rId10"/>
        <a:stretch>
          <a:fillRect/>
        </a:stretch>
      </xdr:blipFill>
      <xdr:spPr>
        <a:xfrm>
          <a:off x="400050" y="25069800"/>
          <a:ext cx="5553851" cy="4467849"/>
        </a:xfrm>
        <a:prstGeom prst="rect">
          <a:avLst/>
        </a:prstGeom>
      </xdr:spPr>
    </xdr:pic>
    <xdr:clientData/>
  </xdr:twoCellAnchor>
  <xdr:twoCellAnchor>
    <xdr:from>
      <xdr:col>2</xdr:col>
      <xdr:colOff>114300</xdr:colOff>
      <xdr:row>164</xdr:row>
      <xdr:rowOff>95250</xdr:rowOff>
    </xdr:from>
    <xdr:to>
      <xdr:col>18</xdr:col>
      <xdr:colOff>457200</xdr:colOff>
      <xdr:row>191</xdr:row>
      <xdr:rowOff>124547</xdr:rowOff>
    </xdr:to>
    <xdr:grpSp>
      <xdr:nvGrpSpPr>
        <xdr:cNvPr id="36" name="Group 35"/>
        <xdr:cNvGrpSpPr/>
      </xdr:nvGrpSpPr>
      <xdr:grpSpPr>
        <a:xfrm>
          <a:off x="409575" y="30975300"/>
          <a:ext cx="10096500" cy="5172797"/>
          <a:chOff x="323850" y="30975300"/>
          <a:chExt cx="10096500" cy="5172797"/>
        </a:xfrm>
      </xdr:grpSpPr>
      <xdr:pic>
        <xdr:nvPicPr>
          <xdr:cNvPr id="24" name="Picture 23"/>
          <xdr:cNvPicPr>
            <a:picLocks noChangeAspect="1"/>
          </xdr:cNvPicPr>
        </xdr:nvPicPr>
        <xdr:blipFill>
          <a:blip xmlns:r="http://schemas.openxmlformats.org/officeDocument/2006/relationships" r:embed="rId11"/>
          <a:stretch>
            <a:fillRect/>
          </a:stretch>
        </xdr:blipFill>
        <xdr:spPr>
          <a:xfrm>
            <a:off x="323850" y="30975300"/>
            <a:ext cx="9983594" cy="5172797"/>
          </a:xfrm>
          <a:prstGeom prst="rect">
            <a:avLst/>
          </a:prstGeom>
        </xdr:spPr>
      </xdr:pic>
      <xdr:sp macro="" textlink="">
        <xdr:nvSpPr>
          <xdr:cNvPr id="25" name="Rectangle 24"/>
          <xdr:cNvSpPr/>
        </xdr:nvSpPr>
        <xdr:spPr>
          <a:xfrm>
            <a:off x="781050" y="31118175"/>
            <a:ext cx="3609975" cy="1257300"/>
          </a:xfrm>
          <a:prstGeom prst="rect">
            <a:avLst/>
          </a:prstGeom>
          <a:solidFill>
            <a:schemeClr val="lt1">
              <a:alpha val="0"/>
            </a:schemeClr>
          </a:solidFill>
          <a:ln w="1905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US" sz="1100"/>
          </a:p>
        </xdr:txBody>
      </xdr:sp>
      <xdr:sp macro="" textlink="">
        <xdr:nvSpPr>
          <xdr:cNvPr id="26" name="Double Bracket 25"/>
          <xdr:cNvSpPr/>
        </xdr:nvSpPr>
        <xdr:spPr>
          <a:xfrm>
            <a:off x="4429126" y="31137226"/>
            <a:ext cx="257174" cy="285750"/>
          </a:xfrm>
          <a:prstGeom prst="bracketPair">
            <a:avLst>
              <a:gd name="adj" fmla="val 18519"/>
            </a:avLst>
          </a:prstGeom>
        </xdr:spPr>
        <xdr:style>
          <a:lnRef idx="1">
            <a:schemeClr val="accent2"/>
          </a:lnRef>
          <a:fillRef idx="0">
            <a:schemeClr val="accent2"/>
          </a:fillRef>
          <a:effectRef idx="0">
            <a:schemeClr val="accent2"/>
          </a:effectRef>
          <a:fontRef idx="minor">
            <a:schemeClr val="tx1"/>
          </a:fontRef>
        </xdr:style>
        <xdr:txBody>
          <a:bodyPr vertOverflow="clip" horzOverflow="clip" rtlCol="0" anchor="t"/>
          <a:lstStyle/>
          <a:p>
            <a:pPr algn="l"/>
            <a:r>
              <a:rPr lang="en-US" sz="1400">
                <a:solidFill>
                  <a:srgbClr val="FF0000"/>
                </a:solidFill>
              </a:rPr>
              <a:t>1</a:t>
            </a:r>
            <a:endParaRPr lang="en-US" sz="1100">
              <a:solidFill>
                <a:srgbClr val="FF0000"/>
              </a:solidFill>
            </a:endParaRPr>
          </a:p>
        </xdr:txBody>
      </xdr:sp>
      <xdr:sp macro="" textlink="">
        <xdr:nvSpPr>
          <xdr:cNvPr id="27" name="Rectangle 26"/>
          <xdr:cNvSpPr/>
        </xdr:nvSpPr>
        <xdr:spPr>
          <a:xfrm>
            <a:off x="771525" y="32451675"/>
            <a:ext cx="5334000" cy="1257300"/>
          </a:xfrm>
          <a:prstGeom prst="rect">
            <a:avLst/>
          </a:prstGeom>
          <a:solidFill>
            <a:schemeClr val="lt1">
              <a:alpha val="0"/>
            </a:schemeClr>
          </a:solidFill>
          <a:ln w="1905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US" sz="1100"/>
          </a:p>
        </xdr:txBody>
      </xdr:sp>
      <xdr:sp macro="" textlink="">
        <xdr:nvSpPr>
          <xdr:cNvPr id="28" name="Rectangle 27"/>
          <xdr:cNvSpPr/>
        </xdr:nvSpPr>
        <xdr:spPr>
          <a:xfrm>
            <a:off x="771525" y="33775650"/>
            <a:ext cx="5334000" cy="1695450"/>
          </a:xfrm>
          <a:prstGeom prst="rect">
            <a:avLst/>
          </a:prstGeom>
          <a:solidFill>
            <a:schemeClr val="lt1">
              <a:alpha val="0"/>
            </a:schemeClr>
          </a:solidFill>
          <a:ln w="1905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US" sz="1100"/>
          </a:p>
        </xdr:txBody>
      </xdr:sp>
      <xdr:sp macro="" textlink="">
        <xdr:nvSpPr>
          <xdr:cNvPr id="29" name="Double Bracket 28"/>
          <xdr:cNvSpPr/>
        </xdr:nvSpPr>
        <xdr:spPr>
          <a:xfrm>
            <a:off x="6134101" y="32461201"/>
            <a:ext cx="257174" cy="285750"/>
          </a:xfrm>
          <a:prstGeom prst="bracketPair">
            <a:avLst>
              <a:gd name="adj" fmla="val 18519"/>
            </a:avLst>
          </a:prstGeom>
        </xdr:spPr>
        <xdr:style>
          <a:lnRef idx="1">
            <a:schemeClr val="accent2"/>
          </a:lnRef>
          <a:fillRef idx="0">
            <a:schemeClr val="accent2"/>
          </a:fillRef>
          <a:effectRef idx="0">
            <a:schemeClr val="accent2"/>
          </a:effectRef>
          <a:fontRef idx="minor">
            <a:schemeClr val="tx1"/>
          </a:fontRef>
        </xdr:style>
        <xdr:txBody>
          <a:bodyPr vertOverflow="clip" horzOverflow="clip" rtlCol="0" anchor="t"/>
          <a:lstStyle/>
          <a:p>
            <a:pPr algn="l"/>
            <a:r>
              <a:rPr lang="en-US" sz="1400">
                <a:solidFill>
                  <a:srgbClr val="FF0000"/>
                </a:solidFill>
              </a:rPr>
              <a:t>2</a:t>
            </a:r>
            <a:endParaRPr lang="en-US" sz="1100">
              <a:solidFill>
                <a:srgbClr val="FF0000"/>
              </a:solidFill>
            </a:endParaRPr>
          </a:p>
        </xdr:txBody>
      </xdr:sp>
      <xdr:sp macro="" textlink="">
        <xdr:nvSpPr>
          <xdr:cNvPr id="30" name="Double Bracket 29"/>
          <xdr:cNvSpPr/>
        </xdr:nvSpPr>
        <xdr:spPr>
          <a:xfrm>
            <a:off x="6143626" y="33794701"/>
            <a:ext cx="257174" cy="285750"/>
          </a:xfrm>
          <a:prstGeom prst="bracketPair">
            <a:avLst>
              <a:gd name="adj" fmla="val 18519"/>
            </a:avLst>
          </a:prstGeom>
        </xdr:spPr>
        <xdr:style>
          <a:lnRef idx="1">
            <a:schemeClr val="accent2"/>
          </a:lnRef>
          <a:fillRef idx="0">
            <a:schemeClr val="accent2"/>
          </a:fillRef>
          <a:effectRef idx="0">
            <a:schemeClr val="accent2"/>
          </a:effectRef>
          <a:fontRef idx="minor">
            <a:schemeClr val="tx1"/>
          </a:fontRef>
        </xdr:style>
        <xdr:txBody>
          <a:bodyPr vertOverflow="clip" horzOverflow="clip" rtlCol="0" anchor="t"/>
          <a:lstStyle/>
          <a:p>
            <a:pPr algn="l"/>
            <a:r>
              <a:rPr lang="en-US" sz="1400">
                <a:solidFill>
                  <a:srgbClr val="FF0000"/>
                </a:solidFill>
              </a:rPr>
              <a:t>3</a:t>
            </a:r>
            <a:endParaRPr lang="en-US" sz="1100">
              <a:solidFill>
                <a:srgbClr val="FF0000"/>
              </a:solidFill>
            </a:endParaRPr>
          </a:p>
        </xdr:txBody>
      </xdr:sp>
      <xdr:sp macro="" textlink="">
        <xdr:nvSpPr>
          <xdr:cNvPr id="31" name="Double Bracket 30"/>
          <xdr:cNvSpPr/>
        </xdr:nvSpPr>
        <xdr:spPr>
          <a:xfrm>
            <a:off x="8648701" y="32794576"/>
            <a:ext cx="257174" cy="285750"/>
          </a:xfrm>
          <a:prstGeom prst="bracketPair">
            <a:avLst>
              <a:gd name="adj" fmla="val 18519"/>
            </a:avLst>
          </a:prstGeom>
        </xdr:spPr>
        <xdr:style>
          <a:lnRef idx="1">
            <a:schemeClr val="accent2"/>
          </a:lnRef>
          <a:fillRef idx="0">
            <a:schemeClr val="accent2"/>
          </a:fillRef>
          <a:effectRef idx="0">
            <a:schemeClr val="accent2"/>
          </a:effectRef>
          <a:fontRef idx="minor">
            <a:schemeClr val="tx1"/>
          </a:fontRef>
        </xdr:style>
        <xdr:txBody>
          <a:bodyPr vertOverflow="clip" horzOverflow="clip" rtlCol="0" anchor="t"/>
          <a:lstStyle/>
          <a:p>
            <a:pPr algn="l"/>
            <a:r>
              <a:rPr lang="en-US" sz="1400">
                <a:solidFill>
                  <a:srgbClr val="FF0000"/>
                </a:solidFill>
              </a:rPr>
              <a:t>4</a:t>
            </a:r>
            <a:endParaRPr lang="en-US" sz="1100">
              <a:solidFill>
                <a:srgbClr val="FF0000"/>
              </a:solidFill>
            </a:endParaRPr>
          </a:p>
        </xdr:txBody>
      </xdr:sp>
      <xdr:sp macro="" textlink="">
        <xdr:nvSpPr>
          <xdr:cNvPr id="32" name="Double Bracket 31"/>
          <xdr:cNvSpPr/>
        </xdr:nvSpPr>
        <xdr:spPr>
          <a:xfrm>
            <a:off x="8277226" y="33308926"/>
            <a:ext cx="257174" cy="285750"/>
          </a:xfrm>
          <a:prstGeom prst="bracketPair">
            <a:avLst>
              <a:gd name="adj" fmla="val 18519"/>
            </a:avLst>
          </a:prstGeom>
        </xdr:spPr>
        <xdr:style>
          <a:lnRef idx="1">
            <a:schemeClr val="accent2"/>
          </a:lnRef>
          <a:fillRef idx="0">
            <a:schemeClr val="accent2"/>
          </a:fillRef>
          <a:effectRef idx="0">
            <a:schemeClr val="accent2"/>
          </a:effectRef>
          <a:fontRef idx="minor">
            <a:schemeClr val="tx1"/>
          </a:fontRef>
        </xdr:style>
        <xdr:txBody>
          <a:bodyPr vertOverflow="clip" horzOverflow="clip" rtlCol="0" anchor="t"/>
          <a:lstStyle/>
          <a:p>
            <a:pPr algn="l"/>
            <a:r>
              <a:rPr lang="en-US" sz="1400">
                <a:solidFill>
                  <a:srgbClr val="FF0000"/>
                </a:solidFill>
              </a:rPr>
              <a:t>5</a:t>
            </a:r>
            <a:endParaRPr lang="en-US" sz="1100">
              <a:solidFill>
                <a:srgbClr val="FF0000"/>
              </a:solidFill>
            </a:endParaRPr>
          </a:p>
        </xdr:txBody>
      </xdr:sp>
      <xdr:sp macro="" textlink="">
        <xdr:nvSpPr>
          <xdr:cNvPr id="33" name="Double Bracket 32"/>
          <xdr:cNvSpPr/>
        </xdr:nvSpPr>
        <xdr:spPr>
          <a:xfrm>
            <a:off x="8277226" y="33813751"/>
            <a:ext cx="257174" cy="285750"/>
          </a:xfrm>
          <a:prstGeom prst="bracketPair">
            <a:avLst>
              <a:gd name="adj" fmla="val 18519"/>
            </a:avLst>
          </a:prstGeom>
        </xdr:spPr>
        <xdr:style>
          <a:lnRef idx="1">
            <a:schemeClr val="accent2"/>
          </a:lnRef>
          <a:fillRef idx="0">
            <a:schemeClr val="accent2"/>
          </a:fillRef>
          <a:effectRef idx="0">
            <a:schemeClr val="accent2"/>
          </a:effectRef>
          <a:fontRef idx="minor">
            <a:schemeClr val="tx1"/>
          </a:fontRef>
        </xdr:style>
        <xdr:txBody>
          <a:bodyPr vertOverflow="clip" horzOverflow="clip" rtlCol="0" anchor="t"/>
          <a:lstStyle/>
          <a:p>
            <a:pPr algn="l"/>
            <a:r>
              <a:rPr lang="en-US" sz="1400">
                <a:solidFill>
                  <a:srgbClr val="FF0000"/>
                </a:solidFill>
              </a:rPr>
              <a:t>6</a:t>
            </a:r>
            <a:endParaRPr lang="en-US" sz="1100">
              <a:solidFill>
                <a:srgbClr val="FF0000"/>
              </a:solidFill>
            </a:endParaRPr>
          </a:p>
        </xdr:txBody>
      </xdr:sp>
      <xdr:sp macro="" textlink="">
        <xdr:nvSpPr>
          <xdr:cNvPr id="34" name="Double Bracket 33"/>
          <xdr:cNvSpPr/>
        </xdr:nvSpPr>
        <xdr:spPr>
          <a:xfrm>
            <a:off x="8277226" y="34318576"/>
            <a:ext cx="257174" cy="285750"/>
          </a:xfrm>
          <a:prstGeom prst="bracketPair">
            <a:avLst>
              <a:gd name="adj" fmla="val 18519"/>
            </a:avLst>
          </a:prstGeom>
        </xdr:spPr>
        <xdr:style>
          <a:lnRef idx="1">
            <a:schemeClr val="accent2"/>
          </a:lnRef>
          <a:fillRef idx="0">
            <a:schemeClr val="accent2"/>
          </a:fillRef>
          <a:effectRef idx="0">
            <a:schemeClr val="accent2"/>
          </a:effectRef>
          <a:fontRef idx="minor">
            <a:schemeClr val="tx1"/>
          </a:fontRef>
        </xdr:style>
        <xdr:txBody>
          <a:bodyPr vertOverflow="clip" horzOverflow="clip" rtlCol="0" anchor="t"/>
          <a:lstStyle/>
          <a:p>
            <a:pPr algn="l"/>
            <a:r>
              <a:rPr lang="en-US" sz="1400">
                <a:solidFill>
                  <a:srgbClr val="FF0000"/>
                </a:solidFill>
              </a:rPr>
              <a:t>7</a:t>
            </a:r>
            <a:endParaRPr lang="en-US" sz="1100">
              <a:solidFill>
                <a:srgbClr val="FF0000"/>
              </a:solidFill>
            </a:endParaRPr>
          </a:p>
        </xdr:txBody>
      </xdr:sp>
      <xdr:sp macro="" textlink="">
        <xdr:nvSpPr>
          <xdr:cNvPr id="35" name="Double Bracket 34"/>
          <xdr:cNvSpPr/>
        </xdr:nvSpPr>
        <xdr:spPr>
          <a:xfrm>
            <a:off x="10163176" y="34804351"/>
            <a:ext cx="257174" cy="285750"/>
          </a:xfrm>
          <a:prstGeom prst="bracketPair">
            <a:avLst>
              <a:gd name="adj" fmla="val 18519"/>
            </a:avLst>
          </a:prstGeom>
        </xdr:spPr>
        <xdr:style>
          <a:lnRef idx="1">
            <a:schemeClr val="accent2"/>
          </a:lnRef>
          <a:fillRef idx="0">
            <a:schemeClr val="accent2"/>
          </a:fillRef>
          <a:effectRef idx="0">
            <a:schemeClr val="accent2"/>
          </a:effectRef>
          <a:fontRef idx="minor">
            <a:schemeClr val="tx1"/>
          </a:fontRef>
        </xdr:style>
        <xdr:txBody>
          <a:bodyPr vertOverflow="clip" horzOverflow="clip" rtlCol="0" anchor="t"/>
          <a:lstStyle/>
          <a:p>
            <a:pPr algn="l"/>
            <a:r>
              <a:rPr lang="en-US" sz="1400">
                <a:solidFill>
                  <a:srgbClr val="FF0000"/>
                </a:solidFill>
              </a:rPr>
              <a:t>8</a:t>
            </a:r>
            <a:endParaRPr lang="en-US" sz="1100">
              <a:solidFill>
                <a:srgbClr val="FF0000"/>
              </a:solidFill>
            </a:endParaRPr>
          </a:p>
        </xdr:txBody>
      </xdr:sp>
    </xdr:grpSp>
    <xdr:clientData/>
  </xdr:twoCellAnchor>
  <xdr:twoCellAnchor editAs="oneCell">
    <xdr:from>
      <xdr:col>2</xdr:col>
      <xdr:colOff>47625</xdr:colOff>
      <xdr:row>220</xdr:row>
      <xdr:rowOff>76200</xdr:rowOff>
    </xdr:from>
    <xdr:to>
      <xdr:col>9</xdr:col>
      <xdr:colOff>457853</xdr:colOff>
      <xdr:row>222</xdr:row>
      <xdr:rowOff>57201</xdr:rowOff>
    </xdr:to>
    <xdr:pic>
      <xdr:nvPicPr>
        <xdr:cNvPr id="37" name="Picture 36"/>
        <xdr:cNvPicPr>
          <a:picLocks noChangeAspect="1"/>
        </xdr:cNvPicPr>
      </xdr:nvPicPr>
      <xdr:blipFill>
        <a:blip xmlns:r="http://schemas.openxmlformats.org/officeDocument/2006/relationships" r:embed="rId12"/>
        <a:stretch>
          <a:fillRect/>
        </a:stretch>
      </xdr:blipFill>
      <xdr:spPr>
        <a:xfrm>
          <a:off x="342900" y="41624250"/>
          <a:ext cx="4677428" cy="362001"/>
        </a:xfrm>
        <a:prstGeom prst="rect">
          <a:avLst/>
        </a:prstGeom>
      </xdr:spPr>
    </xdr:pic>
    <xdr:clientData/>
  </xdr:twoCellAnchor>
  <xdr:twoCellAnchor>
    <xdr:from>
      <xdr:col>2</xdr:col>
      <xdr:colOff>152400</xdr:colOff>
      <xdr:row>226</xdr:row>
      <xdr:rowOff>28575</xdr:rowOff>
    </xdr:from>
    <xdr:to>
      <xdr:col>6</xdr:col>
      <xdr:colOff>9846</xdr:colOff>
      <xdr:row>232</xdr:row>
      <xdr:rowOff>47624</xdr:rowOff>
    </xdr:to>
    <xdr:grpSp>
      <xdr:nvGrpSpPr>
        <xdr:cNvPr id="44" name="Group 43"/>
        <xdr:cNvGrpSpPr/>
      </xdr:nvGrpSpPr>
      <xdr:grpSpPr>
        <a:xfrm>
          <a:off x="447675" y="42719625"/>
          <a:ext cx="2295846" cy="1162049"/>
          <a:chOff x="447675" y="42719625"/>
          <a:chExt cx="2295846" cy="1162049"/>
        </a:xfrm>
      </xdr:grpSpPr>
      <xdr:pic>
        <xdr:nvPicPr>
          <xdr:cNvPr id="38" name="Picture 37"/>
          <xdr:cNvPicPr>
            <a:picLocks noChangeAspect="1"/>
          </xdr:cNvPicPr>
        </xdr:nvPicPr>
        <xdr:blipFill>
          <a:blip xmlns:r="http://schemas.openxmlformats.org/officeDocument/2006/relationships" r:embed="rId13"/>
          <a:stretch>
            <a:fillRect/>
          </a:stretch>
        </xdr:blipFill>
        <xdr:spPr>
          <a:xfrm>
            <a:off x="447675" y="42719625"/>
            <a:ext cx="2295846" cy="1086002"/>
          </a:xfrm>
          <a:prstGeom prst="rect">
            <a:avLst/>
          </a:prstGeom>
        </xdr:spPr>
      </xdr:pic>
      <xdr:pic>
        <xdr:nvPicPr>
          <xdr:cNvPr id="42" name="Picture 41" descr="C:\Users\dilip\AppData\Local\Microsoft\Windows\INetCache\IE\N4FYU7BV\cursor_PNG68[1].png"/>
          <xdr:cNvPicPr>
            <a:picLocks noChangeAspect="1" noChangeArrowheads="1"/>
          </xdr:cNvPicPr>
        </xdr:nvPicPr>
        <xdr:blipFill>
          <a:blip xmlns:r="http://schemas.openxmlformats.org/officeDocument/2006/relationships" r:embed="rId14" cstate="print">
            <a:extLst>
              <a:ext uri="{28A0092B-C50C-407E-A947-70E740481C1C}">
                <a14:useLocalDpi xmlns:a14="http://schemas.microsoft.com/office/drawing/2010/main" val="0"/>
              </a:ext>
            </a:extLst>
          </a:blip>
          <a:srcRect/>
          <a:stretch>
            <a:fillRect/>
          </a:stretch>
        </xdr:blipFill>
        <xdr:spPr bwMode="auto">
          <a:xfrm>
            <a:off x="1209676" y="43639282"/>
            <a:ext cx="161924" cy="242392"/>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editAs="oneCell">
    <xdr:from>
      <xdr:col>14</xdr:col>
      <xdr:colOff>390526</xdr:colOff>
      <xdr:row>229</xdr:row>
      <xdr:rowOff>119557</xdr:rowOff>
    </xdr:from>
    <xdr:to>
      <xdr:col>14</xdr:col>
      <xdr:colOff>552450</xdr:colOff>
      <xdr:row>230</xdr:row>
      <xdr:rowOff>171449</xdr:rowOff>
    </xdr:to>
    <xdr:pic>
      <xdr:nvPicPr>
        <xdr:cNvPr id="43" name="Picture 42" descr="C:\Users\dilip\AppData\Local\Microsoft\Windows\INetCache\IE\N4FYU7BV\cursor_PNG68[1].png"/>
        <xdr:cNvPicPr>
          <a:picLocks noChangeAspect="1" noChangeArrowheads="1"/>
        </xdr:cNvPicPr>
      </xdr:nvPicPr>
      <xdr:blipFill>
        <a:blip xmlns:r="http://schemas.openxmlformats.org/officeDocument/2006/relationships" r:embed="rId14" cstate="print">
          <a:extLst>
            <a:ext uri="{28A0092B-C50C-407E-A947-70E740481C1C}">
              <a14:useLocalDpi xmlns:a14="http://schemas.microsoft.com/office/drawing/2010/main" val="0"/>
            </a:ext>
          </a:extLst>
        </a:blip>
        <a:srcRect/>
        <a:stretch>
          <a:fillRect/>
        </a:stretch>
      </xdr:blipFill>
      <xdr:spPr bwMode="auto">
        <a:xfrm>
          <a:off x="8001001" y="43382107"/>
          <a:ext cx="161924" cy="242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9525</xdr:colOff>
      <xdr:row>251</xdr:row>
      <xdr:rowOff>76200</xdr:rowOff>
    </xdr:from>
    <xdr:to>
      <xdr:col>16</xdr:col>
      <xdr:colOff>95250</xdr:colOff>
      <xdr:row>275</xdr:row>
      <xdr:rowOff>66235</xdr:rowOff>
    </xdr:to>
    <xdr:pic>
      <xdr:nvPicPr>
        <xdr:cNvPr id="46" name="Picture 45"/>
        <xdr:cNvPicPr>
          <a:picLocks noChangeAspect="1"/>
        </xdr:cNvPicPr>
      </xdr:nvPicPr>
      <xdr:blipFill>
        <a:blip xmlns:r="http://schemas.openxmlformats.org/officeDocument/2006/relationships" r:embed="rId15"/>
        <a:stretch>
          <a:fillRect/>
        </a:stretch>
      </xdr:blipFill>
      <xdr:spPr>
        <a:xfrm>
          <a:off x="304800" y="47529750"/>
          <a:ext cx="8620125" cy="4562035"/>
        </a:xfrm>
        <a:prstGeom prst="rect">
          <a:avLst/>
        </a:prstGeom>
      </xdr:spPr>
    </xdr:pic>
    <xdr:clientData/>
  </xdr:twoCellAnchor>
  <xdr:twoCellAnchor>
    <xdr:from>
      <xdr:col>2</xdr:col>
      <xdr:colOff>171450</xdr:colOff>
      <xdr:row>279</xdr:row>
      <xdr:rowOff>57150</xdr:rowOff>
    </xdr:from>
    <xdr:to>
      <xdr:col>6</xdr:col>
      <xdr:colOff>28896</xdr:colOff>
      <xdr:row>285</xdr:row>
      <xdr:rowOff>89992</xdr:rowOff>
    </xdr:to>
    <xdr:grpSp>
      <xdr:nvGrpSpPr>
        <xdr:cNvPr id="49" name="Group 48"/>
        <xdr:cNvGrpSpPr/>
      </xdr:nvGrpSpPr>
      <xdr:grpSpPr>
        <a:xfrm>
          <a:off x="466725" y="52797075"/>
          <a:ext cx="2295846" cy="1175842"/>
          <a:chOff x="466725" y="52797075"/>
          <a:chExt cx="2295846" cy="1175842"/>
        </a:xfrm>
      </xdr:grpSpPr>
      <xdr:pic>
        <xdr:nvPicPr>
          <xdr:cNvPr id="47" name="Picture 46"/>
          <xdr:cNvPicPr>
            <a:picLocks noChangeAspect="1"/>
          </xdr:cNvPicPr>
        </xdr:nvPicPr>
        <xdr:blipFill>
          <a:blip xmlns:r="http://schemas.openxmlformats.org/officeDocument/2006/relationships" r:embed="rId13"/>
          <a:stretch>
            <a:fillRect/>
          </a:stretch>
        </xdr:blipFill>
        <xdr:spPr>
          <a:xfrm>
            <a:off x="466725" y="52797075"/>
            <a:ext cx="2295846" cy="1086002"/>
          </a:xfrm>
          <a:prstGeom prst="rect">
            <a:avLst/>
          </a:prstGeom>
        </xdr:spPr>
      </xdr:pic>
      <xdr:pic>
        <xdr:nvPicPr>
          <xdr:cNvPr id="48" name="Picture 47" descr="C:\Users\dilip\AppData\Local\Microsoft\Windows\INetCache\IE\N4FYU7BV\cursor_PNG68[1].png"/>
          <xdr:cNvPicPr>
            <a:picLocks noChangeAspect="1" noChangeArrowheads="1"/>
          </xdr:cNvPicPr>
        </xdr:nvPicPr>
        <xdr:blipFill>
          <a:blip xmlns:r="http://schemas.openxmlformats.org/officeDocument/2006/relationships" r:embed="rId14" cstate="print">
            <a:extLst>
              <a:ext uri="{28A0092B-C50C-407E-A947-70E740481C1C}">
                <a14:useLocalDpi xmlns:a14="http://schemas.microsoft.com/office/drawing/2010/main" val="0"/>
              </a:ext>
            </a:extLst>
          </a:blip>
          <a:srcRect/>
          <a:stretch>
            <a:fillRect/>
          </a:stretch>
        </xdr:blipFill>
        <xdr:spPr bwMode="auto">
          <a:xfrm>
            <a:off x="2238375" y="53730525"/>
            <a:ext cx="161924" cy="242392"/>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editAs="oneCell">
    <xdr:from>
      <xdr:col>2</xdr:col>
      <xdr:colOff>161925</xdr:colOff>
      <xdr:row>287</xdr:row>
      <xdr:rowOff>95250</xdr:rowOff>
    </xdr:from>
    <xdr:to>
      <xdr:col>9</xdr:col>
      <xdr:colOff>86310</xdr:colOff>
      <xdr:row>300</xdr:row>
      <xdr:rowOff>114649</xdr:rowOff>
    </xdr:to>
    <xdr:pic>
      <xdr:nvPicPr>
        <xdr:cNvPr id="50" name="Picture 49"/>
        <xdr:cNvPicPr>
          <a:picLocks noChangeAspect="1"/>
        </xdr:cNvPicPr>
      </xdr:nvPicPr>
      <xdr:blipFill>
        <a:blip xmlns:r="http://schemas.openxmlformats.org/officeDocument/2006/relationships" r:embed="rId16"/>
        <a:stretch>
          <a:fillRect/>
        </a:stretch>
      </xdr:blipFill>
      <xdr:spPr>
        <a:xfrm>
          <a:off x="457200" y="54359175"/>
          <a:ext cx="4191585" cy="2495899"/>
        </a:xfrm>
        <a:prstGeom prst="rect">
          <a:avLst/>
        </a:prstGeom>
      </xdr:spPr>
    </xdr:pic>
    <xdr:clientData/>
  </xdr:twoCellAnchor>
  <xdr:twoCellAnchor editAs="oneCell">
    <xdr:from>
      <xdr:col>2</xdr:col>
      <xdr:colOff>200025</xdr:colOff>
      <xdr:row>305</xdr:row>
      <xdr:rowOff>85725</xdr:rowOff>
    </xdr:from>
    <xdr:to>
      <xdr:col>9</xdr:col>
      <xdr:colOff>143463</xdr:colOff>
      <xdr:row>325</xdr:row>
      <xdr:rowOff>105310</xdr:rowOff>
    </xdr:to>
    <xdr:pic>
      <xdr:nvPicPr>
        <xdr:cNvPr id="51" name="Picture 50"/>
        <xdr:cNvPicPr>
          <a:picLocks noChangeAspect="1"/>
        </xdr:cNvPicPr>
      </xdr:nvPicPr>
      <xdr:blipFill>
        <a:blip xmlns:r="http://schemas.openxmlformats.org/officeDocument/2006/relationships" r:embed="rId17"/>
        <a:stretch>
          <a:fillRect/>
        </a:stretch>
      </xdr:blipFill>
      <xdr:spPr>
        <a:xfrm>
          <a:off x="495300" y="57778650"/>
          <a:ext cx="4210638" cy="3829585"/>
        </a:xfrm>
        <a:prstGeom prst="rect">
          <a:avLst/>
        </a:prstGeom>
      </xdr:spPr>
    </xdr:pic>
    <xdr:clientData/>
  </xdr:twoCellAnchor>
  <xdr:twoCellAnchor editAs="oneCell">
    <xdr:from>
      <xdr:col>2</xdr:col>
      <xdr:colOff>57150</xdr:colOff>
      <xdr:row>328</xdr:row>
      <xdr:rowOff>95250</xdr:rowOff>
    </xdr:from>
    <xdr:to>
      <xdr:col>16</xdr:col>
      <xdr:colOff>601343</xdr:colOff>
      <xdr:row>353</xdr:row>
      <xdr:rowOff>181652</xdr:rowOff>
    </xdr:to>
    <xdr:pic>
      <xdr:nvPicPr>
        <xdr:cNvPr id="52" name="Picture 51"/>
        <xdr:cNvPicPr>
          <a:picLocks noChangeAspect="1"/>
        </xdr:cNvPicPr>
      </xdr:nvPicPr>
      <xdr:blipFill>
        <a:blip xmlns:r="http://schemas.openxmlformats.org/officeDocument/2006/relationships" r:embed="rId18"/>
        <a:stretch>
          <a:fillRect/>
        </a:stretch>
      </xdr:blipFill>
      <xdr:spPr>
        <a:xfrm>
          <a:off x="352425" y="62169675"/>
          <a:ext cx="9078593" cy="4848902"/>
        </a:xfrm>
        <a:prstGeom prst="rect">
          <a:avLst/>
        </a:prstGeom>
      </xdr:spPr>
    </xdr:pic>
    <xdr:clientData/>
  </xdr:twoCellAnchor>
  <xdr:twoCellAnchor editAs="oneCell">
    <xdr:from>
      <xdr:col>2</xdr:col>
      <xdr:colOff>28575</xdr:colOff>
      <xdr:row>356</xdr:row>
      <xdr:rowOff>66675</xdr:rowOff>
    </xdr:from>
    <xdr:to>
      <xdr:col>12</xdr:col>
      <xdr:colOff>391427</xdr:colOff>
      <xdr:row>381</xdr:row>
      <xdr:rowOff>143551</xdr:rowOff>
    </xdr:to>
    <xdr:pic>
      <xdr:nvPicPr>
        <xdr:cNvPr id="53" name="Picture 52"/>
        <xdr:cNvPicPr>
          <a:picLocks noChangeAspect="1"/>
        </xdr:cNvPicPr>
      </xdr:nvPicPr>
      <xdr:blipFill>
        <a:blip xmlns:r="http://schemas.openxmlformats.org/officeDocument/2006/relationships" r:embed="rId19"/>
        <a:stretch>
          <a:fillRect/>
        </a:stretch>
      </xdr:blipFill>
      <xdr:spPr>
        <a:xfrm>
          <a:off x="323850" y="67475100"/>
          <a:ext cx="6458852" cy="483937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0</xdr:colOff>
          <xdr:row>7</xdr:row>
          <xdr:rowOff>95250</xdr:rowOff>
        </xdr:from>
        <xdr:to>
          <xdr:col>16</xdr:col>
          <xdr:colOff>0</xdr:colOff>
          <xdr:row>8</xdr:row>
          <xdr:rowOff>95250</xdr:rowOff>
        </xdr:to>
        <xdr:sp macro="" textlink="">
          <xdr:nvSpPr>
            <xdr:cNvPr id="210945" name="Button 1" hidden="1">
              <a:extLst>
                <a:ext uri="{63B3BB69-23CF-44E3-9099-C40C66FF867C}">
                  <a14:compatExt spid="_x0000_s210945"/>
                </a:ext>
              </a:extLst>
            </xdr:cNvPr>
            <xdr:cNvSpPr/>
          </xdr:nvSpPr>
          <xdr:spPr>
            <a:xfrm>
              <a:off x="0" y="0"/>
              <a:ext cx="0" cy="0"/>
            </a:xfrm>
            <a:prstGeom prst="rect">
              <a:avLst/>
            </a:prstGeom>
          </xdr:spPr>
          <xdr:txBody>
            <a:bodyPr vertOverflow="clip" wrap="square" lIns="27432" tIns="27432" rIns="0" bIns="27432" anchor="ctr" upright="1"/>
            <a:lstStyle/>
            <a:p>
              <a:pPr algn="l" rtl="0">
                <a:defRPr sz="1000"/>
              </a:pPr>
              <a:r>
                <a:rPr lang="en-US" sz="1100" b="1" i="0" u="none" strike="noStrike" baseline="0">
                  <a:solidFill>
                    <a:srgbClr val="FF0000"/>
                  </a:solidFill>
                  <a:latin typeface="Calibri"/>
                  <a:cs typeface="Calibri"/>
                </a:rPr>
                <a:t>Click to add constraints and calculate indicators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0</xdr:colOff>
          <xdr:row>9</xdr:row>
          <xdr:rowOff>95250</xdr:rowOff>
        </xdr:from>
        <xdr:to>
          <xdr:col>16</xdr:col>
          <xdr:colOff>0</xdr:colOff>
          <xdr:row>10</xdr:row>
          <xdr:rowOff>95250</xdr:rowOff>
        </xdr:to>
        <xdr:sp macro="" textlink="">
          <xdr:nvSpPr>
            <xdr:cNvPr id="211969" name="Button 1" hidden="1">
              <a:extLst>
                <a:ext uri="{63B3BB69-23CF-44E3-9099-C40C66FF867C}">
                  <a14:compatExt spid="_x0000_s211969"/>
                </a:ext>
              </a:extLst>
            </xdr:cNvPr>
            <xdr:cNvSpPr/>
          </xdr:nvSpPr>
          <xdr:spPr>
            <a:xfrm>
              <a:off x="0" y="0"/>
              <a:ext cx="0" cy="0"/>
            </a:xfrm>
            <a:prstGeom prst="rect">
              <a:avLst/>
            </a:prstGeom>
          </xdr:spPr>
          <xdr:txBody>
            <a:bodyPr vertOverflow="clip" wrap="square" lIns="27432" tIns="27432" rIns="0" bIns="27432" anchor="ctr" upright="1"/>
            <a:lstStyle/>
            <a:p>
              <a:pPr algn="l" rtl="0">
                <a:defRPr sz="1000"/>
              </a:pPr>
              <a:r>
                <a:rPr lang="en-US" sz="1100" b="1" i="0" u="none" strike="noStrike" baseline="0">
                  <a:solidFill>
                    <a:srgbClr val="FF0000"/>
                  </a:solidFill>
                  <a:latin typeface="Calibri"/>
                  <a:cs typeface="Calibri"/>
                </a:rPr>
                <a:t>Click to add constraints and calculate indicators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0</xdr:colOff>
          <xdr:row>14</xdr:row>
          <xdr:rowOff>95250</xdr:rowOff>
        </xdr:from>
        <xdr:to>
          <xdr:col>16</xdr:col>
          <xdr:colOff>0</xdr:colOff>
          <xdr:row>15</xdr:row>
          <xdr:rowOff>95250</xdr:rowOff>
        </xdr:to>
        <xdr:sp macro="" textlink="">
          <xdr:nvSpPr>
            <xdr:cNvPr id="220161" name="Button 1" hidden="1">
              <a:extLst>
                <a:ext uri="{63B3BB69-23CF-44E3-9099-C40C66FF867C}">
                  <a14:compatExt spid="_x0000_s220161"/>
                </a:ext>
              </a:extLst>
            </xdr:cNvPr>
            <xdr:cNvSpPr/>
          </xdr:nvSpPr>
          <xdr:spPr>
            <a:xfrm>
              <a:off x="0" y="0"/>
              <a:ext cx="0" cy="0"/>
            </a:xfrm>
            <a:prstGeom prst="rect">
              <a:avLst/>
            </a:prstGeom>
          </xdr:spPr>
          <xdr:txBody>
            <a:bodyPr vertOverflow="clip" wrap="square" lIns="27432" tIns="27432" rIns="0" bIns="27432" anchor="ctr" upright="1"/>
            <a:lstStyle/>
            <a:p>
              <a:pPr algn="l" rtl="0">
                <a:defRPr sz="1000"/>
              </a:pPr>
              <a:r>
                <a:rPr lang="en-US" sz="1100" b="1" i="0" u="none" strike="noStrike" baseline="0">
                  <a:solidFill>
                    <a:srgbClr val="FF0000"/>
                  </a:solidFill>
                  <a:latin typeface="Calibri"/>
                  <a:cs typeface="Calibri"/>
                </a:rPr>
                <a:t>Click to add constraints and calculate indicators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0</xdr:colOff>
          <xdr:row>7</xdr:row>
          <xdr:rowOff>95250</xdr:rowOff>
        </xdr:from>
        <xdr:to>
          <xdr:col>16</xdr:col>
          <xdr:colOff>0</xdr:colOff>
          <xdr:row>8</xdr:row>
          <xdr:rowOff>95250</xdr:rowOff>
        </xdr:to>
        <xdr:sp macro="" textlink="">
          <xdr:nvSpPr>
            <xdr:cNvPr id="221185" name="Button 1" hidden="1">
              <a:extLst>
                <a:ext uri="{63B3BB69-23CF-44E3-9099-C40C66FF867C}">
                  <a14:compatExt spid="_x0000_s221185"/>
                </a:ext>
              </a:extLst>
            </xdr:cNvPr>
            <xdr:cNvSpPr/>
          </xdr:nvSpPr>
          <xdr:spPr>
            <a:xfrm>
              <a:off x="0" y="0"/>
              <a:ext cx="0" cy="0"/>
            </a:xfrm>
            <a:prstGeom prst="rect">
              <a:avLst/>
            </a:prstGeom>
          </xdr:spPr>
          <xdr:txBody>
            <a:bodyPr vertOverflow="clip" wrap="square" lIns="27432" tIns="27432" rIns="0" bIns="27432" anchor="ctr" upright="1"/>
            <a:lstStyle/>
            <a:p>
              <a:pPr algn="l" rtl="0">
                <a:defRPr sz="1000"/>
              </a:pPr>
              <a:r>
                <a:rPr lang="en-US" sz="1100" b="1" i="0" u="none" strike="noStrike" baseline="0">
                  <a:solidFill>
                    <a:srgbClr val="FF0000"/>
                  </a:solidFill>
                  <a:latin typeface="Calibri"/>
                  <a:cs typeface="Calibri"/>
                </a:rPr>
                <a:t>Click to add constraints and calculate indicators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0</xdr:colOff>
          <xdr:row>14</xdr:row>
          <xdr:rowOff>95250</xdr:rowOff>
        </xdr:from>
        <xdr:to>
          <xdr:col>16</xdr:col>
          <xdr:colOff>0</xdr:colOff>
          <xdr:row>15</xdr:row>
          <xdr:rowOff>95250</xdr:rowOff>
        </xdr:to>
        <xdr:sp macro="" textlink="">
          <xdr:nvSpPr>
            <xdr:cNvPr id="229377" name="Button 1" hidden="1">
              <a:extLst>
                <a:ext uri="{63B3BB69-23CF-44E3-9099-C40C66FF867C}">
                  <a14:compatExt spid="_x0000_s229377"/>
                </a:ext>
              </a:extLst>
            </xdr:cNvPr>
            <xdr:cNvSpPr/>
          </xdr:nvSpPr>
          <xdr:spPr>
            <a:xfrm>
              <a:off x="0" y="0"/>
              <a:ext cx="0" cy="0"/>
            </a:xfrm>
            <a:prstGeom prst="rect">
              <a:avLst/>
            </a:prstGeom>
          </xdr:spPr>
          <xdr:txBody>
            <a:bodyPr vertOverflow="clip" wrap="square" lIns="27432" tIns="27432" rIns="0" bIns="27432" anchor="ctr" upright="1"/>
            <a:lstStyle/>
            <a:p>
              <a:pPr algn="l" rtl="0">
                <a:defRPr sz="1000"/>
              </a:pPr>
              <a:r>
                <a:rPr lang="en-US" sz="1100" b="1" i="0" u="none" strike="noStrike" baseline="0">
                  <a:solidFill>
                    <a:srgbClr val="FF0000"/>
                  </a:solidFill>
                  <a:latin typeface="Calibri"/>
                  <a:cs typeface="Calibri"/>
                </a:rPr>
                <a:t>Click to add constraints and calculate indicators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0</xdr:colOff>
          <xdr:row>7</xdr:row>
          <xdr:rowOff>95250</xdr:rowOff>
        </xdr:from>
        <xdr:to>
          <xdr:col>16</xdr:col>
          <xdr:colOff>0</xdr:colOff>
          <xdr:row>8</xdr:row>
          <xdr:rowOff>95250</xdr:rowOff>
        </xdr:to>
        <xdr:sp macro="" textlink="">
          <xdr:nvSpPr>
            <xdr:cNvPr id="230401" name="Button 1" hidden="1">
              <a:extLst>
                <a:ext uri="{63B3BB69-23CF-44E3-9099-C40C66FF867C}">
                  <a14:compatExt spid="_x0000_s230401"/>
                </a:ext>
              </a:extLst>
            </xdr:cNvPr>
            <xdr:cNvSpPr/>
          </xdr:nvSpPr>
          <xdr:spPr>
            <a:xfrm>
              <a:off x="0" y="0"/>
              <a:ext cx="0" cy="0"/>
            </a:xfrm>
            <a:prstGeom prst="rect">
              <a:avLst/>
            </a:prstGeom>
          </xdr:spPr>
          <xdr:txBody>
            <a:bodyPr vertOverflow="clip" wrap="square" lIns="27432" tIns="27432" rIns="0" bIns="27432" anchor="ctr" upright="1"/>
            <a:lstStyle/>
            <a:p>
              <a:pPr algn="l" rtl="0">
                <a:defRPr sz="1000"/>
              </a:pPr>
              <a:r>
                <a:rPr lang="en-US" sz="1100" b="1" i="0" u="none" strike="noStrike" baseline="0">
                  <a:solidFill>
                    <a:srgbClr val="FF0000"/>
                  </a:solidFill>
                  <a:latin typeface="Calibri"/>
                  <a:cs typeface="Calibri"/>
                </a:rPr>
                <a:t>Click to add constraints and calculate indicators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164</xdr:col>
      <xdr:colOff>0</xdr:colOff>
      <xdr:row>1</xdr:row>
      <xdr:rowOff>0</xdr:rowOff>
    </xdr:from>
    <xdr:to>
      <xdr:col>174</xdr:col>
      <xdr:colOff>508000</xdr:colOff>
      <xdr:row>20</xdr:row>
      <xdr:rowOff>63500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164</xdr:col>
      <xdr:colOff>0</xdr:colOff>
      <xdr:row>20</xdr:row>
      <xdr:rowOff>0</xdr:rowOff>
    </xdr:from>
    <xdr:to>
      <xdr:col>174</xdr:col>
      <xdr:colOff>508000</xdr:colOff>
      <xdr:row>39</xdr:row>
      <xdr:rowOff>63500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164</xdr:col>
      <xdr:colOff>0</xdr:colOff>
      <xdr:row>39</xdr:row>
      <xdr:rowOff>0</xdr:rowOff>
    </xdr:from>
    <xdr:to>
      <xdr:col>174</xdr:col>
      <xdr:colOff>508000</xdr:colOff>
      <xdr:row>58</xdr:row>
      <xdr:rowOff>63500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164</xdr:col>
      <xdr:colOff>0</xdr:colOff>
      <xdr:row>58</xdr:row>
      <xdr:rowOff>0</xdr:rowOff>
    </xdr:from>
    <xdr:to>
      <xdr:col>174</xdr:col>
      <xdr:colOff>508000</xdr:colOff>
      <xdr:row>77</xdr:row>
      <xdr:rowOff>63500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164</xdr:col>
      <xdr:colOff>0</xdr:colOff>
      <xdr:row>77</xdr:row>
      <xdr:rowOff>0</xdr:rowOff>
    </xdr:from>
    <xdr:to>
      <xdr:col>174</xdr:col>
      <xdr:colOff>508000</xdr:colOff>
      <xdr:row>96</xdr:row>
      <xdr:rowOff>63500</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164</xdr:col>
      <xdr:colOff>0</xdr:colOff>
      <xdr:row>96</xdr:row>
      <xdr:rowOff>0</xdr:rowOff>
    </xdr:from>
    <xdr:to>
      <xdr:col>174</xdr:col>
      <xdr:colOff>508000</xdr:colOff>
      <xdr:row>115</xdr:row>
      <xdr:rowOff>63500</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9.xml><?xml version="1.0" encoding="utf-8"?>
<c:userShapes xmlns:c="http://schemas.openxmlformats.org/drawingml/2006/chart">
  <cdr:relSizeAnchor xmlns:cdr="http://schemas.openxmlformats.org/drawingml/2006/chartDrawing">
    <cdr:from>
      <cdr:x>0.71681</cdr:x>
      <cdr:y>0.13211</cdr:y>
    </cdr:from>
    <cdr:to>
      <cdr:x>0.71681</cdr:x>
      <cdr:y>0.96761</cdr:y>
    </cdr:to>
    <cdr:cxnSp macro="">
      <cdr:nvCxnSpPr>
        <cdr:cNvPr id="2" name="Straight Arrow Connector 1"/>
        <cdr:cNvCxnSpPr/>
      </cdr:nvCxnSpPr>
      <cdr:spPr>
        <a:xfrm xmlns:a="http://schemas.openxmlformats.org/drawingml/2006/main">
          <a:off x="4733784" y="486569"/>
          <a:ext cx="0" cy="3077155"/>
        </a:xfrm>
        <a:prstGeom xmlns:a="http://schemas.openxmlformats.org/drawingml/2006/main" prst="straightConnector1">
          <a:avLst/>
        </a:prstGeom>
        <a:ln xmlns:a="http://schemas.openxmlformats.org/drawingml/2006/main" w="25400">
          <a:solidFill>
            <a:srgbClr val="FF0000"/>
          </a:solidFill>
          <a:prstDash val="dash"/>
          <a:headEnd type="oval" w="med" len="med"/>
          <a:tailEnd type="oval"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10.xml><?xml version="1.0" encoding="utf-8"?>
<c:userShapes xmlns:c="http://schemas.openxmlformats.org/drawingml/2006/chart">
  <cdr:relSizeAnchor xmlns:cdr="http://schemas.openxmlformats.org/drawingml/2006/chartDrawing">
    <cdr:from>
      <cdr:x>0.71681</cdr:x>
      <cdr:y>0.13211</cdr:y>
    </cdr:from>
    <cdr:to>
      <cdr:x>0.71681</cdr:x>
      <cdr:y>0.96761</cdr:y>
    </cdr:to>
    <cdr:cxnSp macro="">
      <cdr:nvCxnSpPr>
        <cdr:cNvPr id="2" name="Straight Arrow Connector 1"/>
        <cdr:cNvCxnSpPr/>
      </cdr:nvCxnSpPr>
      <cdr:spPr>
        <a:xfrm xmlns:a="http://schemas.openxmlformats.org/drawingml/2006/main">
          <a:off x="4733784" y="486569"/>
          <a:ext cx="0" cy="3077155"/>
        </a:xfrm>
        <a:prstGeom xmlns:a="http://schemas.openxmlformats.org/drawingml/2006/main" prst="straightConnector1">
          <a:avLst/>
        </a:prstGeom>
        <a:ln xmlns:a="http://schemas.openxmlformats.org/drawingml/2006/main" w="25400">
          <a:solidFill>
            <a:srgbClr val="FF0000"/>
          </a:solidFill>
          <a:prstDash val="dash"/>
          <a:headEnd type="oval" w="med" len="med"/>
          <a:tailEnd type="oval"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11.xml><?xml version="1.0" encoding="utf-8"?>
<c:userShapes xmlns:c="http://schemas.openxmlformats.org/drawingml/2006/chart">
  <cdr:relSizeAnchor xmlns:cdr="http://schemas.openxmlformats.org/drawingml/2006/chartDrawing">
    <cdr:from>
      <cdr:x>0.74956</cdr:x>
      <cdr:y>0.13211</cdr:y>
    </cdr:from>
    <cdr:to>
      <cdr:x>0.74956</cdr:x>
      <cdr:y>0.96761</cdr:y>
    </cdr:to>
    <cdr:cxnSp macro="">
      <cdr:nvCxnSpPr>
        <cdr:cNvPr id="2" name="Straight Arrow Connector 1"/>
        <cdr:cNvCxnSpPr/>
      </cdr:nvCxnSpPr>
      <cdr:spPr>
        <a:xfrm xmlns:a="http://schemas.openxmlformats.org/drawingml/2006/main">
          <a:off x="4950098" y="486569"/>
          <a:ext cx="0" cy="3077155"/>
        </a:xfrm>
        <a:prstGeom xmlns:a="http://schemas.openxmlformats.org/drawingml/2006/main" prst="straightConnector1">
          <a:avLst/>
        </a:prstGeom>
        <a:ln xmlns:a="http://schemas.openxmlformats.org/drawingml/2006/main" w="25400">
          <a:solidFill>
            <a:srgbClr val="FF0000"/>
          </a:solidFill>
          <a:prstDash val="dash"/>
          <a:headEnd type="oval" w="med" len="med"/>
          <a:tailEnd type="oval"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12.xml><?xml version="1.0" encoding="utf-8"?>
<c:userShapes xmlns:c="http://schemas.openxmlformats.org/drawingml/2006/chart">
  <cdr:relSizeAnchor xmlns:cdr="http://schemas.openxmlformats.org/drawingml/2006/chartDrawing">
    <cdr:from>
      <cdr:x>0.71681</cdr:x>
      <cdr:y>0.13211</cdr:y>
    </cdr:from>
    <cdr:to>
      <cdr:x>0.71681</cdr:x>
      <cdr:y>0.96761</cdr:y>
    </cdr:to>
    <cdr:cxnSp macro="">
      <cdr:nvCxnSpPr>
        <cdr:cNvPr id="2" name="Straight Arrow Connector 1"/>
        <cdr:cNvCxnSpPr/>
      </cdr:nvCxnSpPr>
      <cdr:spPr>
        <a:xfrm xmlns:a="http://schemas.openxmlformats.org/drawingml/2006/main">
          <a:off x="4733784" y="486569"/>
          <a:ext cx="0" cy="3077155"/>
        </a:xfrm>
        <a:prstGeom xmlns:a="http://schemas.openxmlformats.org/drawingml/2006/main" prst="straightConnector1">
          <a:avLst/>
        </a:prstGeom>
        <a:ln xmlns:a="http://schemas.openxmlformats.org/drawingml/2006/main" w="25400">
          <a:solidFill>
            <a:srgbClr val="FF0000"/>
          </a:solidFill>
          <a:prstDash val="dash"/>
          <a:headEnd type="oval" w="med" len="med"/>
          <a:tailEnd type="oval"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13.xml><?xml version="1.0" encoding="utf-8"?>
<c:userShapes xmlns:c="http://schemas.openxmlformats.org/drawingml/2006/chart">
  <cdr:relSizeAnchor xmlns:cdr="http://schemas.openxmlformats.org/drawingml/2006/chartDrawing">
    <cdr:from>
      <cdr:x>0.71681</cdr:x>
      <cdr:y>0.13211</cdr:y>
    </cdr:from>
    <cdr:to>
      <cdr:x>0.71681</cdr:x>
      <cdr:y>0.96761</cdr:y>
    </cdr:to>
    <cdr:cxnSp macro="">
      <cdr:nvCxnSpPr>
        <cdr:cNvPr id="2" name="Straight Arrow Connector 1"/>
        <cdr:cNvCxnSpPr/>
      </cdr:nvCxnSpPr>
      <cdr:spPr>
        <a:xfrm xmlns:a="http://schemas.openxmlformats.org/drawingml/2006/main">
          <a:off x="4733784" y="486569"/>
          <a:ext cx="0" cy="3077155"/>
        </a:xfrm>
        <a:prstGeom xmlns:a="http://schemas.openxmlformats.org/drawingml/2006/main" prst="straightConnector1">
          <a:avLst/>
        </a:prstGeom>
        <a:ln xmlns:a="http://schemas.openxmlformats.org/drawingml/2006/main" w="25400">
          <a:solidFill>
            <a:srgbClr val="FF0000"/>
          </a:solidFill>
          <a:prstDash val="dash"/>
          <a:headEnd type="oval" w="med" len="med"/>
          <a:tailEnd type="oval"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14.xml><?xml version="1.0" encoding="utf-8"?>
<c:userShapes xmlns:c="http://schemas.openxmlformats.org/drawingml/2006/chart">
  <cdr:relSizeAnchor xmlns:cdr="http://schemas.openxmlformats.org/drawingml/2006/chartDrawing">
    <cdr:from>
      <cdr:x>0.68405</cdr:x>
      <cdr:y>0.13211</cdr:y>
    </cdr:from>
    <cdr:to>
      <cdr:x>0.68405</cdr:x>
      <cdr:y>0.96761</cdr:y>
    </cdr:to>
    <cdr:cxnSp macro="">
      <cdr:nvCxnSpPr>
        <cdr:cNvPr id="2" name="Straight Arrow Connector 1"/>
        <cdr:cNvCxnSpPr/>
      </cdr:nvCxnSpPr>
      <cdr:spPr>
        <a:xfrm xmlns:a="http://schemas.openxmlformats.org/drawingml/2006/main">
          <a:off x="4517469" y="486569"/>
          <a:ext cx="0" cy="3077155"/>
        </a:xfrm>
        <a:prstGeom xmlns:a="http://schemas.openxmlformats.org/drawingml/2006/main" prst="straightConnector1">
          <a:avLst/>
        </a:prstGeom>
        <a:ln xmlns:a="http://schemas.openxmlformats.org/drawingml/2006/main" w="25400">
          <a:solidFill>
            <a:srgbClr val="FF0000"/>
          </a:solidFill>
          <a:prstDash val="dash"/>
          <a:headEnd type="oval" w="med" len="med"/>
          <a:tailEnd type="oval"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15.xml><?xml version="1.0" encoding="utf-8"?>
<xdr:wsDr xmlns:xdr="http://schemas.openxmlformats.org/drawingml/2006/spreadsheetDrawing" xmlns:a="http://schemas.openxmlformats.org/drawingml/2006/main">
  <xdr:twoCellAnchor>
    <xdr:from>
      <xdr:col>80</xdr:col>
      <xdr:colOff>0</xdr:colOff>
      <xdr:row>1</xdr:row>
      <xdr:rowOff>0</xdr:rowOff>
    </xdr:from>
    <xdr:to>
      <xdr:col>90</xdr:col>
      <xdr:colOff>508000</xdr:colOff>
      <xdr:row>20</xdr:row>
      <xdr:rowOff>63500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80</xdr:col>
      <xdr:colOff>0</xdr:colOff>
      <xdr:row>20</xdr:row>
      <xdr:rowOff>0</xdr:rowOff>
    </xdr:from>
    <xdr:to>
      <xdr:col>90</xdr:col>
      <xdr:colOff>508000</xdr:colOff>
      <xdr:row>39</xdr:row>
      <xdr:rowOff>63500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80</xdr:col>
      <xdr:colOff>0</xdr:colOff>
      <xdr:row>39</xdr:row>
      <xdr:rowOff>0</xdr:rowOff>
    </xdr:from>
    <xdr:to>
      <xdr:col>90</xdr:col>
      <xdr:colOff>508000</xdr:colOff>
      <xdr:row>58</xdr:row>
      <xdr:rowOff>63500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80</xdr:col>
      <xdr:colOff>0</xdr:colOff>
      <xdr:row>58</xdr:row>
      <xdr:rowOff>0</xdr:rowOff>
    </xdr:from>
    <xdr:to>
      <xdr:col>90</xdr:col>
      <xdr:colOff>508000</xdr:colOff>
      <xdr:row>77</xdr:row>
      <xdr:rowOff>63500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80</xdr:col>
      <xdr:colOff>0</xdr:colOff>
      <xdr:row>77</xdr:row>
      <xdr:rowOff>0</xdr:rowOff>
    </xdr:from>
    <xdr:to>
      <xdr:col>90</xdr:col>
      <xdr:colOff>508000</xdr:colOff>
      <xdr:row>96</xdr:row>
      <xdr:rowOff>63500</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80</xdr:col>
      <xdr:colOff>0</xdr:colOff>
      <xdr:row>96</xdr:row>
      <xdr:rowOff>0</xdr:rowOff>
    </xdr:from>
    <xdr:to>
      <xdr:col>90</xdr:col>
      <xdr:colOff>508000</xdr:colOff>
      <xdr:row>115</xdr:row>
      <xdr:rowOff>63500</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6.xml><?xml version="1.0" encoding="utf-8"?>
<c:userShapes xmlns:c="http://schemas.openxmlformats.org/drawingml/2006/chart">
  <cdr:relSizeAnchor xmlns:cdr="http://schemas.openxmlformats.org/drawingml/2006/chartDrawing">
    <cdr:from>
      <cdr:x>0.74956</cdr:x>
      <cdr:y>0.13211</cdr:y>
    </cdr:from>
    <cdr:to>
      <cdr:x>0.74956</cdr:x>
      <cdr:y>0.96761</cdr:y>
    </cdr:to>
    <cdr:cxnSp macro="">
      <cdr:nvCxnSpPr>
        <cdr:cNvPr id="2" name="Straight Arrow Connector 1"/>
        <cdr:cNvCxnSpPr/>
      </cdr:nvCxnSpPr>
      <cdr:spPr>
        <a:xfrm xmlns:a="http://schemas.openxmlformats.org/drawingml/2006/main">
          <a:off x="4950098" y="486569"/>
          <a:ext cx="0" cy="3077155"/>
        </a:xfrm>
        <a:prstGeom xmlns:a="http://schemas.openxmlformats.org/drawingml/2006/main" prst="straightConnector1">
          <a:avLst/>
        </a:prstGeom>
        <a:ln xmlns:a="http://schemas.openxmlformats.org/drawingml/2006/main" w="25400">
          <a:solidFill>
            <a:srgbClr val="FF0000"/>
          </a:solidFill>
          <a:prstDash val="dash"/>
          <a:headEnd type="oval" w="med" len="med"/>
          <a:tailEnd type="oval"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17.xml><?xml version="1.0" encoding="utf-8"?>
<c:userShapes xmlns:c="http://schemas.openxmlformats.org/drawingml/2006/chart">
  <cdr:relSizeAnchor xmlns:cdr="http://schemas.openxmlformats.org/drawingml/2006/chartDrawing">
    <cdr:from>
      <cdr:x>0.74956</cdr:x>
      <cdr:y>0.13211</cdr:y>
    </cdr:from>
    <cdr:to>
      <cdr:x>0.74956</cdr:x>
      <cdr:y>0.96761</cdr:y>
    </cdr:to>
    <cdr:cxnSp macro="">
      <cdr:nvCxnSpPr>
        <cdr:cNvPr id="2" name="Straight Arrow Connector 1"/>
        <cdr:cNvCxnSpPr/>
      </cdr:nvCxnSpPr>
      <cdr:spPr>
        <a:xfrm xmlns:a="http://schemas.openxmlformats.org/drawingml/2006/main">
          <a:off x="4950098" y="486569"/>
          <a:ext cx="0" cy="3077155"/>
        </a:xfrm>
        <a:prstGeom xmlns:a="http://schemas.openxmlformats.org/drawingml/2006/main" prst="straightConnector1">
          <a:avLst/>
        </a:prstGeom>
        <a:ln xmlns:a="http://schemas.openxmlformats.org/drawingml/2006/main" w="25400">
          <a:solidFill>
            <a:srgbClr val="FF0000"/>
          </a:solidFill>
          <a:prstDash val="dash"/>
          <a:headEnd type="oval" w="med" len="med"/>
          <a:tailEnd type="oval"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18.xml><?xml version="1.0" encoding="utf-8"?>
<c:userShapes xmlns:c="http://schemas.openxmlformats.org/drawingml/2006/chart">
  <cdr:relSizeAnchor xmlns:cdr="http://schemas.openxmlformats.org/drawingml/2006/chartDrawing">
    <cdr:from>
      <cdr:x>0.78232</cdr:x>
      <cdr:y>0.13211</cdr:y>
    </cdr:from>
    <cdr:to>
      <cdr:x>0.78232</cdr:x>
      <cdr:y>0.96761</cdr:y>
    </cdr:to>
    <cdr:cxnSp macro="">
      <cdr:nvCxnSpPr>
        <cdr:cNvPr id="2" name="Straight Arrow Connector 1"/>
        <cdr:cNvCxnSpPr/>
      </cdr:nvCxnSpPr>
      <cdr:spPr>
        <a:xfrm xmlns:a="http://schemas.openxmlformats.org/drawingml/2006/main">
          <a:off x="5166413" y="486569"/>
          <a:ext cx="0" cy="3077155"/>
        </a:xfrm>
        <a:prstGeom xmlns:a="http://schemas.openxmlformats.org/drawingml/2006/main" prst="straightConnector1">
          <a:avLst/>
        </a:prstGeom>
        <a:ln xmlns:a="http://schemas.openxmlformats.org/drawingml/2006/main" w="25400">
          <a:solidFill>
            <a:srgbClr val="FF0000"/>
          </a:solidFill>
          <a:prstDash val="dash"/>
          <a:headEnd type="oval" w="med" len="med"/>
          <a:tailEnd type="oval"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19.xml><?xml version="1.0" encoding="utf-8"?>
<c:userShapes xmlns:c="http://schemas.openxmlformats.org/drawingml/2006/chart">
  <cdr:relSizeAnchor xmlns:cdr="http://schemas.openxmlformats.org/drawingml/2006/chartDrawing">
    <cdr:from>
      <cdr:x>0.74956</cdr:x>
      <cdr:y>0.13211</cdr:y>
    </cdr:from>
    <cdr:to>
      <cdr:x>0.74956</cdr:x>
      <cdr:y>0.96761</cdr:y>
    </cdr:to>
    <cdr:cxnSp macro="">
      <cdr:nvCxnSpPr>
        <cdr:cNvPr id="2" name="Straight Arrow Connector 1"/>
        <cdr:cNvCxnSpPr/>
      </cdr:nvCxnSpPr>
      <cdr:spPr>
        <a:xfrm xmlns:a="http://schemas.openxmlformats.org/drawingml/2006/main">
          <a:off x="4950098" y="486569"/>
          <a:ext cx="0" cy="3077155"/>
        </a:xfrm>
        <a:prstGeom xmlns:a="http://schemas.openxmlformats.org/drawingml/2006/main" prst="straightConnector1">
          <a:avLst/>
        </a:prstGeom>
        <a:ln xmlns:a="http://schemas.openxmlformats.org/drawingml/2006/main" w="25400">
          <a:solidFill>
            <a:srgbClr val="FF0000"/>
          </a:solidFill>
          <a:prstDash val="dash"/>
          <a:headEnd type="oval" w="med" len="med"/>
          <a:tailEnd type="oval"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20.xml><?xml version="1.0" encoding="utf-8"?>
<c:userShapes xmlns:c="http://schemas.openxmlformats.org/drawingml/2006/chart">
  <cdr:relSizeAnchor xmlns:cdr="http://schemas.openxmlformats.org/drawingml/2006/chartDrawing">
    <cdr:from>
      <cdr:x>0.74956</cdr:x>
      <cdr:y>0.13211</cdr:y>
    </cdr:from>
    <cdr:to>
      <cdr:x>0.74956</cdr:x>
      <cdr:y>0.96761</cdr:y>
    </cdr:to>
    <cdr:cxnSp macro="">
      <cdr:nvCxnSpPr>
        <cdr:cNvPr id="2" name="Straight Arrow Connector 1"/>
        <cdr:cNvCxnSpPr/>
      </cdr:nvCxnSpPr>
      <cdr:spPr>
        <a:xfrm xmlns:a="http://schemas.openxmlformats.org/drawingml/2006/main">
          <a:off x="4950098" y="486569"/>
          <a:ext cx="0" cy="3077155"/>
        </a:xfrm>
        <a:prstGeom xmlns:a="http://schemas.openxmlformats.org/drawingml/2006/main" prst="straightConnector1">
          <a:avLst/>
        </a:prstGeom>
        <a:ln xmlns:a="http://schemas.openxmlformats.org/drawingml/2006/main" w="25400">
          <a:solidFill>
            <a:srgbClr val="FF0000"/>
          </a:solidFill>
          <a:prstDash val="dash"/>
          <a:headEnd type="oval" w="med" len="med"/>
          <a:tailEnd type="oval"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21.xml><?xml version="1.0" encoding="utf-8"?>
<c:userShapes xmlns:c="http://schemas.openxmlformats.org/drawingml/2006/chart">
  <cdr:relSizeAnchor xmlns:cdr="http://schemas.openxmlformats.org/drawingml/2006/chartDrawing">
    <cdr:from>
      <cdr:x>0.74956</cdr:x>
      <cdr:y>0.13211</cdr:y>
    </cdr:from>
    <cdr:to>
      <cdr:x>0.74956</cdr:x>
      <cdr:y>0.96761</cdr:y>
    </cdr:to>
    <cdr:cxnSp macro="">
      <cdr:nvCxnSpPr>
        <cdr:cNvPr id="2" name="Straight Arrow Connector 1"/>
        <cdr:cNvCxnSpPr/>
      </cdr:nvCxnSpPr>
      <cdr:spPr>
        <a:xfrm xmlns:a="http://schemas.openxmlformats.org/drawingml/2006/main">
          <a:off x="4950098" y="486569"/>
          <a:ext cx="0" cy="3077155"/>
        </a:xfrm>
        <a:prstGeom xmlns:a="http://schemas.openxmlformats.org/drawingml/2006/main" prst="straightConnector1">
          <a:avLst/>
        </a:prstGeom>
        <a:ln xmlns:a="http://schemas.openxmlformats.org/drawingml/2006/main" w="25400">
          <a:solidFill>
            <a:srgbClr val="FF0000"/>
          </a:solidFill>
          <a:prstDash val="dash"/>
          <a:headEnd type="oval" w="med" len="med"/>
          <a:tailEnd type="oval"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22.xml><?xml version="1.0" encoding="utf-8"?>
<xdr:wsDr xmlns:xdr="http://schemas.openxmlformats.org/drawingml/2006/spreadsheetDrawing" xmlns:a="http://schemas.openxmlformats.org/drawingml/2006/main">
  <xdr:twoCellAnchor>
    <xdr:from>
      <xdr:col>41</xdr:col>
      <xdr:colOff>0</xdr:colOff>
      <xdr:row>1</xdr:row>
      <xdr:rowOff>0</xdr:rowOff>
    </xdr:from>
    <xdr:to>
      <xdr:col>49</xdr:col>
      <xdr:colOff>431800</xdr:colOff>
      <xdr:row>21</xdr:row>
      <xdr:rowOff>139700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41</xdr:col>
      <xdr:colOff>0</xdr:colOff>
      <xdr:row>22</xdr:row>
      <xdr:rowOff>0</xdr:rowOff>
    </xdr:from>
    <xdr:to>
      <xdr:col>49</xdr:col>
      <xdr:colOff>431800</xdr:colOff>
      <xdr:row>42</xdr:row>
      <xdr:rowOff>139700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41</xdr:col>
      <xdr:colOff>0</xdr:colOff>
      <xdr:row>43</xdr:row>
      <xdr:rowOff>0</xdr:rowOff>
    </xdr:from>
    <xdr:to>
      <xdr:col>49</xdr:col>
      <xdr:colOff>431800</xdr:colOff>
      <xdr:row>63</xdr:row>
      <xdr:rowOff>139700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41</xdr:col>
      <xdr:colOff>0</xdr:colOff>
      <xdr:row>64</xdr:row>
      <xdr:rowOff>0</xdr:rowOff>
    </xdr:from>
    <xdr:to>
      <xdr:col>49</xdr:col>
      <xdr:colOff>431800</xdr:colOff>
      <xdr:row>84</xdr:row>
      <xdr:rowOff>139700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c:userShapes xmlns:c="http://schemas.openxmlformats.org/drawingml/2006/chart">
  <cdr:relSizeAnchor xmlns:cdr="http://schemas.openxmlformats.org/drawingml/2006/chartDrawing">
    <cdr:from>
      <cdr:x>0.64816</cdr:x>
      <cdr:y>0.05107</cdr:y>
    </cdr:from>
    <cdr:to>
      <cdr:x>0.64816</cdr:x>
      <cdr:y>0.86385</cdr:y>
    </cdr:to>
    <cdr:cxnSp macro="">
      <cdr:nvCxnSpPr>
        <cdr:cNvPr id="2" name="Straight Arrow Connector 1"/>
        <cdr:cNvCxnSpPr/>
      </cdr:nvCxnSpPr>
      <cdr:spPr>
        <a:xfrm xmlns:a="http://schemas.openxmlformats.org/drawingml/2006/main" flipV="1">
          <a:off x="3440829" y="201708"/>
          <a:ext cx="0" cy="3210252"/>
        </a:xfrm>
        <a:prstGeom xmlns:a="http://schemas.openxmlformats.org/drawingml/2006/main" prst="straightConnector1">
          <a:avLst/>
        </a:prstGeom>
        <a:ln xmlns:a="http://schemas.openxmlformats.org/drawingml/2006/main" w="25400">
          <a:solidFill>
            <a:srgbClr val="FF0000"/>
          </a:solidFill>
          <a:prstDash val="dash"/>
          <a:headEnd type="oval" w="med" len="med"/>
          <a:tailEnd type="oval"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0.11461</cdr:x>
      <cdr:y>0.43357</cdr:y>
    </cdr:from>
    <cdr:to>
      <cdr:x>0.94478</cdr:x>
      <cdr:y>0.43357</cdr:y>
    </cdr:to>
    <cdr:cxnSp macro="">
      <cdr:nvCxnSpPr>
        <cdr:cNvPr id="3" name="Straight Arrow Connector 2"/>
        <cdr:cNvCxnSpPr/>
      </cdr:nvCxnSpPr>
      <cdr:spPr>
        <a:xfrm xmlns:a="http://schemas.openxmlformats.org/drawingml/2006/main">
          <a:off x="608406" y="1712483"/>
          <a:ext cx="4407046" cy="0"/>
        </a:xfrm>
        <a:prstGeom xmlns:a="http://schemas.openxmlformats.org/drawingml/2006/main" prst="straightConnector1">
          <a:avLst/>
        </a:prstGeom>
        <a:ln xmlns:a="http://schemas.openxmlformats.org/drawingml/2006/main" w="25400">
          <a:solidFill>
            <a:srgbClr val="FF0000"/>
          </a:solidFill>
          <a:prstDash val="dash"/>
          <a:headEnd type="oval" w="med" len="med"/>
          <a:tailEnd type="oval"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24.xml><?xml version="1.0" encoding="utf-8"?>
<c:userShapes xmlns:c="http://schemas.openxmlformats.org/drawingml/2006/chart">
  <cdr:relSizeAnchor xmlns:cdr="http://schemas.openxmlformats.org/drawingml/2006/chartDrawing">
    <cdr:from>
      <cdr:x>0.6476</cdr:x>
      <cdr:y>0.05107</cdr:y>
    </cdr:from>
    <cdr:to>
      <cdr:x>0.6476</cdr:x>
      <cdr:y>0.86385</cdr:y>
    </cdr:to>
    <cdr:cxnSp macro="">
      <cdr:nvCxnSpPr>
        <cdr:cNvPr id="2" name="Straight Arrow Connector 1"/>
        <cdr:cNvCxnSpPr/>
      </cdr:nvCxnSpPr>
      <cdr:spPr>
        <a:xfrm xmlns:a="http://schemas.openxmlformats.org/drawingml/2006/main" flipV="1">
          <a:off x="3437866" y="201708"/>
          <a:ext cx="0" cy="3210252"/>
        </a:xfrm>
        <a:prstGeom xmlns:a="http://schemas.openxmlformats.org/drawingml/2006/main" prst="straightConnector1">
          <a:avLst/>
        </a:prstGeom>
        <a:ln xmlns:a="http://schemas.openxmlformats.org/drawingml/2006/main" w="25400">
          <a:solidFill>
            <a:srgbClr val="FF0000"/>
          </a:solidFill>
          <a:prstDash val="dash"/>
          <a:headEnd type="oval" w="med" len="med"/>
          <a:tailEnd type="oval"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0.11461</cdr:x>
      <cdr:y>0.43357</cdr:y>
    </cdr:from>
    <cdr:to>
      <cdr:x>0.94478</cdr:x>
      <cdr:y>0.43357</cdr:y>
    </cdr:to>
    <cdr:cxnSp macro="">
      <cdr:nvCxnSpPr>
        <cdr:cNvPr id="3" name="Straight Arrow Connector 2"/>
        <cdr:cNvCxnSpPr/>
      </cdr:nvCxnSpPr>
      <cdr:spPr>
        <a:xfrm xmlns:a="http://schemas.openxmlformats.org/drawingml/2006/main">
          <a:off x="608406" y="1712483"/>
          <a:ext cx="4407046" cy="0"/>
        </a:xfrm>
        <a:prstGeom xmlns:a="http://schemas.openxmlformats.org/drawingml/2006/main" prst="straightConnector1">
          <a:avLst/>
        </a:prstGeom>
        <a:ln xmlns:a="http://schemas.openxmlformats.org/drawingml/2006/main" w="25400">
          <a:solidFill>
            <a:srgbClr val="FF0000"/>
          </a:solidFill>
          <a:prstDash val="dash"/>
          <a:headEnd type="oval" w="med" len="med"/>
          <a:tailEnd type="oval"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25.xml><?xml version="1.0" encoding="utf-8"?>
<c:userShapes xmlns:c="http://schemas.openxmlformats.org/drawingml/2006/chart">
  <cdr:relSizeAnchor xmlns:cdr="http://schemas.openxmlformats.org/drawingml/2006/chartDrawing">
    <cdr:from>
      <cdr:x>0.6476</cdr:x>
      <cdr:y>0.05107</cdr:y>
    </cdr:from>
    <cdr:to>
      <cdr:x>0.6476</cdr:x>
      <cdr:y>0.86385</cdr:y>
    </cdr:to>
    <cdr:cxnSp macro="">
      <cdr:nvCxnSpPr>
        <cdr:cNvPr id="2" name="Straight Arrow Connector 1"/>
        <cdr:cNvCxnSpPr/>
      </cdr:nvCxnSpPr>
      <cdr:spPr>
        <a:xfrm xmlns:a="http://schemas.openxmlformats.org/drawingml/2006/main" flipV="1">
          <a:off x="3437866" y="201708"/>
          <a:ext cx="0" cy="3210252"/>
        </a:xfrm>
        <a:prstGeom xmlns:a="http://schemas.openxmlformats.org/drawingml/2006/main" prst="straightConnector1">
          <a:avLst/>
        </a:prstGeom>
        <a:ln xmlns:a="http://schemas.openxmlformats.org/drawingml/2006/main" w="25400">
          <a:solidFill>
            <a:srgbClr val="FF0000"/>
          </a:solidFill>
          <a:prstDash val="dash"/>
          <a:headEnd type="oval" w="med" len="med"/>
          <a:tailEnd type="oval"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0.11461</cdr:x>
      <cdr:y>0.43584</cdr:y>
    </cdr:from>
    <cdr:to>
      <cdr:x>0.94478</cdr:x>
      <cdr:y>0.43584</cdr:y>
    </cdr:to>
    <cdr:cxnSp macro="">
      <cdr:nvCxnSpPr>
        <cdr:cNvPr id="3" name="Straight Arrow Connector 2"/>
        <cdr:cNvCxnSpPr/>
      </cdr:nvCxnSpPr>
      <cdr:spPr>
        <a:xfrm xmlns:a="http://schemas.openxmlformats.org/drawingml/2006/main">
          <a:off x="608406" y="1721425"/>
          <a:ext cx="4407046" cy="0"/>
        </a:xfrm>
        <a:prstGeom xmlns:a="http://schemas.openxmlformats.org/drawingml/2006/main" prst="straightConnector1">
          <a:avLst/>
        </a:prstGeom>
        <a:ln xmlns:a="http://schemas.openxmlformats.org/drawingml/2006/main" w="25400">
          <a:solidFill>
            <a:srgbClr val="FF0000"/>
          </a:solidFill>
          <a:prstDash val="dash"/>
          <a:headEnd type="oval" w="med" len="med"/>
          <a:tailEnd type="oval"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26.xml><?xml version="1.0" encoding="utf-8"?>
<c:userShapes xmlns:c="http://schemas.openxmlformats.org/drawingml/2006/chart">
  <cdr:relSizeAnchor xmlns:cdr="http://schemas.openxmlformats.org/drawingml/2006/chartDrawing">
    <cdr:from>
      <cdr:x>0.64489</cdr:x>
      <cdr:y>0.05107</cdr:y>
    </cdr:from>
    <cdr:to>
      <cdr:x>0.64489</cdr:x>
      <cdr:y>0.86385</cdr:y>
    </cdr:to>
    <cdr:cxnSp macro="">
      <cdr:nvCxnSpPr>
        <cdr:cNvPr id="2" name="Straight Arrow Connector 1"/>
        <cdr:cNvCxnSpPr/>
      </cdr:nvCxnSpPr>
      <cdr:spPr>
        <a:xfrm xmlns:a="http://schemas.openxmlformats.org/drawingml/2006/main" flipV="1">
          <a:off x="3423467" y="201708"/>
          <a:ext cx="0" cy="3210252"/>
        </a:xfrm>
        <a:prstGeom xmlns:a="http://schemas.openxmlformats.org/drawingml/2006/main" prst="straightConnector1">
          <a:avLst/>
        </a:prstGeom>
        <a:ln xmlns:a="http://schemas.openxmlformats.org/drawingml/2006/main" w="25400">
          <a:solidFill>
            <a:srgbClr val="FF0000"/>
          </a:solidFill>
          <a:prstDash val="dash"/>
          <a:headEnd type="oval" w="med" len="med"/>
          <a:tailEnd type="oval"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0.11461</cdr:x>
      <cdr:y>0.43584</cdr:y>
    </cdr:from>
    <cdr:to>
      <cdr:x>0.94478</cdr:x>
      <cdr:y>0.43584</cdr:y>
    </cdr:to>
    <cdr:cxnSp macro="">
      <cdr:nvCxnSpPr>
        <cdr:cNvPr id="3" name="Straight Arrow Connector 2"/>
        <cdr:cNvCxnSpPr/>
      </cdr:nvCxnSpPr>
      <cdr:spPr>
        <a:xfrm xmlns:a="http://schemas.openxmlformats.org/drawingml/2006/main">
          <a:off x="608406" y="1721425"/>
          <a:ext cx="4407046" cy="0"/>
        </a:xfrm>
        <a:prstGeom xmlns:a="http://schemas.openxmlformats.org/drawingml/2006/main" prst="straightConnector1">
          <a:avLst/>
        </a:prstGeom>
        <a:ln xmlns:a="http://schemas.openxmlformats.org/drawingml/2006/main" w="25400">
          <a:solidFill>
            <a:srgbClr val="FF0000"/>
          </a:solidFill>
          <a:prstDash val="dash"/>
          <a:headEnd type="oval" w="med" len="med"/>
          <a:tailEnd type="oval"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3.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6.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7.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2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nstructions1"/>
  <dimension ref="A1:M356"/>
  <sheetViews>
    <sheetView showGridLines="0" workbookViewId="0"/>
  </sheetViews>
  <sheetFormatPr defaultRowHeight="15" x14ac:dyDescent="0.25"/>
  <cols>
    <col min="1" max="1" width="0.7109375" style="17" customWidth="1"/>
    <col min="2" max="2" width="3.7109375" customWidth="1"/>
  </cols>
  <sheetData>
    <row r="1" spans="1:3" ht="5.25" customHeight="1" x14ac:dyDescent="0.25"/>
    <row r="2" spans="1:3" s="19" customFormat="1" ht="23.25" x14ac:dyDescent="0.35">
      <c r="A2" s="17"/>
      <c r="C2" s="18" t="s">
        <v>32</v>
      </c>
    </row>
    <row r="3" spans="1:3" s="17" customFormat="1" ht="18" customHeight="1" x14ac:dyDescent="0.35">
      <c r="C3" s="20"/>
    </row>
    <row r="4" spans="1:3" s="19" customFormat="1" ht="17.25" customHeight="1" x14ac:dyDescent="0.3">
      <c r="A4" s="17"/>
      <c r="C4" s="21" t="s">
        <v>54</v>
      </c>
    </row>
    <row r="5" spans="1:3" x14ac:dyDescent="0.25">
      <c r="C5" s="32" t="s">
        <v>113</v>
      </c>
    </row>
    <row r="6" spans="1:3" x14ac:dyDescent="0.25">
      <c r="C6" s="32" t="s">
        <v>53</v>
      </c>
    </row>
    <row r="7" spans="1:3" x14ac:dyDescent="0.25">
      <c r="C7" s="32"/>
    </row>
    <row r="8" spans="1:3" s="19" customFormat="1" ht="17.25" customHeight="1" x14ac:dyDescent="0.3">
      <c r="A8" s="17"/>
      <c r="C8" s="21" t="s">
        <v>55</v>
      </c>
    </row>
    <row r="9" spans="1:3" ht="6.75" customHeight="1" x14ac:dyDescent="0.25">
      <c r="C9" s="32"/>
    </row>
    <row r="10" spans="1:3" ht="18.75" x14ac:dyDescent="0.3">
      <c r="C10" s="35" t="s">
        <v>119</v>
      </c>
    </row>
    <row r="11" spans="1:3" ht="8.25" customHeight="1" x14ac:dyDescent="0.25">
      <c r="C11" s="32"/>
    </row>
    <row r="12" spans="1:3" x14ac:dyDescent="0.25">
      <c r="C12" s="32" t="s">
        <v>120</v>
      </c>
    </row>
    <row r="13" spans="1:3" x14ac:dyDescent="0.25">
      <c r="C13" s="32"/>
    </row>
    <row r="14" spans="1:3" x14ac:dyDescent="0.25">
      <c r="C14" s="32"/>
    </row>
    <row r="15" spans="1:3" x14ac:dyDescent="0.25">
      <c r="C15" s="32"/>
    </row>
    <row r="16" spans="1:3" x14ac:dyDescent="0.25">
      <c r="C16" s="32"/>
    </row>
    <row r="17" spans="3:3" x14ac:dyDescent="0.25">
      <c r="C17" s="32"/>
    </row>
    <row r="18" spans="3:3" x14ac:dyDescent="0.25">
      <c r="C18" s="32"/>
    </row>
    <row r="19" spans="3:3" x14ac:dyDescent="0.25">
      <c r="C19" s="32"/>
    </row>
    <row r="20" spans="3:3" x14ac:dyDescent="0.25">
      <c r="C20" s="32"/>
    </row>
    <row r="21" spans="3:3" x14ac:dyDescent="0.25">
      <c r="C21" s="32"/>
    </row>
    <row r="22" spans="3:3" x14ac:dyDescent="0.25">
      <c r="C22" s="32"/>
    </row>
    <row r="23" spans="3:3" x14ac:dyDescent="0.25">
      <c r="C23" s="32"/>
    </row>
    <row r="24" spans="3:3" x14ac:dyDescent="0.25">
      <c r="C24" s="32"/>
    </row>
    <row r="25" spans="3:3" x14ac:dyDescent="0.25">
      <c r="C25" s="32"/>
    </row>
    <row r="26" spans="3:3" ht="6.75" customHeight="1" x14ac:dyDescent="0.25">
      <c r="C26" s="32"/>
    </row>
    <row r="27" spans="3:3" x14ac:dyDescent="0.25">
      <c r="C27" s="32"/>
    </row>
    <row r="28" spans="3:3" x14ac:dyDescent="0.25">
      <c r="C28" s="32"/>
    </row>
    <row r="29" spans="3:3" x14ac:dyDescent="0.25">
      <c r="C29" s="32"/>
    </row>
    <row r="30" spans="3:3" x14ac:dyDescent="0.25">
      <c r="C30" s="32"/>
    </row>
    <row r="31" spans="3:3" x14ac:dyDescent="0.25">
      <c r="C31" s="32"/>
    </row>
    <row r="32" spans="3:3" x14ac:dyDescent="0.25">
      <c r="C32" s="32"/>
    </row>
    <row r="33" spans="3:13" x14ac:dyDescent="0.25">
      <c r="C33" s="32"/>
    </row>
    <row r="34" spans="3:13" x14ac:dyDescent="0.25">
      <c r="C34" s="32"/>
    </row>
    <row r="35" spans="3:13" x14ac:dyDescent="0.25">
      <c r="C35" s="32"/>
    </row>
    <row r="36" spans="3:13" x14ac:dyDescent="0.25">
      <c r="C36" s="32"/>
    </row>
    <row r="37" spans="3:13" x14ac:dyDescent="0.25">
      <c r="C37" s="32"/>
    </row>
    <row r="38" spans="3:13" x14ac:dyDescent="0.25">
      <c r="C38" s="32"/>
    </row>
    <row r="39" spans="3:13" x14ac:dyDescent="0.25">
      <c r="C39" s="32"/>
    </row>
    <row r="40" spans="3:13" x14ac:dyDescent="0.25">
      <c r="C40" s="32"/>
    </row>
    <row r="41" spans="3:13" x14ac:dyDescent="0.25">
      <c r="C41" s="32"/>
    </row>
    <row r="42" spans="3:13" x14ac:dyDescent="0.25">
      <c r="C42" s="32"/>
    </row>
    <row r="43" spans="3:13" ht="18.75" x14ac:dyDescent="0.3">
      <c r="C43" s="35" t="s">
        <v>155</v>
      </c>
      <c r="M43" s="35"/>
    </row>
    <row r="44" spans="3:13" ht="6.75" customHeight="1" x14ac:dyDescent="0.25">
      <c r="C44" s="32"/>
    </row>
    <row r="45" spans="3:13" x14ac:dyDescent="0.25">
      <c r="C45" s="32" t="s">
        <v>157</v>
      </c>
    </row>
    <row r="46" spans="3:13" x14ac:dyDescent="0.25">
      <c r="C46" s="32"/>
    </row>
    <row r="47" spans="3:13" x14ac:dyDescent="0.25">
      <c r="C47" s="32"/>
    </row>
    <row r="48" spans="3:13" x14ac:dyDescent="0.25">
      <c r="C48" s="32"/>
    </row>
    <row r="49" spans="3:3" x14ac:dyDescent="0.25">
      <c r="C49" s="34" t="s">
        <v>121</v>
      </c>
    </row>
    <row r="50" spans="3:3" x14ac:dyDescent="0.25">
      <c r="C50" s="32"/>
    </row>
    <row r="51" spans="3:3" x14ac:dyDescent="0.25">
      <c r="C51" s="32" t="s">
        <v>158</v>
      </c>
    </row>
    <row r="52" spans="3:3" x14ac:dyDescent="0.25">
      <c r="C52" s="33" t="s">
        <v>156</v>
      </c>
    </row>
    <row r="53" spans="3:3" ht="7.5" customHeight="1" x14ac:dyDescent="0.25">
      <c r="C53" s="32"/>
    </row>
    <row r="54" spans="3:3" ht="18.75" x14ac:dyDescent="0.3">
      <c r="C54" s="35" t="s">
        <v>159</v>
      </c>
    </row>
    <row r="55" spans="3:3" ht="7.5" customHeight="1" x14ac:dyDescent="0.25">
      <c r="C55" s="32"/>
    </row>
    <row r="56" spans="3:3" x14ac:dyDescent="0.25">
      <c r="C56" s="32" t="s">
        <v>161</v>
      </c>
    </row>
    <row r="57" spans="3:3" x14ac:dyDescent="0.25">
      <c r="C57" s="32"/>
    </row>
    <row r="58" spans="3:3" x14ac:dyDescent="0.25">
      <c r="C58" s="32" t="s">
        <v>160</v>
      </c>
    </row>
    <row r="66" spans="3:3" ht="18" customHeight="1" x14ac:dyDescent="0.25">
      <c r="C66" s="32" t="s">
        <v>162</v>
      </c>
    </row>
    <row r="86" spans="3:3" x14ac:dyDescent="0.25">
      <c r="C86" s="33" t="s">
        <v>164</v>
      </c>
    </row>
    <row r="87" spans="3:3" x14ac:dyDescent="0.25">
      <c r="C87" s="33" t="s">
        <v>33</v>
      </c>
    </row>
    <row r="88" spans="3:3" x14ac:dyDescent="0.25">
      <c r="C88" s="33" t="s">
        <v>34</v>
      </c>
    </row>
    <row r="89" spans="3:3" x14ac:dyDescent="0.25">
      <c r="C89" s="33" t="s">
        <v>114</v>
      </c>
    </row>
    <row r="90" spans="3:3" x14ac:dyDescent="0.25">
      <c r="C90" s="33" t="s">
        <v>115</v>
      </c>
    </row>
    <row r="91" spans="3:3" x14ac:dyDescent="0.25">
      <c r="C91" s="33" t="s">
        <v>165</v>
      </c>
    </row>
    <row r="92" spans="3:3" x14ac:dyDescent="0.25">
      <c r="C92" s="33" t="s">
        <v>166</v>
      </c>
    </row>
    <row r="93" spans="3:3" x14ac:dyDescent="0.25">
      <c r="C93" s="33" t="s">
        <v>167</v>
      </c>
    </row>
    <row r="94" spans="3:3" x14ac:dyDescent="0.25">
      <c r="C94" s="33"/>
    </row>
    <row r="95" spans="3:3" x14ac:dyDescent="0.25">
      <c r="C95" s="32" t="s">
        <v>163</v>
      </c>
    </row>
    <row r="101" spans="3:3" x14ac:dyDescent="0.25">
      <c r="C101" s="33" t="s">
        <v>35</v>
      </c>
    </row>
    <row r="102" spans="3:3" x14ac:dyDescent="0.25">
      <c r="C102" s="33" t="s">
        <v>36</v>
      </c>
    </row>
    <row r="103" spans="3:3" x14ac:dyDescent="0.25">
      <c r="C103" s="33" t="s">
        <v>37</v>
      </c>
    </row>
    <row r="104" spans="3:3" x14ac:dyDescent="0.25">
      <c r="C104" s="33" t="s">
        <v>38</v>
      </c>
    </row>
    <row r="105" spans="3:3" x14ac:dyDescent="0.25">
      <c r="C105" s="34"/>
    </row>
    <row r="133" spans="3:3" x14ac:dyDescent="0.25">
      <c r="C133" s="34" t="s">
        <v>168</v>
      </c>
    </row>
    <row r="159" spans="3:3" x14ac:dyDescent="0.25">
      <c r="C159" s="32" t="s">
        <v>171</v>
      </c>
    </row>
    <row r="161" spans="3:3" ht="18.75" x14ac:dyDescent="0.3">
      <c r="C161" s="35" t="s">
        <v>169</v>
      </c>
    </row>
    <row r="162" spans="3:3" ht="9" customHeight="1" x14ac:dyDescent="0.3">
      <c r="C162" s="35"/>
    </row>
    <row r="163" spans="3:3" x14ac:dyDescent="0.25">
      <c r="C163" s="32" t="s">
        <v>172</v>
      </c>
    </row>
    <row r="164" spans="3:3" x14ac:dyDescent="0.25">
      <c r="C164" s="33" t="s">
        <v>170</v>
      </c>
    </row>
    <row r="165" spans="3:3" x14ac:dyDescent="0.25">
      <c r="C165" s="32"/>
    </row>
    <row r="194" spans="3:3" x14ac:dyDescent="0.25">
      <c r="C194" s="36" t="s">
        <v>173</v>
      </c>
    </row>
    <row r="195" spans="3:3" x14ac:dyDescent="0.25">
      <c r="C195" s="38" t="s">
        <v>39</v>
      </c>
    </row>
    <row r="196" spans="3:3" x14ac:dyDescent="0.25">
      <c r="C196" s="43" t="s">
        <v>40</v>
      </c>
    </row>
    <row r="197" spans="3:3" x14ac:dyDescent="0.25">
      <c r="C197" s="43" t="s">
        <v>41</v>
      </c>
    </row>
    <row r="198" spans="3:3" x14ac:dyDescent="0.25">
      <c r="C198" s="43" t="s">
        <v>42</v>
      </c>
    </row>
    <row r="199" spans="3:3" x14ac:dyDescent="0.25">
      <c r="C199" s="43" t="s">
        <v>43</v>
      </c>
    </row>
    <row r="200" spans="3:3" x14ac:dyDescent="0.25">
      <c r="C200" s="43" t="s">
        <v>44</v>
      </c>
    </row>
    <row r="201" spans="3:3" x14ac:dyDescent="0.25">
      <c r="C201" s="43" t="s">
        <v>45</v>
      </c>
    </row>
    <row r="202" spans="3:3" x14ac:dyDescent="0.25">
      <c r="C202" s="38" t="s">
        <v>46</v>
      </c>
    </row>
    <row r="203" spans="3:3" x14ac:dyDescent="0.25">
      <c r="C203" s="43" t="s">
        <v>47</v>
      </c>
    </row>
    <row r="204" spans="3:3" x14ac:dyDescent="0.25">
      <c r="C204" s="43" t="s">
        <v>48</v>
      </c>
    </row>
    <row r="205" spans="3:3" x14ac:dyDescent="0.25">
      <c r="C205" s="43" t="s">
        <v>49</v>
      </c>
    </row>
    <row r="206" spans="3:3" x14ac:dyDescent="0.25">
      <c r="C206" s="43" t="s">
        <v>50</v>
      </c>
    </row>
    <row r="207" spans="3:3" x14ac:dyDescent="0.25">
      <c r="C207" s="43" t="s">
        <v>51</v>
      </c>
    </row>
    <row r="208" spans="3:3" x14ac:dyDescent="0.25">
      <c r="C208" s="38" t="s">
        <v>174</v>
      </c>
    </row>
    <row r="209" spans="3:3" x14ac:dyDescent="0.25">
      <c r="C209" s="38" t="s">
        <v>122</v>
      </c>
    </row>
    <row r="210" spans="3:3" x14ac:dyDescent="0.25">
      <c r="C210" s="38" t="s">
        <v>123</v>
      </c>
    </row>
    <row r="211" spans="3:3" x14ac:dyDescent="0.25">
      <c r="C211" s="38" t="s">
        <v>124</v>
      </c>
    </row>
    <row r="212" spans="3:3" x14ac:dyDescent="0.25">
      <c r="C212" s="38" t="s">
        <v>52</v>
      </c>
    </row>
    <row r="213" spans="3:3" ht="11.25" customHeight="1" x14ac:dyDescent="0.25"/>
    <row r="214" spans="3:3" x14ac:dyDescent="0.25">
      <c r="C214" s="37" t="s">
        <v>175</v>
      </c>
    </row>
    <row r="215" spans="3:3" x14ac:dyDescent="0.25">
      <c r="C215" s="38" t="s">
        <v>116</v>
      </c>
    </row>
    <row r="216" spans="3:3" x14ac:dyDescent="0.25">
      <c r="C216" s="38" t="s">
        <v>176</v>
      </c>
    </row>
    <row r="217" spans="3:3" x14ac:dyDescent="0.25">
      <c r="C217" s="38"/>
    </row>
    <row r="218" spans="3:3" ht="18.75" x14ac:dyDescent="0.3">
      <c r="C218" s="35" t="s">
        <v>181</v>
      </c>
    </row>
    <row r="220" spans="3:3" x14ac:dyDescent="0.25">
      <c r="C220" s="32" t="s">
        <v>177</v>
      </c>
    </row>
    <row r="224" spans="3:3" x14ac:dyDescent="0.25">
      <c r="C224" s="34" t="s">
        <v>183</v>
      </c>
    </row>
    <row r="225" spans="3:3" x14ac:dyDescent="0.25">
      <c r="C225" s="34"/>
    </row>
    <row r="226" spans="3:3" x14ac:dyDescent="0.25">
      <c r="C226" s="32" t="s">
        <v>178</v>
      </c>
    </row>
    <row r="233" spans="3:3" x14ac:dyDescent="0.25">
      <c r="C233" s="32" t="s">
        <v>179</v>
      </c>
    </row>
    <row r="250" spans="3:3" x14ac:dyDescent="0.25">
      <c r="C250" t="s">
        <v>117</v>
      </c>
    </row>
    <row r="251" spans="3:3" x14ac:dyDescent="0.25">
      <c r="C251" t="s">
        <v>180</v>
      </c>
    </row>
    <row r="277" spans="3:3" ht="18.75" x14ac:dyDescent="0.3">
      <c r="C277" s="35" t="s">
        <v>182</v>
      </c>
    </row>
    <row r="278" spans="3:3" ht="7.5" customHeight="1" x14ac:dyDescent="0.25"/>
    <row r="279" spans="3:3" x14ac:dyDescent="0.25">
      <c r="C279" s="32" t="s">
        <v>184</v>
      </c>
    </row>
    <row r="283" spans="3:3" x14ac:dyDescent="0.25">
      <c r="C283" s="34"/>
    </row>
    <row r="284" spans="3:3" x14ac:dyDescent="0.25">
      <c r="C284" s="34"/>
    </row>
    <row r="287" spans="3:3" x14ac:dyDescent="0.25">
      <c r="C287" s="32" t="s">
        <v>185</v>
      </c>
    </row>
    <row r="302" spans="3:3" x14ac:dyDescent="0.25">
      <c r="C302" s="77" t="s">
        <v>186</v>
      </c>
    </row>
    <row r="303" spans="3:3" x14ac:dyDescent="0.25">
      <c r="C303" s="38" t="s">
        <v>187</v>
      </c>
    </row>
    <row r="304" spans="3:3" x14ac:dyDescent="0.25">
      <c r="C304" s="38"/>
    </row>
    <row r="305" spans="3:3" x14ac:dyDescent="0.25">
      <c r="C305" s="32" t="s">
        <v>188</v>
      </c>
    </row>
    <row r="306" spans="3:3" x14ac:dyDescent="0.25">
      <c r="C306" s="38"/>
    </row>
    <row r="307" spans="3:3" x14ac:dyDescent="0.25">
      <c r="C307" s="38"/>
    </row>
    <row r="308" spans="3:3" x14ac:dyDescent="0.25">
      <c r="C308" s="38"/>
    </row>
    <row r="309" spans="3:3" x14ac:dyDescent="0.25">
      <c r="C309" s="38"/>
    </row>
    <row r="310" spans="3:3" x14ac:dyDescent="0.25">
      <c r="C310" s="38"/>
    </row>
    <row r="311" spans="3:3" x14ac:dyDescent="0.25">
      <c r="C311" s="38"/>
    </row>
    <row r="312" spans="3:3" x14ac:dyDescent="0.25">
      <c r="C312" s="38"/>
    </row>
    <row r="313" spans="3:3" x14ac:dyDescent="0.25">
      <c r="C313" s="38"/>
    </row>
    <row r="314" spans="3:3" x14ac:dyDescent="0.25">
      <c r="C314" s="38"/>
    </row>
    <row r="315" spans="3:3" x14ac:dyDescent="0.25">
      <c r="C315" s="38"/>
    </row>
    <row r="316" spans="3:3" x14ac:dyDescent="0.25">
      <c r="C316" s="38"/>
    </row>
    <row r="317" spans="3:3" x14ac:dyDescent="0.25">
      <c r="C317" s="38"/>
    </row>
    <row r="318" spans="3:3" x14ac:dyDescent="0.25">
      <c r="C318" s="38"/>
    </row>
    <row r="319" spans="3:3" x14ac:dyDescent="0.25">
      <c r="C319" s="38"/>
    </row>
    <row r="320" spans="3:3" x14ac:dyDescent="0.25">
      <c r="C320" s="38"/>
    </row>
    <row r="321" spans="3:3" x14ac:dyDescent="0.25">
      <c r="C321" s="38"/>
    </row>
    <row r="322" spans="3:3" x14ac:dyDescent="0.25">
      <c r="C322" s="38"/>
    </row>
    <row r="323" spans="3:3" x14ac:dyDescent="0.25">
      <c r="C323" s="38"/>
    </row>
    <row r="324" spans="3:3" x14ac:dyDescent="0.25">
      <c r="C324" s="38"/>
    </row>
    <row r="325" spans="3:3" x14ac:dyDescent="0.25">
      <c r="C325" s="38"/>
    </row>
    <row r="326" spans="3:3" x14ac:dyDescent="0.25">
      <c r="C326" s="38"/>
    </row>
    <row r="327" spans="3:3" x14ac:dyDescent="0.25">
      <c r="C327" s="32" t="s">
        <v>189</v>
      </c>
    </row>
    <row r="328" spans="3:3" x14ac:dyDescent="0.25">
      <c r="C328" s="39" t="s">
        <v>190</v>
      </c>
    </row>
    <row r="329" spans="3:3" x14ac:dyDescent="0.25">
      <c r="C329" s="39"/>
    </row>
    <row r="330" spans="3:3" x14ac:dyDescent="0.25">
      <c r="C330" s="39"/>
    </row>
    <row r="331" spans="3:3" x14ac:dyDescent="0.25">
      <c r="C331" s="39"/>
    </row>
    <row r="356" spans="3:3" x14ac:dyDescent="0.25">
      <c r="C356" t="s">
        <v>191</v>
      </c>
    </row>
  </sheetData>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J201"/>
  <sheetViews>
    <sheetView workbookViewId="0">
      <selection activeCell="B3" sqref="B3"/>
    </sheetView>
  </sheetViews>
  <sheetFormatPr defaultRowHeight="15" x14ac:dyDescent="0.25"/>
  <cols>
    <col min="1" max="1" width="13.7109375" customWidth="1"/>
    <col min="2" max="2" width="16.7109375" style="46" customWidth="1"/>
  </cols>
  <sheetData>
    <row r="1" spans="1:36" x14ac:dyDescent="0.25">
      <c r="A1" s="23" t="s">
        <v>56</v>
      </c>
      <c r="B1" s="24" t="s">
        <v>103</v>
      </c>
      <c r="C1" s="22"/>
      <c r="D1" s="22"/>
      <c r="E1" s="22"/>
      <c r="F1" s="22"/>
      <c r="G1" s="22"/>
      <c r="H1" s="22"/>
      <c r="I1" s="22"/>
      <c r="J1" s="22"/>
      <c r="K1" s="22"/>
      <c r="L1" s="22"/>
      <c r="M1" s="22"/>
      <c r="N1" s="22"/>
      <c r="O1" s="22"/>
      <c r="P1" s="22"/>
      <c r="Q1" s="22"/>
      <c r="R1" s="22"/>
      <c r="S1" s="22"/>
      <c r="T1" s="22"/>
      <c r="U1" s="22"/>
      <c r="V1" s="22"/>
      <c r="W1" s="22"/>
      <c r="X1" s="22"/>
      <c r="Y1" s="22"/>
      <c r="Z1" s="22"/>
      <c r="AA1" s="22"/>
      <c r="AB1" s="22"/>
      <c r="AC1" s="22"/>
      <c r="AD1" s="22"/>
      <c r="AE1" s="22"/>
      <c r="AF1" s="22"/>
      <c r="AG1" s="22"/>
      <c r="AH1" s="22"/>
      <c r="AI1" s="22"/>
      <c r="AJ1" s="22"/>
    </row>
    <row r="2" spans="1:36" x14ac:dyDescent="0.25">
      <c r="A2" s="22" t="s">
        <v>81</v>
      </c>
      <c r="B2" s="44">
        <v>8.5835812635249962</v>
      </c>
      <c r="C2" s="22"/>
      <c r="D2" s="22"/>
      <c r="E2" s="22"/>
      <c r="F2" s="22"/>
      <c r="G2" s="22"/>
      <c r="H2" s="22"/>
      <c r="I2" s="22"/>
      <c r="J2" s="22"/>
      <c r="K2" s="22"/>
      <c r="L2" s="22"/>
      <c r="M2" s="22"/>
      <c r="N2" s="22"/>
      <c r="O2" s="22"/>
      <c r="P2" s="22"/>
      <c r="Q2" s="22"/>
      <c r="R2" s="22"/>
      <c r="S2" s="22"/>
      <c r="T2" s="22"/>
      <c r="U2" s="22"/>
      <c r="V2" s="22"/>
      <c r="W2" s="22"/>
      <c r="X2" s="22"/>
      <c r="Y2" s="22"/>
      <c r="Z2" s="22"/>
      <c r="AA2" s="22"/>
      <c r="AB2" s="22"/>
      <c r="AC2" s="22"/>
      <c r="AD2" s="22"/>
      <c r="AE2" s="22"/>
      <c r="AF2" s="22"/>
      <c r="AG2" s="22"/>
      <c r="AH2" s="22"/>
      <c r="AI2" s="22"/>
      <c r="AJ2" s="22"/>
    </row>
    <row r="3" spans="1:36" x14ac:dyDescent="0.25">
      <c r="A3" s="22" t="s">
        <v>59</v>
      </c>
      <c r="B3" s="44">
        <v>112.06602026518708</v>
      </c>
      <c r="C3" s="22"/>
      <c r="D3" s="22"/>
      <c r="E3" s="22"/>
      <c r="F3" s="22"/>
      <c r="G3" s="22"/>
      <c r="H3" s="22"/>
      <c r="I3" s="22"/>
      <c r="J3" s="22"/>
      <c r="K3" s="22"/>
      <c r="L3" s="22"/>
      <c r="M3" s="22"/>
      <c r="N3" s="22"/>
      <c r="O3" s="22"/>
      <c r="P3" s="22"/>
      <c r="Q3" s="22"/>
      <c r="R3" s="22"/>
      <c r="S3" s="22"/>
      <c r="T3" s="22"/>
      <c r="U3" s="22"/>
      <c r="V3" s="22"/>
      <c r="W3" s="22"/>
      <c r="X3" s="22"/>
      <c r="Y3" s="22"/>
      <c r="Z3" s="22"/>
      <c r="AA3" s="22"/>
      <c r="AB3" s="22"/>
      <c r="AC3" s="22"/>
      <c r="AD3" s="22"/>
      <c r="AE3" s="22"/>
      <c r="AF3" s="22"/>
      <c r="AG3" s="22"/>
      <c r="AH3" s="22"/>
      <c r="AI3" s="22"/>
      <c r="AJ3" s="22"/>
    </row>
    <row r="4" spans="1:36" x14ac:dyDescent="0.25">
      <c r="A4" s="22" t="s">
        <v>62</v>
      </c>
      <c r="B4" s="44">
        <v>44.85863586555007</v>
      </c>
      <c r="C4" s="22"/>
      <c r="D4" s="22"/>
      <c r="E4" s="22"/>
      <c r="F4" s="22"/>
      <c r="G4" s="22"/>
      <c r="H4" s="22"/>
      <c r="I4" s="22"/>
      <c r="J4" s="22"/>
      <c r="K4" s="22"/>
      <c r="L4" s="22"/>
      <c r="M4" s="22"/>
      <c r="N4" s="22"/>
      <c r="O4" s="22"/>
      <c r="P4" s="22"/>
      <c r="Q4" s="22"/>
      <c r="R4" s="22"/>
      <c r="S4" s="22"/>
      <c r="T4" s="22"/>
      <c r="U4" s="22"/>
      <c r="V4" s="22"/>
      <c r="W4" s="22"/>
      <c r="X4" s="22"/>
      <c r="Y4" s="22"/>
      <c r="Z4" s="22"/>
      <c r="AA4" s="22"/>
      <c r="AB4" s="22"/>
      <c r="AC4" s="22"/>
      <c r="AD4" s="22"/>
      <c r="AE4" s="22"/>
      <c r="AF4" s="22"/>
      <c r="AG4" s="22"/>
      <c r="AH4" s="22"/>
      <c r="AI4" s="22"/>
      <c r="AJ4" s="22"/>
    </row>
    <row r="5" spans="1:36" x14ac:dyDescent="0.25">
      <c r="A5" s="22" t="s">
        <v>71</v>
      </c>
      <c r="B5" s="44">
        <v>59.97365989925494</v>
      </c>
      <c r="C5" s="22"/>
      <c r="D5" s="22"/>
      <c r="E5" s="22"/>
      <c r="F5" s="22"/>
      <c r="G5" s="22"/>
      <c r="H5" s="22"/>
      <c r="I5" s="22"/>
      <c r="J5" s="22"/>
      <c r="K5" s="22"/>
      <c r="L5" s="22"/>
      <c r="M5" s="22"/>
      <c r="N5" s="22"/>
      <c r="O5" s="22"/>
      <c r="P5" s="22"/>
      <c r="Q5" s="22"/>
      <c r="R5" s="22"/>
      <c r="S5" s="22"/>
      <c r="T5" s="22"/>
      <c r="U5" s="22"/>
      <c r="V5" s="22"/>
      <c r="W5" s="22"/>
      <c r="X5" s="22"/>
      <c r="Y5" s="22"/>
      <c r="Z5" s="22"/>
      <c r="AA5" s="22"/>
      <c r="AB5" s="22"/>
      <c r="AC5" s="22"/>
      <c r="AD5" s="22"/>
      <c r="AE5" s="22"/>
      <c r="AF5" s="22"/>
      <c r="AG5" s="22"/>
      <c r="AH5" s="22"/>
      <c r="AI5" s="22"/>
      <c r="AJ5" s="22"/>
    </row>
    <row r="6" spans="1:36" x14ac:dyDescent="0.25">
      <c r="A6" s="22" t="s">
        <v>70</v>
      </c>
      <c r="B6" s="44">
        <v>91.141772084442891</v>
      </c>
      <c r="C6" s="22"/>
      <c r="D6" s="22"/>
      <c r="E6" s="22"/>
      <c r="F6" s="22"/>
      <c r="G6" s="22"/>
      <c r="H6" s="22"/>
      <c r="I6" s="22"/>
      <c r="J6" s="22"/>
      <c r="K6" s="22"/>
      <c r="L6" s="22"/>
      <c r="M6" s="22"/>
      <c r="N6" s="22"/>
      <c r="O6" s="22"/>
      <c r="P6" s="22"/>
      <c r="Q6" s="22"/>
      <c r="R6" s="22"/>
      <c r="S6" s="22"/>
      <c r="T6" s="22"/>
      <c r="U6" s="22"/>
      <c r="V6" s="22"/>
      <c r="W6" s="22"/>
      <c r="X6" s="22"/>
      <c r="Y6" s="22"/>
      <c r="Z6" s="22"/>
      <c r="AA6" s="22"/>
      <c r="AB6" s="22"/>
      <c r="AC6" s="22"/>
      <c r="AD6" s="22"/>
      <c r="AE6" s="22"/>
      <c r="AF6" s="22"/>
      <c r="AG6" s="22"/>
      <c r="AH6" s="22"/>
      <c r="AI6" s="22"/>
      <c r="AJ6" s="22"/>
    </row>
    <row r="7" spans="1:36" x14ac:dyDescent="0.25">
      <c r="A7" s="22" t="s">
        <v>67</v>
      </c>
      <c r="B7" s="44">
        <v>101.50560235661756</v>
      </c>
      <c r="C7" s="22"/>
      <c r="D7" s="22"/>
      <c r="E7" s="22"/>
      <c r="F7" s="22"/>
      <c r="G7" s="22"/>
      <c r="H7" s="22"/>
      <c r="I7" s="22"/>
      <c r="J7" s="22"/>
      <c r="K7" s="22"/>
      <c r="L7" s="22"/>
      <c r="M7" s="22"/>
      <c r="N7" s="22"/>
      <c r="O7" s="22"/>
      <c r="P7" s="22"/>
      <c r="Q7" s="22"/>
      <c r="R7" s="22"/>
      <c r="S7" s="22"/>
      <c r="T7" s="22"/>
      <c r="U7" s="22"/>
      <c r="V7" s="22"/>
      <c r="W7" s="22"/>
      <c r="X7" s="22"/>
      <c r="Y7" s="22"/>
      <c r="Z7" s="22"/>
      <c r="AA7" s="22"/>
      <c r="AB7" s="22"/>
      <c r="AC7" s="22"/>
      <c r="AD7" s="22"/>
      <c r="AE7" s="22"/>
      <c r="AF7" s="22"/>
      <c r="AG7" s="22"/>
      <c r="AH7" s="22"/>
      <c r="AI7" s="22"/>
      <c r="AJ7" s="22"/>
    </row>
    <row r="8" spans="1:36" x14ac:dyDescent="0.25">
      <c r="A8" s="22" t="s">
        <v>64</v>
      </c>
      <c r="B8" s="44">
        <v>358.81422113562593</v>
      </c>
      <c r="C8" s="22"/>
      <c r="D8" s="22"/>
      <c r="E8" s="22"/>
      <c r="F8" s="22"/>
      <c r="G8" s="22"/>
      <c r="H8" s="22"/>
      <c r="I8" s="22"/>
      <c r="J8" s="22"/>
      <c r="K8" s="22"/>
      <c r="L8" s="22"/>
      <c r="M8" s="22"/>
      <c r="N8" s="22"/>
      <c r="O8" s="22"/>
      <c r="P8" s="22"/>
      <c r="Q8" s="22"/>
      <c r="R8" s="22"/>
      <c r="S8" s="22"/>
      <c r="T8" s="22"/>
      <c r="U8" s="22"/>
      <c r="V8" s="22"/>
      <c r="W8" s="22"/>
      <c r="X8" s="22"/>
      <c r="Y8" s="22"/>
      <c r="Z8" s="22"/>
      <c r="AA8" s="22"/>
      <c r="AB8" s="22"/>
      <c r="AC8" s="22"/>
      <c r="AD8" s="22"/>
      <c r="AE8" s="22"/>
      <c r="AF8" s="22"/>
      <c r="AG8" s="22"/>
      <c r="AH8" s="22"/>
      <c r="AI8" s="22"/>
      <c r="AJ8" s="22"/>
    </row>
    <row r="9" spans="1:36" x14ac:dyDescent="0.25">
      <c r="A9" s="22" t="s">
        <v>74</v>
      </c>
      <c r="B9" s="44">
        <v>134.10032848477772</v>
      </c>
      <c r="C9" s="22"/>
      <c r="D9" s="22"/>
      <c r="E9" s="22"/>
      <c r="F9" s="22"/>
      <c r="G9" s="22"/>
      <c r="H9" s="22"/>
      <c r="I9" s="22"/>
      <c r="J9" s="22"/>
      <c r="K9" s="22"/>
      <c r="L9" s="22"/>
      <c r="M9" s="22"/>
      <c r="N9" s="22"/>
      <c r="O9" s="22"/>
      <c r="P9" s="22"/>
      <c r="Q9" s="22"/>
      <c r="R9" s="22"/>
      <c r="S9" s="22"/>
      <c r="T9" s="22"/>
      <c r="U9" s="22"/>
      <c r="V9" s="22"/>
      <c r="W9" s="22"/>
      <c r="X9" s="22"/>
      <c r="Y9" s="22"/>
      <c r="Z9" s="22"/>
      <c r="AA9" s="22"/>
      <c r="AB9" s="22"/>
      <c r="AC9" s="22"/>
      <c r="AD9" s="22"/>
      <c r="AE9" s="22"/>
      <c r="AF9" s="22"/>
      <c r="AG9" s="22"/>
      <c r="AH9" s="22"/>
      <c r="AI9" s="22"/>
      <c r="AJ9" s="22"/>
    </row>
    <row r="10" spans="1:36" x14ac:dyDescent="0.25">
      <c r="A10" s="22" t="s">
        <v>60</v>
      </c>
      <c r="B10" s="44">
        <v>63.529505721437147</v>
      </c>
      <c r="C10" s="22"/>
      <c r="D10" s="22"/>
      <c r="E10" s="22"/>
      <c r="F10" s="22"/>
      <c r="G10" s="22"/>
      <c r="H10" s="22"/>
      <c r="I10" s="22"/>
      <c r="J10" s="22"/>
      <c r="K10" s="22"/>
      <c r="L10" s="22"/>
      <c r="M10" s="22"/>
      <c r="N10" s="22"/>
      <c r="O10" s="22"/>
      <c r="P10" s="22"/>
      <c r="Q10" s="22"/>
      <c r="R10" s="22"/>
      <c r="S10" s="22"/>
      <c r="T10" s="22"/>
      <c r="U10" s="22"/>
      <c r="V10" s="22"/>
      <c r="W10" s="22"/>
      <c r="X10" s="22"/>
      <c r="Y10" s="22"/>
      <c r="Z10" s="22"/>
      <c r="AA10" s="22"/>
      <c r="AB10" s="22"/>
      <c r="AC10" s="22"/>
      <c r="AD10" s="22"/>
      <c r="AE10" s="22"/>
      <c r="AF10" s="22"/>
      <c r="AG10" s="22"/>
      <c r="AH10" s="22"/>
      <c r="AI10" s="22"/>
      <c r="AJ10" s="22"/>
    </row>
    <row r="11" spans="1:36" x14ac:dyDescent="0.25">
      <c r="A11" s="22" t="s">
        <v>69</v>
      </c>
      <c r="B11" s="44">
        <v>34.273958837549863</v>
      </c>
      <c r="C11" s="22"/>
      <c r="D11" s="22"/>
      <c r="E11" s="22"/>
      <c r="F11" s="22"/>
      <c r="G11" s="22"/>
      <c r="H11" s="22"/>
      <c r="I11" s="22"/>
      <c r="J11" s="22"/>
      <c r="K11" s="22"/>
      <c r="L11" s="22"/>
      <c r="M11" s="22"/>
      <c r="N11" s="22"/>
      <c r="O11" s="22"/>
      <c r="P11" s="22"/>
      <c r="Q11" s="22"/>
      <c r="R11" s="22"/>
      <c r="S11" s="22"/>
      <c r="T11" s="22"/>
      <c r="U11" s="22"/>
      <c r="V11" s="22"/>
      <c r="W11" s="22"/>
      <c r="X11" s="22"/>
      <c r="Y11" s="22"/>
      <c r="Z11" s="22"/>
      <c r="AA11" s="22"/>
      <c r="AB11" s="22"/>
      <c r="AC11" s="22"/>
      <c r="AD11" s="22"/>
      <c r="AE11" s="22"/>
      <c r="AF11" s="22"/>
      <c r="AG11" s="22"/>
      <c r="AH11" s="22"/>
      <c r="AI11" s="22"/>
      <c r="AJ11" s="22"/>
    </row>
    <row r="12" spans="1:36" x14ac:dyDescent="0.25">
      <c r="A12" s="22" t="s">
        <v>78</v>
      </c>
      <c r="B12" s="44">
        <v>40.093755528038209</v>
      </c>
      <c r="C12" s="22"/>
      <c r="D12" s="22"/>
      <c r="E12" s="22"/>
      <c r="F12" s="22"/>
      <c r="G12" s="22"/>
      <c r="H12" s="22"/>
      <c r="I12" s="22"/>
      <c r="J12" s="22"/>
      <c r="K12" s="22"/>
      <c r="L12" s="22"/>
      <c r="M12" s="22"/>
      <c r="N12" s="22"/>
      <c r="O12" s="22"/>
      <c r="P12" s="22"/>
      <c r="Q12" s="22"/>
      <c r="R12" s="22"/>
      <c r="S12" s="22"/>
      <c r="T12" s="22"/>
      <c r="U12" s="22"/>
      <c r="V12" s="22"/>
      <c r="W12" s="22"/>
      <c r="X12" s="22"/>
      <c r="Y12" s="22"/>
      <c r="Z12" s="22"/>
      <c r="AA12" s="22"/>
      <c r="AB12" s="22"/>
      <c r="AC12" s="22"/>
      <c r="AD12" s="22"/>
      <c r="AE12" s="22"/>
      <c r="AF12" s="22"/>
      <c r="AG12" s="22"/>
      <c r="AH12" s="22"/>
      <c r="AI12" s="22"/>
      <c r="AJ12" s="22"/>
    </row>
    <row r="13" spans="1:36" x14ac:dyDescent="0.25">
      <c r="A13" s="22" t="s">
        <v>82</v>
      </c>
      <c r="B13" s="44">
        <v>19.785132701190538</v>
      </c>
      <c r="C13" s="22"/>
      <c r="D13" s="22"/>
      <c r="E13" s="22"/>
      <c r="F13" s="22"/>
      <c r="G13" s="22"/>
      <c r="H13" s="22"/>
      <c r="I13" s="22"/>
      <c r="J13" s="22"/>
      <c r="K13" s="22"/>
      <c r="L13" s="22"/>
      <c r="M13" s="22"/>
      <c r="N13" s="22"/>
      <c r="O13" s="22"/>
      <c r="P13" s="22"/>
      <c r="Q13" s="22"/>
      <c r="R13" s="22"/>
      <c r="S13" s="22"/>
      <c r="T13" s="22"/>
      <c r="U13" s="22"/>
      <c r="V13" s="22"/>
      <c r="W13" s="22"/>
      <c r="X13" s="22"/>
      <c r="Y13" s="22"/>
      <c r="Z13" s="22"/>
      <c r="AA13" s="22"/>
      <c r="AB13" s="22"/>
      <c r="AC13" s="22"/>
      <c r="AD13" s="22"/>
      <c r="AE13" s="22"/>
      <c r="AF13" s="22"/>
      <c r="AG13" s="22"/>
      <c r="AH13" s="22"/>
      <c r="AI13" s="22"/>
      <c r="AJ13" s="22"/>
    </row>
    <row r="14" spans="1:36" x14ac:dyDescent="0.25">
      <c r="A14" s="22" t="s">
        <v>77</v>
      </c>
      <c r="B14" s="44">
        <v>75.4867889064125</v>
      </c>
      <c r="C14" s="22"/>
      <c r="D14" s="22"/>
      <c r="E14" s="22"/>
      <c r="F14" s="22"/>
      <c r="G14" s="22"/>
      <c r="H14" s="22"/>
      <c r="I14" s="22"/>
      <c r="J14" s="22"/>
      <c r="K14" s="22"/>
      <c r="L14" s="22"/>
      <c r="M14" s="22"/>
      <c r="N14" s="22"/>
      <c r="O14" s="22"/>
      <c r="P14" s="22"/>
      <c r="Q14" s="22"/>
      <c r="R14" s="22"/>
      <c r="S14" s="22"/>
      <c r="T14" s="22"/>
      <c r="U14" s="22"/>
      <c r="V14" s="22"/>
      <c r="W14" s="22"/>
      <c r="X14" s="22"/>
      <c r="Y14" s="22"/>
      <c r="Z14" s="22"/>
      <c r="AA14" s="22"/>
      <c r="AB14" s="22"/>
      <c r="AC14" s="22"/>
      <c r="AD14" s="22"/>
      <c r="AE14" s="22"/>
      <c r="AF14" s="22"/>
      <c r="AG14" s="22"/>
      <c r="AH14" s="22"/>
      <c r="AI14" s="22"/>
      <c r="AJ14" s="22"/>
    </row>
    <row r="15" spans="1:36" x14ac:dyDescent="0.25">
      <c r="A15" s="22" t="s">
        <v>57</v>
      </c>
      <c r="B15" s="44">
        <v>92.255436220636625</v>
      </c>
      <c r="C15" s="22"/>
      <c r="D15" s="22"/>
      <c r="E15" s="22"/>
      <c r="F15" s="22"/>
      <c r="G15" s="22"/>
      <c r="H15" s="22"/>
      <c r="I15" s="22"/>
      <c r="J15" s="22"/>
      <c r="K15" s="22"/>
      <c r="L15" s="22"/>
      <c r="M15" s="22"/>
      <c r="N15" s="22"/>
      <c r="O15" s="22"/>
      <c r="P15" s="22"/>
      <c r="Q15" s="22"/>
      <c r="R15" s="22"/>
      <c r="S15" s="22"/>
      <c r="T15" s="22"/>
      <c r="U15" s="22"/>
      <c r="V15" s="22"/>
      <c r="W15" s="22"/>
      <c r="X15" s="22"/>
      <c r="Y15" s="22"/>
      <c r="Z15" s="22"/>
      <c r="AA15" s="22"/>
      <c r="AB15" s="22"/>
      <c r="AC15" s="22"/>
      <c r="AD15" s="22"/>
      <c r="AE15" s="22"/>
      <c r="AF15" s="22"/>
      <c r="AG15" s="22"/>
      <c r="AH15" s="22"/>
      <c r="AI15" s="22"/>
      <c r="AJ15" s="22"/>
    </row>
    <row r="16" spans="1:36" x14ac:dyDescent="0.25">
      <c r="A16" s="22" t="s">
        <v>58</v>
      </c>
      <c r="B16" s="44">
        <v>67.207208002483483</v>
      </c>
      <c r="C16" s="22"/>
      <c r="D16" s="22"/>
      <c r="E16" s="22"/>
      <c r="F16" s="22"/>
      <c r="G16" s="22"/>
      <c r="H16" s="22"/>
      <c r="I16" s="22"/>
      <c r="J16" s="22"/>
      <c r="K16" s="22"/>
      <c r="L16" s="22"/>
      <c r="M16" s="22"/>
      <c r="N16" s="22"/>
      <c r="O16" s="22"/>
      <c r="P16" s="22"/>
      <c r="Q16" s="22"/>
      <c r="R16" s="22"/>
      <c r="S16" s="22"/>
      <c r="T16" s="22"/>
      <c r="U16" s="22"/>
      <c r="V16" s="22"/>
      <c r="W16" s="22"/>
      <c r="X16" s="22"/>
      <c r="Y16" s="22"/>
      <c r="Z16" s="22"/>
      <c r="AA16" s="22"/>
      <c r="AB16" s="22"/>
      <c r="AC16" s="22"/>
      <c r="AD16" s="22"/>
      <c r="AE16" s="22"/>
      <c r="AF16" s="22"/>
      <c r="AG16" s="22"/>
      <c r="AH16" s="22"/>
      <c r="AI16" s="22"/>
      <c r="AJ16" s="22"/>
    </row>
    <row r="17" spans="1:36" x14ac:dyDescent="0.25">
      <c r="A17" s="22" t="s">
        <v>72</v>
      </c>
      <c r="B17" s="44">
        <v>110.80232603285897</v>
      </c>
      <c r="C17" s="22"/>
      <c r="D17" s="22"/>
      <c r="E17" s="22"/>
      <c r="F17" s="22"/>
      <c r="G17" s="22"/>
      <c r="H17" s="22"/>
      <c r="I17" s="22"/>
      <c r="J17" s="22"/>
      <c r="K17" s="22"/>
      <c r="L17" s="22"/>
      <c r="M17" s="22"/>
      <c r="N17" s="22"/>
      <c r="O17" s="22"/>
      <c r="P17" s="22"/>
      <c r="Q17" s="22"/>
      <c r="R17" s="22"/>
      <c r="S17" s="22"/>
      <c r="T17" s="22"/>
      <c r="U17" s="22"/>
      <c r="V17" s="22"/>
      <c r="W17" s="22"/>
      <c r="X17" s="22"/>
      <c r="Y17" s="22"/>
      <c r="Z17" s="22"/>
      <c r="AA17" s="22"/>
      <c r="AB17" s="22"/>
      <c r="AC17" s="22"/>
      <c r="AD17" s="22"/>
      <c r="AE17" s="22"/>
      <c r="AF17" s="22"/>
      <c r="AG17" s="22"/>
      <c r="AH17" s="22"/>
      <c r="AI17" s="22"/>
      <c r="AJ17" s="22"/>
    </row>
    <row r="18" spans="1:36" x14ac:dyDescent="0.25">
      <c r="A18" s="22" t="s">
        <v>65</v>
      </c>
      <c r="B18" s="44">
        <v>57.291403378967317</v>
      </c>
      <c r="C18" s="22"/>
      <c r="D18" s="22"/>
      <c r="E18" s="22"/>
      <c r="F18" s="22"/>
      <c r="G18" s="22"/>
      <c r="H18" s="22"/>
      <c r="I18" s="22"/>
      <c r="J18" s="22"/>
      <c r="K18" s="22"/>
      <c r="L18" s="22"/>
      <c r="M18" s="22"/>
      <c r="N18" s="22"/>
      <c r="O18" s="22"/>
      <c r="P18" s="22"/>
      <c r="Q18" s="22"/>
      <c r="R18" s="22"/>
      <c r="S18" s="22"/>
      <c r="T18" s="22"/>
      <c r="U18" s="22"/>
      <c r="V18" s="22"/>
      <c r="W18" s="22"/>
      <c r="X18" s="22"/>
      <c r="Y18" s="22"/>
      <c r="Z18" s="22"/>
      <c r="AA18" s="22"/>
      <c r="AB18" s="22"/>
      <c r="AC18" s="22"/>
      <c r="AD18" s="22"/>
      <c r="AE18" s="22"/>
      <c r="AF18" s="22"/>
      <c r="AG18" s="22"/>
      <c r="AH18" s="22"/>
      <c r="AI18" s="22"/>
      <c r="AJ18" s="22"/>
    </row>
    <row r="19" spans="1:36" x14ac:dyDescent="0.25">
      <c r="A19" s="22" t="s">
        <v>61</v>
      </c>
      <c r="B19" s="44">
        <v>94.719790963219936</v>
      </c>
      <c r="C19" s="22"/>
      <c r="D19" s="22"/>
      <c r="E19" s="22"/>
      <c r="F19" s="22"/>
      <c r="G19" s="22"/>
      <c r="H19" s="22"/>
      <c r="I19" s="22"/>
      <c r="J19" s="22"/>
      <c r="K19" s="22"/>
      <c r="L19" s="22"/>
      <c r="M19" s="22"/>
      <c r="N19" s="22"/>
      <c r="O19" s="22"/>
      <c r="P19" s="22"/>
      <c r="Q19" s="22"/>
      <c r="R19" s="22"/>
      <c r="S19" s="22"/>
      <c r="T19" s="22"/>
      <c r="U19" s="22"/>
      <c r="V19" s="22"/>
      <c r="W19" s="22"/>
      <c r="X19" s="22"/>
      <c r="Y19" s="22"/>
      <c r="Z19" s="22"/>
      <c r="AA19" s="22"/>
      <c r="AB19" s="22"/>
      <c r="AC19" s="22"/>
      <c r="AD19" s="22"/>
      <c r="AE19" s="22"/>
      <c r="AF19" s="22"/>
      <c r="AG19" s="22"/>
      <c r="AH19" s="22"/>
      <c r="AI19" s="22"/>
      <c r="AJ19" s="22"/>
    </row>
    <row r="20" spans="1:36" x14ac:dyDescent="0.25">
      <c r="A20" s="22" t="s">
        <v>76</v>
      </c>
      <c r="B20" s="44">
        <v>13.182567719439019</v>
      </c>
      <c r="C20" s="22"/>
      <c r="D20" s="22"/>
      <c r="E20" s="22"/>
      <c r="F20" s="22"/>
      <c r="G20" s="22"/>
      <c r="H20" s="22"/>
      <c r="I20" s="22"/>
      <c r="J20" s="22"/>
      <c r="K20" s="22"/>
      <c r="L20" s="22"/>
      <c r="M20" s="22"/>
      <c r="N20" s="22"/>
      <c r="O20" s="22"/>
      <c r="P20" s="22"/>
      <c r="Q20" s="22"/>
      <c r="R20" s="22"/>
      <c r="S20" s="22"/>
      <c r="T20" s="22"/>
      <c r="U20" s="22"/>
      <c r="V20" s="22"/>
      <c r="W20" s="22"/>
      <c r="X20" s="22"/>
      <c r="Y20" s="22"/>
      <c r="Z20" s="22"/>
      <c r="AA20" s="22"/>
      <c r="AB20" s="22"/>
      <c r="AC20" s="22"/>
      <c r="AD20" s="22"/>
      <c r="AE20" s="22"/>
      <c r="AF20" s="22"/>
      <c r="AG20" s="22"/>
      <c r="AH20" s="22"/>
      <c r="AI20" s="22"/>
      <c r="AJ20" s="22"/>
    </row>
    <row r="21" spans="1:36" x14ac:dyDescent="0.25">
      <c r="A21" s="22" t="s">
        <v>68</v>
      </c>
      <c r="B21" s="44">
        <v>357.45486313337216</v>
      </c>
      <c r="C21" s="22"/>
      <c r="D21" s="22"/>
      <c r="E21" s="22"/>
      <c r="F21" s="22"/>
      <c r="G21" s="22"/>
      <c r="H21" s="22"/>
      <c r="I21" s="22"/>
      <c r="J21" s="22"/>
      <c r="K21" s="22"/>
      <c r="L21" s="22"/>
      <c r="M21" s="22"/>
      <c r="N21" s="22"/>
      <c r="O21" s="22"/>
      <c r="P21" s="22"/>
      <c r="Q21" s="22"/>
      <c r="R21" s="22"/>
      <c r="S21" s="22"/>
      <c r="T21" s="22"/>
      <c r="U21" s="22"/>
      <c r="V21" s="22"/>
      <c r="W21" s="22"/>
      <c r="X21" s="22"/>
      <c r="Y21" s="22"/>
      <c r="Z21" s="22"/>
      <c r="AA21" s="22"/>
      <c r="AB21" s="22"/>
      <c r="AC21" s="22"/>
      <c r="AD21" s="22"/>
      <c r="AE21" s="22"/>
      <c r="AF21" s="22"/>
      <c r="AG21" s="22"/>
      <c r="AH21" s="22"/>
      <c r="AI21" s="22"/>
      <c r="AJ21" s="22"/>
    </row>
    <row r="22" spans="1:36" x14ac:dyDescent="0.25">
      <c r="A22" s="22" t="s">
        <v>84</v>
      </c>
      <c r="B22" s="44">
        <v>101.91738416424882</v>
      </c>
      <c r="C22" s="22"/>
      <c r="D22" s="22"/>
      <c r="E22" s="22"/>
      <c r="F22" s="22"/>
      <c r="G22" s="22"/>
      <c r="H22" s="22"/>
      <c r="I22" s="22"/>
      <c r="J22" s="22"/>
      <c r="K22" s="22"/>
      <c r="L22" s="22"/>
      <c r="M22" s="22"/>
      <c r="N22" s="22"/>
      <c r="O22" s="22"/>
      <c r="P22" s="22"/>
      <c r="Q22" s="22"/>
      <c r="R22" s="22"/>
      <c r="S22" s="22"/>
      <c r="T22" s="22"/>
      <c r="U22" s="22"/>
      <c r="V22" s="22"/>
      <c r="W22" s="22"/>
      <c r="X22" s="22"/>
      <c r="Y22" s="22"/>
      <c r="Z22" s="22"/>
      <c r="AA22" s="22"/>
      <c r="AB22" s="22"/>
      <c r="AC22" s="22"/>
      <c r="AD22" s="22"/>
      <c r="AE22" s="22"/>
      <c r="AF22" s="22"/>
      <c r="AG22" s="22"/>
      <c r="AH22" s="22"/>
      <c r="AI22" s="22"/>
      <c r="AJ22" s="22"/>
    </row>
    <row r="23" spans="1:36" x14ac:dyDescent="0.25">
      <c r="A23" s="22" t="s">
        <v>73</v>
      </c>
      <c r="B23" s="44">
        <v>97.801123064581716</v>
      </c>
      <c r="C23" s="22"/>
      <c r="D23" s="22"/>
      <c r="E23" s="22"/>
      <c r="F23" s="22"/>
      <c r="G23" s="22"/>
      <c r="H23" s="22"/>
      <c r="I23" s="22"/>
      <c r="J23" s="22"/>
      <c r="K23" s="22"/>
      <c r="L23" s="22"/>
      <c r="M23" s="22"/>
      <c r="N23" s="22"/>
      <c r="O23" s="22"/>
      <c r="P23" s="22"/>
      <c r="Q23" s="22"/>
      <c r="R23" s="22"/>
      <c r="S23" s="22"/>
      <c r="T23" s="22"/>
      <c r="U23" s="22"/>
      <c r="V23" s="22"/>
      <c r="W23" s="22"/>
      <c r="X23" s="22"/>
      <c r="Y23" s="22"/>
      <c r="Z23" s="22"/>
      <c r="AA23" s="22"/>
      <c r="AB23" s="22"/>
      <c r="AC23" s="22"/>
      <c r="AD23" s="22"/>
      <c r="AE23" s="22"/>
      <c r="AF23" s="22"/>
      <c r="AG23" s="22"/>
      <c r="AH23" s="22"/>
      <c r="AI23" s="22"/>
      <c r="AJ23" s="22"/>
    </row>
    <row r="24" spans="1:36" x14ac:dyDescent="0.25">
      <c r="A24" s="22" t="s">
        <v>75</v>
      </c>
      <c r="B24" s="44">
        <v>109.01309275271484</v>
      </c>
      <c r="C24" s="22"/>
      <c r="D24" s="22"/>
      <c r="E24" s="22"/>
      <c r="F24" s="22"/>
      <c r="G24" s="22"/>
      <c r="H24" s="22"/>
      <c r="I24" s="22"/>
      <c r="J24" s="22"/>
      <c r="K24" s="22"/>
      <c r="L24" s="22"/>
      <c r="M24" s="22"/>
      <c r="N24" s="22"/>
      <c r="O24" s="22"/>
      <c r="P24" s="22"/>
      <c r="Q24" s="22"/>
      <c r="R24" s="22"/>
      <c r="S24" s="22"/>
      <c r="T24" s="22"/>
      <c r="U24" s="22"/>
      <c r="V24" s="22"/>
      <c r="W24" s="22"/>
      <c r="X24" s="22"/>
      <c r="Y24" s="22"/>
      <c r="Z24" s="22"/>
      <c r="AA24" s="22"/>
      <c r="AB24" s="22"/>
      <c r="AC24" s="22"/>
      <c r="AD24" s="22"/>
      <c r="AE24" s="22"/>
      <c r="AF24" s="22"/>
      <c r="AG24" s="22"/>
      <c r="AH24" s="22"/>
      <c r="AI24" s="22"/>
      <c r="AJ24" s="22"/>
    </row>
    <row r="25" spans="1:36" x14ac:dyDescent="0.25">
      <c r="A25" s="22" t="s">
        <v>63</v>
      </c>
      <c r="B25" s="44">
        <v>158.91826997347314</v>
      </c>
      <c r="C25" s="22"/>
      <c r="D25" s="22"/>
      <c r="E25" s="22"/>
      <c r="F25" s="22"/>
      <c r="G25" s="22"/>
      <c r="H25" s="22"/>
      <c r="I25" s="22"/>
      <c r="J25" s="22"/>
      <c r="K25" s="22"/>
      <c r="L25" s="22"/>
      <c r="M25" s="22"/>
      <c r="N25" s="22"/>
      <c r="O25" s="22"/>
      <c r="P25" s="22"/>
      <c r="Q25" s="22"/>
      <c r="R25" s="22"/>
      <c r="S25" s="22"/>
      <c r="T25" s="22"/>
      <c r="U25" s="22"/>
      <c r="V25" s="22"/>
      <c r="W25" s="22"/>
      <c r="X25" s="22"/>
      <c r="Y25" s="22"/>
      <c r="Z25" s="22"/>
      <c r="AA25" s="22"/>
      <c r="AB25" s="22"/>
      <c r="AC25" s="22"/>
      <c r="AD25" s="22"/>
      <c r="AE25" s="22"/>
      <c r="AF25" s="22"/>
      <c r="AG25" s="22"/>
      <c r="AH25" s="22"/>
      <c r="AI25" s="22"/>
      <c r="AJ25" s="22"/>
    </row>
    <row r="26" spans="1:36" x14ac:dyDescent="0.25">
      <c r="A26" s="22" t="s">
        <v>83</v>
      </c>
      <c r="B26" s="44">
        <v>3.105838831144009</v>
      </c>
      <c r="C26" s="22"/>
      <c r="D26" s="22"/>
      <c r="E26" s="22"/>
      <c r="F26" s="22"/>
      <c r="G26" s="22"/>
      <c r="H26" s="22"/>
      <c r="I26" s="22"/>
      <c r="J26" s="22"/>
      <c r="K26" s="22"/>
      <c r="L26" s="22"/>
      <c r="M26" s="22"/>
      <c r="N26" s="22"/>
      <c r="O26" s="22"/>
      <c r="P26" s="22"/>
      <c r="Q26" s="22"/>
      <c r="R26" s="22"/>
      <c r="S26" s="22"/>
      <c r="T26" s="22"/>
      <c r="U26" s="22"/>
      <c r="V26" s="22"/>
      <c r="W26" s="22"/>
      <c r="X26" s="22"/>
      <c r="Y26" s="22"/>
      <c r="Z26" s="22"/>
      <c r="AA26" s="22"/>
      <c r="AB26" s="22"/>
      <c r="AC26" s="22"/>
      <c r="AD26" s="22"/>
      <c r="AE26" s="22"/>
      <c r="AF26" s="22"/>
      <c r="AG26" s="22"/>
      <c r="AH26" s="22"/>
      <c r="AI26" s="22"/>
      <c r="AJ26" s="22"/>
    </row>
    <row r="27" spans="1:36" x14ac:dyDescent="0.25">
      <c r="A27" s="22" t="s">
        <v>66</v>
      </c>
      <c r="B27" s="44">
        <v>80.861343707957317</v>
      </c>
      <c r="C27" s="22"/>
      <c r="D27" s="22"/>
      <c r="E27" s="22"/>
      <c r="F27" s="22"/>
      <c r="G27" s="22"/>
      <c r="H27" s="22"/>
      <c r="I27" s="22"/>
      <c r="J27" s="22"/>
      <c r="K27" s="22"/>
      <c r="L27" s="22"/>
      <c r="M27" s="22"/>
      <c r="N27" s="22"/>
      <c r="O27" s="22"/>
      <c r="P27" s="22"/>
      <c r="Q27" s="22"/>
      <c r="R27" s="22"/>
      <c r="S27" s="22"/>
      <c r="T27" s="22"/>
      <c r="U27" s="22"/>
      <c r="V27" s="22"/>
      <c r="W27" s="22"/>
      <c r="X27" s="22"/>
      <c r="Y27" s="22"/>
      <c r="Z27" s="22"/>
      <c r="AA27" s="22"/>
      <c r="AB27" s="22"/>
      <c r="AC27" s="22"/>
      <c r="AD27" s="22"/>
      <c r="AE27" s="22"/>
      <c r="AF27" s="22"/>
      <c r="AG27" s="22"/>
      <c r="AH27" s="22"/>
      <c r="AI27" s="22"/>
      <c r="AJ27" s="22"/>
    </row>
    <row r="28" spans="1:36" x14ac:dyDescent="0.25">
      <c r="A28" s="22" t="s">
        <v>80</v>
      </c>
      <c r="B28" s="44">
        <v>14.043552326179778</v>
      </c>
      <c r="C28" s="22"/>
      <c r="D28" s="22"/>
      <c r="E28" s="22"/>
      <c r="F28" s="22"/>
      <c r="G28" s="22"/>
      <c r="H28" s="22"/>
      <c r="I28" s="22"/>
      <c r="J28" s="22"/>
      <c r="K28" s="22"/>
      <c r="L28" s="22"/>
      <c r="M28" s="22"/>
      <c r="N28" s="22"/>
      <c r="O28" s="22"/>
      <c r="P28" s="22"/>
      <c r="Q28" s="22"/>
      <c r="R28" s="22"/>
      <c r="S28" s="22"/>
      <c r="T28" s="22"/>
      <c r="U28" s="22"/>
      <c r="V28" s="22"/>
      <c r="W28" s="22"/>
      <c r="X28" s="22"/>
      <c r="Y28" s="22"/>
      <c r="Z28" s="22"/>
      <c r="AA28" s="22"/>
      <c r="AB28" s="22"/>
      <c r="AC28" s="22"/>
      <c r="AD28" s="22"/>
      <c r="AE28" s="22"/>
      <c r="AF28" s="22"/>
      <c r="AG28" s="22"/>
      <c r="AH28" s="22"/>
      <c r="AI28" s="22"/>
      <c r="AJ28" s="22"/>
    </row>
    <row r="29" spans="1:36" x14ac:dyDescent="0.25">
      <c r="A29" s="22" t="s">
        <v>79</v>
      </c>
      <c r="B29" s="44">
        <v>94.234282592006622</v>
      </c>
      <c r="C29" s="22"/>
      <c r="D29" s="22"/>
      <c r="E29" s="22"/>
      <c r="F29" s="22"/>
      <c r="G29" s="22"/>
      <c r="H29" s="22"/>
      <c r="I29" s="22"/>
      <c r="J29" s="22"/>
      <c r="K29" s="22"/>
      <c r="L29" s="22"/>
      <c r="M29" s="22"/>
      <c r="N29" s="22"/>
      <c r="O29" s="22"/>
      <c r="P29" s="22"/>
      <c r="Q29" s="22"/>
      <c r="R29" s="22"/>
      <c r="S29" s="22"/>
      <c r="T29" s="22"/>
      <c r="U29" s="22"/>
      <c r="V29" s="22"/>
      <c r="W29" s="22"/>
      <c r="X29" s="22"/>
      <c r="Y29" s="22"/>
      <c r="Z29" s="22"/>
      <c r="AA29" s="22"/>
      <c r="AB29" s="22"/>
      <c r="AC29" s="22"/>
      <c r="AD29" s="22"/>
      <c r="AE29" s="22"/>
      <c r="AF29" s="22"/>
      <c r="AG29" s="22"/>
      <c r="AH29" s="22"/>
      <c r="AI29" s="22"/>
      <c r="AJ29" s="22"/>
    </row>
    <row r="30" spans="1:36" x14ac:dyDescent="0.25">
      <c r="A30" s="22"/>
      <c r="B30" s="45"/>
      <c r="C30" s="22"/>
      <c r="D30" s="22"/>
      <c r="E30" s="22"/>
      <c r="F30" s="22"/>
      <c r="G30" s="22"/>
      <c r="H30" s="22"/>
      <c r="I30" s="22"/>
      <c r="J30" s="22"/>
      <c r="K30" s="22"/>
      <c r="L30" s="22"/>
      <c r="M30" s="22"/>
      <c r="N30" s="22"/>
      <c r="O30" s="22"/>
      <c r="P30" s="22"/>
      <c r="Q30" s="22"/>
      <c r="R30" s="22"/>
      <c r="S30" s="22"/>
      <c r="T30" s="22"/>
      <c r="U30" s="22"/>
      <c r="V30" s="22"/>
      <c r="W30" s="22"/>
      <c r="X30" s="22"/>
      <c r="Y30" s="22"/>
      <c r="Z30" s="22"/>
      <c r="AA30" s="22"/>
      <c r="AB30" s="22"/>
      <c r="AC30" s="22"/>
      <c r="AD30" s="22"/>
      <c r="AE30" s="22"/>
      <c r="AF30" s="22"/>
      <c r="AG30" s="22"/>
      <c r="AH30" s="22"/>
      <c r="AI30" s="22"/>
      <c r="AJ30" s="22"/>
    </row>
    <row r="31" spans="1:36" x14ac:dyDescent="0.25">
      <c r="A31" s="22"/>
      <c r="B31" s="44"/>
      <c r="C31" s="22"/>
      <c r="D31" s="22"/>
      <c r="E31" s="22"/>
      <c r="F31" s="22"/>
      <c r="G31" s="22"/>
      <c r="H31" s="22"/>
      <c r="I31" s="22"/>
      <c r="J31" s="22"/>
      <c r="K31" s="22"/>
      <c r="L31" s="22"/>
      <c r="M31" s="22"/>
      <c r="N31" s="22"/>
      <c r="O31" s="22"/>
      <c r="P31" s="22"/>
      <c r="Q31" s="22"/>
      <c r="R31" s="22"/>
      <c r="S31" s="22"/>
      <c r="T31" s="22"/>
      <c r="U31" s="22"/>
      <c r="V31" s="22"/>
      <c r="W31" s="22"/>
      <c r="X31" s="22"/>
      <c r="Y31" s="22"/>
      <c r="Z31" s="22"/>
      <c r="AA31" s="22"/>
      <c r="AB31" s="22"/>
      <c r="AC31" s="22"/>
      <c r="AD31" s="22"/>
      <c r="AE31" s="22"/>
      <c r="AF31" s="22"/>
      <c r="AG31" s="22"/>
      <c r="AH31" s="22"/>
      <c r="AI31" s="22"/>
      <c r="AJ31" s="22"/>
    </row>
    <row r="32" spans="1:36" x14ac:dyDescent="0.25">
      <c r="A32" s="22"/>
      <c r="B32" s="44"/>
      <c r="C32" s="22"/>
      <c r="D32" s="22"/>
      <c r="E32" s="22"/>
      <c r="F32" s="22"/>
      <c r="G32" s="22"/>
      <c r="H32" s="22"/>
      <c r="I32" s="22"/>
      <c r="J32" s="22"/>
      <c r="K32" s="22"/>
      <c r="L32" s="22"/>
      <c r="M32" s="22"/>
      <c r="N32" s="22"/>
      <c r="O32" s="22"/>
      <c r="P32" s="22"/>
      <c r="Q32" s="22"/>
      <c r="R32" s="22"/>
      <c r="S32" s="22"/>
      <c r="T32" s="22"/>
      <c r="U32" s="22"/>
      <c r="V32" s="22"/>
      <c r="W32" s="22"/>
      <c r="X32" s="22"/>
      <c r="Y32" s="22"/>
      <c r="Z32" s="22"/>
      <c r="AA32" s="22"/>
      <c r="AB32" s="22"/>
      <c r="AC32" s="22"/>
      <c r="AD32" s="22"/>
      <c r="AE32" s="22"/>
      <c r="AF32" s="22"/>
      <c r="AG32" s="22"/>
      <c r="AH32" s="22"/>
      <c r="AI32" s="22"/>
      <c r="AJ32" s="22"/>
    </row>
    <row r="33" spans="1:36" x14ac:dyDescent="0.25">
      <c r="A33" s="22"/>
      <c r="B33" s="44"/>
      <c r="C33" s="22"/>
      <c r="D33" s="22"/>
      <c r="E33" s="22"/>
      <c r="F33" s="22"/>
      <c r="G33" s="22"/>
      <c r="H33" s="22"/>
      <c r="I33" s="22"/>
      <c r="J33" s="22"/>
      <c r="K33" s="22"/>
      <c r="L33" s="22"/>
      <c r="M33" s="22"/>
      <c r="N33" s="22"/>
      <c r="O33" s="22"/>
      <c r="P33" s="22"/>
      <c r="Q33" s="22"/>
      <c r="R33" s="22"/>
      <c r="S33" s="22"/>
      <c r="T33" s="22"/>
      <c r="U33" s="22"/>
      <c r="V33" s="22"/>
      <c r="W33" s="22"/>
      <c r="X33" s="22"/>
      <c r="Y33" s="22"/>
      <c r="Z33" s="22"/>
      <c r="AA33" s="22"/>
      <c r="AB33" s="22"/>
      <c r="AC33" s="22"/>
      <c r="AD33" s="22"/>
      <c r="AE33" s="22"/>
      <c r="AF33" s="22"/>
      <c r="AG33" s="22"/>
      <c r="AH33" s="22"/>
      <c r="AI33" s="22"/>
      <c r="AJ33" s="22"/>
    </row>
    <row r="34" spans="1:36" x14ac:dyDescent="0.25">
      <c r="A34" s="22"/>
      <c r="B34" s="44"/>
      <c r="C34" s="22"/>
      <c r="D34" s="22"/>
      <c r="E34" s="22"/>
      <c r="F34" s="22"/>
      <c r="G34" s="22"/>
      <c r="H34" s="22"/>
      <c r="I34" s="22"/>
      <c r="J34" s="22"/>
      <c r="K34" s="22"/>
      <c r="L34" s="22"/>
      <c r="M34" s="22"/>
      <c r="N34" s="22"/>
      <c r="O34" s="22"/>
      <c r="P34" s="22"/>
      <c r="Q34" s="22"/>
      <c r="R34" s="22"/>
      <c r="S34" s="22"/>
      <c r="T34" s="22"/>
      <c r="U34" s="22"/>
      <c r="V34" s="22"/>
      <c r="W34" s="22"/>
      <c r="X34" s="22"/>
      <c r="Y34" s="22"/>
      <c r="Z34" s="22"/>
      <c r="AA34" s="22"/>
      <c r="AB34" s="22"/>
      <c r="AC34" s="22"/>
      <c r="AD34" s="22"/>
      <c r="AE34" s="22"/>
      <c r="AF34" s="22"/>
      <c r="AG34" s="22"/>
      <c r="AH34" s="22"/>
      <c r="AI34" s="22"/>
      <c r="AJ34" s="22"/>
    </row>
    <row r="35" spans="1:36" x14ac:dyDescent="0.25">
      <c r="A35" s="22"/>
      <c r="B35" s="44"/>
      <c r="C35" s="22"/>
      <c r="D35" s="22"/>
      <c r="E35" s="22"/>
      <c r="F35" s="22"/>
      <c r="G35" s="22"/>
      <c r="H35" s="22"/>
      <c r="I35" s="22"/>
      <c r="J35" s="22"/>
      <c r="K35" s="22"/>
      <c r="L35" s="22"/>
      <c r="M35" s="22"/>
      <c r="N35" s="22"/>
      <c r="O35" s="22"/>
      <c r="P35" s="22"/>
      <c r="Q35" s="22"/>
      <c r="R35" s="22"/>
      <c r="S35" s="22"/>
      <c r="T35" s="22"/>
      <c r="U35" s="22"/>
      <c r="V35" s="22"/>
      <c r="W35" s="22"/>
      <c r="X35" s="22"/>
      <c r="Y35" s="22"/>
      <c r="Z35" s="22"/>
      <c r="AA35" s="22"/>
      <c r="AB35" s="22"/>
      <c r="AC35" s="22"/>
      <c r="AD35" s="22"/>
      <c r="AE35" s="22"/>
      <c r="AF35" s="22"/>
      <c r="AG35" s="22"/>
      <c r="AH35" s="22"/>
      <c r="AI35" s="22"/>
      <c r="AJ35" s="22"/>
    </row>
    <row r="36" spans="1:36" x14ac:dyDescent="0.25">
      <c r="A36" s="22"/>
      <c r="B36" s="44"/>
      <c r="C36" s="22"/>
      <c r="D36" s="22"/>
      <c r="E36" s="22"/>
      <c r="F36" s="22"/>
      <c r="G36" s="22"/>
      <c r="H36" s="22"/>
      <c r="I36" s="22"/>
      <c r="J36" s="22"/>
      <c r="K36" s="22"/>
      <c r="L36" s="22"/>
      <c r="M36" s="22"/>
      <c r="N36" s="22"/>
      <c r="O36" s="22"/>
      <c r="P36" s="22"/>
      <c r="Q36" s="22"/>
      <c r="R36" s="22"/>
      <c r="S36" s="22"/>
      <c r="T36" s="22"/>
      <c r="U36" s="22"/>
      <c r="V36" s="22"/>
      <c r="W36" s="22"/>
      <c r="X36" s="22"/>
      <c r="Y36" s="22"/>
      <c r="Z36" s="22"/>
      <c r="AA36" s="22"/>
      <c r="AB36" s="22"/>
      <c r="AC36" s="22"/>
      <c r="AD36" s="22"/>
      <c r="AE36" s="22"/>
      <c r="AF36" s="22"/>
      <c r="AG36" s="22"/>
      <c r="AH36" s="22"/>
      <c r="AI36" s="22"/>
      <c r="AJ36" s="22"/>
    </row>
    <row r="37" spans="1:36" x14ac:dyDescent="0.25">
      <c r="A37" s="22"/>
      <c r="B37" s="44"/>
      <c r="C37" s="22"/>
      <c r="D37" s="22"/>
      <c r="E37" s="22"/>
      <c r="F37" s="22"/>
      <c r="G37" s="22"/>
      <c r="H37" s="22"/>
      <c r="I37" s="22"/>
      <c r="J37" s="22"/>
      <c r="K37" s="22"/>
      <c r="L37" s="22"/>
      <c r="M37" s="22"/>
      <c r="N37" s="22"/>
      <c r="O37" s="22"/>
      <c r="P37" s="22"/>
      <c r="Q37" s="22"/>
      <c r="R37" s="22"/>
      <c r="S37" s="22"/>
      <c r="T37" s="22"/>
      <c r="U37" s="22"/>
      <c r="V37" s="22"/>
      <c r="W37" s="22"/>
      <c r="X37" s="22"/>
      <c r="Y37" s="22"/>
      <c r="Z37" s="22"/>
      <c r="AA37" s="22"/>
      <c r="AB37" s="22"/>
      <c r="AC37" s="22"/>
      <c r="AD37" s="22"/>
      <c r="AE37" s="22"/>
      <c r="AF37" s="22"/>
      <c r="AG37" s="22"/>
      <c r="AH37" s="22"/>
      <c r="AI37" s="22"/>
      <c r="AJ37" s="22"/>
    </row>
    <row r="38" spans="1:36" x14ac:dyDescent="0.25">
      <c r="A38" s="22"/>
      <c r="B38" s="44"/>
      <c r="C38" s="22"/>
      <c r="D38" s="22"/>
      <c r="E38" s="22"/>
      <c r="F38" s="22"/>
      <c r="G38" s="22"/>
      <c r="H38" s="22"/>
      <c r="I38" s="22"/>
      <c r="J38" s="22"/>
      <c r="K38" s="22"/>
      <c r="L38" s="22"/>
      <c r="M38" s="22"/>
      <c r="N38" s="22"/>
      <c r="O38" s="22"/>
      <c r="P38" s="22"/>
      <c r="Q38" s="22"/>
      <c r="R38" s="22"/>
      <c r="S38" s="22"/>
      <c r="T38" s="22"/>
      <c r="U38" s="22"/>
      <c r="V38" s="22"/>
      <c r="W38" s="22"/>
      <c r="X38" s="22"/>
      <c r="Y38" s="22"/>
      <c r="Z38" s="22"/>
      <c r="AA38" s="22"/>
      <c r="AB38" s="22"/>
      <c r="AC38" s="22"/>
      <c r="AD38" s="22"/>
      <c r="AE38" s="22"/>
      <c r="AF38" s="22"/>
      <c r="AG38" s="22"/>
      <c r="AH38" s="22"/>
      <c r="AI38" s="22"/>
      <c r="AJ38" s="22"/>
    </row>
    <row r="39" spans="1:36" x14ac:dyDescent="0.25">
      <c r="A39" s="22"/>
      <c r="B39" s="44"/>
      <c r="C39" s="22"/>
      <c r="D39" s="22"/>
      <c r="E39" s="22"/>
      <c r="F39" s="22"/>
      <c r="G39" s="22"/>
      <c r="H39" s="22"/>
      <c r="I39" s="22"/>
      <c r="J39" s="22"/>
      <c r="K39" s="22"/>
      <c r="L39" s="22"/>
      <c r="M39" s="22"/>
      <c r="N39" s="22"/>
      <c r="O39" s="22"/>
      <c r="P39" s="22"/>
      <c r="Q39" s="22"/>
      <c r="R39" s="22"/>
      <c r="S39" s="22"/>
      <c r="T39" s="22"/>
      <c r="U39" s="22"/>
      <c r="V39" s="22"/>
      <c r="W39" s="22"/>
      <c r="X39" s="22"/>
      <c r="Y39" s="22"/>
      <c r="Z39" s="22"/>
      <c r="AA39" s="22"/>
      <c r="AB39" s="22"/>
      <c r="AC39" s="22"/>
      <c r="AD39" s="22"/>
      <c r="AE39" s="22"/>
      <c r="AF39" s="22"/>
      <c r="AG39" s="22"/>
      <c r="AH39" s="22"/>
      <c r="AI39" s="22"/>
      <c r="AJ39" s="22"/>
    </row>
    <row r="40" spans="1:36" x14ac:dyDescent="0.25">
      <c r="A40" s="22"/>
      <c r="B40" s="44"/>
      <c r="C40" s="22"/>
      <c r="D40" s="22"/>
      <c r="E40" s="22"/>
      <c r="F40" s="22"/>
      <c r="G40" s="22"/>
      <c r="H40" s="22"/>
      <c r="I40" s="22"/>
      <c r="J40" s="22"/>
      <c r="K40" s="22"/>
      <c r="L40" s="22"/>
      <c r="M40" s="22"/>
      <c r="N40" s="22"/>
      <c r="O40" s="22"/>
      <c r="P40" s="22"/>
      <c r="Q40" s="22"/>
      <c r="R40" s="22"/>
      <c r="S40" s="22"/>
      <c r="T40" s="22"/>
      <c r="U40" s="22"/>
      <c r="V40" s="22"/>
      <c r="W40" s="22"/>
      <c r="X40" s="22"/>
      <c r="Y40" s="22"/>
      <c r="Z40" s="22"/>
      <c r="AA40" s="22"/>
      <c r="AB40" s="22"/>
      <c r="AC40" s="22"/>
      <c r="AD40" s="22"/>
      <c r="AE40" s="22"/>
      <c r="AF40" s="22"/>
      <c r="AG40" s="22"/>
      <c r="AH40" s="22"/>
      <c r="AI40" s="22"/>
      <c r="AJ40" s="22"/>
    </row>
    <row r="41" spans="1:36" x14ac:dyDescent="0.25">
      <c r="A41" s="22"/>
      <c r="B41" s="44"/>
      <c r="C41" s="22"/>
      <c r="D41" s="22"/>
      <c r="E41" s="22"/>
      <c r="F41" s="22"/>
      <c r="G41" s="22"/>
      <c r="H41" s="22"/>
      <c r="I41" s="22"/>
      <c r="J41" s="22"/>
      <c r="K41" s="22"/>
      <c r="L41" s="22"/>
      <c r="M41" s="22"/>
      <c r="N41" s="22"/>
      <c r="O41" s="22"/>
      <c r="P41" s="22"/>
      <c r="Q41" s="22"/>
      <c r="R41" s="22"/>
      <c r="S41" s="22"/>
      <c r="T41" s="22"/>
      <c r="U41" s="22"/>
      <c r="V41" s="22"/>
      <c r="W41" s="22"/>
      <c r="X41" s="22"/>
      <c r="Y41" s="22"/>
      <c r="Z41" s="22"/>
      <c r="AA41" s="22"/>
      <c r="AB41" s="22"/>
      <c r="AC41" s="22"/>
      <c r="AD41" s="22"/>
      <c r="AE41" s="22"/>
      <c r="AF41" s="22"/>
      <c r="AG41" s="22"/>
      <c r="AH41" s="22"/>
      <c r="AI41" s="22"/>
      <c r="AJ41" s="22"/>
    </row>
    <row r="42" spans="1:36" x14ac:dyDescent="0.25">
      <c r="A42" s="22"/>
      <c r="B42" s="44"/>
      <c r="C42" s="22"/>
      <c r="D42" s="22"/>
      <c r="E42" s="22"/>
      <c r="F42" s="22"/>
      <c r="G42" s="22"/>
      <c r="H42" s="22"/>
      <c r="I42" s="22"/>
      <c r="J42" s="22"/>
      <c r="K42" s="22"/>
      <c r="L42" s="22"/>
      <c r="M42" s="22"/>
      <c r="N42" s="22"/>
      <c r="O42" s="22"/>
      <c r="P42" s="22"/>
      <c r="Q42" s="22"/>
      <c r="R42" s="22"/>
      <c r="S42" s="22"/>
      <c r="T42" s="22"/>
      <c r="U42" s="22"/>
      <c r="V42" s="22"/>
      <c r="W42" s="22"/>
      <c r="X42" s="22"/>
      <c r="Y42" s="22"/>
      <c r="Z42" s="22"/>
      <c r="AA42" s="22"/>
      <c r="AB42" s="22"/>
      <c r="AC42" s="22"/>
      <c r="AD42" s="22"/>
      <c r="AE42" s="22"/>
      <c r="AF42" s="22"/>
      <c r="AG42" s="22"/>
      <c r="AH42" s="22"/>
      <c r="AI42" s="22"/>
      <c r="AJ42" s="22"/>
    </row>
    <row r="43" spans="1:36" x14ac:dyDescent="0.25">
      <c r="A43" s="22"/>
      <c r="B43" s="44"/>
      <c r="C43" s="22"/>
      <c r="D43" s="22"/>
      <c r="E43" s="22"/>
      <c r="F43" s="22"/>
      <c r="G43" s="22"/>
      <c r="H43" s="22"/>
      <c r="I43" s="22"/>
      <c r="J43" s="22"/>
      <c r="K43" s="22"/>
      <c r="L43" s="22"/>
      <c r="M43" s="22"/>
      <c r="N43" s="22"/>
      <c r="O43" s="22"/>
      <c r="P43" s="22"/>
      <c r="Q43" s="22"/>
      <c r="R43" s="22"/>
      <c r="S43" s="22"/>
      <c r="T43" s="22"/>
      <c r="U43" s="22"/>
      <c r="V43" s="22"/>
      <c r="W43" s="22"/>
      <c r="X43" s="22"/>
      <c r="Y43" s="22"/>
      <c r="Z43" s="22"/>
      <c r="AA43" s="22"/>
      <c r="AB43" s="22"/>
      <c r="AC43" s="22"/>
      <c r="AD43" s="22"/>
      <c r="AE43" s="22"/>
      <c r="AF43" s="22"/>
      <c r="AG43" s="22"/>
      <c r="AH43" s="22"/>
      <c r="AI43" s="22"/>
      <c r="AJ43" s="22"/>
    </row>
    <row r="44" spans="1:36" x14ac:dyDescent="0.25">
      <c r="A44" s="22"/>
      <c r="B44" s="44"/>
      <c r="C44" s="22"/>
      <c r="D44" s="22"/>
      <c r="E44" s="22"/>
      <c r="F44" s="22"/>
      <c r="G44" s="22"/>
      <c r="H44" s="22"/>
      <c r="I44" s="22"/>
      <c r="J44" s="22"/>
      <c r="K44" s="22"/>
      <c r="L44" s="22"/>
      <c r="M44" s="22"/>
      <c r="N44" s="22"/>
      <c r="O44" s="22"/>
      <c r="P44" s="22"/>
      <c r="Q44" s="22"/>
      <c r="R44" s="22"/>
      <c r="S44" s="22"/>
      <c r="T44" s="22"/>
      <c r="U44" s="22"/>
      <c r="V44" s="22"/>
      <c r="W44" s="22"/>
      <c r="X44" s="22"/>
      <c r="Y44" s="22"/>
      <c r="Z44" s="22"/>
      <c r="AA44" s="22"/>
      <c r="AB44" s="22"/>
      <c r="AC44" s="22"/>
      <c r="AD44" s="22"/>
      <c r="AE44" s="22"/>
      <c r="AF44" s="22"/>
      <c r="AG44" s="22"/>
      <c r="AH44" s="22"/>
      <c r="AI44" s="22"/>
      <c r="AJ44" s="22"/>
    </row>
    <row r="45" spans="1:36" x14ac:dyDescent="0.25">
      <c r="A45" s="22"/>
      <c r="B45" s="44"/>
      <c r="C45" s="22"/>
      <c r="D45" s="22"/>
      <c r="E45" s="22"/>
      <c r="F45" s="22"/>
      <c r="G45" s="22"/>
      <c r="H45" s="22"/>
      <c r="I45" s="22"/>
      <c r="J45" s="22"/>
      <c r="K45" s="22"/>
      <c r="L45" s="22"/>
      <c r="M45" s="22"/>
      <c r="N45" s="22"/>
      <c r="O45" s="22"/>
      <c r="P45" s="22"/>
      <c r="Q45" s="22"/>
      <c r="R45" s="22"/>
      <c r="S45" s="22"/>
      <c r="T45" s="22"/>
      <c r="U45" s="22"/>
      <c r="V45" s="22"/>
      <c r="W45" s="22"/>
      <c r="X45" s="22"/>
      <c r="Y45" s="22"/>
      <c r="Z45" s="22"/>
      <c r="AA45" s="22"/>
      <c r="AB45" s="22"/>
      <c r="AC45" s="22"/>
      <c r="AD45" s="22"/>
      <c r="AE45" s="22"/>
      <c r="AF45" s="22"/>
      <c r="AG45" s="22"/>
      <c r="AH45" s="22"/>
      <c r="AI45" s="22"/>
      <c r="AJ45" s="22"/>
    </row>
    <row r="46" spans="1:36" x14ac:dyDescent="0.25">
      <c r="A46" s="22"/>
      <c r="B46" s="44"/>
      <c r="C46" s="22"/>
      <c r="D46" s="22"/>
      <c r="E46" s="22"/>
      <c r="F46" s="22"/>
      <c r="G46" s="22"/>
      <c r="H46" s="22"/>
      <c r="I46" s="22"/>
      <c r="J46" s="22"/>
      <c r="K46" s="22"/>
      <c r="L46" s="22"/>
      <c r="M46" s="22"/>
      <c r="N46" s="22"/>
      <c r="O46" s="22"/>
      <c r="P46" s="22"/>
      <c r="Q46" s="22"/>
      <c r="R46" s="22"/>
      <c r="S46" s="22"/>
      <c r="T46" s="22"/>
      <c r="U46" s="22"/>
      <c r="V46" s="22"/>
      <c r="W46" s="22"/>
      <c r="X46" s="22"/>
      <c r="Y46" s="22"/>
      <c r="Z46" s="22"/>
      <c r="AA46" s="22"/>
      <c r="AB46" s="22"/>
      <c r="AC46" s="22"/>
      <c r="AD46" s="22"/>
      <c r="AE46" s="22"/>
      <c r="AF46" s="22"/>
      <c r="AG46" s="22"/>
      <c r="AH46" s="22"/>
      <c r="AI46" s="22"/>
      <c r="AJ46" s="22"/>
    </row>
    <row r="47" spans="1:36" x14ac:dyDescent="0.25">
      <c r="A47" s="22"/>
      <c r="B47" s="44"/>
      <c r="C47" s="22"/>
      <c r="D47" s="22"/>
      <c r="E47" s="22"/>
      <c r="F47" s="22"/>
      <c r="G47" s="22"/>
      <c r="H47" s="22"/>
      <c r="I47" s="22"/>
      <c r="J47" s="22"/>
      <c r="K47" s="22"/>
      <c r="L47" s="22"/>
      <c r="M47" s="22"/>
      <c r="N47" s="22"/>
      <c r="O47" s="22"/>
      <c r="P47" s="22"/>
      <c r="Q47" s="22"/>
      <c r="R47" s="22"/>
      <c r="S47" s="22"/>
      <c r="T47" s="22"/>
      <c r="U47" s="22"/>
      <c r="V47" s="22"/>
      <c r="W47" s="22"/>
      <c r="X47" s="22"/>
      <c r="Y47" s="22"/>
      <c r="Z47" s="22"/>
      <c r="AA47" s="22"/>
      <c r="AB47" s="22"/>
      <c r="AC47" s="22"/>
      <c r="AD47" s="22"/>
      <c r="AE47" s="22"/>
      <c r="AF47" s="22"/>
      <c r="AG47" s="22"/>
      <c r="AH47" s="22"/>
      <c r="AI47" s="22"/>
      <c r="AJ47" s="22"/>
    </row>
    <row r="48" spans="1:36" x14ac:dyDescent="0.25">
      <c r="A48" s="22"/>
      <c r="B48" s="44"/>
      <c r="C48" s="22"/>
      <c r="D48" s="22"/>
      <c r="E48" s="22"/>
      <c r="F48" s="22"/>
      <c r="G48" s="22"/>
      <c r="H48" s="22"/>
      <c r="I48" s="22"/>
      <c r="J48" s="22"/>
      <c r="K48" s="22"/>
      <c r="L48" s="22"/>
      <c r="M48" s="22"/>
      <c r="N48" s="22"/>
      <c r="O48" s="22"/>
      <c r="P48" s="22"/>
      <c r="Q48" s="22"/>
      <c r="R48" s="22"/>
      <c r="S48" s="22"/>
      <c r="T48" s="22"/>
      <c r="U48" s="22"/>
      <c r="V48" s="22"/>
      <c r="W48" s="22"/>
      <c r="X48" s="22"/>
      <c r="Y48" s="22"/>
      <c r="Z48" s="22"/>
      <c r="AA48" s="22"/>
      <c r="AB48" s="22"/>
      <c r="AC48" s="22"/>
      <c r="AD48" s="22"/>
      <c r="AE48" s="22"/>
      <c r="AF48" s="22"/>
      <c r="AG48" s="22"/>
      <c r="AH48" s="22"/>
      <c r="AI48" s="22"/>
      <c r="AJ48" s="22"/>
    </row>
    <row r="49" spans="1:36" x14ac:dyDescent="0.25">
      <c r="A49" s="22"/>
      <c r="B49" s="44"/>
      <c r="C49" s="22"/>
      <c r="D49" s="22"/>
      <c r="E49" s="22"/>
      <c r="F49" s="22"/>
      <c r="G49" s="22"/>
      <c r="H49" s="22"/>
      <c r="I49" s="22"/>
      <c r="J49" s="22"/>
      <c r="K49" s="22"/>
      <c r="L49" s="22"/>
      <c r="M49" s="22"/>
      <c r="N49" s="22"/>
      <c r="O49" s="22"/>
      <c r="P49" s="22"/>
      <c r="Q49" s="22"/>
      <c r="R49" s="22"/>
      <c r="S49" s="22"/>
      <c r="T49" s="22"/>
      <c r="U49" s="22"/>
      <c r="V49" s="22"/>
      <c r="W49" s="22"/>
      <c r="X49" s="22"/>
      <c r="Y49" s="22"/>
      <c r="Z49" s="22"/>
      <c r="AA49" s="22"/>
      <c r="AB49" s="22"/>
      <c r="AC49" s="22"/>
      <c r="AD49" s="22"/>
      <c r="AE49" s="22"/>
      <c r="AF49" s="22"/>
      <c r="AG49" s="22"/>
      <c r="AH49" s="22"/>
      <c r="AI49" s="22"/>
      <c r="AJ49" s="22"/>
    </row>
    <row r="50" spans="1:36" x14ac:dyDescent="0.25">
      <c r="A50" s="22"/>
      <c r="B50" s="44"/>
      <c r="C50" s="22"/>
      <c r="D50" s="22"/>
      <c r="E50" s="22"/>
      <c r="F50" s="22"/>
      <c r="G50" s="22"/>
      <c r="H50" s="22"/>
      <c r="I50" s="22"/>
      <c r="J50" s="22"/>
      <c r="K50" s="22"/>
      <c r="L50" s="22"/>
      <c r="M50" s="22"/>
      <c r="N50" s="22"/>
      <c r="O50" s="22"/>
      <c r="P50" s="22"/>
      <c r="Q50" s="22"/>
      <c r="R50" s="22"/>
      <c r="S50" s="22"/>
      <c r="T50" s="22"/>
      <c r="U50" s="22"/>
      <c r="V50" s="22"/>
      <c r="W50" s="22"/>
      <c r="X50" s="22"/>
      <c r="Y50" s="22"/>
      <c r="Z50" s="22"/>
      <c r="AA50" s="22"/>
      <c r="AB50" s="22"/>
      <c r="AC50" s="22"/>
      <c r="AD50" s="22"/>
      <c r="AE50" s="22"/>
      <c r="AF50" s="22"/>
      <c r="AG50" s="22"/>
      <c r="AH50" s="22"/>
      <c r="AI50" s="22"/>
      <c r="AJ50" s="22"/>
    </row>
    <row r="51" spans="1:36" x14ac:dyDescent="0.25">
      <c r="A51" s="22"/>
      <c r="B51" s="44"/>
      <c r="C51" s="22"/>
      <c r="D51" s="22"/>
      <c r="E51" s="22"/>
      <c r="F51" s="22"/>
      <c r="G51" s="22"/>
      <c r="H51" s="22"/>
      <c r="I51" s="22"/>
      <c r="J51" s="22"/>
      <c r="K51" s="22"/>
      <c r="L51" s="22"/>
      <c r="M51" s="22"/>
      <c r="N51" s="22"/>
      <c r="O51" s="22"/>
      <c r="P51" s="22"/>
      <c r="Q51" s="22"/>
      <c r="R51" s="22"/>
      <c r="S51" s="22"/>
      <c r="T51" s="22"/>
      <c r="U51" s="22"/>
      <c r="V51" s="22"/>
      <c r="W51" s="22"/>
      <c r="X51" s="22"/>
      <c r="Y51" s="22"/>
      <c r="Z51" s="22"/>
      <c r="AA51" s="22"/>
      <c r="AB51" s="22"/>
      <c r="AC51" s="22"/>
      <c r="AD51" s="22"/>
      <c r="AE51" s="22"/>
      <c r="AF51" s="22"/>
      <c r="AG51" s="22"/>
      <c r="AH51" s="22"/>
      <c r="AI51" s="22"/>
      <c r="AJ51" s="22"/>
    </row>
    <row r="52" spans="1:36" x14ac:dyDescent="0.25">
      <c r="A52" s="22"/>
      <c r="B52" s="44"/>
      <c r="C52" s="22"/>
      <c r="D52" s="22"/>
      <c r="E52" s="22"/>
      <c r="F52" s="22"/>
      <c r="G52" s="22"/>
      <c r="H52" s="22"/>
      <c r="I52" s="22"/>
      <c r="J52" s="22"/>
      <c r="K52" s="22"/>
      <c r="L52" s="22"/>
      <c r="M52" s="22"/>
      <c r="N52" s="22"/>
      <c r="O52" s="22"/>
      <c r="P52" s="22"/>
      <c r="Q52" s="22"/>
      <c r="R52" s="22"/>
      <c r="S52" s="22"/>
      <c r="T52" s="22"/>
      <c r="U52" s="22"/>
      <c r="V52" s="22"/>
      <c r="W52" s="22"/>
      <c r="X52" s="22"/>
      <c r="Y52" s="22"/>
      <c r="Z52" s="22"/>
      <c r="AA52" s="22"/>
      <c r="AB52" s="22"/>
      <c r="AC52" s="22"/>
      <c r="AD52" s="22"/>
      <c r="AE52" s="22"/>
      <c r="AF52" s="22"/>
      <c r="AG52" s="22"/>
      <c r="AH52" s="22"/>
      <c r="AI52" s="22"/>
      <c r="AJ52" s="22"/>
    </row>
    <row r="53" spans="1:36" x14ac:dyDescent="0.25">
      <c r="A53" s="22"/>
      <c r="B53" s="44"/>
      <c r="C53" s="22"/>
      <c r="D53" s="22"/>
      <c r="E53" s="22"/>
      <c r="F53" s="22"/>
      <c r="G53" s="22"/>
      <c r="H53" s="22"/>
      <c r="I53" s="22"/>
      <c r="J53" s="22"/>
      <c r="K53" s="22"/>
      <c r="L53" s="22"/>
      <c r="M53" s="22"/>
      <c r="N53" s="22"/>
      <c r="O53" s="22"/>
      <c r="P53" s="22"/>
      <c r="Q53" s="22"/>
      <c r="R53" s="22"/>
      <c r="S53" s="22"/>
      <c r="T53" s="22"/>
      <c r="U53" s="22"/>
      <c r="V53" s="22"/>
      <c r="W53" s="22"/>
      <c r="X53" s="22"/>
      <c r="Y53" s="22"/>
      <c r="Z53" s="22"/>
      <c r="AA53" s="22"/>
      <c r="AB53" s="22"/>
      <c r="AC53" s="22"/>
      <c r="AD53" s="22"/>
      <c r="AE53" s="22"/>
      <c r="AF53" s="22"/>
      <c r="AG53" s="22"/>
      <c r="AH53" s="22"/>
      <c r="AI53" s="22"/>
      <c r="AJ53" s="22"/>
    </row>
    <row r="54" spans="1:36" x14ac:dyDescent="0.25">
      <c r="A54" s="22"/>
      <c r="B54" s="44"/>
      <c r="C54" s="22"/>
      <c r="D54" s="22"/>
      <c r="E54" s="22"/>
      <c r="F54" s="22"/>
      <c r="G54" s="22"/>
      <c r="H54" s="22"/>
      <c r="I54" s="22"/>
      <c r="J54" s="22"/>
      <c r="K54" s="22"/>
      <c r="L54" s="22"/>
      <c r="M54" s="22"/>
      <c r="N54" s="22"/>
      <c r="O54" s="22"/>
      <c r="P54" s="22"/>
      <c r="Q54" s="22"/>
      <c r="R54" s="22"/>
      <c r="S54" s="22"/>
      <c r="T54" s="22"/>
      <c r="U54" s="22"/>
      <c r="V54" s="22"/>
      <c r="W54" s="22"/>
      <c r="X54" s="22"/>
      <c r="Y54" s="22"/>
      <c r="Z54" s="22"/>
      <c r="AA54" s="22"/>
      <c r="AB54" s="22"/>
      <c r="AC54" s="22"/>
      <c r="AD54" s="22"/>
      <c r="AE54" s="22"/>
      <c r="AF54" s="22"/>
      <c r="AG54" s="22"/>
      <c r="AH54" s="22"/>
      <c r="AI54" s="22"/>
      <c r="AJ54" s="22"/>
    </row>
    <row r="55" spans="1:36" x14ac:dyDescent="0.25">
      <c r="A55" s="22"/>
      <c r="B55" s="44"/>
      <c r="C55" s="22"/>
      <c r="D55" s="22"/>
      <c r="E55" s="22"/>
      <c r="F55" s="22"/>
      <c r="G55" s="22"/>
      <c r="H55" s="22"/>
      <c r="I55" s="22"/>
      <c r="J55" s="22"/>
      <c r="K55" s="22"/>
      <c r="L55" s="22"/>
      <c r="M55" s="22"/>
      <c r="N55" s="22"/>
      <c r="O55" s="22"/>
      <c r="P55" s="22"/>
      <c r="Q55" s="22"/>
      <c r="R55" s="22"/>
      <c r="S55" s="22"/>
      <c r="T55" s="22"/>
      <c r="U55" s="22"/>
      <c r="V55" s="22"/>
      <c r="W55" s="22"/>
      <c r="X55" s="22"/>
      <c r="Y55" s="22"/>
      <c r="Z55" s="22"/>
      <c r="AA55" s="22"/>
      <c r="AB55" s="22"/>
      <c r="AC55" s="22"/>
      <c r="AD55" s="22"/>
      <c r="AE55" s="22"/>
      <c r="AF55" s="22"/>
      <c r="AG55" s="22"/>
      <c r="AH55" s="22"/>
      <c r="AI55" s="22"/>
      <c r="AJ55" s="22"/>
    </row>
    <row r="56" spans="1:36" x14ac:dyDescent="0.25">
      <c r="A56" s="22"/>
      <c r="B56" s="44"/>
      <c r="C56" s="22"/>
      <c r="D56" s="22"/>
      <c r="E56" s="22"/>
      <c r="F56" s="22"/>
      <c r="G56" s="22"/>
      <c r="H56" s="22"/>
      <c r="I56" s="22"/>
      <c r="J56" s="22"/>
      <c r="K56" s="22"/>
      <c r="L56" s="22"/>
      <c r="M56" s="22"/>
      <c r="N56" s="22"/>
      <c r="O56" s="22"/>
      <c r="P56" s="22"/>
      <c r="Q56" s="22"/>
      <c r="R56" s="22"/>
      <c r="S56" s="22"/>
      <c r="T56" s="22"/>
      <c r="U56" s="22"/>
      <c r="V56" s="22"/>
      <c r="W56" s="22"/>
      <c r="X56" s="22"/>
      <c r="Y56" s="22"/>
      <c r="Z56" s="22"/>
      <c r="AA56" s="22"/>
      <c r="AB56" s="22"/>
      <c r="AC56" s="22"/>
      <c r="AD56" s="22"/>
      <c r="AE56" s="22"/>
      <c r="AF56" s="22"/>
      <c r="AG56" s="22"/>
      <c r="AH56" s="22"/>
      <c r="AI56" s="22"/>
      <c r="AJ56" s="22"/>
    </row>
    <row r="57" spans="1:36" x14ac:dyDescent="0.25">
      <c r="A57" s="22"/>
      <c r="B57" s="44"/>
      <c r="C57" s="22"/>
      <c r="D57" s="22"/>
      <c r="E57" s="22"/>
      <c r="F57" s="22"/>
      <c r="G57" s="22"/>
      <c r="H57" s="22"/>
      <c r="I57" s="22"/>
      <c r="J57" s="22"/>
      <c r="K57" s="22"/>
      <c r="L57" s="22"/>
      <c r="M57" s="22"/>
      <c r="N57" s="22"/>
      <c r="O57" s="22"/>
      <c r="P57" s="22"/>
      <c r="Q57" s="22"/>
      <c r="R57" s="22"/>
      <c r="S57" s="22"/>
      <c r="T57" s="22"/>
      <c r="U57" s="22"/>
      <c r="V57" s="22"/>
      <c r="W57" s="22"/>
      <c r="X57" s="22"/>
      <c r="Y57" s="22"/>
      <c r="Z57" s="22"/>
      <c r="AA57" s="22"/>
      <c r="AB57" s="22"/>
      <c r="AC57" s="22"/>
      <c r="AD57" s="22"/>
      <c r="AE57" s="22"/>
      <c r="AF57" s="22"/>
      <c r="AG57" s="22"/>
      <c r="AH57" s="22"/>
      <c r="AI57" s="22"/>
      <c r="AJ57" s="22"/>
    </row>
    <row r="58" spans="1:36" x14ac:dyDescent="0.25">
      <c r="A58" s="22"/>
      <c r="B58" s="44"/>
      <c r="C58" s="22"/>
      <c r="D58" s="22"/>
      <c r="E58" s="22"/>
      <c r="F58" s="22"/>
      <c r="G58" s="22"/>
      <c r="H58" s="22"/>
      <c r="I58" s="22"/>
      <c r="J58" s="22"/>
      <c r="K58" s="22"/>
      <c r="L58" s="22"/>
      <c r="M58" s="22"/>
      <c r="N58" s="22"/>
      <c r="O58" s="22"/>
      <c r="P58" s="22"/>
      <c r="Q58" s="22"/>
      <c r="R58" s="22"/>
      <c r="S58" s="22"/>
      <c r="T58" s="22"/>
      <c r="U58" s="22"/>
      <c r="V58" s="22"/>
      <c r="W58" s="22"/>
      <c r="X58" s="22"/>
      <c r="Y58" s="22"/>
      <c r="Z58" s="22"/>
      <c r="AA58" s="22"/>
      <c r="AB58" s="22"/>
      <c r="AC58" s="22"/>
      <c r="AD58" s="22"/>
      <c r="AE58" s="22"/>
      <c r="AF58" s="22"/>
      <c r="AG58" s="22"/>
      <c r="AH58" s="22"/>
      <c r="AI58" s="22"/>
      <c r="AJ58" s="22"/>
    </row>
    <row r="59" spans="1:36" x14ac:dyDescent="0.25">
      <c r="A59" s="22"/>
      <c r="B59" s="44"/>
      <c r="C59" s="22"/>
      <c r="D59" s="22"/>
      <c r="E59" s="22"/>
      <c r="F59" s="22"/>
      <c r="G59" s="22"/>
      <c r="H59" s="22"/>
      <c r="I59" s="22"/>
      <c r="J59" s="22"/>
      <c r="K59" s="22"/>
      <c r="L59" s="22"/>
      <c r="M59" s="22"/>
      <c r="N59" s="22"/>
      <c r="O59" s="22"/>
      <c r="P59" s="22"/>
      <c r="Q59" s="22"/>
      <c r="R59" s="22"/>
      <c r="S59" s="22"/>
      <c r="T59" s="22"/>
      <c r="U59" s="22"/>
      <c r="V59" s="22"/>
      <c r="W59" s="22"/>
      <c r="X59" s="22"/>
      <c r="Y59" s="22"/>
      <c r="Z59" s="22"/>
      <c r="AA59" s="22"/>
      <c r="AB59" s="22"/>
      <c r="AC59" s="22"/>
      <c r="AD59" s="22"/>
      <c r="AE59" s="22"/>
      <c r="AF59" s="22"/>
      <c r="AG59" s="22"/>
      <c r="AH59" s="22"/>
      <c r="AI59" s="22"/>
      <c r="AJ59" s="22"/>
    </row>
    <row r="60" spans="1:36" x14ac:dyDescent="0.25">
      <c r="A60" s="22"/>
      <c r="B60" s="44"/>
      <c r="C60" s="22"/>
      <c r="D60" s="22"/>
      <c r="E60" s="22"/>
      <c r="F60" s="22"/>
      <c r="G60" s="22"/>
      <c r="H60" s="22"/>
      <c r="I60" s="22"/>
      <c r="J60" s="22"/>
      <c r="K60" s="22"/>
      <c r="L60" s="22"/>
      <c r="M60" s="22"/>
      <c r="N60" s="22"/>
      <c r="O60" s="22"/>
      <c r="P60" s="22"/>
      <c r="Q60" s="22"/>
      <c r="R60" s="22"/>
      <c r="S60" s="22"/>
      <c r="T60" s="22"/>
      <c r="U60" s="22"/>
      <c r="V60" s="22"/>
      <c r="W60" s="22"/>
      <c r="X60" s="22"/>
      <c r="Y60" s="22"/>
      <c r="Z60" s="22"/>
      <c r="AA60" s="22"/>
      <c r="AB60" s="22"/>
      <c r="AC60" s="22"/>
      <c r="AD60" s="22"/>
      <c r="AE60" s="22"/>
      <c r="AF60" s="22"/>
      <c r="AG60" s="22"/>
      <c r="AH60" s="22"/>
      <c r="AI60" s="22"/>
      <c r="AJ60" s="22"/>
    </row>
    <row r="61" spans="1:36" x14ac:dyDescent="0.25">
      <c r="A61" s="22"/>
      <c r="B61" s="44"/>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22"/>
    </row>
    <row r="62" spans="1:36" x14ac:dyDescent="0.25">
      <c r="A62" s="22"/>
      <c r="B62" s="44"/>
      <c r="C62" s="22"/>
      <c r="D62" s="22"/>
      <c r="E62" s="22"/>
      <c r="F62" s="22"/>
      <c r="G62" s="22"/>
      <c r="H62" s="22"/>
      <c r="I62" s="22"/>
      <c r="J62" s="22"/>
      <c r="K62" s="22"/>
      <c r="L62" s="22"/>
      <c r="M62" s="22"/>
      <c r="N62" s="22"/>
      <c r="O62" s="22"/>
      <c r="P62" s="22"/>
      <c r="Q62" s="22"/>
      <c r="R62" s="22"/>
      <c r="S62" s="22"/>
      <c r="T62" s="22"/>
      <c r="U62" s="22"/>
      <c r="V62" s="22"/>
      <c r="W62" s="22"/>
      <c r="X62" s="22"/>
      <c r="Y62" s="22"/>
      <c r="Z62" s="22"/>
      <c r="AA62" s="22"/>
      <c r="AB62" s="22"/>
      <c r="AC62" s="22"/>
      <c r="AD62" s="22"/>
      <c r="AE62" s="22"/>
      <c r="AF62" s="22"/>
      <c r="AG62" s="22"/>
      <c r="AH62" s="22"/>
      <c r="AI62" s="22"/>
      <c r="AJ62" s="22"/>
    </row>
    <row r="63" spans="1:36" x14ac:dyDescent="0.25">
      <c r="A63" s="22"/>
      <c r="B63" s="44"/>
      <c r="C63" s="22"/>
      <c r="D63" s="22"/>
      <c r="E63" s="22"/>
      <c r="F63" s="22"/>
      <c r="G63" s="22"/>
      <c r="H63" s="22"/>
      <c r="I63" s="22"/>
      <c r="J63" s="22"/>
      <c r="K63" s="22"/>
      <c r="L63" s="22"/>
      <c r="M63" s="22"/>
      <c r="N63" s="22"/>
      <c r="O63" s="22"/>
      <c r="P63" s="22"/>
      <c r="Q63" s="22"/>
      <c r="R63" s="22"/>
      <c r="S63" s="22"/>
      <c r="T63" s="22"/>
      <c r="U63" s="22"/>
      <c r="V63" s="22"/>
      <c r="W63" s="22"/>
      <c r="X63" s="22"/>
      <c r="Y63" s="22"/>
      <c r="Z63" s="22"/>
      <c r="AA63" s="22"/>
      <c r="AB63" s="22"/>
      <c r="AC63" s="22"/>
      <c r="AD63" s="22"/>
      <c r="AE63" s="22"/>
      <c r="AF63" s="22"/>
      <c r="AG63" s="22"/>
      <c r="AH63" s="22"/>
      <c r="AI63" s="22"/>
      <c r="AJ63" s="22"/>
    </row>
    <row r="64" spans="1:36" x14ac:dyDescent="0.25">
      <c r="A64" s="22"/>
      <c r="B64" s="44"/>
      <c r="C64" s="22"/>
      <c r="D64" s="22"/>
      <c r="E64" s="22"/>
      <c r="F64" s="22"/>
      <c r="G64" s="22"/>
      <c r="H64" s="22"/>
      <c r="I64" s="22"/>
      <c r="J64" s="22"/>
      <c r="K64" s="22"/>
      <c r="L64" s="22"/>
      <c r="M64" s="22"/>
      <c r="N64" s="22"/>
      <c r="O64" s="22"/>
      <c r="P64" s="22"/>
      <c r="Q64" s="22"/>
      <c r="R64" s="22"/>
      <c r="S64" s="22"/>
      <c r="T64" s="22"/>
      <c r="U64" s="22"/>
      <c r="V64" s="22"/>
      <c r="W64" s="22"/>
      <c r="X64" s="22"/>
      <c r="Y64" s="22"/>
      <c r="Z64" s="22"/>
      <c r="AA64" s="22"/>
      <c r="AB64" s="22"/>
      <c r="AC64" s="22"/>
      <c r="AD64" s="22"/>
      <c r="AE64" s="22"/>
      <c r="AF64" s="22"/>
      <c r="AG64" s="22"/>
      <c r="AH64" s="22"/>
      <c r="AI64" s="22"/>
      <c r="AJ64" s="22"/>
    </row>
    <row r="65" spans="1:36" x14ac:dyDescent="0.25">
      <c r="A65" s="22"/>
      <c r="B65" s="44"/>
      <c r="C65" s="22"/>
      <c r="D65" s="22"/>
      <c r="E65" s="22"/>
      <c r="F65" s="22"/>
      <c r="G65" s="22"/>
      <c r="H65" s="22"/>
      <c r="I65" s="22"/>
      <c r="J65" s="22"/>
      <c r="K65" s="22"/>
      <c r="L65" s="22"/>
      <c r="M65" s="22"/>
      <c r="N65" s="22"/>
      <c r="O65" s="22"/>
      <c r="P65" s="22"/>
      <c r="Q65" s="22"/>
      <c r="R65" s="22"/>
      <c r="S65" s="22"/>
      <c r="T65" s="22"/>
      <c r="U65" s="22"/>
      <c r="V65" s="22"/>
      <c r="W65" s="22"/>
      <c r="X65" s="22"/>
      <c r="Y65" s="22"/>
      <c r="Z65" s="22"/>
      <c r="AA65" s="22"/>
      <c r="AB65" s="22"/>
      <c r="AC65" s="22"/>
      <c r="AD65" s="22"/>
      <c r="AE65" s="22"/>
      <c r="AF65" s="22"/>
      <c r="AG65" s="22"/>
      <c r="AH65" s="22"/>
      <c r="AI65" s="22"/>
      <c r="AJ65" s="22"/>
    </row>
    <row r="66" spans="1:36" x14ac:dyDescent="0.25">
      <c r="A66" s="22"/>
      <c r="B66" s="44"/>
      <c r="C66" s="22"/>
      <c r="D66" s="22"/>
      <c r="E66" s="22"/>
      <c r="F66" s="22"/>
      <c r="G66" s="22"/>
      <c r="H66" s="22"/>
      <c r="I66" s="22"/>
      <c r="J66" s="22"/>
      <c r="K66" s="22"/>
      <c r="L66" s="22"/>
      <c r="M66" s="22"/>
      <c r="N66" s="22"/>
      <c r="O66" s="22"/>
      <c r="P66" s="22"/>
      <c r="Q66" s="22"/>
      <c r="R66" s="22"/>
      <c r="S66" s="22"/>
      <c r="T66" s="22"/>
      <c r="U66" s="22"/>
      <c r="V66" s="22"/>
      <c r="W66" s="22"/>
      <c r="X66" s="22"/>
      <c r="Y66" s="22"/>
      <c r="Z66" s="22"/>
      <c r="AA66" s="22"/>
      <c r="AB66" s="22"/>
      <c r="AC66" s="22"/>
      <c r="AD66" s="22"/>
      <c r="AE66" s="22"/>
      <c r="AF66" s="22"/>
      <c r="AG66" s="22"/>
      <c r="AH66" s="22"/>
      <c r="AI66" s="22"/>
      <c r="AJ66" s="22"/>
    </row>
    <row r="67" spans="1:36" x14ac:dyDescent="0.25">
      <c r="A67" s="22"/>
      <c r="B67" s="44"/>
      <c r="C67" s="22"/>
      <c r="D67" s="22"/>
      <c r="E67" s="22"/>
      <c r="F67" s="22"/>
      <c r="G67" s="22"/>
      <c r="H67" s="22"/>
      <c r="I67" s="22"/>
      <c r="J67" s="22"/>
      <c r="K67" s="22"/>
      <c r="L67" s="22"/>
      <c r="M67" s="22"/>
      <c r="N67" s="22"/>
      <c r="O67" s="22"/>
      <c r="P67" s="22"/>
      <c r="Q67" s="22"/>
      <c r="R67" s="22"/>
      <c r="S67" s="22"/>
      <c r="T67" s="22"/>
      <c r="U67" s="22"/>
      <c r="V67" s="22"/>
      <c r="W67" s="22"/>
      <c r="X67" s="22"/>
      <c r="Y67" s="22"/>
      <c r="Z67" s="22"/>
      <c r="AA67" s="22"/>
      <c r="AB67" s="22"/>
      <c r="AC67" s="22"/>
      <c r="AD67" s="22"/>
      <c r="AE67" s="22"/>
      <c r="AF67" s="22"/>
      <c r="AG67" s="22"/>
      <c r="AH67" s="22"/>
      <c r="AI67" s="22"/>
      <c r="AJ67" s="22"/>
    </row>
    <row r="68" spans="1:36" x14ac:dyDescent="0.25">
      <c r="A68" s="22"/>
      <c r="B68" s="44"/>
      <c r="C68" s="22"/>
      <c r="D68" s="22"/>
      <c r="E68" s="22"/>
      <c r="F68" s="22"/>
      <c r="G68" s="22"/>
      <c r="H68" s="22"/>
      <c r="I68" s="22"/>
      <c r="J68" s="22"/>
      <c r="K68" s="22"/>
      <c r="L68" s="22"/>
      <c r="M68" s="22"/>
      <c r="N68" s="22"/>
      <c r="O68" s="22"/>
      <c r="P68" s="22"/>
      <c r="Q68" s="22"/>
      <c r="R68" s="22"/>
      <c r="S68" s="22"/>
      <c r="T68" s="22"/>
      <c r="U68" s="22"/>
      <c r="V68" s="22"/>
      <c r="W68" s="22"/>
      <c r="X68" s="22"/>
      <c r="Y68" s="22"/>
      <c r="Z68" s="22"/>
      <c r="AA68" s="22"/>
      <c r="AB68" s="22"/>
      <c r="AC68" s="22"/>
      <c r="AD68" s="22"/>
      <c r="AE68" s="22"/>
      <c r="AF68" s="22"/>
      <c r="AG68" s="22"/>
      <c r="AH68" s="22"/>
      <c r="AI68" s="22"/>
      <c r="AJ68" s="22"/>
    </row>
    <row r="69" spans="1:36" x14ac:dyDescent="0.25">
      <c r="A69" s="22"/>
      <c r="B69" s="44"/>
      <c r="C69" s="22"/>
      <c r="D69" s="22"/>
      <c r="E69" s="22"/>
      <c r="F69" s="22"/>
      <c r="G69" s="22"/>
      <c r="H69" s="22"/>
      <c r="I69" s="22"/>
      <c r="J69" s="22"/>
      <c r="K69" s="22"/>
      <c r="L69" s="22"/>
      <c r="M69" s="22"/>
      <c r="N69" s="22"/>
      <c r="O69" s="22"/>
      <c r="P69" s="22"/>
      <c r="Q69" s="22"/>
      <c r="R69" s="22"/>
      <c r="S69" s="22"/>
      <c r="T69" s="22"/>
      <c r="U69" s="22"/>
      <c r="V69" s="22"/>
      <c r="W69" s="22"/>
      <c r="X69" s="22"/>
      <c r="Y69" s="22"/>
      <c r="Z69" s="22"/>
      <c r="AA69" s="22"/>
      <c r="AB69" s="22"/>
      <c r="AC69" s="22"/>
      <c r="AD69" s="22"/>
      <c r="AE69" s="22"/>
      <c r="AF69" s="22"/>
      <c r="AG69" s="22"/>
      <c r="AH69" s="22"/>
      <c r="AI69" s="22"/>
      <c r="AJ69" s="22"/>
    </row>
    <row r="70" spans="1:36" x14ac:dyDescent="0.25">
      <c r="A70" s="22"/>
      <c r="B70" s="44"/>
      <c r="C70" s="22"/>
      <c r="D70" s="22"/>
      <c r="E70" s="22"/>
      <c r="F70" s="22"/>
      <c r="G70" s="22"/>
      <c r="H70" s="22"/>
      <c r="I70" s="22"/>
      <c r="J70" s="22"/>
      <c r="K70" s="22"/>
      <c r="L70" s="22"/>
      <c r="M70" s="22"/>
      <c r="N70" s="22"/>
      <c r="O70" s="22"/>
      <c r="P70" s="22"/>
      <c r="Q70" s="22"/>
      <c r="R70" s="22"/>
      <c r="S70" s="22"/>
      <c r="T70" s="22"/>
      <c r="U70" s="22"/>
      <c r="V70" s="22"/>
      <c r="W70" s="22"/>
      <c r="X70" s="22"/>
      <c r="Y70" s="22"/>
      <c r="Z70" s="22"/>
      <c r="AA70" s="22"/>
      <c r="AB70" s="22"/>
      <c r="AC70" s="22"/>
      <c r="AD70" s="22"/>
      <c r="AE70" s="22"/>
      <c r="AF70" s="22"/>
      <c r="AG70" s="22"/>
      <c r="AH70" s="22"/>
      <c r="AI70" s="22"/>
      <c r="AJ70" s="22"/>
    </row>
    <row r="71" spans="1:36" x14ac:dyDescent="0.25">
      <c r="A71" s="22"/>
      <c r="B71" s="44"/>
      <c r="C71" s="22"/>
      <c r="D71" s="22"/>
      <c r="E71" s="22"/>
      <c r="F71" s="22"/>
      <c r="G71" s="22"/>
      <c r="H71" s="22"/>
      <c r="I71" s="22"/>
      <c r="J71" s="22"/>
      <c r="K71" s="22"/>
      <c r="L71" s="22"/>
      <c r="M71" s="22"/>
      <c r="N71" s="22"/>
      <c r="O71" s="22"/>
      <c r="P71" s="22"/>
      <c r="Q71" s="22"/>
      <c r="R71" s="22"/>
      <c r="S71" s="22"/>
      <c r="T71" s="22"/>
      <c r="U71" s="22"/>
      <c r="V71" s="22"/>
      <c r="W71" s="22"/>
      <c r="X71" s="22"/>
      <c r="Y71" s="22"/>
      <c r="Z71" s="22"/>
      <c r="AA71" s="22"/>
      <c r="AB71" s="22"/>
      <c r="AC71" s="22"/>
      <c r="AD71" s="22"/>
      <c r="AE71" s="22"/>
      <c r="AF71" s="22"/>
      <c r="AG71" s="22"/>
      <c r="AH71" s="22"/>
      <c r="AI71" s="22"/>
      <c r="AJ71" s="22"/>
    </row>
    <row r="72" spans="1:36" x14ac:dyDescent="0.25">
      <c r="A72" s="22"/>
      <c r="B72" s="44"/>
      <c r="C72" s="22"/>
      <c r="D72" s="22"/>
      <c r="E72" s="22"/>
      <c r="F72" s="22"/>
      <c r="G72" s="22"/>
      <c r="H72" s="22"/>
      <c r="I72" s="22"/>
      <c r="J72" s="22"/>
      <c r="K72" s="22"/>
      <c r="L72" s="22"/>
      <c r="M72" s="22"/>
      <c r="N72" s="22"/>
      <c r="O72" s="22"/>
      <c r="P72" s="22"/>
      <c r="Q72" s="22"/>
      <c r="R72" s="22"/>
      <c r="S72" s="22"/>
      <c r="T72" s="22"/>
      <c r="U72" s="22"/>
      <c r="V72" s="22"/>
      <c r="W72" s="22"/>
      <c r="X72" s="22"/>
      <c r="Y72" s="22"/>
      <c r="Z72" s="22"/>
      <c r="AA72" s="22"/>
      <c r="AB72" s="22"/>
      <c r="AC72" s="22"/>
      <c r="AD72" s="22"/>
      <c r="AE72" s="22"/>
      <c r="AF72" s="22"/>
      <c r="AG72" s="22"/>
      <c r="AH72" s="22"/>
      <c r="AI72" s="22"/>
      <c r="AJ72" s="22"/>
    </row>
    <row r="73" spans="1:36" x14ac:dyDescent="0.25">
      <c r="A73" s="22"/>
      <c r="B73" s="44"/>
      <c r="C73" s="22"/>
      <c r="D73" s="22"/>
      <c r="E73" s="22"/>
      <c r="F73" s="22"/>
      <c r="G73" s="22"/>
      <c r="H73" s="22"/>
      <c r="I73" s="22"/>
      <c r="J73" s="22"/>
      <c r="K73" s="22"/>
      <c r="L73" s="22"/>
      <c r="M73" s="22"/>
      <c r="N73" s="22"/>
      <c r="O73" s="22"/>
      <c r="P73" s="22"/>
      <c r="Q73" s="22"/>
      <c r="R73" s="22"/>
      <c r="S73" s="22"/>
      <c r="T73" s="22"/>
      <c r="U73" s="22"/>
      <c r="V73" s="22"/>
      <c r="W73" s="22"/>
      <c r="X73" s="22"/>
      <c r="Y73" s="22"/>
      <c r="Z73" s="22"/>
      <c r="AA73" s="22"/>
      <c r="AB73" s="22"/>
      <c r="AC73" s="22"/>
      <c r="AD73" s="22"/>
      <c r="AE73" s="22"/>
      <c r="AF73" s="22"/>
      <c r="AG73" s="22"/>
      <c r="AH73" s="22"/>
      <c r="AI73" s="22"/>
      <c r="AJ73" s="22"/>
    </row>
    <row r="74" spans="1:36" x14ac:dyDescent="0.25">
      <c r="A74" s="22"/>
      <c r="B74" s="44"/>
      <c r="C74" s="22"/>
      <c r="D74" s="22"/>
      <c r="E74" s="22"/>
      <c r="F74" s="22"/>
      <c r="G74" s="22"/>
      <c r="H74" s="22"/>
      <c r="I74" s="22"/>
      <c r="J74" s="22"/>
      <c r="K74" s="22"/>
      <c r="L74" s="22"/>
      <c r="M74" s="22"/>
      <c r="N74" s="22"/>
      <c r="O74" s="22"/>
      <c r="P74" s="22"/>
      <c r="Q74" s="22"/>
      <c r="R74" s="22"/>
      <c r="S74" s="22"/>
      <c r="T74" s="22"/>
      <c r="U74" s="22"/>
      <c r="V74" s="22"/>
      <c r="W74" s="22"/>
      <c r="X74" s="22"/>
      <c r="Y74" s="22"/>
      <c r="Z74" s="22"/>
      <c r="AA74" s="22"/>
      <c r="AB74" s="22"/>
      <c r="AC74" s="22"/>
      <c r="AD74" s="22"/>
      <c r="AE74" s="22"/>
      <c r="AF74" s="22"/>
      <c r="AG74" s="22"/>
      <c r="AH74" s="22"/>
      <c r="AI74" s="22"/>
      <c r="AJ74" s="22"/>
    </row>
    <row r="75" spans="1:36" x14ac:dyDescent="0.25">
      <c r="A75" s="22"/>
      <c r="B75" s="44"/>
      <c r="C75" s="22"/>
      <c r="D75" s="22"/>
      <c r="E75" s="22"/>
      <c r="F75" s="22"/>
      <c r="G75" s="22"/>
      <c r="H75" s="22"/>
      <c r="I75" s="22"/>
      <c r="J75" s="22"/>
      <c r="K75" s="22"/>
      <c r="L75" s="22"/>
      <c r="M75" s="22"/>
      <c r="N75" s="22"/>
      <c r="O75" s="22"/>
      <c r="P75" s="22"/>
      <c r="Q75" s="22"/>
      <c r="R75" s="22"/>
      <c r="S75" s="22"/>
      <c r="T75" s="22"/>
      <c r="U75" s="22"/>
      <c r="V75" s="22"/>
      <c r="W75" s="22"/>
      <c r="X75" s="22"/>
      <c r="Y75" s="22"/>
      <c r="Z75" s="22"/>
      <c r="AA75" s="22"/>
      <c r="AB75" s="22"/>
      <c r="AC75" s="22"/>
      <c r="AD75" s="22"/>
      <c r="AE75" s="22"/>
      <c r="AF75" s="22"/>
      <c r="AG75" s="22"/>
      <c r="AH75" s="22"/>
      <c r="AI75" s="22"/>
      <c r="AJ75" s="22"/>
    </row>
    <row r="76" spans="1:36" x14ac:dyDescent="0.25">
      <c r="A76" s="22"/>
      <c r="B76" s="44"/>
      <c r="C76" s="22"/>
      <c r="D76" s="22"/>
      <c r="E76" s="22"/>
      <c r="F76" s="22"/>
      <c r="G76" s="22"/>
      <c r="H76" s="22"/>
      <c r="I76" s="22"/>
      <c r="J76" s="22"/>
      <c r="K76" s="22"/>
      <c r="L76" s="22"/>
      <c r="M76" s="22"/>
      <c r="N76" s="22"/>
      <c r="O76" s="22"/>
      <c r="P76" s="22"/>
      <c r="Q76" s="22"/>
      <c r="R76" s="22"/>
      <c r="S76" s="22"/>
      <c r="T76" s="22"/>
      <c r="U76" s="22"/>
      <c r="V76" s="22"/>
      <c r="W76" s="22"/>
      <c r="X76" s="22"/>
      <c r="Y76" s="22"/>
      <c r="Z76" s="22"/>
      <c r="AA76" s="22"/>
      <c r="AB76" s="22"/>
      <c r="AC76" s="22"/>
      <c r="AD76" s="22"/>
      <c r="AE76" s="22"/>
      <c r="AF76" s="22"/>
      <c r="AG76" s="22"/>
      <c r="AH76" s="22"/>
      <c r="AI76" s="22"/>
      <c r="AJ76" s="22"/>
    </row>
    <row r="77" spans="1:36" x14ac:dyDescent="0.25">
      <c r="A77" s="22"/>
      <c r="B77" s="44"/>
      <c r="C77" s="22"/>
      <c r="D77" s="22"/>
      <c r="E77" s="22"/>
      <c r="F77" s="22"/>
      <c r="G77" s="22"/>
      <c r="H77" s="22"/>
      <c r="I77" s="22"/>
      <c r="J77" s="22"/>
      <c r="K77" s="22"/>
      <c r="L77" s="22"/>
      <c r="M77" s="22"/>
      <c r="N77" s="22"/>
      <c r="O77" s="22"/>
      <c r="P77" s="22"/>
      <c r="Q77" s="22"/>
      <c r="R77" s="22"/>
      <c r="S77" s="22"/>
      <c r="T77" s="22"/>
      <c r="U77" s="22"/>
      <c r="V77" s="22"/>
      <c r="W77" s="22"/>
      <c r="X77" s="22"/>
      <c r="Y77" s="22"/>
      <c r="Z77" s="22"/>
      <c r="AA77" s="22"/>
      <c r="AB77" s="22"/>
      <c r="AC77" s="22"/>
      <c r="AD77" s="22"/>
      <c r="AE77" s="22"/>
      <c r="AF77" s="22"/>
      <c r="AG77" s="22"/>
      <c r="AH77" s="22"/>
      <c r="AI77" s="22"/>
      <c r="AJ77" s="22"/>
    </row>
    <row r="78" spans="1:36" x14ac:dyDescent="0.25">
      <c r="A78" s="22"/>
      <c r="B78" s="44"/>
      <c r="C78" s="22"/>
      <c r="D78" s="22"/>
      <c r="E78" s="22"/>
      <c r="F78" s="22"/>
      <c r="G78" s="22"/>
      <c r="H78" s="22"/>
      <c r="I78" s="22"/>
      <c r="J78" s="22"/>
      <c r="K78" s="22"/>
      <c r="L78" s="22"/>
      <c r="M78" s="22"/>
      <c r="N78" s="22"/>
      <c r="O78" s="22"/>
      <c r="P78" s="22"/>
      <c r="Q78" s="22"/>
      <c r="R78" s="22"/>
      <c r="S78" s="22"/>
      <c r="T78" s="22"/>
      <c r="U78" s="22"/>
      <c r="V78" s="22"/>
      <c r="W78" s="22"/>
      <c r="X78" s="22"/>
      <c r="Y78" s="22"/>
      <c r="Z78" s="22"/>
      <c r="AA78" s="22"/>
      <c r="AB78" s="22"/>
      <c r="AC78" s="22"/>
      <c r="AD78" s="22"/>
      <c r="AE78" s="22"/>
      <c r="AF78" s="22"/>
      <c r="AG78" s="22"/>
      <c r="AH78" s="22"/>
      <c r="AI78" s="22"/>
      <c r="AJ78" s="22"/>
    </row>
    <row r="79" spans="1:36" x14ac:dyDescent="0.25">
      <c r="A79" s="22"/>
      <c r="B79" s="44"/>
      <c r="C79" s="22"/>
      <c r="D79" s="22"/>
      <c r="E79" s="22"/>
      <c r="F79" s="22"/>
      <c r="G79" s="22"/>
      <c r="H79" s="22"/>
      <c r="I79" s="22"/>
      <c r="J79" s="22"/>
      <c r="K79" s="22"/>
      <c r="L79" s="22"/>
      <c r="M79" s="22"/>
      <c r="N79" s="22"/>
      <c r="O79" s="22"/>
      <c r="P79" s="22"/>
      <c r="Q79" s="22"/>
      <c r="R79" s="22"/>
      <c r="S79" s="22"/>
      <c r="T79" s="22"/>
      <c r="U79" s="22"/>
      <c r="V79" s="22"/>
      <c r="W79" s="22"/>
      <c r="X79" s="22"/>
      <c r="Y79" s="22"/>
      <c r="Z79" s="22"/>
      <c r="AA79" s="22"/>
      <c r="AB79" s="22"/>
      <c r="AC79" s="22"/>
      <c r="AD79" s="22"/>
      <c r="AE79" s="22"/>
      <c r="AF79" s="22"/>
      <c r="AG79" s="22"/>
      <c r="AH79" s="22"/>
      <c r="AI79" s="22"/>
      <c r="AJ79" s="22"/>
    </row>
    <row r="80" spans="1:36" x14ac:dyDescent="0.25">
      <c r="A80" s="22"/>
      <c r="B80" s="44"/>
      <c r="C80" s="22"/>
      <c r="D80" s="22"/>
      <c r="E80" s="22"/>
      <c r="F80" s="22"/>
      <c r="G80" s="22"/>
      <c r="H80" s="22"/>
      <c r="I80" s="22"/>
      <c r="J80" s="22"/>
      <c r="K80" s="22"/>
      <c r="L80" s="22"/>
      <c r="M80" s="22"/>
      <c r="N80" s="22"/>
      <c r="O80" s="22"/>
      <c r="P80" s="22"/>
      <c r="Q80" s="22"/>
      <c r="R80" s="22"/>
      <c r="S80" s="22"/>
      <c r="T80" s="22"/>
      <c r="U80" s="22"/>
      <c r="V80" s="22"/>
      <c r="W80" s="22"/>
      <c r="X80" s="22"/>
      <c r="Y80" s="22"/>
      <c r="Z80" s="22"/>
      <c r="AA80" s="22"/>
      <c r="AB80" s="22"/>
      <c r="AC80" s="22"/>
      <c r="AD80" s="22"/>
      <c r="AE80" s="22"/>
      <c r="AF80" s="22"/>
      <c r="AG80" s="22"/>
      <c r="AH80" s="22"/>
      <c r="AI80" s="22"/>
      <c r="AJ80" s="22"/>
    </row>
    <row r="81" spans="1:36" x14ac:dyDescent="0.25">
      <c r="A81" s="22"/>
      <c r="B81" s="44"/>
      <c r="C81" s="22"/>
      <c r="D81" s="22"/>
      <c r="E81" s="22"/>
      <c r="F81" s="22"/>
      <c r="G81" s="22"/>
      <c r="H81" s="22"/>
      <c r="I81" s="22"/>
      <c r="J81" s="22"/>
      <c r="K81" s="22"/>
      <c r="L81" s="22"/>
      <c r="M81" s="22"/>
      <c r="N81" s="22"/>
      <c r="O81" s="22"/>
      <c r="P81" s="22"/>
      <c r="Q81" s="22"/>
      <c r="R81" s="22"/>
      <c r="S81" s="22"/>
      <c r="T81" s="22"/>
      <c r="U81" s="22"/>
      <c r="V81" s="22"/>
      <c r="W81" s="22"/>
      <c r="X81" s="22"/>
      <c r="Y81" s="22"/>
      <c r="Z81" s="22"/>
      <c r="AA81" s="22"/>
      <c r="AB81" s="22"/>
      <c r="AC81" s="22"/>
      <c r="AD81" s="22"/>
      <c r="AE81" s="22"/>
      <c r="AF81" s="22"/>
      <c r="AG81" s="22"/>
      <c r="AH81" s="22"/>
      <c r="AI81" s="22"/>
      <c r="AJ81" s="22"/>
    </row>
    <row r="82" spans="1:36" x14ac:dyDescent="0.25">
      <c r="A82" s="22"/>
      <c r="B82" s="44"/>
      <c r="C82" s="22"/>
      <c r="D82" s="22"/>
      <c r="E82" s="22"/>
      <c r="F82" s="22"/>
      <c r="G82" s="22"/>
      <c r="H82" s="22"/>
      <c r="I82" s="22"/>
      <c r="J82" s="22"/>
      <c r="K82" s="22"/>
      <c r="L82" s="22"/>
      <c r="M82" s="22"/>
      <c r="N82" s="22"/>
      <c r="O82" s="22"/>
      <c r="P82" s="22"/>
      <c r="Q82" s="22"/>
      <c r="R82" s="22"/>
      <c r="S82" s="22"/>
      <c r="T82" s="22"/>
      <c r="U82" s="22"/>
      <c r="V82" s="22"/>
      <c r="W82" s="22"/>
      <c r="X82" s="22"/>
      <c r="Y82" s="22"/>
      <c r="Z82" s="22"/>
      <c r="AA82" s="22"/>
      <c r="AB82" s="22"/>
      <c r="AC82" s="22"/>
      <c r="AD82" s="22"/>
      <c r="AE82" s="22"/>
      <c r="AF82" s="22"/>
      <c r="AG82" s="22"/>
      <c r="AH82" s="22"/>
      <c r="AI82" s="22"/>
      <c r="AJ82" s="22"/>
    </row>
    <row r="83" spans="1:36" x14ac:dyDescent="0.25">
      <c r="A83" s="22"/>
      <c r="B83" s="44"/>
      <c r="C83" s="22"/>
      <c r="D83" s="22"/>
      <c r="E83" s="22"/>
      <c r="F83" s="22"/>
      <c r="G83" s="22"/>
      <c r="H83" s="22"/>
      <c r="I83" s="22"/>
      <c r="J83" s="22"/>
      <c r="K83" s="22"/>
      <c r="L83" s="22"/>
      <c r="M83" s="22"/>
      <c r="N83" s="22"/>
      <c r="O83" s="22"/>
      <c r="P83" s="22"/>
      <c r="Q83" s="22"/>
      <c r="R83" s="22"/>
      <c r="S83" s="22"/>
      <c r="T83" s="22"/>
      <c r="U83" s="22"/>
      <c r="V83" s="22"/>
      <c r="W83" s="22"/>
      <c r="X83" s="22"/>
      <c r="Y83" s="22"/>
      <c r="Z83" s="22"/>
      <c r="AA83" s="22"/>
      <c r="AB83" s="22"/>
      <c r="AC83" s="22"/>
      <c r="AD83" s="22"/>
      <c r="AE83" s="22"/>
      <c r="AF83" s="22"/>
      <c r="AG83" s="22"/>
      <c r="AH83" s="22"/>
      <c r="AI83" s="22"/>
      <c r="AJ83" s="22"/>
    </row>
    <row r="84" spans="1:36" x14ac:dyDescent="0.25">
      <c r="A84" s="22"/>
      <c r="B84" s="44"/>
      <c r="C84" s="22"/>
      <c r="D84" s="22"/>
      <c r="E84" s="22"/>
      <c r="F84" s="22"/>
      <c r="G84" s="22"/>
      <c r="H84" s="22"/>
      <c r="I84" s="22"/>
      <c r="J84" s="22"/>
      <c r="K84" s="22"/>
      <c r="L84" s="22"/>
      <c r="M84" s="22"/>
      <c r="N84" s="22"/>
      <c r="O84" s="22"/>
      <c r="P84" s="22"/>
      <c r="Q84" s="22"/>
      <c r="R84" s="22"/>
      <c r="S84" s="22"/>
      <c r="T84" s="22"/>
      <c r="U84" s="22"/>
      <c r="V84" s="22"/>
      <c r="W84" s="22"/>
      <c r="X84" s="22"/>
      <c r="Y84" s="22"/>
      <c r="Z84" s="22"/>
      <c r="AA84" s="22"/>
      <c r="AB84" s="22"/>
      <c r="AC84" s="22"/>
      <c r="AD84" s="22"/>
      <c r="AE84" s="22"/>
      <c r="AF84" s="22"/>
      <c r="AG84" s="22"/>
      <c r="AH84" s="22"/>
      <c r="AI84" s="22"/>
      <c r="AJ84" s="22"/>
    </row>
    <row r="85" spans="1:36" x14ac:dyDescent="0.25">
      <c r="A85" s="22"/>
      <c r="B85" s="44"/>
      <c r="C85" s="22"/>
      <c r="D85" s="22"/>
      <c r="E85" s="22"/>
      <c r="F85" s="22"/>
      <c r="G85" s="22"/>
      <c r="H85" s="22"/>
      <c r="I85" s="22"/>
      <c r="J85" s="22"/>
      <c r="K85" s="22"/>
      <c r="L85" s="22"/>
      <c r="M85" s="22"/>
      <c r="N85" s="22"/>
      <c r="O85" s="22"/>
      <c r="P85" s="22"/>
      <c r="Q85" s="22"/>
      <c r="R85" s="22"/>
      <c r="S85" s="22"/>
      <c r="T85" s="22"/>
      <c r="U85" s="22"/>
      <c r="V85" s="22"/>
      <c r="W85" s="22"/>
      <c r="X85" s="22"/>
      <c r="Y85" s="22"/>
      <c r="Z85" s="22"/>
      <c r="AA85" s="22"/>
      <c r="AB85" s="22"/>
      <c r="AC85" s="22"/>
      <c r="AD85" s="22"/>
      <c r="AE85" s="22"/>
      <c r="AF85" s="22"/>
      <c r="AG85" s="22"/>
      <c r="AH85" s="22"/>
      <c r="AI85" s="22"/>
      <c r="AJ85" s="22"/>
    </row>
    <row r="86" spans="1:36" x14ac:dyDescent="0.25">
      <c r="A86" s="22"/>
      <c r="B86" s="44"/>
      <c r="C86" s="22"/>
      <c r="D86" s="22"/>
      <c r="E86" s="22"/>
      <c r="F86" s="22"/>
      <c r="G86" s="22"/>
      <c r="H86" s="22"/>
      <c r="I86" s="22"/>
      <c r="J86" s="22"/>
      <c r="K86" s="22"/>
      <c r="L86" s="22"/>
      <c r="M86" s="22"/>
      <c r="N86" s="22"/>
      <c r="O86" s="22"/>
      <c r="P86" s="22"/>
      <c r="Q86" s="22"/>
      <c r="R86" s="22"/>
      <c r="S86" s="22"/>
      <c r="T86" s="22"/>
      <c r="U86" s="22"/>
      <c r="V86" s="22"/>
      <c r="W86" s="22"/>
      <c r="X86" s="22"/>
      <c r="Y86" s="22"/>
      <c r="Z86" s="22"/>
      <c r="AA86" s="22"/>
      <c r="AB86" s="22"/>
      <c r="AC86" s="22"/>
      <c r="AD86" s="22"/>
      <c r="AE86" s="22"/>
      <c r="AF86" s="22"/>
      <c r="AG86" s="22"/>
      <c r="AH86" s="22"/>
      <c r="AI86" s="22"/>
      <c r="AJ86" s="22"/>
    </row>
    <row r="87" spans="1:36" x14ac:dyDescent="0.25">
      <c r="A87" s="22"/>
      <c r="B87" s="44"/>
      <c r="C87" s="22"/>
      <c r="D87" s="22"/>
      <c r="E87" s="22"/>
      <c r="F87" s="22"/>
    </row>
    <row r="88" spans="1:36" x14ac:dyDescent="0.25">
      <c r="A88" s="22"/>
      <c r="B88" s="44"/>
      <c r="C88" s="22"/>
      <c r="D88" s="22"/>
    </row>
    <row r="89" spans="1:36" x14ac:dyDescent="0.25">
      <c r="A89" s="22"/>
      <c r="B89" s="44"/>
    </row>
    <row r="90" spans="1:36" x14ac:dyDescent="0.25">
      <c r="A90" s="22"/>
      <c r="B90" s="44"/>
    </row>
    <row r="91" spans="1:36" x14ac:dyDescent="0.25">
      <c r="A91" s="22"/>
      <c r="B91" s="44"/>
    </row>
    <row r="92" spans="1:36" x14ac:dyDescent="0.25">
      <c r="A92" s="22"/>
      <c r="B92" s="44"/>
    </row>
    <row r="93" spans="1:36" x14ac:dyDescent="0.25">
      <c r="A93" s="22"/>
      <c r="B93" s="44"/>
    </row>
    <row r="94" spans="1:36" x14ac:dyDescent="0.25">
      <c r="A94" s="22"/>
      <c r="B94" s="44"/>
    </row>
    <row r="95" spans="1:36" x14ac:dyDescent="0.25">
      <c r="A95" s="22"/>
      <c r="B95" s="44"/>
    </row>
    <row r="96" spans="1:36" x14ac:dyDescent="0.25">
      <c r="A96" s="22"/>
      <c r="B96" s="44"/>
    </row>
    <row r="97" spans="1:2" x14ac:dyDescent="0.25">
      <c r="A97" s="22"/>
      <c r="B97" s="44"/>
    </row>
    <row r="98" spans="1:2" x14ac:dyDescent="0.25">
      <c r="A98" s="22"/>
      <c r="B98" s="44"/>
    </row>
    <row r="99" spans="1:2" x14ac:dyDescent="0.25">
      <c r="A99" s="22"/>
      <c r="B99" s="44"/>
    </row>
    <row r="100" spans="1:2" x14ac:dyDescent="0.25">
      <c r="A100" s="22"/>
      <c r="B100" s="44"/>
    </row>
    <row r="101" spans="1:2" x14ac:dyDescent="0.25">
      <c r="A101" s="22"/>
      <c r="B101" s="44"/>
    </row>
    <row r="102" spans="1:2" x14ac:dyDescent="0.25">
      <c r="A102" s="22"/>
      <c r="B102" s="44"/>
    </row>
    <row r="103" spans="1:2" x14ac:dyDescent="0.25">
      <c r="A103" s="22"/>
      <c r="B103" s="44"/>
    </row>
    <row r="104" spans="1:2" x14ac:dyDescent="0.25">
      <c r="A104" s="22"/>
      <c r="B104" s="44"/>
    </row>
    <row r="105" spans="1:2" x14ac:dyDescent="0.25">
      <c r="A105" s="22"/>
      <c r="B105" s="44"/>
    </row>
    <row r="106" spans="1:2" x14ac:dyDescent="0.25">
      <c r="A106" s="22"/>
      <c r="B106" s="44"/>
    </row>
    <row r="107" spans="1:2" x14ac:dyDescent="0.25">
      <c r="A107" s="22"/>
      <c r="B107" s="44"/>
    </row>
    <row r="108" spans="1:2" x14ac:dyDescent="0.25">
      <c r="A108" s="22"/>
      <c r="B108" s="44"/>
    </row>
    <row r="109" spans="1:2" x14ac:dyDescent="0.25">
      <c r="A109" s="22"/>
      <c r="B109" s="44"/>
    </row>
    <row r="110" spans="1:2" x14ac:dyDescent="0.25">
      <c r="A110" s="22"/>
      <c r="B110" s="44"/>
    </row>
    <row r="111" spans="1:2" x14ac:dyDescent="0.25">
      <c r="A111" s="22"/>
      <c r="B111" s="44"/>
    </row>
    <row r="112" spans="1:2" x14ac:dyDescent="0.25">
      <c r="A112" s="22"/>
      <c r="B112" s="44"/>
    </row>
    <row r="113" spans="1:2" x14ac:dyDescent="0.25">
      <c r="A113" s="22"/>
      <c r="B113" s="44"/>
    </row>
    <row r="114" spans="1:2" x14ac:dyDescent="0.25">
      <c r="A114" s="22"/>
      <c r="B114" s="44"/>
    </row>
    <row r="115" spans="1:2" x14ac:dyDescent="0.25">
      <c r="A115" s="22"/>
      <c r="B115" s="44"/>
    </row>
    <row r="116" spans="1:2" x14ac:dyDescent="0.25">
      <c r="A116" s="22"/>
      <c r="B116" s="44"/>
    </row>
    <row r="117" spans="1:2" x14ac:dyDescent="0.25">
      <c r="A117" s="22"/>
      <c r="B117" s="44"/>
    </row>
    <row r="118" spans="1:2" x14ac:dyDescent="0.25">
      <c r="A118" s="22"/>
      <c r="B118" s="44"/>
    </row>
    <row r="119" spans="1:2" x14ac:dyDescent="0.25">
      <c r="A119" s="22"/>
      <c r="B119" s="44"/>
    </row>
    <row r="120" spans="1:2" x14ac:dyDescent="0.25">
      <c r="A120" s="22"/>
      <c r="B120" s="44"/>
    </row>
    <row r="121" spans="1:2" x14ac:dyDescent="0.25">
      <c r="A121" s="22"/>
      <c r="B121" s="44"/>
    </row>
    <row r="122" spans="1:2" x14ac:dyDescent="0.25">
      <c r="A122" s="22"/>
      <c r="B122" s="44"/>
    </row>
    <row r="123" spans="1:2" x14ac:dyDescent="0.25">
      <c r="A123" s="22"/>
      <c r="B123" s="44"/>
    </row>
    <row r="124" spans="1:2" x14ac:dyDescent="0.25">
      <c r="A124" s="22"/>
      <c r="B124" s="44"/>
    </row>
    <row r="125" spans="1:2" x14ac:dyDescent="0.25">
      <c r="A125" s="22"/>
      <c r="B125" s="44"/>
    </row>
    <row r="126" spans="1:2" x14ac:dyDescent="0.25">
      <c r="A126" s="22"/>
      <c r="B126" s="44"/>
    </row>
    <row r="127" spans="1:2" x14ac:dyDescent="0.25">
      <c r="A127" s="22"/>
      <c r="B127" s="44"/>
    </row>
    <row r="128" spans="1:2" x14ac:dyDescent="0.25">
      <c r="A128" s="22"/>
      <c r="B128" s="44"/>
    </row>
    <row r="129" spans="1:2" x14ac:dyDescent="0.25">
      <c r="A129" s="22"/>
      <c r="B129" s="44"/>
    </row>
    <row r="130" spans="1:2" x14ac:dyDescent="0.25">
      <c r="A130" s="22"/>
      <c r="B130" s="44"/>
    </row>
    <row r="131" spans="1:2" x14ac:dyDescent="0.25">
      <c r="A131" s="22"/>
      <c r="B131" s="44"/>
    </row>
    <row r="132" spans="1:2" x14ac:dyDescent="0.25">
      <c r="A132" s="22"/>
      <c r="B132" s="44"/>
    </row>
    <row r="133" spans="1:2" x14ac:dyDescent="0.25">
      <c r="A133" s="22"/>
      <c r="B133" s="44"/>
    </row>
    <row r="134" spans="1:2" x14ac:dyDescent="0.25">
      <c r="A134" s="22"/>
      <c r="B134" s="44"/>
    </row>
    <row r="135" spans="1:2" x14ac:dyDescent="0.25">
      <c r="A135" s="22"/>
      <c r="B135" s="44"/>
    </row>
    <row r="136" spans="1:2" x14ac:dyDescent="0.25">
      <c r="A136" s="22"/>
      <c r="B136" s="44"/>
    </row>
    <row r="137" spans="1:2" x14ac:dyDescent="0.25">
      <c r="A137" s="22"/>
      <c r="B137" s="44"/>
    </row>
    <row r="138" spans="1:2" x14ac:dyDescent="0.25">
      <c r="A138" s="22"/>
      <c r="B138" s="44"/>
    </row>
    <row r="139" spans="1:2" x14ac:dyDescent="0.25">
      <c r="A139" s="22"/>
      <c r="B139" s="44"/>
    </row>
    <row r="140" spans="1:2" x14ac:dyDescent="0.25">
      <c r="A140" s="22"/>
      <c r="B140" s="44"/>
    </row>
    <row r="141" spans="1:2" x14ac:dyDescent="0.25">
      <c r="A141" s="22"/>
      <c r="B141" s="44"/>
    </row>
    <row r="142" spans="1:2" x14ac:dyDescent="0.25">
      <c r="A142" s="22"/>
      <c r="B142" s="44"/>
    </row>
    <row r="143" spans="1:2" x14ac:dyDescent="0.25">
      <c r="A143" s="22"/>
      <c r="B143" s="44"/>
    </row>
    <row r="144" spans="1:2" x14ac:dyDescent="0.25">
      <c r="A144" s="22"/>
      <c r="B144" s="44"/>
    </row>
    <row r="145" spans="1:2" x14ac:dyDescent="0.25">
      <c r="A145" s="22"/>
      <c r="B145" s="44"/>
    </row>
    <row r="146" spans="1:2" x14ac:dyDescent="0.25">
      <c r="A146" s="22"/>
      <c r="B146" s="44"/>
    </row>
    <row r="147" spans="1:2" x14ac:dyDescent="0.25">
      <c r="A147" s="22"/>
      <c r="B147" s="44"/>
    </row>
    <row r="148" spans="1:2" x14ac:dyDescent="0.25">
      <c r="A148" s="22"/>
      <c r="B148" s="44"/>
    </row>
    <row r="149" spans="1:2" x14ac:dyDescent="0.25">
      <c r="A149" s="22"/>
      <c r="B149" s="44"/>
    </row>
    <row r="150" spans="1:2" x14ac:dyDescent="0.25">
      <c r="A150" s="22"/>
      <c r="B150" s="44"/>
    </row>
    <row r="151" spans="1:2" x14ac:dyDescent="0.25">
      <c r="A151" s="22"/>
      <c r="B151" s="44"/>
    </row>
    <row r="152" spans="1:2" x14ac:dyDescent="0.25">
      <c r="A152" s="22"/>
      <c r="B152" s="44"/>
    </row>
    <row r="153" spans="1:2" x14ac:dyDescent="0.25">
      <c r="A153" s="22"/>
      <c r="B153" s="44"/>
    </row>
    <row r="154" spans="1:2" x14ac:dyDescent="0.25">
      <c r="A154" s="22"/>
      <c r="B154" s="44"/>
    </row>
    <row r="155" spans="1:2" x14ac:dyDescent="0.25">
      <c r="A155" s="22"/>
      <c r="B155" s="44"/>
    </row>
    <row r="156" spans="1:2" x14ac:dyDescent="0.25">
      <c r="A156" s="22"/>
      <c r="B156" s="44"/>
    </row>
    <row r="157" spans="1:2" x14ac:dyDescent="0.25">
      <c r="A157" s="22"/>
      <c r="B157" s="44"/>
    </row>
    <row r="158" spans="1:2" x14ac:dyDescent="0.25">
      <c r="A158" s="22"/>
      <c r="B158" s="44"/>
    </row>
    <row r="159" spans="1:2" x14ac:dyDescent="0.25">
      <c r="A159" s="22"/>
      <c r="B159" s="44"/>
    </row>
    <row r="160" spans="1:2" x14ac:dyDescent="0.25">
      <c r="A160" s="22"/>
      <c r="B160" s="44"/>
    </row>
    <row r="161" spans="1:2" x14ac:dyDescent="0.25">
      <c r="A161" s="22"/>
      <c r="B161" s="44"/>
    </row>
    <row r="162" spans="1:2" x14ac:dyDescent="0.25">
      <c r="A162" s="22"/>
      <c r="B162" s="44"/>
    </row>
    <row r="163" spans="1:2" x14ac:dyDescent="0.25">
      <c r="A163" s="22"/>
      <c r="B163" s="44"/>
    </row>
    <row r="164" spans="1:2" x14ac:dyDescent="0.25">
      <c r="A164" s="22"/>
      <c r="B164" s="44"/>
    </row>
    <row r="165" spans="1:2" x14ac:dyDescent="0.25">
      <c r="A165" s="22"/>
      <c r="B165" s="44"/>
    </row>
    <row r="166" spans="1:2" x14ac:dyDescent="0.25">
      <c r="A166" s="22"/>
      <c r="B166" s="44"/>
    </row>
    <row r="167" spans="1:2" x14ac:dyDescent="0.25">
      <c r="A167" s="22"/>
      <c r="B167" s="44"/>
    </row>
    <row r="168" spans="1:2" x14ac:dyDescent="0.25">
      <c r="A168" s="22"/>
      <c r="B168" s="44"/>
    </row>
    <row r="169" spans="1:2" x14ac:dyDescent="0.25">
      <c r="A169" s="22"/>
      <c r="B169" s="44"/>
    </row>
    <row r="170" spans="1:2" x14ac:dyDescent="0.25">
      <c r="A170" s="22"/>
      <c r="B170" s="44"/>
    </row>
    <row r="171" spans="1:2" x14ac:dyDescent="0.25">
      <c r="A171" s="22"/>
      <c r="B171" s="44"/>
    </row>
    <row r="172" spans="1:2" x14ac:dyDescent="0.25">
      <c r="A172" s="22"/>
      <c r="B172" s="44"/>
    </row>
    <row r="173" spans="1:2" x14ac:dyDescent="0.25">
      <c r="A173" s="22"/>
      <c r="B173" s="44"/>
    </row>
    <row r="174" spans="1:2" x14ac:dyDescent="0.25">
      <c r="A174" s="22"/>
      <c r="B174" s="44"/>
    </row>
    <row r="175" spans="1:2" x14ac:dyDescent="0.25">
      <c r="A175" s="22"/>
      <c r="B175" s="44"/>
    </row>
    <row r="176" spans="1:2" x14ac:dyDescent="0.25">
      <c r="A176" s="22"/>
      <c r="B176" s="44"/>
    </row>
    <row r="177" spans="1:2" x14ac:dyDescent="0.25">
      <c r="A177" s="22"/>
      <c r="B177" s="44"/>
    </row>
    <row r="178" spans="1:2" x14ac:dyDescent="0.25">
      <c r="A178" s="22"/>
      <c r="B178" s="44"/>
    </row>
    <row r="179" spans="1:2" x14ac:dyDescent="0.25">
      <c r="A179" s="22"/>
      <c r="B179" s="44"/>
    </row>
    <row r="180" spans="1:2" x14ac:dyDescent="0.25">
      <c r="A180" s="22"/>
      <c r="B180" s="44"/>
    </row>
    <row r="181" spans="1:2" x14ac:dyDescent="0.25">
      <c r="A181" s="22"/>
      <c r="B181" s="44"/>
    </row>
    <row r="182" spans="1:2" x14ac:dyDescent="0.25">
      <c r="A182" s="22"/>
      <c r="B182" s="44"/>
    </row>
    <row r="183" spans="1:2" x14ac:dyDescent="0.25">
      <c r="A183" s="22"/>
      <c r="B183" s="44"/>
    </row>
    <row r="184" spans="1:2" x14ac:dyDescent="0.25">
      <c r="A184" s="22"/>
      <c r="B184" s="44"/>
    </row>
    <row r="185" spans="1:2" x14ac:dyDescent="0.25">
      <c r="A185" s="22"/>
      <c r="B185" s="44"/>
    </row>
    <row r="186" spans="1:2" x14ac:dyDescent="0.25">
      <c r="A186" s="22"/>
      <c r="B186" s="44"/>
    </row>
    <row r="187" spans="1:2" x14ac:dyDescent="0.25">
      <c r="A187" s="22"/>
      <c r="B187" s="44"/>
    </row>
    <row r="188" spans="1:2" x14ac:dyDescent="0.25">
      <c r="A188" s="22"/>
      <c r="B188" s="44"/>
    </row>
    <row r="189" spans="1:2" x14ac:dyDescent="0.25">
      <c r="A189" s="22"/>
      <c r="B189" s="44"/>
    </row>
    <row r="190" spans="1:2" x14ac:dyDescent="0.25">
      <c r="A190" s="22"/>
      <c r="B190" s="44"/>
    </row>
    <row r="191" spans="1:2" x14ac:dyDescent="0.25">
      <c r="A191" s="22"/>
      <c r="B191" s="44"/>
    </row>
    <row r="192" spans="1:2" x14ac:dyDescent="0.25">
      <c r="A192" s="22"/>
      <c r="B192" s="44"/>
    </row>
    <row r="193" spans="1:2" x14ac:dyDescent="0.25">
      <c r="A193" s="22"/>
      <c r="B193" s="44"/>
    </row>
    <row r="194" spans="1:2" x14ac:dyDescent="0.25">
      <c r="A194" s="22"/>
      <c r="B194" s="44"/>
    </row>
    <row r="195" spans="1:2" x14ac:dyDescent="0.25">
      <c r="A195" s="22"/>
      <c r="B195" s="44"/>
    </row>
    <row r="196" spans="1:2" x14ac:dyDescent="0.25">
      <c r="A196" s="22"/>
      <c r="B196" s="44"/>
    </row>
    <row r="197" spans="1:2" x14ac:dyDescent="0.25">
      <c r="A197" s="22"/>
      <c r="B197" s="44"/>
    </row>
    <row r="198" spans="1:2" x14ac:dyDescent="0.25">
      <c r="A198" s="22"/>
      <c r="B198" s="44"/>
    </row>
    <row r="199" spans="1:2" x14ac:dyDescent="0.25">
      <c r="A199" s="22"/>
      <c r="B199" s="44"/>
    </row>
    <row r="200" spans="1:2" x14ac:dyDescent="0.25">
      <c r="A200" s="22"/>
      <c r="B200" s="44"/>
    </row>
    <row r="201" spans="1:2" x14ac:dyDescent="0.25">
      <c r="A201" s="22"/>
      <c r="B201" s="44"/>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L201"/>
  <sheetViews>
    <sheetView showGridLines="0" workbookViewId="0">
      <selection activeCell="B14" sqref="B14"/>
    </sheetView>
  </sheetViews>
  <sheetFormatPr defaultRowHeight="15" x14ac:dyDescent="0.25"/>
  <cols>
    <col min="2" max="2" width="18" style="55" bestFit="1" customWidth="1"/>
    <col min="3" max="3" width="9.140625" style="50"/>
    <col min="4" max="16384" width="9.140625" style="40"/>
  </cols>
  <sheetData>
    <row r="1" spans="1:12" x14ac:dyDescent="0.25">
      <c r="A1" s="51" t="s">
        <v>56</v>
      </c>
      <c r="B1" s="47" t="s">
        <v>103</v>
      </c>
      <c r="C1" s="48" t="s">
        <v>85</v>
      </c>
      <c r="D1" s="48" t="s">
        <v>86</v>
      </c>
      <c r="E1" s="48" t="s">
        <v>87</v>
      </c>
      <c r="F1" s="48" t="s">
        <v>88</v>
      </c>
      <c r="G1" s="48" t="s">
        <v>89</v>
      </c>
      <c r="H1" s="48" t="s">
        <v>90</v>
      </c>
      <c r="I1" s="48" t="s">
        <v>91</v>
      </c>
      <c r="J1" s="48" t="s">
        <v>104</v>
      </c>
      <c r="K1" s="48" t="s">
        <v>105</v>
      </c>
      <c r="L1" s="48" t="s">
        <v>106</v>
      </c>
    </row>
    <row r="2" spans="1:12" x14ac:dyDescent="0.25">
      <c r="A2" s="52" t="str">
        <f>IF(Projects!A2="","",Projects!A2)</f>
        <v>P1</v>
      </c>
      <c r="B2" s="54">
        <f>IF(Projects!B2="","",Projects!B2)</f>
        <v>8.5835812635249962</v>
      </c>
      <c r="C2" s="49">
        <v>1748.4543501411094</v>
      </c>
      <c r="D2" s="53">
        <v>22.484787418525727</v>
      </c>
      <c r="E2" s="53">
        <v>7.1503207470564396</v>
      </c>
      <c r="F2" s="49">
        <v>2</v>
      </c>
      <c r="G2" s="49">
        <v>25</v>
      </c>
      <c r="H2" s="53">
        <v>19.963747022100364</v>
      </c>
      <c r="I2" s="53">
        <v>338.34077683042398</v>
      </c>
      <c r="J2" s="49">
        <v>25</v>
      </c>
      <c r="K2" s="53">
        <v>19.963747022100364</v>
      </c>
      <c r="L2" s="53">
        <v>338.34077683042398</v>
      </c>
    </row>
    <row r="3" spans="1:12" x14ac:dyDescent="0.25">
      <c r="A3" s="22" t="str">
        <f>IF(Projects!A3="","",Projects!A3)</f>
        <v>P2</v>
      </c>
      <c r="B3" s="54">
        <f>IF(Projects!B3="","",Projects!B3)</f>
        <v>112.06602026518708</v>
      </c>
      <c r="C3" s="49">
        <v>938.72343954985354</v>
      </c>
      <c r="D3" s="41">
        <v>11.029579643905521</v>
      </c>
      <c r="E3" s="41">
        <v>8.0978174695676657</v>
      </c>
      <c r="F3" s="42">
        <v>1</v>
      </c>
      <c r="G3" s="42">
        <v>0</v>
      </c>
      <c r="H3" s="41">
        <v>13</v>
      </c>
      <c r="I3" s="41">
        <v>137.44123176406123</v>
      </c>
      <c r="J3" s="42">
        <v>0</v>
      </c>
      <c r="K3" s="41">
        <v>13</v>
      </c>
      <c r="L3" s="41">
        <v>137.44123176406123</v>
      </c>
    </row>
    <row r="4" spans="1:12" x14ac:dyDescent="0.25">
      <c r="A4" s="22" t="str">
        <f>IF(Projects!A4="","",Projects!A4)</f>
        <v>P3</v>
      </c>
      <c r="B4" s="54">
        <f>IF(Projects!B4="","",Projects!B4)</f>
        <v>44.85863586555007</v>
      </c>
      <c r="C4" s="49">
        <v>6391.0012970360858</v>
      </c>
      <c r="D4" s="41">
        <v>16.652311992698621</v>
      </c>
      <c r="E4" s="41">
        <v>4.07</v>
      </c>
      <c r="F4" s="42">
        <v>1</v>
      </c>
      <c r="G4" s="42">
        <v>18</v>
      </c>
      <c r="H4" s="41">
        <v>6.6942900938877159</v>
      </c>
      <c r="I4" s="41">
        <v>114.96455259628281</v>
      </c>
      <c r="J4" s="42">
        <v>18</v>
      </c>
      <c r="K4" s="41">
        <v>6.6942900938877159</v>
      </c>
      <c r="L4" s="41">
        <v>114.96455259628281</v>
      </c>
    </row>
    <row r="5" spans="1:12" x14ac:dyDescent="0.25">
      <c r="A5" s="22" t="str">
        <f>IF(Projects!A5="","",Projects!A5)</f>
        <v>P4</v>
      </c>
      <c r="B5" s="54">
        <f>IF(Projects!B5="","",Projects!B5)</f>
        <v>59.97365989925494</v>
      </c>
      <c r="C5" s="49">
        <v>1240.6112971091886</v>
      </c>
      <c r="D5" s="41">
        <v>22.258825908077416</v>
      </c>
      <c r="E5" s="41">
        <v>6.7770395617905983</v>
      </c>
      <c r="F5" s="42">
        <v>1</v>
      </c>
      <c r="G5" s="42">
        <v>2</v>
      </c>
      <c r="H5" s="41">
        <v>27.775673827299983</v>
      </c>
      <c r="I5" s="41">
        <v>413.29118092603568</v>
      </c>
      <c r="J5" s="42">
        <v>2</v>
      </c>
      <c r="K5" s="41">
        <v>27.775673827299983</v>
      </c>
      <c r="L5" s="41">
        <v>413.29118092603568</v>
      </c>
    </row>
    <row r="6" spans="1:12" x14ac:dyDescent="0.25">
      <c r="A6" s="22" t="str">
        <f>IF(Projects!A6="","",Projects!A6)</f>
        <v>P5</v>
      </c>
      <c r="B6" s="54">
        <f>IF(Projects!B6="","",Projects!B6)</f>
        <v>91.141772084442891</v>
      </c>
      <c r="C6" s="49">
        <v>695.3123529492691</v>
      </c>
      <c r="D6" s="41">
        <v>23.054447214052384</v>
      </c>
      <c r="E6" s="41">
        <v>6.7317272449716654</v>
      </c>
      <c r="F6" s="42">
        <v>1</v>
      </c>
      <c r="G6" s="42">
        <v>0</v>
      </c>
      <c r="H6" s="41">
        <v>41</v>
      </c>
      <c r="I6" s="41">
        <v>127.33730983178071</v>
      </c>
      <c r="J6" s="42">
        <v>0</v>
      </c>
      <c r="K6" s="41">
        <v>41</v>
      </c>
      <c r="L6" s="41">
        <v>127.33730983178071</v>
      </c>
    </row>
    <row r="7" spans="1:12" x14ac:dyDescent="0.25">
      <c r="A7" s="22" t="str">
        <f>IF(Projects!A7="","",Projects!A7)</f>
        <v>P6</v>
      </c>
      <c r="B7" s="54">
        <f>IF(Projects!B7="","",Projects!B7)</f>
        <v>101.50560235661756</v>
      </c>
      <c r="C7" s="49">
        <v>2767.8866336157785</v>
      </c>
      <c r="D7" s="41">
        <v>32.649987908428827</v>
      </c>
      <c r="E7" s="41">
        <v>4.3665671899582739</v>
      </c>
      <c r="F7" s="42">
        <v>1</v>
      </c>
      <c r="G7" s="42">
        <v>0</v>
      </c>
      <c r="H7" s="41">
        <v>20.5</v>
      </c>
      <c r="I7" s="41">
        <v>103.79444501460119</v>
      </c>
      <c r="J7" s="42">
        <v>0</v>
      </c>
      <c r="K7" s="41">
        <v>20.5</v>
      </c>
      <c r="L7" s="41">
        <v>103.79444501460119</v>
      </c>
    </row>
    <row r="8" spans="1:12" x14ac:dyDescent="0.25">
      <c r="A8" s="22" t="str">
        <f>IF(Projects!A8="","",Projects!A8)</f>
        <v>P7</v>
      </c>
      <c r="B8" s="54">
        <f>IF(Projects!B8="","",Projects!B8)</f>
        <v>358.81422113562593</v>
      </c>
      <c r="C8" s="49">
        <v>720.49886758050673</v>
      </c>
      <c r="D8" s="41">
        <v>19.812703088536196</v>
      </c>
      <c r="E8" s="41">
        <v>5.5284053278839878</v>
      </c>
      <c r="F8" s="42">
        <v>1</v>
      </c>
      <c r="G8" s="42">
        <v>0</v>
      </c>
      <c r="H8" s="41">
        <v>22.721027549574814</v>
      </c>
      <c r="I8" s="41">
        <v>172.75409418996384</v>
      </c>
      <c r="J8" s="42">
        <v>0</v>
      </c>
      <c r="K8" s="41">
        <v>22.721027549574814</v>
      </c>
      <c r="L8" s="41">
        <v>172.75409418996384</v>
      </c>
    </row>
    <row r="9" spans="1:12" x14ac:dyDescent="0.25">
      <c r="A9" s="22" t="str">
        <f>IF(Projects!A9="","",Projects!A9)</f>
        <v>P8</v>
      </c>
      <c r="B9" s="54">
        <f>IF(Projects!B9="","",Projects!B9)</f>
        <v>134.10032848477772</v>
      </c>
      <c r="C9" s="49">
        <v>662.50397000395731</v>
      </c>
      <c r="D9" s="41">
        <v>14.8630809553605</v>
      </c>
      <c r="E9" s="41">
        <v>8.6415278839942697</v>
      </c>
      <c r="F9" s="42">
        <v>2</v>
      </c>
      <c r="G9" s="42">
        <v>7</v>
      </c>
      <c r="H9" s="41">
        <v>22.680000000000007</v>
      </c>
      <c r="I9" s="41">
        <v>254.67019096551928</v>
      </c>
      <c r="J9" s="42">
        <v>7</v>
      </c>
      <c r="K9" s="41">
        <v>22.680000000000007</v>
      </c>
      <c r="L9" s="41">
        <v>254.67019096551928</v>
      </c>
    </row>
    <row r="10" spans="1:12" x14ac:dyDescent="0.25">
      <c r="A10" s="22" t="str">
        <f>IF(Projects!A10="","",Projects!A10)</f>
        <v>P9</v>
      </c>
      <c r="B10" s="54">
        <f>IF(Projects!B10="","",Projects!B10)</f>
        <v>63.529505721437147</v>
      </c>
      <c r="C10" s="49">
        <v>0</v>
      </c>
      <c r="D10" s="41">
        <v>31.286948485527365</v>
      </c>
      <c r="E10" s="41">
        <v>2.6497160786830172</v>
      </c>
      <c r="F10" s="42">
        <v>1</v>
      </c>
      <c r="G10" s="42">
        <v>2</v>
      </c>
      <c r="H10" s="41">
        <v>2.541577151916357</v>
      </c>
      <c r="I10" s="41">
        <v>38.690377891751872</v>
      </c>
      <c r="J10" s="42">
        <v>2</v>
      </c>
      <c r="K10" s="41">
        <v>2.541577151916357</v>
      </c>
      <c r="L10" s="41">
        <v>38.690377891751872</v>
      </c>
    </row>
    <row r="11" spans="1:12" x14ac:dyDescent="0.25">
      <c r="A11" s="22" t="str">
        <f>IF(Projects!A11="","",Projects!A11)</f>
        <v>P10</v>
      </c>
      <c r="B11" s="54">
        <f>IF(Projects!B11="","",Projects!B11)</f>
        <v>34.273958837549863</v>
      </c>
      <c r="C11" s="49">
        <v>1542.6291503295643</v>
      </c>
      <c r="D11" s="41">
        <v>14.914414216080887</v>
      </c>
      <c r="E11" s="41">
        <v>10.240889769971094</v>
      </c>
      <c r="F11" s="42">
        <v>1</v>
      </c>
      <c r="G11" s="42">
        <v>0</v>
      </c>
      <c r="H11" s="41">
        <v>22.499897001982433</v>
      </c>
      <c r="I11" s="41">
        <v>568.15035495553366</v>
      </c>
      <c r="J11" s="42">
        <v>0</v>
      </c>
      <c r="K11" s="41">
        <v>22.499897001982433</v>
      </c>
      <c r="L11" s="41">
        <v>568.15035495553366</v>
      </c>
    </row>
    <row r="12" spans="1:12" x14ac:dyDescent="0.25">
      <c r="A12" s="22" t="str">
        <f>IF(Projects!A12="","",Projects!A12)</f>
        <v>P11</v>
      </c>
      <c r="B12" s="54">
        <f>IF(Projects!B12="","",Projects!B12)</f>
        <v>40.093755528038209</v>
      </c>
      <c r="C12" s="49">
        <v>1974.4720582395764</v>
      </c>
      <c r="D12" s="41">
        <v>30.212304696698894</v>
      </c>
      <c r="E12" s="41">
        <v>6.3109806952401755</v>
      </c>
      <c r="F12" s="42">
        <v>1</v>
      </c>
      <c r="G12" s="42">
        <v>0</v>
      </c>
      <c r="H12" s="41">
        <v>41</v>
      </c>
      <c r="I12" s="41">
        <v>260.43854490464588</v>
      </c>
      <c r="J12" s="42">
        <v>0</v>
      </c>
      <c r="K12" s="41">
        <v>41</v>
      </c>
      <c r="L12" s="41">
        <v>260.43854490464588</v>
      </c>
    </row>
    <row r="13" spans="1:12" x14ac:dyDescent="0.25">
      <c r="A13" s="22" t="str">
        <f>IF(Projects!A13="","",Projects!A13)</f>
        <v>P12</v>
      </c>
      <c r="B13" s="54">
        <f>IF(Projects!B13="","",Projects!B13)</f>
        <v>19.785132701190538</v>
      </c>
      <c r="C13" s="49">
        <v>1562.6885332004651</v>
      </c>
      <c r="D13" s="41">
        <v>24.210097917168731</v>
      </c>
      <c r="E13" s="41">
        <v>8.08</v>
      </c>
      <c r="F13" s="42">
        <v>2</v>
      </c>
      <c r="G13" s="42">
        <v>3</v>
      </c>
      <c r="H13" s="41">
        <v>33.599999999999994</v>
      </c>
      <c r="I13" s="41">
        <v>520.23121387283231</v>
      </c>
      <c r="J13" s="42">
        <v>3</v>
      </c>
      <c r="K13" s="41">
        <v>33.599999999999994</v>
      </c>
      <c r="L13" s="41">
        <v>520.23121387283231</v>
      </c>
    </row>
    <row r="14" spans="1:12" x14ac:dyDescent="0.25">
      <c r="A14" s="22" t="str">
        <f>IF(Projects!A14="","",Projects!A14)</f>
        <v>P13</v>
      </c>
      <c r="B14" s="54">
        <f>IF(Projects!B14="","",Projects!B14)</f>
        <v>75.4867889064125</v>
      </c>
      <c r="C14" s="49">
        <v>2093.8718892986167</v>
      </c>
      <c r="D14" s="41">
        <v>13.605029633374135</v>
      </c>
      <c r="E14" s="41">
        <v>18.644303485698345</v>
      </c>
      <c r="F14" s="42">
        <v>3</v>
      </c>
      <c r="G14" s="42">
        <v>0</v>
      </c>
      <c r="H14" s="41">
        <v>4.1095812065157276</v>
      </c>
      <c r="I14" s="41">
        <v>196.26896545088945</v>
      </c>
      <c r="J14" s="42">
        <v>0</v>
      </c>
      <c r="K14" s="41">
        <v>4.1095812065157276</v>
      </c>
      <c r="L14" s="41">
        <v>196.26896545088945</v>
      </c>
    </row>
    <row r="15" spans="1:12" x14ac:dyDescent="0.25">
      <c r="A15" s="22" t="str">
        <f>IF(Projects!A15="","",Projects!A15)</f>
        <v>P14</v>
      </c>
      <c r="B15" s="54">
        <f>IF(Projects!B15="","",Projects!B15)</f>
        <v>92.255436220636625</v>
      </c>
      <c r="C15" s="49">
        <v>780.24670359640379</v>
      </c>
      <c r="D15" s="41">
        <v>16.616906957479468</v>
      </c>
      <c r="E15" s="41">
        <v>5.2986097279967943</v>
      </c>
      <c r="F15" s="42">
        <v>1</v>
      </c>
      <c r="G15" s="42">
        <v>2</v>
      </c>
      <c r="H15" s="41">
        <v>2.9015409226997235</v>
      </c>
      <c r="I15" s="41">
        <v>45.584331012372886</v>
      </c>
      <c r="J15" s="42">
        <v>2</v>
      </c>
      <c r="K15" s="41">
        <v>2.9015409226997235</v>
      </c>
      <c r="L15" s="41">
        <v>45.584331012372886</v>
      </c>
    </row>
    <row r="16" spans="1:12" x14ac:dyDescent="0.25">
      <c r="A16" s="22" t="str">
        <f>IF(Projects!A16="","",Projects!A16)</f>
        <v>P15</v>
      </c>
      <c r="B16" s="54">
        <f>IF(Projects!B16="","",Projects!B16)</f>
        <v>67.207208002483483</v>
      </c>
      <c r="C16" s="49">
        <v>3655.8727449430826</v>
      </c>
      <c r="D16" s="41">
        <v>11.219172152417203</v>
      </c>
      <c r="E16" s="41">
        <v>8.5</v>
      </c>
      <c r="F16" s="42">
        <v>1</v>
      </c>
      <c r="G16" s="42">
        <v>4</v>
      </c>
      <c r="H16" s="41">
        <v>7.1741462978422419</v>
      </c>
      <c r="I16" s="41">
        <v>67.186391565292794</v>
      </c>
      <c r="J16" s="42">
        <v>4</v>
      </c>
      <c r="K16" s="41">
        <v>7.1741462978422419</v>
      </c>
      <c r="L16" s="41">
        <v>67.186391565292794</v>
      </c>
    </row>
    <row r="17" spans="1:12" x14ac:dyDescent="0.25">
      <c r="A17" s="22" t="str">
        <f>IF(Projects!A17="","",Projects!A17)</f>
        <v>P16</v>
      </c>
      <c r="B17" s="54">
        <f>IF(Projects!B17="","",Projects!B17)</f>
        <v>110.80232603285897</v>
      </c>
      <c r="C17" s="49">
        <v>725.51897490094382</v>
      </c>
      <c r="D17" s="41">
        <v>16.497452321814929</v>
      </c>
      <c r="E17" s="41">
        <v>9.2142911835689851</v>
      </c>
      <c r="F17" s="42">
        <v>2</v>
      </c>
      <c r="G17" s="42">
        <v>4</v>
      </c>
      <c r="H17" s="41">
        <v>26.899810515503376</v>
      </c>
      <c r="I17" s="41">
        <v>115.50373707382002</v>
      </c>
      <c r="J17" s="42">
        <v>4</v>
      </c>
      <c r="K17" s="41">
        <v>26.899810515503376</v>
      </c>
      <c r="L17" s="41">
        <v>115.50373707382002</v>
      </c>
    </row>
    <row r="18" spans="1:12" x14ac:dyDescent="0.25">
      <c r="A18" s="22" t="str">
        <f>IF(Projects!A18="","",Projects!A18)</f>
        <v>P17</v>
      </c>
      <c r="B18" s="54">
        <f>IF(Projects!B18="","",Projects!B18)</f>
        <v>57.291403378967317</v>
      </c>
      <c r="C18" s="49">
        <v>671.35726708556149</v>
      </c>
      <c r="D18" s="41">
        <v>17.698990427807487</v>
      </c>
      <c r="E18" s="41">
        <v>6.09</v>
      </c>
      <c r="F18" s="42">
        <v>1</v>
      </c>
      <c r="G18" s="42">
        <v>14</v>
      </c>
      <c r="H18" s="41">
        <v>8.2000000000000028</v>
      </c>
      <c r="I18" s="41">
        <v>329.06611868595706</v>
      </c>
      <c r="J18" s="42">
        <v>14</v>
      </c>
      <c r="K18" s="41">
        <v>8.2000000000000028</v>
      </c>
      <c r="L18" s="41">
        <v>329.06611868595706</v>
      </c>
    </row>
    <row r="19" spans="1:12" x14ac:dyDescent="0.25">
      <c r="A19" s="22" t="str">
        <f>IF(Projects!A19="","",Projects!A19)</f>
        <v>P18</v>
      </c>
      <c r="B19" s="54">
        <f>IF(Projects!B19="","",Projects!B19)</f>
        <v>94.719790963219936</v>
      </c>
      <c r="C19" s="49">
        <v>622.08752152842499</v>
      </c>
      <c r="D19" s="41">
        <v>15.033816961789377</v>
      </c>
      <c r="E19" s="41">
        <v>6</v>
      </c>
      <c r="F19" s="42">
        <v>1</v>
      </c>
      <c r="G19" s="42">
        <v>3</v>
      </c>
      <c r="H19" s="41">
        <v>8.7999999999999972</v>
      </c>
      <c r="I19" s="41">
        <v>328.10791104629965</v>
      </c>
      <c r="J19" s="42">
        <v>3</v>
      </c>
      <c r="K19" s="41">
        <v>8.7999999999999972</v>
      </c>
      <c r="L19" s="41">
        <v>328.10791104629965</v>
      </c>
    </row>
    <row r="20" spans="1:12" x14ac:dyDescent="0.25">
      <c r="A20" s="22" t="str">
        <f>IF(Projects!A20="","",Projects!A20)</f>
        <v>P19</v>
      </c>
      <c r="B20" s="54">
        <f>IF(Projects!B20="","",Projects!B20)</f>
        <v>13.182567719439019</v>
      </c>
      <c r="C20" s="49">
        <v>1077.4835602820212</v>
      </c>
      <c r="D20" s="41">
        <v>27.651959454536268</v>
      </c>
      <c r="E20" s="41">
        <v>6.53</v>
      </c>
      <c r="F20" s="42">
        <v>3</v>
      </c>
      <c r="G20" s="42">
        <v>0</v>
      </c>
      <c r="H20" s="41">
        <v>12.189999999999998</v>
      </c>
      <c r="I20" s="41">
        <v>137.80827423846574</v>
      </c>
      <c r="J20" s="42">
        <v>0</v>
      </c>
      <c r="K20" s="41">
        <v>12.189999999999998</v>
      </c>
      <c r="L20" s="41">
        <v>137.80827423846574</v>
      </c>
    </row>
    <row r="21" spans="1:12" x14ac:dyDescent="0.25">
      <c r="A21" s="22" t="str">
        <f>IF(Projects!A21="","",Projects!A21)</f>
        <v>P20</v>
      </c>
      <c r="B21" s="54">
        <f>IF(Projects!B21="","",Projects!B21)</f>
        <v>357.45486313337216</v>
      </c>
      <c r="C21" s="49">
        <v>646.77536619144598</v>
      </c>
      <c r="D21" s="41">
        <v>11.626642769857433</v>
      </c>
      <c r="E21" s="41">
        <v>6.65</v>
      </c>
      <c r="F21" s="42">
        <v>2</v>
      </c>
      <c r="G21" s="42">
        <v>5</v>
      </c>
      <c r="H21" s="41">
        <v>17</v>
      </c>
      <c r="I21" s="41">
        <v>288.40813853688093</v>
      </c>
      <c r="J21" s="42">
        <v>5</v>
      </c>
      <c r="K21" s="41">
        <v>17</v>
      </c>
      <c r="L21" s="41">
        <v>288.40813853688093</v>
      </c>
    </row>
    <row r="22" spans="1:12" x14ac:dyDescent="0.25">
      <c r="A22" s="22" t="str">
        <f>IF(Projects!A22="","",Projects!A22)</f>
        <v>P21</v>
      </c>
      <c r="B22" s="54">
        <f>IF(Projects!B22="","",Projects!B22)</f>
        <v>101.91738416424882</v>
      </c>
      <c r="C22" s="49">
        <v>809.68797106301031</v>
      </c>
      <c r="D22" s="41">
        <v>29.186833804827199</v>
      </c>
      <c r="E22" s="41">
        <v>10.986572714770977</v>
      </c>
      <c r="F22" s="42">
        <v>4</v>
      </c>
      <c r="G22" s="42">
        <v>0</v>
      </c>
      <c r="H22" s="41">
        <v>61.41</v>
      </c>
      <c r="I22" s="41">
        <v>162.20218855416729</v>
      </c>
      <c r="J22" s="42">
        <v>0</v>
      </c>
      <c r="K22" s="41">
        <v>61.41</v>
      </c>
      <c r="L22" s="41">
        <v>162.20218855416729</v>
      </c>
    </row>
    <row r="23" spans="1:12" x14ac:dyDescent="0.25">
      <c r="A23" s="22" t="str">
        <f>IF(Projects!A23="","",Projects!A23)</f>
        <v>P22</v>
      </c>
      <c r="B23" s="54">
        <f>IF(Projects!B23="","",Projects!B23)</f>
        <v>97.801123064581716</v>
      </c>
      <c r="C23" s="49">
        <v>1255.6113483370784</v>
      </c>
      <c r="D23" s="41">
        <v>12.699240674157302</v>
      </c>
      <c r="E23" s="41">
        <v>7.3700908535654293</v>
      </c>
      <c r="F23" s="42">
        <v>4</v>
      </c>
      <c r="G23" s="42">
        <v>0</v>
      </c>
      <c r="H23" s="41">
        <v>4</v>
      </c>
      <c r="I23" s="41">
        <v>134.37165979538861</v>
      </c>
      <c r="J23" s="42">
        <v>0</v>
      </c>
      <c r="K23" s="41">
        <v>4</v>
      </c>
      <c r="L23" s="41">
        <v>134.37165979538861</v>
      </c>
    </row>
    <row r="24" spans="1:12" x14ac:dyDescent="0.25">
      <c r="A24" s="22" t="str">
        <f>IF(Projects!A24="","",Projects!A24)</f>
        <v>P23</v>
      </c>
      <c r="B24" s="54">
        <f>IF(Projects!B24="","",Projects!B24)</f>
        <v>109.01309275271484</v>
      </c>
      <c r="C24" s="49">
        <v>505.92088167892575</v>
      </c>
      <c r="D24" s="41">
        <v>16.693681401888309</v>
      </c>
      <c r="E24" s="41">
        <v>21.640878258934642</v>
      </c>
      <c r="F24" s="42">
        <v>2</v>
      </c>
      <c r="G24" s="42">
        <v>4</v>
      </c>
      <c r="H24" s="41">
        <v>3.8553626919154027</v>
      </c>
      <c r="I24" s="41">
        <v>199.02834608680601</v>
      </c>
      <c r="J24" s="42">
        <v>4</v>
      </c>
      <c r="K24" s="41">
        <v>3.8553626919154027</v>
      </c>
      <c r="L24" s="41">
        <v>199.02834608680601</v>
      </c>
    </row>
    <row r="25" spans="1:12" x14ac:dyDescent="0.25">
      <c r="A25" s="22" t="str">
        <f>IF(Projects!A25="","",Projects!A25)</f>
        <v>P24</v>
      </c>
      <c r="B25" s="54">
        <f>IF(Projects!B25="","",Projects!B25)</f>
        <v>158.91826997347314</v>
      </c>
      <c r="C25" s="49">
        <v>1677.2961349534789</v>
      </c>
      <c r="D25" s="41">
        <v>13.978073007792553</v>
      </c>
      <c r="E25" s="41">
        <v>6.3003736340857079</v>
      </c>
      <c r="F25" s="42">
        <v>2</v>
      </c>
      <c r="G25" s="42">
        <v>2</v>
      </c>
      <c r="H25" s="41">
        <v>4.0223309356109809</v>
      </c>
      <c r="I25" s="41">
        <v>239.20489085041291</v>
      </c>
      <c r="J25" s="42">
        <v>2</v>
      </c>
      <c r="K25" s="41">
        <v>4.0223309356109809</v>
      </c>
      <c r="L25" s="41">
        <v>239.20489085041291</v>
      </c>
    </row>
    <row r="26" spans="1:12" x14ac:dyDescent="0.25">
      <c r="A26" s="22" t="str">
        <f>IF(Projects!A26="","",Projects!A26)</f>
        <v>P25</v>
      </c>
      <c r="B26" s="54">
        <f>IF(Projects!B26="","",Projects!B26)</f>
        <v>3.105838831144009</v>
      </c>
      <c r="C26" s="49">
        <v>90824.416634682886</v>
      </c>
      <c r="D26" s="41">
        <v>66.97063540910942</v>
      </c>
      <c r="E26" s="41">
        <v>5.97</v>
      </c>
      <c r="F26" s="42">
        <v>1</v>
      </c>
      <c r="G26" s="42">
        <v>0</v>
      </c>
      <c r="H26" s="41">
        <v>8.2000000000000028</v>
      </c>
      <c r="I26" s="41">
        <v>164.70387438129373</v>
      </c>
      <c r="J26" s="42">
        <v>0</v>
      </c>
      <c r="K26" s="41">
        <v>8.2000000000000028</v>
      </c>
      <c r="L26" s="41">
        <v>164.70387438129373</v>
      </c>
    </row>
    <row r="27" spans="1:12" x14ac:dyDescent="0.25">
      <c r="A27" s="22" t="str">
        <f>IF(Projects!A27="","",Projects!A27)</f>
        <v>P26</v>
      </c>
      <c r="B27" s="54">
        <f>IF(Projects!B27="","",Projects!B27)</f>
        <v>80.861343707957317</v>
      </c>
      <c r="C27" s="49">
        <v>1914.6973436302685</v>
      </c>
      <c r="D27" s="41">
        <v>15.311573255870346</v>
      </c>
      <c r="E27" s="41">
        <v>5.3298746331906734</v>
      </c>
      <c r="F27" s="42">
        <v>1</v>
      </c>
      <c r="G27" s="42">
        <v>25</v>
      </c>
      <c r="H27" s="41">
        <v>8.0413320167775879</v>
      </c>
      <c r="I27" s="41">
        <v>248.88380657692275</v>
      </c>
      <c r="J27" s="42">
        <v>25</v>
      </c>
      <c r="K27" s="41">
        <v>8.0413320167775879</v>
      </c>
      <c r="L27" s="41">
        <v>248.88380657692275</v>
      </c>
    </row>
    <row r="28" spans="1:12" x14ac:dyDescent="0.25">
      <c r="A28" s="22" t="str">
        <f>IF(Projects!A28="","",Projects!A28)</f>
        <v>P27</v>
      </c>
      <c r="B28" s="54">
        <f>IF(Projects!B28="","",Projects!B28)</f>
        <v>14.043552326179778</v>
      </c>
      <c r="C28" s="49">
        <v>7611.0372587671236</v>
      </c>
      <c r="D28" s="41">
        <v>31.544725273972603</v>
      </c>
      <c r="E28" s="41">
        <v>7.0291990230979389</v>
      </c>
      <c r="F28" s="42">
        <v>3</v>
      </c>
      <c r="G28" s="42">
        <v>0</v>
      </c>
      <c r="H28" s="41">
        <v>13.299999999999997</v>
      </c>
      <c r="I28" s="41">
        <v>69.593923338024666</v>
      </c>
      <c r="J28" s="42">
        <v>0</v>
      </c>
      <c r="K28" s="41">
        <v>13.299999999999997</v>
      </c>
      <c r="L28" s="41">
        <v>69.593923338024666</v>
      </c>
    </row>
    <row r="29" spans="1:12" x14ac:dyDescent="0.25">
      <c r="A29" s="22" t="str">
        <f>IF(Projects!A29="","",Projects!A29)</f>
        <v>P28</v>
      </c>
      <c r="B29" s="54">
        <f>IF(Projects!B29="","",Projects!B29)</f>
        <v>94.234282592006622</v>
      </c>
      <c r="C29" s="49">
        <v>484.54977046615926</v>
      </c>
      <c r="D29" s="41">
        <v>13.584982208428547</v>
      </c>
      <c r="E29" s="41">
        <v>8.2799999999999994</v>
      </c>
      <c r="F29" s="42">
        <v>4</v>
      </c>
      <c r="G29" s="42">
        <v>0</v>
      </c>
      <c r="H29" s="41">
        <v>21</v>
      </c>
      <c r="I29" s="41">
        <v>31.580770367050047</v>
      </c>
      <c r="J29" s="42">
        <v>0</v>
      </c>
      <c r="K29" s="41">
        <v>21</v>
      </c>
      <c r="L29" s="41">
        <v>31.580770367050047</v>
      </c>
    </row>
    <row r="30" spans="1:12" x14ac:dyDescent="0.25">
      <c r="A30" s="22" t="str">
        <f>IF(Projects!A30="","",Projects!A30)</f>
        <v/>
      </c>
      <c r="B30" s="54" t="str">
        <f>IF(Projects!B30="","",Projects!B30)</f>
        <v/>
      </c>
    </row>
    <row r="31" spans="1:12" x14ac:dyDescent="0.25">
      <c r="A31" s="22" t="str">
        <f>IF(Projects!A31="","",Projects!A31)</f>
        <v/>
      </c>
      <c r="B31" s="54" t="str">
        <f>IF(Projects!B31="","",Projects!B31)</f>
        <v/>
      </c>
    </row>
    <row r="32" spans="1:12" x14ac:dyDescent="0.25">
      <c r="A32" s="22" t="str">
        <f>IF(Projects!A32="","",Projects!A32)</f>
        <v/>
      </c>
      <c r="B32" s="54" t="str">
        <f>IF(Projects!B32="","",Projects!B32)</f>
        <v/>
      </c>
    </row>
    <row r="33" spans="1:2" x14ac:dyDescent="0.25">
      <c r="A33" s="22" t="str">
        <f>IF(Projects!A33="","",Projects!A33)</f>
        <v/>
      </c>
      <c r="B33" s="54" t="str">
        <f>IF(Projects!B33="","",Projects!B33)</f>
        <v/>
      </c>
    </row>
    <row r="34" spans="1:2" x14ac:dyDescent="0.25">
      <c r="A34" s="22" t="str">
        <f>IF(Projects!A34="","",Projects!A34)</f>
        <v/>
      </c>
      <c r="B34" s="54" t="str">
        <f>IF(Projects!B34="","",Projects!B34)</f>
        <v/>
      </c>
    </row>
    <row r="35" spans="1:2" x14ac:dyDescent="0.25">
      <c r="A35" s="22" t="str">
        <f>IF(Projects!A35="","",Projects!A35)</f>
        <v/>
      </c>
      <c r="B35" s="54" t="str">
        <f>IF(Projects!B35="","",Projects!B35)</f>
        <v/>
      </c>
    </row>
    <row r="36" spans="1:2" x14ac:dyDescent="0.25">
      <c r="A36" s="22" t="str">
        <f>IF(Projects!A36="","",Projects!A36)</f>
        <v/>
      </c>
      <c r="B36" s="54" t="str">
        <f>IF(Projects!B36="","",Projects!B36)</f>
        <v/>
      </c>
    </row>
    <row r="37" spans="1:2" x14ac:dyDescent="0.25">
      <c r="A37" s="22" t="str">
        <f>IF(Projects!A37="","",Projects!A37)</f>
        <v/>
      </c>
      <c r="B37" s="54" t="str">
        <f>IF(Projects!B37="","",Projects!B37)</f>
        <v/>
      </c>
    </row>
    <row r="38" spans="1:2" x14ac:dyDescent="0.25">
      <c r="A38" s="22" t="str">
        <f>IF(Projects!A38="","",Projects!A38)</f>
        <v/>
      </c>
      <c r="B38" s="54" t="str">
        <f>IF(Projects!B38="","",Projects!B38)</f>
        <v/>
      </c>
    </row>
    <row r="39" spans="1:2" x14ac:dyDescent="0.25">
      <c r="A39" s="22" t="str">
        <f>IF(Projects!A39="","",Projects!A39)</f>
        <v/>
      </c>
      <c r="B39" s="54" t="str">
        <f>IF(Projects!B39="","",Projects!B39)</f>
        <v/>
      </c>
    </row>
    <row r="40" spans="1:2" x14ac:dyDescent="0.25">
      <c r="A40" s="22" t="str">
        <f>IF(Projects!A40="","",Projects!A40)</f>
        <v/>
      </c>
      <c r="B40" s="54" t="str">
        <f>IF(Projects!B40="","",Projects!B40)</f>
        <v/>
      </c>
    </row>
    <row r="41" spans="1:2" x14ac:dyDescent="0.25">
      <c r="A41" s="22" t="str">
        <f>IF(Projects!A41="","",Projects!A41)</f>
        <v/>
      </c>
      <c r="B41" s="54" t="str">
        <f>IF(Projects!B41="","",Projects!B41)</f>
        <v/>
      </c>
    </row>
    <row r="42" spans="1:2" x14ac:dyDescent="0.25">
      <c r="A42" s="22" t="str">
        <f>IF(Projects!A42="","",Projects!A42)</f>
        <v/>
      </c>
      <c r="B42" s="54" t="str">
        <f>IF(Projects!B42="","",Projects!B42)</f>
        <v/>
      </c>
    </row>
    <row r="43" spans="1:2" x14ac:dyDescent="0.25">
      <c r="A43" s="22" t="str">
        <f>IF(Projects!A43="","",Projects!A43)</f>
        <v/>
      </c>
      <c r="B43" s="54" t="str">
        <f>IF(Projects!B43="","",Projects!B43)</f>
        <v/>
      </c>
    </row>
    <row r="44" spans="1:2" x14ac:dyDescent="0.25">
      <c r="A44" s="22" t="str">
        <f>IF(Projects!A44="","",Projects!A44)</f>
        <v/>
      </c>
      <c r="B44" s="54" t="str">
        <f>IF(Projects!B44="","",Projects!B44)</f>
        <v/>
      </c>
    </row>
    <row r="45" spans="1:2" x14ac:dyDescent="0.25">
      <c r="A45" s="22" t="str">
        <f>IF(Projects!A45="","",Projects!A45)</f>
        <v/>
      </c>
      <c r="B45" s="54" t="str">
        <f>IF(Projects!B45="","",Projects!B45)</f>
        <v/>
      </c>
    </row>
    <row r="46" spans="1:2" x14ac:dyDescent="0.25">
      <c r="A46" s="22" t="str">
        <f>IF(Projects!A46="","",Projects!A46)</f>
        <v/>
      </c>
      <c r="B46" s="54" t="str">
        <f>IF(Projects!B46="","",Projects!B46)</f>
        <v/>
      </c>
    </row>
    <row r="47" spans="1:2" x14ac:dyDescent="0.25">
      <c r="A47" s="22" t="str">
        <f>IF(Projects!A47="","",Projects!A47)</f>
        <v/>
      </c>
      <c r="B47" s="54" t="str">
        <f>IF(Projects!B47="","",Projects!B47)</f>
        <v/>
      </c>
    </row>
    <row r="48" spans="1:2" x14ac:dyDescent="0.25">
      <c r="A48" s="22" t="str">
        <f>IF(Projects!A48="","",Projects!A48)</f>
        <v/>
      </c>
      <c r="B48" s="54" t="str">
        <f>IF(Projects!B48="","",Projects!B48)</f>
        <v/>
      </c>
    </row>
    <row r="49" spans="1:2" x14ac:dyDescent="0.25">
      <c r="A49" s="22" t="str">
        <f>IF(Projects!A49="","",Projects!A49)</f>
        <v/>
      </c>
      <c r="B49" s="54" t="str">
        <f>IF(Projects!B49="","",Projects!B49)</f>
        <v/>
      </c>
    </row>
    <row r="50" spans="1:2" x14ac:dyDescent="0.25">
      <c r="A50" s="22" t="str">
        <f>IF(Projects!A50="","",Projects!A50)</f>
        <v/>
      </c>
      <c r="B50" s="54" t="str">
        <f>IF(Projects!B50="","",Projects!B50)</f>
        <v/>
      </c>
    </row>
    <row r="51" spans="1:2" x14ac:dyDescent="0.25">
      <c r="A51" s="22" t="str">
        <f>IF(Projects!A51="","",Projects!A51)</f>
        <v/>
      </c>
      <c r="B51" s="54" t="str">
        <f>IF(Projects!B51="","",Projects!B51)</f>
        <v/>
      </c>
    </row>
    <row r="52" spans="1:2" x14ac:dyDescent="0.25">
      <c r="A52" s="22" t="str">
        <f>IF(Projects!A52="","",Projects!A52)</f>
        <v/>
      </c>
      <c r="B52" s="54" t="str">
        <f>IF(Projects!B52="","",Projects!B52)</f>
        <v/>
      </c>
    </row>
    <row r="53" spans="1:2" x14ac:dyDescent="0.25">
      <c r="A53" s="22" t="str">
        <f>IF(Projects!A53="","",Projects!A53)</f>
        <v/>
      </c>
      <c r="B53" s="54" t="str">
        <f>IF(Projects!B53="","",Projects!B53)</f>
        <v/>
      </c>
    </row>
    <row r="54" spans="1:2" x14ac:dyDescent="0.25">
      <c r="A54" s="22" t="str">
        <f>IF(Projects!A54="","",Projects!A54)</f>
        <v/>
      </c>
      <c r="B54" s="54" t="str">
        <f>IF(Projects!B54="","",Projects!B54)</f>
        <v/>
      </c>
    </row>
    <row r="55" spans="1:2" x14ac:dyDescent="0.25">
      <c r="A55" s="22" t="str">
        <f>IF(Projects!A55="","",Projects!A55)</f>
        <v/>
      </c>
      <c r="B55" s="54" t="str">
        <f>IF(Projects!B55="","",Projects!B55)</f>
        <v/>
      </c>
    </row>
    <row r="56" spans="1:2" x14ac:dyDescent="0.25">
      <c r="A56" s="22" t="str">
        <f>IF(Projects!A56="","",Projects!A56)</f>
        <v/>
      </c>
      <c r="B56" s="54" t="str">
        <f>IF(Projects!B56="","",Projects!B56)</f>
        <v/>
      </c>
    </row>
    <row r="57" spans="1:2" x14ac:dyDescent="0.25">
      <c r="A57" s="22" t="str">
        <f>IF(Projects!A57="","",Projects!A57)</f>
        <v/>
      </c>
      <c r="B57" s="54" t="str">
        <f>IF(Projects!B57="","",Projects!B57)</f>
        <v/>
      </c>
    </row>
    <row r="58" spans="1:2" x14ac:dyDescent="0.25">
      <c r="A58" s="22" t="str">
        <f>IF(Projects!A58="","",Projects!A58)</f>
        <v/>
      </c>
      <c r="B58" s="54" t="str">
        <f>IF(Projects!B58="","",Projects!B58)</f>
        <v/>
      </c>
    </row>
    <row r="59" spans="1:2" x14ac:dyDescent="0.25">
      <c r="A59" s="22" t="str">
        <f>IF(Projects!A59="","",Projects!A59)</f>
        <v/>
      </c>
      <c r="B59" s="54" t="str">
        <f>IF(Projects!B59="","",Projects!B59)</f>
        <v/>
      </c>
    </row>
    <row r="60" spans="1:2" x14ac:dyDescent="0.25">
      <c r="A60" s="22" t="str">
        <f>IF(Projects!A60="","",Projects!A60)</f>
        <v/>
      </c>
      <c r="B60" s="54" t="str">
        <f>IF(Projects!B60="","",Projects!B60)</f>
        <v/>
      </c>
    </row>
    <row r="61" spans="1:2" x14ac:dyDescent="0.25">
      <c r="A61" s="22" t="str">
        <f>IF(Projects!A61="","",Projects!A61)</f>
        <v/>
      </c>
      <c r="B61" s="54" t="str">
        <f>IF(Projects!B61="","",Projects!B61)</f>
        <v/>
      </c>
    </row>
    <row r="62" spans="1:2" x14ac:dyDescent="0.25">
      <c r="A62" s="22" t="str">
        <f>IF(Projects!A62="","",Projects!A62)</f>
        <v/>
      </c>
      <c r="B62" s="54" t="str">
        <f>IF(Projects!B62="","",Projects!B62)</f>
        <v/>
      </c>
    </row>
    <row r="63" spans="1:2" x14ac:dyDescent="0.25">
      <c r="A63" s="22" t="str">
        <f>IF(Projects!A63="","",Projects!A63)</f>
        <v/>
      </c>
      <c r="B63" s="54" t="str">
        <f>IF(Projects!B63="","",Projects!B63)</f>
        <v/>
      </c>
    </row>
    <row r="64" spans="1:2" x14ac:dyDescent="0.25">
      <c r="A64" s="22" t="str">
        <f>IF(Projects!A64="","",Projects!A64)</f>
        <v/>
      </c>
      <c r="B64" s="54" t="str">
        <f>IF(Projects!B64="","",Projects!B64)</f>
        <v/>
      </c>
    </row>
    <row r="65" spans="1:2" x14ac:dyDescent="0.25">
      <c r="A65" s="22" t="str">
        <f>IF(Projects!A65="","",Projects!A65)</f>
        <v/>
      </c>
      <c r="B65" s="54" t="str">
        <f>IF(Projects!B65="","",Projects!B65)</f>
        <v/>
      </c>
    </row>
    <row r="66" spans="1:2" x14ac:dyDescent="0.25">
      <c r="A66" s="22" t="str">
        <f>IF(Projects!A66="","",Projects!A66)</f>
        <v/>
      </c>
      <c r="B66" s="54" t="str">
        <f>IF(Projects!B66="","",Projects!B66)</f>
        <v/>
      </c>
    </row>
    <row r="67" spans="1:2" x14ac:dyDescent="0.25">
      <c r="A67" s="22" t="str">
        <f>IF(Projects!A67="","",Projects!A67)</f>
        <v/>
      </c>
      <c r="B67" s="54" t="str">
        <f>IF(Projects!B67="","",Projects!B67)</f>
        <v/>
      </c>
    </row>
    <row r="68" spans="1:2" x14ac:dyDescent="0.25">
      <c r="A68" s="22" t="str">
        <f>IF(Projects!A68="","",Projects!A68)</f>
        <v/>
      </c>
      <c r="B68" s="54" t="str">
        <f>IF(Projects!B68="","",Projects!B68)</f>
        <v/>
      </c>
    </row>
    <row r="69" spans="1:2" x14ac:dyDescent="0.25">
      <c r="A69" s="22" t="str">
        <f>IF(Projects!A69="","",Projects!A69)</f>
        <v/>
      </c>
      <c r="B69" s="54" t="str">
        <f>IF(Projects!B69="","",Projects!B69)</f>
        <v/>
      </c>
    </row>
    <row r="70" spans="1:2" x14ac:dyDescent="0.25">
      <c r="A70" s="22" t="str">
        <f>IF(Projects!A70="","",Projects!A70)</f>
        <v/>
      </c>
      <c r="B70" s="54" t="str">
        <f>IF(Projects!B70="","",Projects!B70)</f>
        <v/>
      </c>
    </row>
    <row r="71" spans="1:2" x14ac:dyDescent="0.25">
      <c r="A71" s="22" t="str">
        <f>IF(Projects!A71="","",Projects!A71)</f>
        <v/>
      </c>
      <c r="B71" s="54" t="str">
        <f>IF(Projects!B71="","",Projects!B71)</f>
        <v/>
      </c>
    </row>
    <row r="72" spans="1:2" x14ac:dyDescent="0.25">
      <c r="A72" s="22" t="str">
        <f>IF(Projects!A72="","",Projects!A72)</f>
        <v/>
      </c>
      <c r="B72" s="54" t="str">
        <f>IF(Projects!B72="","",Projects!B72)</f>
        <v/>
      </c>
    </row>
    <row r="73" spans="1:2" x14ac:dyDescent="0.25">
      <c r="A73" s="22" t="str">
        <f>IF(Projects!A73="","",Projects!A73)</f>
        <v/>
      </c>
      <c r="B73" s="54" t="str">
        <f>IF(Projects!B73="","",Projects!B73)</f>
        <v/>
      </c>
    </row>
    <row r="74" spans="1:2" x14ac:dyDescent="0.25">
      <c r="A74" s="22" t="str">
        <f>IF(Projects!A74="","",Projects!A74)</f>
        <v/>
      </c>
      <c r="B74" s="54" t="str">
        <f>IF(Projects!B74="","",Projects!B74)</f>
        <v/>
      </c>
    </row>
    <row r="75" spans="1:2" x14ac:dyDescent="0.25">
      <c r="A75" s="22" t="str">
        <f>IF(Projects!A75="","",Projects!A75)</f>
        <v/>
      </c>
      <c r="B75" s="54" t="str">
        <f>IF(Projects!B75="","",Projects!B75)</f>
        <v/>
      </c>
    </row>
    <row r="76" spans="1:2" x14ac:dyDescent="0.25">
      <c r="A76" s="22" t="str">
        <f>IF(Projects!A76="","",Projects!A76)</f>
        <v/>
      </c>
      <c r="B76" s="54" t="str">
        <f>IF(Projects!B76="","",Projects!B76)</f>
        <v/>
      </c>
    </row>
    <row r="77" spans="1:2" x14ac:dyDescent="0.25">
      <c r="A77" s="22" t="str">
        <f>IF(Projects!A77="","",Projects!A77)</f>
        <v/>
      </c>
      <c r="B77" s="54" t="str">
        <f>IF(Projects!B77="","",Projects!B77)</f>
        <v/>
      </c>
    </row>
    <row r="78" spans="1:2" x14ac:dyDescent="0.25">
      <c r="A78" s="22" t="str">
        <f>IF(Projects!A78="","",Projects!A78)</f>
        <v/>
      </c>
      <c r="B78" s="54" t="str">
        <f>IF(Projects!B78="","",Projects!B78)</f>
        <v/>
      </c>
    </row>
    <row r="79" spans="1:2" x14ac:dyDescent="0.25">
      <c r="A79" s="22" t="str">
        <f>IF(Projects!A79="","",Projects!A79)</f>
        <v/>
      </c>
      <c r="B79" s="54" t="str">
        <f>IF(Projects!B79="","",Projects!B79)</f>
        <v/>
      </c>
    </row>
    <row r="80" spans="1:2" x14ac:dyDescent="0.25">
      <c r="A80" s="22" t="str">
        <f>IF(Projects!A80="","",Projects!A80)</f>
        <v/>
      </c>
      <c r="B80" s="54" t="str">
        <f>IF(Projects!B80="","",Projects!B80)</f>
        <v/>
      </c>
    </row>
    <row r="81" spans="1:2" x14ac:dyDescent="0.25">
      <c r="A81" s="22" t="str">
        <f>IF(Projects!A81="","",Projects!A81)</f>
        <v/>
      </c>
      <c r="B81" s="54" t="str">
        <f>IF(Projects!B81="","",Projects!B81)</f>
        <v/>
      </c>
    </row>
    <row r="82" spans="1:2" x14ac:dyDescent="0.25">
      <c r="A82" s="22" t="str">
        <f>IF(Projects!A82="","",Projects!A82)</f>
        <v/>
      </c>
      <c r="B82" s="54" t="str">
        <f>IF(Projects!B82="","",Projects!B82)</f>
        <v/>
      </c>
    </row>
    <row r="83" spans="1:2" x14ac:dyDescent="0.25">
      <c r="A83" s="22" t="str">
        <f>IF(Projects!A83="","",Projects!A83)</f>
        <v/>
      </c>
      <c r="B83" s="54" t="str">
        <f>IF(Projects!B83="","",Projects!B83)</f>
        <v/>
      </c>
    </row>
    <row r="84" spans="1:2" x14ac:dyDescent="0.25">
      <c r="A84" s="22" t="str">
        <f>IF(Projects!A84="","",Projects!A84)</f>
        <v/>
      </c>
      <c r="B84" s="54" t="str">
        <f>IF(Projects!B84="","",Projects!B84)</f>
        <v/>
      </c>
    </row>
    <row r="85" spans="1:2" x14ac:dyDescent="0.25">
      <c r="A85" s="22" t="str">
        <f>IF(Projects!A85="","",Projects!A85)</f>
        <v/>
      </c>
      <c r="B85" s="54" t="str">
        <f>IF(Projects!B85="","",Projects!B85)</f>
        <v/>
      </c>
    </row>
    <row r="86" spans="1:2" x14ac:dyDescent="0.25">
      <c r="A86" s="22" t="str">
        <f>IF(Projects!A86="","",Projects!A86)</f>
        <v/>
      </c>
      <c r="B86" s="54" t="str">
        <f>IF(Projects!B86="","",Projects!B86)</f>
        <v/>
      </c>
    </row>
    <row r="87" spans="1:2" x14ac:dyDescent="0.25">
      <c r="A87" s="22" t="str">
        <f>IF(Projects!A87="","",Projects!A87)</f>
        <v/>
      </c>
      <c r="B87" s="54" t="str">
        <f>IF(Projects!B87="","",Projects!B87)</f>
        <v/>
      </c>
    </row>
    <row r="88" spans="1:2" x14ac:dyDescent="0.25">
      <c r="A88" s="22" t="str">
        <f>IF(Projects!A88="","",Projects!A88)</f>
        <v/>
      </c>
      <c r="B88" s="54" t="str">
        <f>IF(Projects!B88="","",Projects!B88)</f>
        <v/>
      </c>
    </row>
    <row r="89" spans="1:2" x14ac:dyDescent="0.25">
      <c r="A89" s="22" t="str">
        <f>IF(Projects!A89="","",Projects!A89)</f>
        <v/>
      </c>
      <c r="B89" s="54" t="str">
        <f>IF(Projects!B89="","",Projects!B89)</f>
        <v/>
      </c>
    </row>
    <row r="90" spans="1:2" x14ac:dyDescent="0.25">
      <c r="A90" s="22" t="str">
        <f>IF(Projects!A90="","",Projects!A90)</f>
        <v/>
      </c>
      <c r="B90" s="54" t="str">
        <f>IF(Projects!B90="","",Projects!B90)</f>
        <v/>
      </c>
    </row>
    <row r="91" spans="1:2" x14ac:dyDescent="0.25">
      <c r="A91" s="22" t="str">
        <f>IF(Projects!A91="","",Projects!A91)</f>
        <v/>
      </c>
      <c r="B91" s="54" t="str">
        <f>IF(Projects!B91="","",Projects!B91)</f>
        <v/>
      </c>
    </row>
    <row r="92" spans="1:2" x14ac:dyDescent="0.25">
      <c r="A92" s="22" t="str">
        <f>IF(Projects!A92="","",Projects!A92)</f>
        <v/>
      </c>
      <c r="B92" s="54" t="str">
        <f>IF(Projects!B92="","",Projects!B92)</f>
        <v/>
      </c>
    </row>
    <row r="93" spans="1:2" x14ac:dyDescent="0.25">
      <c r="A93" s="22" t="str">
        <f>IF(Projects!A93="","",Projects!A93)</f>
        <v/>
      </c>
      <c r="B93" s="54" t="str">
        <f>IF(Projects!B93="","",Projects!B93)</f>
        <v/>
      </c>
    </row>
    <row r="94" spans="1:2" x14ac:dyDescent="0.25">
      <c r="A94" s="22" t="str">
        <f>IF(Projects!A94="","",Projects!A94)</f>
        <v/>
      </c>
      <c r="B94" s="54" t="str">
        <f>IF(Projects!B94="","",Projects!B94)</f>
        <v/>
      </c>
    </row>
    <row r="95" spans="1:2" x14ac:dyDescent="0.25">
      <c r="A95" s="22" t="str">
        <f>IF(Projects!A95="","",Projects!A95)</f>
        <v/>
      </c>
      <c r="B95" s="54" t="str">
        <f>IF(Projects!B95="","",Projects!B95)</f>
        <v/>
      </c>
    </row>
    <row r="96" spans="1:2" x14ac:dyDescent="0.25">
      <c r="A96" s="22" t="str">
        <f>IF(Projects!A96="","",Projects!A96)</f>
        <v/>
      </c>
      <c r="B96" s="54" t="str">
        <f>IF(Projects!B96="","",Projects!B96)</f>
        <v/>
      </c>
    </row>
    <row r="97" spans="1:2" x14ac:dyDescent="0.25">
      <c r="A97" s="22" t="str">
        <f>IF(Projects!A97="","",Projects!A97)</f>
        <v/>
      </c>
      <c r="B97" s="54" t="str">
        <f>IF(Projects!B97="","",Projects!B97)</f>
        <v/>
      </c>
    </row>
    <row r="98" spans="1:2" x14ac:dyDescent="0.25">
      <c r="A98" s="22" t="str">
        <f>IF(Projects!A98="","",Projects!A98)</f>
        <v/>
      </c>
      <c r="B98" s="54" t="str">
        <f>IF(Projects!B98="","",Projects!B98)</f>
        <v/>
      </c>
    </row>
    <row r="99" spans="1:2" x14ac:dyDescent="0.25">
      <c r="A99" s="22" t="str">
        <f>IF(Projects!A99="","",Projects!A99)</f>
        <v/>
      </c>
      <c r="B99" s="54" t="str">
        <f>IF(Projects!B99="","",Projects!B99)</f>
        <v/>
      </c>
    </row>
    <row r="100" spans="1:2" x14ac:dyDescent="0.25">
      <c r="A100" s="22" t="str">
        <f>IF(Projects!A100="","",Projects!A100)</f>
        <v/>
      </c>
      <c r="B100" s="54" t="str">
        <f>IF(Projects!B100="","",Projects!B100)</f>
        <v/>
      </c>
    </row>
    <row r="101" spans="1:2" x14ac:dyDescent="0.25">
      <c r="A101" s="22" t="str">
        <f>IF(Projects!A101="","",Projects!A101)</f>
        <v/>
      </c>
      <c r="B101" s="54" t="str">
        <f>IF(Projects!B101="","",Projects!B101)</f>
        <v/>
      </c>
    </row>
    <row r="102" spans="1:2" x14ac:dyDescent="0.25">
      <c r="A102" s="22" t="str">
        <f>IF(Projects!A102="","",Projects!A102)</f>
        <v/>
      </c>
      <c r="B102" s="54" t="str">
        <f>IF(Projects!B102="","",Projects!B102)</f>
        <v/>
      </c>
    </row>
    <row r="103" spans="1:2" x14ac:dyDescent="0.25">
      <c r="A103" s="22" t="str">
        <f>IF(Projects!A103="","",Projects!A103)</f>
        <v/>
      </c>
      <c r="B103" s="54" t="str">
        <f>IF(Projects!B103="","",Projects!B103)</f>
        <v/>
      </c>
    </row>
    <row r="104" spans="1:2" x14ac:dyDescent="0.25">
      <c r="A104" s="22" t="str">
        <f>IF(Projects!A104="","",Projects!A104)</f>
        <v/>
      </c>
      <c r="B104" s="54" t="str">
        <f>IF(Projects!B104="","",Projects!B104)</f>
        <v/>
      </c>
    </row>
    <row r="105" spans="1:2" x14ac:dyDescent="0.25">
      <c r="A105" s="22" t="str">
        <f>IF(Projects!A105="","",Projects!A105)</f>
        <v/>
      </c>
      <c r="B105" s="54" t="str">
        <f>IF(Projects!B105="","",Projects!B105)</f>
        <v/>
      </c>
    </row>
    <row r="106" spans="1:2" x14ac:dyDescent="0.25">
      <c r="A106" s="22" t="str">
        <f>IF(Projects!A106="","",Projects!A106)</f>
        <v/>
      </c>
      <c r="B106" s="54" t="str">
        <f>IF(Projects!B106="","",Projects!B106)</f>
        <v/>
      </c>
    </row>
    <row r="107" spans="1:2" x14ac:dyDescent="0.25">
      <c r="A107" s="22" t="str">
        <f>IF(Projects!A107="","",Projects!A107)</f>
        <v/>
      </c>
      <c r="B107" s="54" t="str">
        <f>IF(Projects!B107="","",Projects!B107)</f>
        <v/>
      </c>
    </row>
    <row r="108" spans="1:2" x14ac:dyDescent="0.25">
      <c r="A108" s="22" t="str">
        <f>IF(Projects!A108="","",Projects!A108)</f>
        <v/>
      </c>
      <c r="B108" s="54" t="str">
        <f>IF(Projects!B108="","",Projects!B108)</f>
        <v/>
      </c>
    </row>
    <row r="109" spans="1:2" x14ac:dyDescent="0.25">
      <c r="A109" s="22" t="str">
        <f>IF(Projects!A109="","",Projects!A109)</f>
        <v/>
      </c>
      <c r="B109" s="54" t="str">
        <f>IF(Projects!B109="","",Projects!B109)</f>
        <v/>
      </c>
    </row>
    <row r="110" spans="1:2" x14ac:dyDescent="0.25">
      <c r="A110" s="22" t="str">
        <f>IF(Projects!A110="","",Projects!A110)</f>
        <v/>
      </c>
      <c r="B110" s="54" t="str">
        <f>IF(Projects!B110="","",Projects!B110)</f>
        <v/>
      </c>
    </row>
    <row r="111" spans="1:2" x14ac:dyDescent="0.25">
      <c r="A111" s="22" t="str">
        <f>IF(Projects!A111="","",Projects!A111)</f>
        <v/>
      </c>
      <c r="B111" s="54" t="str">
        <f>IF(Projects!B111="","",Projects!B111)</f>
        <v/>
      </c>
    </row>
    <row r="112" spans="1:2" x14ac:dyDescent="0.25">
      <c r="A112" s="22" t="str">
        <f>IF(Projects!A112="","",Projects!A112)</f>
        <v/>
      </c>
      <c r="B112" s="54" t="str">
        <f>IF(Projects!B112="","",Projects!B112)</f>
        <v/>
      </c>
    </row>
    <row r="113" spans="1:2" x14ac:dyDescent="0.25">
      <c r="A113" s="22" t="str">
        <f>IF(Projects!A113="","",Projects!A113)</f>
        <v/>
      </c>
      <c r="B113" s="54" t="str">
        <f>IF(Projects!B113="","",Projects!B113)</f>
        <v/>
      </c>
    </row>
    <row r="114" spans="1:2" x14ac:dyDescent="0.25">
      <c r="A114" s="22" t="str">
        <f>IF(Projects!A114="","",Projects!A114)</f>
        <v/>
      </c>
      <c r="B114" s="54" t="str">
        <f>IF(Projects!B114="","",Projects!B114)</f>
        <v/>
      </c>
    </row>
    <row r="115" spans="1:2" x14ac:dyDescent="0.25">
      <c r="A115" s="22" t="str">
        <f>IF(Projects!A115="","",Projects!A115)</f>
        <v/>
      </c>
      <c r="B115" s="54" t="str">
        <f>IF(Projects!B115="","",Projects!B115)</f>
        <v/>
      </c>
    </row>
    <row r="116" spans="1:2" x14ac:dyDescent="0.25">
      <c r="A116" s="22" t="str">
        <f>IF(Projects!A116="","",Projects!A116)</f>
        <v/>
      </c>
      <c r="B116" s="54" t="str">
        <f>IF(Projects!B116="","",Projects!B116)</f>
        <v/>
      </c>
    </row>
    <row r="117" spans="1:2" x14ac:dyDescent="0.25">
      <c r="A117" s="22" t="str">
        <f>IF(Projects!A117="","",Projects!A117)</f>
        <v/>
      </c>
      <c r="B117" s="54" t="str">
        <f>IF(Projects!B117="","",Projects!B117)</f>
        <v/>
      </c>
    </row>
    <row r="118" spans="1:2" x14ac:dyDescent="0.25">
      <c r="A118" s="22" t="str">
        <f>IF(Projects!A118="","",Projects!A118)</f>
        <v/>
      </c>
      <c r="B118" s="54" t="str">
        <f>IF(Projects!B118="","",Projects!B118)</f>
        <v/>
      </c>
    </row>
    <row r="119" spans="1:2" x14ac:dyDescent="0.25">
      <c r="A119" s="22" t="str">
        <f>IF(Projects!A119="","",Projects!A119)</f>
        <v/>
      </c>
      <c r="B119" s="54" t="str">
        <f>IF(Projects!B119="","",Projects!B119)</f>
        <v/>
      </c>
    </row>
    <row r="120" spans="1:2" x14ac:dyDescent="0.25">
      <c r="A120" s="22" t="str">
        <f>IF(Projects!A120="","",Projects!A120)</f>
        <v/>
      </c>
      <c r="B120" s="54" t="str">
        <f>IF(Projects!B120="","",Projects!B120)</f>
        <v/>
      </c>
    </row>
    <row r="121" spans="1:2" x14ac:dyDescent="0.25">
      <c r="A121" s="22" t="str">
        <f>IF(Projects!A121="","",Projects!A121)</f>
        <v/>
      </c>
      <c r="B121" s="54" t="str">
        <f>IF(Projects!B121="","",Projects!B121)</f>
        <v/>
      </c>
    </row>
    <row r="122" spans="1:2" x14ac:dyDescent="0.25">
      <c r="A122" s="22" t="str">
        <f>IF(Projects!A122="","",Projects!A122)</f>
        <v/>
      </c>
      <c r="B122" s="54" t="str">
        <f>IF(Projects!B122="","",Projects!B122)</f>
        <v/>
      </c>
    </row>
    <row r="123" spans="1:2" x14ac:dyDescent="0.25">
      <c r="A123" s="22" t="str">
        <f>IF(Projects!A123="","",Projects!A123)</f>
        <v/>
      </c>
      <c r="B123" s="54" t="str">
        <f>IF(Projects!B123="","",Projects!B123)</f>
        <v/>
      </c>
    </row>
    <row r="124" spans="1:2" x14ac:dyDescent="0.25">
      <c r="A124" s="22" t="str">
        <f>IF(Projects!A124="","",Projects!A124)</f>
        <v/>
      </c>
      <c r="B124" s="54" t="str">
        <f>IF(Projects!B124="","",Projects!B124)</f>
        <v/>
      </c>
    </row>
    <row r="125" spans="1:2" x14ac:dyDescent="0.25">
      <c r="A125" s="22" t="str">
        <f>IF(Projects!A125="","",Projects!A125)</f>
        <v/>
      </c>
      <c r="B125" s="54" t="str">
        <f>IF(Projects!B125="","",Projects!B125)</f>
        <v/>
      </c>
    </row>
    <row r="126" spans="1:2" x14ac:dyDescent="0.25">
      <c r="A126" s="22" t="str">
        <f>IF(Projects!A126="","",Projects!A126)</f>
        <v/>
      </c>
      <c r="B126" s="54" t="str">
        <f>IF(Projects!B126="","",Projects!B126)</f>
        <v/>
      </c>
    </row>
    <row r="127" spans="1:2" x14ac:dyDescent="0.25">
      <c r="A127" s="22" t="str">
        <f>IF(Projects!A127="","",Projects!A127)</f>
        <v/>
      </c>
      <c r="B127" s="54" t="str">
        <f>IF(Projects!B127="","",Projects!B127)</f>
        <v/>
      </c>
    </row>
    <row r="128" spans="1:2" x14ac:dyDescent="0.25">
      <c r="A128" s="22" t="str">
        <f>IF(Projects!A128="","",Projects!A128)</f>
        <v/>
      </c>
      <c r="B128" s="54" t="str">
        <f>IF(Projects!B128="","",Projects!B128)</f>
        <v/>
      </c>
    </row>
    <row r="129" spans="1:2" x14ac:dyDescent="0.25">
      <c r="A129" s="22" t="str">
        <f>IF(Projects!A129="","",Projects!A129)</f>
        <v/>
      </c>
      <c r="B129" s="54" t="str">
        <f>IF(Projects!B129="","",Projects!B129)</f>
        <v/>
      </c>
    </row>
    <row r="130" spans="1:2" x14ac:dyDescent="0.25">
      <c r="A130" s="22" t="str">
        <f>IF(Projects!A130="","",Projects!A130)</f>
        <v/>
      </c>
      <c r="B130" s="54" t="str">
        <f>IF(Projects!B130="","",Projects!B130)</f>
        <v/>
      </c>
    </row>
    <row r="131" spans="1:2" x14ac:dyDescent="0.25">
      <c r="A131" s="22" t="str">
        <f>IF(Projects!A131="","",Projects!A131)</f>
        <v/>
      </c>
      <c r="B131" s="54" t="str">
        <f>IF(Projects!B131="","",Projects!B131)</f>
        <v/>
      </c>
    </row>
    <row r="132" spans="1:2" x14ac:dyDescent="0.25">
      <c r="A132" s="22" t="str">
        <f>IF(Projects!A132="","",Projects!A132)</f>
        <v/>
      </c>
      <c r="B132" s="54" t="str">
        <f>IF(Projects!B132="","",Projects!B132)</f>
        <v/>
      </c>
    </row>
    <row r="133" spans="1:2" x14ac:dyDescent="0.25">
      <c r="A133" s="22" t="str">
        <f>IF(Projects!A133="","",Projects!A133)</f>
        <v/>
      </c>
      <c r="B133" s="54" t="str">
        <f>IF(Projects!B133="","",Projects!B133)</f>
        <v/>
      </c>
    </row>
    <row r="134" spans="1:2" x14ac:dyDescent="0.25">
      <c r="A134" s="22" t="str">
        <f>IF(Projects!A134="","",Projects!A134)</f>
        <v/>
      </c>
      <c r="B134" s="54" t="str">
        <f>IF(Projects!B134="","",Projects!B134)</f>
        <v/>
      </c>
    </row>
    <row r="135" spans="1:2" x14ac:dyDescent="0.25">
      <c r="A135" s="22" t="str">
        <f>IF(Projects!A135="","",Projects!A135)</f>
        <v/>
      </c>
      <c r="B135" s="54" t="str">
        <f>IF(Projects!B135="","",Projects!B135)</f>
        <v/>
      </c>
    </row>
    <row r="136" spans="1:2" x14ac:dyDescent="0.25">
      <c r="A136" s="22" t="str">
        <f>IF(Projects!A136="","",Projects!A136)</f>
        <v/>
      </c>
      <c r="B136" s="54" t="str">
        <f>IF(Projects!B136="","",Projects!B136)</f>
        <v/>
      </c>
    </row>
    <row r="137" spans="1:2" x14ac:dyDescent="0.25">
      <c r="A137" s="22" t="str">
        <f>IF(Projects!A137="","",Projects!A137)</f>
        <v/>
      </c>
      <c r="B137" s="54" t="str">
        <f>IF(Projects!B137="","",Projects!B137)</f>
        <v/>
      </c>
    </row>
    <row r="138" spans="1:2" x14ac:dyDescent="0.25">
      <c r="A138" s="22" t="str">
        <f>IF(Projects!A138="","",Projects!A138)</f>
        <v/>
      </c>
      <c r="B138" s="54" t="str">
        <f>IF(Projects!B138="","",Projects!B138)</f>
        <v/>
      </c>
    </row>
    <row r="139" spans="1:2" x14ac:dyDescent="0.25">
      <c r="A139" s="22" t="str">
        <f>IF(Projects!A139="","",Projects!A139)</f>
        <v/>
      </c>
      <c r="B139" s="54" t="str">
        <f>IF(Projects!B139="","",Projects!B139)</f>
        <v/>
      </c>
    </row>
    <row r="140" spans="1:2" x14ac:dyDescent="0.25">
      <c r="A140" s="22" t="str">
        <f>IF(Projects!A140="","",Projects!A140)</f>
        <v/>
      </c>
      <c r="B140" s="54" t="str">
        <f>IF(Projects!B140="","",Projects!B140)</f>
        <v/>
      </c>
    </row>
    <row r="141" spans="1:2" x14ac:dyDescent="0.25">
      <c r="A141" s="22" t="str">
        <f>IF(Projects!A141="","",Projects!A141)</f>
        <v/>
      </c>
      <c r="B141" s="54" t="str">
        <f>IF(Projects!B141="","",Projects!B141)</f>
        <v/>
      </c>
    </row>
    <row r="142" spans="1:2" x14ac:dyDescent="0.25">
      <c r="A142" s="22" t="str">
        <f>IF(Projects!A142="","",Projects!A142)</f>
        <v/>
      </c>
      <c r="B142" s="54" t="str">
        <f>IF(Projects!B142="","",Projects!B142)</f>
        <v/>
      </c>
    </row>
    <row r="143" spans="1:2" x14ac:dyDescent="0.25">
      <c r="A143" s="22" t="str">
        <f>IF(Projects!A143="","",Projects!A143)</f>
        <v/>
      </c>
      <c r="B143" s="54" t="str">
        <f>IF(Projects!B143="","",Projects!B143)</f>
        <v/>
      </c>
    </row>
    <row r="144" spans="1:2" x14ac:dyDescent="0.25">
      <c r="A144" s="22" t="str">
        <f>IF(Projects!A144="","",Projects!A144)</f>
        <v/>
      </c>
      <c r="B144" s="54" t="str">
        <f>IF(Projects!B144="","",Projects!B144)</f>
        <v/>
      </c>
    </row>
    <row r="145" spans="1:2" x14ac:dyDescent="0.25">
      <c r="A145" s="22" t="str">
        <f>IF(Projects!A145="","",Projects!A145)</f>
        <v/>
      </c>
      <c r="B145" s="54" t="str">
        <f>IF(Projects!B145="","",Projects!B145)</f>
        <v/>
      </c>
    </row>
    <row r="146" spans="1:2" x14ac:dyDescent="0.25">
      <c r="A146" s="22" t="str">
        <f>IF(Projects!A146="","",Projects!A146)</f>
        <v/>
      </c>
      <c r="B146" s="54" t="str">
        <f>IF(Projects!B146="","",Projects!B146)</f>
        <v/>
      </c>
    </row>
    <row r="147" spans="1:2" x14ac:dyDescent="0.25">
      <c r="A147" s="22" t="str">
        <f>IF(Projects!A147="","",Projects!A147)</f>
        <v/>
      </c>
      <c r="B147" s="54" t="str">
        <f>IF(Projects!B147="","",Projects!B147)</f>
        <v/>
      </c>
    </row>
    <row r="148" spans="1:2" x14ac:dyDescent="0.25">
      <c r="A148" s="22" t="str">
        <f>IF(Projects!A148="","",Projects!A148)</f>
        <v/>
      </c>
      <c r="B148" s="54" t="str">
        <f>IF(Projects!B148="","",Projects!B148)</f>
        <v/>
      </c>
    </row>
    <row r="149" spans="1:2" x14ac:dyDescent="0.25">
      <c r="A149" s="22" t="str">
        <f>IF(Projects!A149="","",Projects!A149)</f>
        <v/>
      </c>
      <c r="B149" s="54" t="str">
        <f>IF(Projects!B149="","",Projects!B149)</f>
        <v/>
      </c>
    </row>
    <row r="150" spans="1:2" x14ac:dyDescent="0.25">
      <c r="A150" s="22" t="str">
        <f>IF(Projects!A150="","",Projects!A150)</f>
        <v/>
      </c>
      <c r="B150" s="54" t="str">
        <f>IF(Projects!B150="","",Projects!B150)</f>
        <v/>
      </c>
    </row>
    <row r="151" spans="1:2" x14ac:dyDescent="0.25">
      <c r="A151" s="22" t="str">
        <f>IF(Projects!A151="","",Projects!A151)</f>
        <v/>
      </c>
      <c r="B151" s="54" t="str">
        <f>IF(Projects!B151="","",Projects!B151)</f>
        <v/>
      </c>
    </row>
    <row r="152" spans="1:2" x14ac:dyDescent="0.25">
      <c r="A152" s="22" t="str">
        <f>IF(Projects!A152="","",Projects!A152)</f>
        <v/>
      </c>
      <c r="B152" s="54" t="str">
        <f>IF(Projects!B152="","",Projects!B152)</f>
        <v/>
      </c>
    </row>
    <row r="153" spans="1:2" x14ac:dyDescent="0.25">
      <c r="A153" s="22" t="str">
        <f>IF(Projects!A153="","",Projects!A153)</f>
        <v/>
      </c>
      <c r="B153" s="54" t="str">
        <f>IF(Projects!B153="","",Projects!B153)</f>
        <v/>
      </c>
    </row>
    <row r="154" spans="1:2" x14ac:dyDescent="0.25">
      <c r="A154" s="22" t="str">
        <f>IF(Projects!A154="","",Projects!A154)</f>
        <v/>
      </c>
      <c r="B154" s="54" t="str">
        <f>IF(Projects!B154="","",Projects!B154)</f>
        <v/>
      </c>
    </row>
    <row r="155" spans="1:2" x14ac:dyDescent="0.25">
      <c r="A155" s="22" t="str">
        <f>IF(Projects!A155="","",Projects!A155)</f>
        <v/>
      </c>
      <c r="B155" s="54" t="str">
        <f>IF(Projects!B155="","",Projects!B155)</f>
        <v/>
      </c>
    </row>
    <row r="156" spans="1:2" x14ac:dyDescent="0.25">
      <c r="A156" s="22" t="str">
        <f>IF(Projects!A156="","",Projects!A156)</f>
        <v/>
      </c>
      <c r="B156" s="54" t="str">
        <f>IF(Projects!B156="","",Projects!B156)</f>
        <v/>
      </c>
    </row>
    <row r="157" spans="1:2" x14ac:dyDescent="0.25">
      <c r="A157" s="22" t="str">
        <f>IF(Projects!A157="","",Projects!A157)</f>
        <v/>
      </c>
      <c r="B157" s="54" t="str">
        <f>IF(Projects!B157="","",Projects!B157)</f>
        <v/>
      </c>
    </row>
    <row r="158" spans="1:2" x14ac:dyDescent="0.25">
      <c r="A158" s="22" t="str">
        <f>IF(Projects!A158="","",Projects!A158)</f>
        <v/>
      </c>
      <c r="B158" s="54" t="str">
        <f>IF(Projects!B158="","",Projects!B158)</f>
        <v/>
      </c>
    </row>
    <row r="159" spans="1:2" x14ac:dyDescent="0.25">
      <c r="A159" s="22" t="str">
        <f>IF(Projects!A159="","",Projects!A159)</f>
        <v/>
      </c>
      <c r="B159" s="54" t="str">
        <f>IF(Projects!B159="","",Projects!B159)</f>
        <v/>
      </c>
    </row>
    <row r="160" spans="1:2" x14ac:dyDescent="0.25">
      <c r="A160" s="22" t="str">
        <f>IF(Projects!A160="","",Projects!A160)</f>
        <v/>
      </c>
      <c r="B160" s="54" t="str">
        <f>IF(Projects!B160="","",Projects!B160)</f>
        <v/>
      </c>
    </row>
    <row r="161" spans="1:2" x14ac:dyDescent="0.25">
      <c r="A161" s="22" t="str">
        <f>IF(Projects!A161="","",Projects!A161)</f>
        <v/>
      </c>
      <c r="B161" s="54" t="str">
        <f>IF(Projects!B161="","",Projects!B161)</f>
        <v/>
      </c>
    </row>
    <row r="162" spans="1:2" x14ac:dyDescent="0.25">
      <c r="A162" s="22" t="str">
        <f>IF(Projects!A162="","",Projects!A162)</f>
        <v/>
      </c>
      <c r="B162" s="54" t="str">
        <f>IF(Projects!B162="","",Projects!B162)</f>
        <v/>
      </c>
    </row>
    <row r="163" spans="1:2" x14ac:dyDescent="0.25">
      <c r="A163" s="22" t="str">
        <f>IF(Projects!A163="","",Projects!A163)</f>
        <v/>
      </c>
      <c r="B163" s="54" t="str">
        <f>IF(Projects!B163="","",Projects!B163)</f>
        <v/>
      </c>
    </row>
    <row r="164" spans="1:2" x14ac:dyDescent="0.25">
      <c r="A164" s="22" t="str">
        <f>IF(Projects!A164="","",Projects!A164)</f>
        <v/>
      </c>
      <c r="B164" s="54" t="str">
        <f>IF(Projects!B164="","",Projects!B164)</f>
        <v/>
      </c>
    </row>
    <row r="165" spans="1:2" x14ac:dyDescent="0.25">
      <c r="A165" s="22" t="str">
        <f>IF(Projects!A165="","",Projects!A165)</f>
        <v/>
      </c>
      <c r="B165" s="54" t="str">
        <f>IF(Projects!B165="","",Projects!B165)</f>
        <v/>
      </c>
    </row>
    <row r="166" spans="1:2" x14ac:dyDescent="0.25">
      <c r="A166" s="22" t="str">
        <f>IF(Projects!A166="","",Projects!A166)</f>
        <v/>
      </c>
      <c r="B166" s="54" t="str">
        <f>IF(Projects!B166="","",Projects!B166)</f>
        <v/>
      </c>
    </row>
    <row r="167" spans="1:2" x14ac:dyDescent="0.25">
      <c r="A167" s="22" t="str">
        <f>IF(Projects!A167="","",Projects!A167)</f>
        <v/>
      </c>
      <c r="B167" s="54" t="str">
        <f>IF(Projects!B167="","",Projects!B167)</f>
        <v/>
      </c>
    </row>
    <row r="168" spans="1:2" x14ac:dyDescent="0.25">
      <c r="A168" s="22" t="str">
        <f>IF(Projects!A168="","",Projects!A168)</f>
        <v/>
      </c>
      <c r="B168" s="54" t="str">
        <f>IF(Projects!B168="","",Projects!B168)</f>
        <v/>
      </c>
    </row>
    <row r="169" spans="1:2" x14ac:dyDescent="0.25">
      <c r="A169" s="22" t="str">
        <f>IF(Projects!A169="","",Projects!A169)</f>
        <v/>
      </c>
      <c r="B169" s="54" t="str">
        <f>IF(Projects!B169="","",Projects!B169)</f>
        <v/>
      </c>
    </row>
    <row r="170" spans="1:2" x14ac:dyDescent="0.25">
      <c r="A170" s="22" t="str">
        <f>IF(Projects!A170="","",Projects!A170)</f>
        <v/>
      </c>
      <c r="B170" s="54" t="str">
        <f>IF(Projects!B170="","",Projects!B170)</f>
        <v/>
      </c>
    </row>
    <row r="171" spans="1:2" x14ac:dyDescent="0.25">
      <c r="A171" s="22" t="str">
        <f>IF(Projects!A171="","",Projects!A171)</f>
        <v/>
      </c>
      <c r="B171" s="54" t="str">
        <f>IF(Projects!B171="","",Projects!B171)</f>
        <v/>
      </c>
    </row>
    <row r="172" spans="1:2" x14ac:dyDescent="0.25">
      <c r="A172" s="22" t="str">
        <f>IF(Projects!A172="","",Projects!A172)</f>
        <v/>
      </c>
      <c r="B172" s="54" t="str">
        <f>IF(Projects!B172="","",Projects!B172)</f>
        <v/>
      </c>
    </row>
    <row r="173" spans="1:2" x14ac:dyDescent="0.25">
      <c r="A173" s="22" t="str">
        <f>IF(Projects!A173="","",Projects!A173)</f>
        <v/>
      </c>
      <c r="B173" s="54" t="str">
        <f>IF(Projects!B173="","",Projects!B173)</f>
        <v/>
      </c>
    </row>
    <row r="174" spans="1:2" x14ac:dyDescent="0.25">
      <c r="A174" s="22" t="str">
        <f>IF(Projects!A174="","",Projects!A174)</f>
        <v/>
      </c>
      <c r="B174" s="54" t="str">
        <f>IF(Projects!B174="","",Projects!B174)</f>
        <v/>
      </c>
    </row>
    <row r="175" spans="1:2" x14ac:dyDescent="0.25">
      <c r="A175" s="22" t="str">
        <f>IF(Projects!A175="","",Projects!A175)</f>
        <v/>
      </c>
      <c r="B175" s="54" t="str">
        <f>IF(Projects!B175="","",Projects!B175)</f>
        <v/>
      </c>
    </row>
    <row r="176" spans="1:2" x14ac:dyDescent="0.25">
      <c r="A176" s="22" t="str">
        <f>IF(Projects!A176="","",Projects!A176)</f>
        <v/>
      </c>
      <c r="B176" s="54" t="str">
        <f>IF(Projects!B176="","",Projects!B176)</f>
        <v/>
      </c>
    </row>
    <row r="177" spans="1:2" x14ac:dyDescent="0.25">
      <c r="A177" s="22" t="str">
        <f>IF(Projects!A177="","",Projects!A177)</f>
        <v/>
      </c>
      <c r="B177" s="54" t="str">
        <f>IF(Projects!B177="","",Projects!B177)</f>
        <v/>
      </c>
    </row>
    <row r="178" spans="1:2" x14ac:dyDescent="0.25">
      <c r="A178" s="22" t="str">
        <f>IF(Projects!A178="","",Projects!A178)</f>
        <v/>
      </c>
      <c r="B178" s="54" t="str">
        <f>IF(Projects!B178="","",Projects!B178)</f>
        <v/>
      </c>
    </row>
    <row r="179" spans="1:2" x14ac:dyDescent="0.25">
      <c r="A179" s="22" t="str">
        <f>IF(Projects!A179="","",Projects!A179)</f>
        <v/>
      </c>
      <c r="B179" s="54" t="str">
        <f>IF(Projects!B179="","",Projects!B179)</f>
        <v/>
      </c>
    </row>
    <row r="180" spans="1:2" x14ac:dyDescent="0.25">
      <c r="A180" s="22" t="str">
        <f>IF(Projects!A180="","",Projects!A180)</f>
        <v/>
      </c>
      <c r="B180" s="54" t="str">
        <f>IF(Projects!B180="","",Projects!B180)</f>
        <v/>
      </c>
    </row>
    <row r="181" spans="1:2" x14ac:dyDescent="0.25">
      <c r="A181" s="22" t="str">
        <f>IF(Projects!A181="","",Projects!A181)</f>
        <v/>
      </c>
      <c r="B181" s="54" t="str">
        <f>IF(Projects!B181="","",Projects!B181)</f>
        <v/>
      </c>
    </row>
    <row r="182" spans="1:2" x14ac:dyDescent="0.25">
      <c r="A182" s="22" t="str">
        <f>IF(Projects!A182="","",Projects!A182)</f>
        <v/>
      </c>
      <c r="B182" s="54" t="str">
        <f>IF(Projects!B182="","",Projects!B182)</f>
        <v/>
      </c>
    </row>
    <row r="183" spans="1:2" x14ac:dyDescent="0.25">
      <c r="A183" s="22" t="str">
        <f>IF(Projects!A183="","",Projects!A183)</f>
        <v/>
      </c>
      <c r="B183" s="54" t="str">
        <f>IF(Projects!B183="","",Projects!B183)</f>
        <v/>
      </c>
    </row>
    <row r="184" spans="1:2" x14ac:dyDescent="0.25">
      <c r="A184" s="22" t="str">
        <f>IF(Projects!A184="","",Projects!A184)</f>
        <v/>
      </c>
      <c r="B184" s="54" t="str">
        <f>IF(Projects!B184="","",Projects!B184)</f>
        <v/>
      </c>
    </row>
    <row r="185" spans="1:2" x14ac:dyDescent="0.25">
      <c r="A185" s="22" t="str">
        <f>IF(Projects!A185="","",Projects!A185)</f>
        <v/>
      </c>
      <c r="B185" s="54" t="str">
        <f>IF(Projects!B185="","",Projects!B185)</f>
        <v/>
      </c>
    </row>
    <row r="186" spans="1:2" x14ac:dyDescent="0.25">
      <c r="A186" s="22" t="str">
        <f>IF(Projects!A186="","",Projects!A186)</f>
        <v/>
      </c>
      <c r="B186" s="54" t="str">
        <f>IF(Projects!B186="","",Projects!B186)</f>
        <v/>
      </c>
    </row>
    <row r="187" spans="1:2" x14ac:dyDescent="0.25">
      <c r="A187" s="22" t="str">
        <f>IF(Projects!A187="","",Projects!A187)</f>
        <v/>
      </c>
      <c r="B187" s="54" t="str">
        <f>IF(Projects!B187="","",Projects!B187)</f>
        <v/>
      </c>
    </row>
    <row r="188" spans="1:2" x14ac:dyDescent="0.25">
      <c r="A188" s="22" t="str">
        <f>IF(Projects!A188="","",Projects!A188)</f>
        <v/>
      </c>
      <c r="B188" s="54" t="str">
        <f>IF(Projects!B188="","",Projects!B188)</f>
        <v/>
      </c>
    </row>
    <row r="189" spans="1:2" x14ac:dyDescent="0.25">
      <c r="A189" s="22" t="str">
        <f>IF(Projects!A189="","",Projects!A189)</f>
        <v/>
      </c>
      <c r="B189" s="54" t="str">
        <f>IF(Projects!B189="","",Projects!B189)</f>
        <v/>
      </c>
    </row>
    <row r="190" spans="1:2" x14ac:dyDescent="0.25">
      <c r="A190" s="22" t="str">
        <f>IF(Projects!A190="","",Projects!A190)</f>
        <v/>
      </c>
      <c r="B190" s="54" t="str">
        <f>IF(Projects!B190="","",Projects!B190)</f>
        <v/>
      </c>
    </row>
    <row r="191" spans="1:2" x14ac:dyDescent="0.25">
      <c r="A191" s="22" t="str">
        <f>IF(Projects!A191="","",Projects!A191)</f>
        <v/>
      </c>
      <c r="B191" s="54" t="str">
        <f>IF(Projects!B191="","",Projects!B191)</f>
        <v/>
      </c>
    </row>
    <row r="192" spans="1:2" x14ac:dyDescent="0.25">
      <c r="A192" s="22" t="str">
        <f>IF(Projects!A192="","",Projects!A192)</f>
        <v/>
      </c>
      <c r="B192" s="54" t="str">
        <f>IF(Projects!B192="","",Projects!B192)</f>
        <v/>
      </c>
    </row>
    <row r="193" spans="1:2" x14ac:dyDescent="0.25">
      <c r="A193" s="22" t="str">
        <f>IF(Projects!A193="","",Projects!A193)</f>
        <v/>
      </c>
      <c r="B193" s="54" t="str">
        <f>IF(Projects!B193="","",Projects!B193)</f>
        <v/>
      </c>
    </row>
    <row r="194" spans="1:2" x14ac:dyDescent="0.25">
      <c r="A194" s="22" t="str">
        <f>IF(Projects!A194="","",Projects!A194)</f>
        <v/>
      </c>
      <c r="B194" s="54" t="str">
        <f>IF(Projects!B194="","",Projects!B194)</f>
        <v/>
      </c>
    </row>
    <row r="195" spans="1:2" x14ac:dyDescent="0.25">
      <c r="A195" s="22" t="str">
        <f>IF(Projects!A195="","",Projects!A195)</f>
        <v/>
      </c>
      <c r="B195" s="54" t="str">
        <f>IF(Projects!B195="","",Projects!B195)</f>
        <v/>
      </c>
    </row>
    <row r="196" spans="1:2" x14ac:dyDescent="0.25">
      <c r="A196" s="22" t="str">
        <f>IF(Projects!A196="","",Projects!A196)</f>
        <v/>
      </c>
      <c r="B196" s="54" t="str">
        <f>IF(Projects!B196="","",Projects!B196)</f>
        <v/>
      </c>
    </row>
    <row r="197" spans="1:2" x14ac:dyDescent="0.25">
      <c r="A197" s="22" t="str">
        <f>IF(Projects!A197="","",Projects!A197)</f>
        <v/>
      </c>
      <c r="B197" s="54" t="str">
        <f>IF(Projects!B197="","",Projects!B197)</f>
        <v/>
      </c>
    </row>
    <row r="198" spans="1:2" x14ac:dyDescent="0.25">
      <c r="A198" s="22" t="str">
        <f>IF(Projects!A198="","",Projects!A198)</f>
        <v/>
      </c>
      <c r="B198" s="54" t="str">
        <f>IF(Projects!B198="","",Projects!B198)</f>
        <v/>
      </c>
    </row>
    <row r="199" spans="1:2" x14ac:dyDescent="0.25">
      <c r="A199" s="22" t="str">
        <f>IF(Projects!A199="","",Projects!A199)</f>
        <v/>
      </c>
      <c r="B199" s="54" t="str">
        <f>IF(Projects!B199="","",Projects!B199)</f>
        <v/>
      </c>
    </row>
    <row r="200" spans="1:2" x14ac:dyDescent="0.25">
      <c r="A200" s="22" t="str">
        <f>IF(Projects!A200="","",Projects!A200)</f>
        <v/>
      </c>
      <c r="B200" s="54" t="str">
        <f>IF(Projects!B200="","",Projects!B200)</f>
        <v/>
      </c>
    </row>
    <row r="201" spans="1:2" x14ac:dyDescent="0.25">
      <c r="A201" s="22" t="str">
        <f>IF(Projects!A201="","",Projects!A201)</f>
        <v/>
      </c>
      <c r="B201" s="54" t="str">
        <f>IF(Projects!B201="","",Projects!B201)</f>
        <v/>
      </c>
    </row>
  </sheetData>
  <sheetProtection sheet="1" objects="1" scenarios="1" formatCells="0" formatColumns="0" insertColumns="0" deleteColumns="0"/>
  <dataConsolidate/>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Settings"/>
  <dimension ref="B3:F32"/>
  <sheetViews>
    <sheetView showGridLines="0" topLeftCell="A9" workbookViewId="0">
      <selection activeCell="C14" sqref="C14"/>
    </sheetView>
  </sheetViews>
  <sheetFormatPr defaultRowHeight="15" x14ac:dyDescent="0.25"/>
  <cols>
    <col min="1" max="1" width="6.28515625" customWidth="1"/>
    <col min="2" max="2" width="28.7109375" bestFit="1" customWidth="1"/>
    <col min="3" max="3" width="51.5703125" bestFit="1" customWidth="1"/>
    <col min="6" max="6" width="35.7109375" bestFit="1" customWidth="1"/>
  </cols>
  <sheetData>
    <row r="3" spans="2:6" x14ac:dyDescent="0.25">
      <c r="B3" s="106" t="s">
        <v>17</v>
      </c>
      <c r="C3" s="107"/>
      <c r="F3" s="4" t="s">
        <v>5</v>
      </c>
    </row>
    <row r="4" spans="2:6" x14ac:dyDescent="0.25">
      <c r="B4" s="5" t="s">
        <v>18</v>
      </c>
      <c r="C4" s="8" t="s">
        <v>7</v>
      </c>
      <c r="F4" s="1" t="s">
        <v>6</v>
      </c>
    </row>
    <row r="5" spans="2:6" x14ac:dyDescent="0.25">
      <c r="B5" s="6" t="s">
        <v>19</v>
      </c>
      <c r="C5" s="9" t="s">
        <v>14</v>
      </c>
      <c r="F5" s="2" t="s">
        <v>7</v>
      </c>
    </row>
    <row r="6" spans="2:6" x14ac:dyDescent="0.25">
      <c r="B6" s="6" t="s">
        <v>20</v>
      </c>
      <c r="C6" s="10">
        <v>100</v>
      </c>
      <c r="F6" s="2" t="s">
        <v>8</v>
      </c>
    </row>
    <row r="7" spans="2:6" x14ac:dyDescent="0.25">
      <c r="B7" s="6" t="s">
        <v>21</v>
      </c>
      <c r="C7" s="11">
        <v>0.2</v>
      </c>
      <c r="F7" s="2" t="s">
        <v>9</v>
      </c>
    </row>
    <row r="8" spans="2:6" x14ac:dyDescent="0.25">
      <c r="B8" s="6" t="s">
        <v>22</v>
      </c>
      <c r="C8" s="11">
        <v>0.9</v>
      </c>
      <c r="F8" s="2" t="s">
        <v>10</v>
      </c>
    </row>
    <row r="9" spans="2:6" x14ac:dyDescent="0.25">
      <c r="B9" s="6" t="s">
        <v>23</v>
      </c>
      <c r="C9" s="11">
        <v>0</v>
      </c>
      <c r="F9" s="2" t="s">
        <v>11</v>
      </c>
    </row>
    <row r="10" spans="2:6" x14ac:dyDescent="0.25">
      <c r="B10" s="6" t="s">
        <v>24</v>
      </c>
      <c r="C10" s="11" t="b">
        <v>1</v>
      </c>
      <c r="F10" s="3" t="s">
        <v>12</v>
      </c>
    </row>
    <row r="11" spans="2:6" x14ac:dyDescent="0.25">
      <c r="B11" s="12" t="s">
        <v>25</v>
      </c>
      <c r="C11" s="13" t="b">
        <v>0</v>
      </c>
    </row>
    <row r="12" spans="2:6" x14ac:dyDescent="0.25">
      <c r="B12" s="6" t="s">
        <v>27</v>
      </c>
      <c r="C12" s="16">
        <v>1000</v>
      </c>
      <c r="F12" s="4" t="s">
        <v>13</v>
      </c>
    </row>
    <row r="13" spans="2:6" x14ac:dyDescent="0.25">
      <c r="B13" s="6" t="s">
        <v>31</v>
      </c>
      <c r="C13" s="16">
        <v>100</v>
      </c>
      <c r="F13" s="1" t="s">
        <v>14</v>
      </c>
    </row>
    <row r="14" spans="2:6" x14ac:dyDescent="0.25">
      <c r="B14" s="6" t="s">
        <v>28</v>
      </c>
      <c r="C14" s="14">
        <v>1E-8</v>
      </c>
      <c r="F14" s="2" t="s">
        <v>15</v>
      </c>
    </row>
    <row r="15" spans="2:6" x14ac:dyDescent="0.25">
      <c r="B15" s="6" t="s">
        <v>29</v>
      </c>
      <c r="C15" s="14">
        <v>1.0000000000000001E-9</v>
      </c>
      <c r="F15" s="3" t="s">
        <v>16</v>
      </c>
    </row>
    <row r="16" spans="2:6" x14ac:dyDescent="0.25">
      <c r="B16" s="7" t="s">
        <v>30</v>
      </c>
      <c r="C16" s="15">
        <v>1.0000000000000001E-5</v>
      </c>
    </row>
    <row r="19" spans="2:4" x14ac:dyDescent="0.25">
      <c r="B19" s="106" t="s">
        <v>26</v>
      </c>
      <c r="C19" s="107"/>
    </row>
    <row r="20" spans="2:4" x14ac:dyDescent="0.25">
      <c r="B20" s="5" t="s">
        <v>18</v>
      </c>
      <c r="C20" s="8" t="s">
        <v>7</v>
      </c>
    </row>
    <row r="21" spans="2:4" x14ac:dyDescent="0.25">
      <c r="B21" s="6" t="s">
        <v>19</v>
      </c>
      <c r="C21" s="9" t="s">
        <v>16</v>
      </c>
    </row>
    <row r="22" spans="2:4" x14ac:dyDescent="0.25">
      <c r="B22" s="6" t="s">
        <v>20</v>
      </c>
      <c r="C22" s="10">
        <v>20000</v>
      </c>
    </row>
    <row r="23" spans="2:4" x14ac:dyDescent="0.25">
      <c r="B23" s="6" t="s">
        <v>21</v>
      </c>
      <c r="C23" s="11">
        <v>0.2</v>
      </c>
      <c r="D23" s="31" t="s">
        <v>107</v>
      </c>
    </row>
    <row r="24" spans="2:4" x14ac:dyDescent="0.25">
      <c r="B24" s="6" t="s">
        <v>22</v>
      </c>
      <c r="C24" s="11">
        <v>0.5</v>
      </c>
      <c r="D24" s="30" t="s">
        <v>108</v>
      </c>
    </row>
    <row r="25" spans="2:4" x14ac:dyDescent="0.25">
      <c r="B25" s="6" t="s">
        <v>23</v>
      </c>
      <c r="C25" s="11">
        <v>0</v>
      </c>
      <c r="D25" s="30" t="s">
        <v>112</v>
      </c>
    </row>
    <row r="26" spans="2:4" x14ac:dyDescent="0.25">
      <c r="B26" s="6" t="s">
        <v>24</v>
      </c>
      <c r="C26" s="11" t="b">
        <v>1</v>
      </c>
    </row>
    <row r="27" spans="2:4" x14ac:dyDescent="0.25">
      <c r="B27" s="12" t="s">
        <v>25</v>
      </c>
      <c r="C27" s="13" t="b">
        <v>1</v>
      </c>
    </row>
    <row r="28" spans="2:4" x14ac:dyDescent="0.25">
      <c r="B28" s="6" t="s">
        <v>27</v>
      </c>
      <c r="C28" s="16">
        <v>5000</v>
      </c>
    </row>
    <row r="29" spans="2:4" x14ac:dyDescent="0.25">
      <c r="B29" s="6" t="s">
        <v>31</v>
      </c>
      <c r="C29" s="16">
        <v>100</v>
      </c>
      <c r="D29" s="30" t="s">
        <v>109</v>
      </c>
    </row>
    <row r="30" spans="2:4" x14ac:dyDescent="0.25">
      <c r="B30" s="6" t="s">
        <v>28</v>
      </c>
      <c r="C30" s="14">
        <v>1E-3</v>
      </c>
      <c r="D30" s="31" t="s">
        <v>111</v>
      </c>
    </row>
    <row r="31" spans="2:4" x14ac:dyDescent="0.25">
      <c r="B31" s="6" t="s">
        <v>29</v>
      </c>
      <c r="C31" s="14">
        <v>1.0000000000000001E-5</v>
      </c>
      <c r="D31" s="30" t="s">
        <v>110</v>
      </c>
    </row>
    <row r="32" spans="2:4" x14ac:dyDescent="0.25">
      <c r="B32" s="7" t="s">
        <v>30</v>
      </c>
      <c r="C32" s="15">
        <v>1E-3</v>
      </c>
      <c r="D32" s="31" t="s">
        <v>111</v>
      </c>
    </row>
  </sheetData>
  <mergeCells count="2">
    <mergeCell ref="B3:C3"/>
    <mergeCell ref="B19:C19"/>
  </mergeCells>
  <dataValidations count="3">
    <dataValidation type="list" allowBlank="1" showInputMessage="1" showErrorMessage="1" sqref="C4 C20">
      <formula1>$F$4:$F$10</formula1>
    </dataValidation>
    <dataValidation type="list" allowBlank="1" showInputMessage="1" showErrorMessage="1" sqref="C5 C21">
      <formula1>$F$13:$F$15</formula1>
    </dataValidation>
    <dataValidation type="list" allowBlank="1" showInputMessage="1" showErrorMessage="1" sqref="C26:C27 C10:C11">
      <formula1>"TRUE,FALSE"</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Sorting"/>
  <dimension ref="A1"/>
  <sheetViews>
    <sheetView workbookViewId="0"/>
  </sheetViews>
  <sheetFormatPr defaultRowHeight="15" x14ac:dyDescent="0.25"/>
  <sheetData/>
  <sortState ref="A1:C28">
    <sortCondition ref="C1"/>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201"/>
  <sheetViews>
    <sheetView showGridLines="0" workbookViewId="0">
      <selection activeCell="A2" sqref="A2"/>
    </sheetView>
  </sheetViews>
  <sheetFormatPr defaultRowHeight="15" x14ac:dyDescent="0.25"/>
  <cols>
    <col min="2" max="2" width="18" style="55" bestFit="1" customWidth="1"/>
    <col min="3" max="3" width="9.140625" style="50"/>
    <col min="4" max="16384" width="9.140625" style="40"/>
  </cols>
  <sheetData>
    <row r="1" spans="1:5" x14ac:dyDescent="0.25">
      <c r="A1" s="51" t="s">
        <v>56</v>
      </c>
      <c r="B1" s="47" t="s">
        <v>103</v>
      </c>
      <c r="C1" s="48" t="s">
        <v>92</v>
      </c>
      <c r="D1" s="48" t="s">
        <v>93</v>
      </c>
      <c r="E1" s="48" t="s">
        <v>94</v>
      </c>
    </row>
    <row r="2" spans="1:5" x14ac:dyDescent="0.25">
      <c r="A2" s="52" t="str">
        <f>IF(Projects!A2="","",Projects!A2)</f>
        <v>P1</v>
      </c>
      <c r="B2" s="54">
        <f>IF(Projects!B2="","",Projects!B2)</f>
        <v>8.5835812635249962</v>
      </c>
      <c r="C2" s="49">
        <v>11</v>
      </c>
      <c r="D2" s="53">
        <v>0</v>
      </c>
      <c r="E2" s="53">
        <v>0</v>
      </c>
    </row>
    <row r="3" spans="1:5" x14ac:dyDescent="0.25">
      <c r="A3" s="22" t="str">
        <f>IF(Projects!A3="","",Projects!A3)</f>
        <v>P2</v>
      </c>
      <c r="B3" s="54">
        <f>IF(Projects!B3="","",Projects!B3)</f>
        <v>112.06602026518708</v>
      </c>
      <c r="C3" s="49">
        <v>11.260387061848695</v>
      </c>
      <c r="D3" s="41">
        <v>0.57613552770158183</v>
      </c>
      <c r="E3" s="41">
        <v>3</v>
      </c>
    </row>
    <row r="4" spans="1:5" x14ac:dyDescent="0.25">
      <c r="A4" s="22" t="str">
        <f>IF(Projects!A4="","",Projects!A4)</f>
        <v>P3</v>
      </c>
      <c r="B4" s="54">
        <f>IF(Projects!B4="","",Projects!B4)</f>
        <v>44.85863586555007</v>
      </c>
      <c r="C4" s="49">
        <v>36.904833600676369</v>
      </c>
      <c r="D4" s="41">
        <v>0.45070422535211302</v>
      </c>
      <c r="E4" s="41">
        <v>3</v>
      </c>
    </row>
    <row r="5" spans="1:5" x14ac:dyDescent="0.25">
      <c r="A5" s="22" t="str">
        <f>IF(Projects!A5="","",Projects!A5)</f>
        <v>P4</v>
      </c>
      <c r="B5" s="54">
        <f>IF(Projects!B5="","",Projects!B5)</f>
        <v>59.97365989925494</v>
      </c>
      <c r="C5" s="49">
        <v>18.160749724366042</v>
      </c>
      <c r="D5" s="41">
        <v>1.0911727775140749</v>
      </c>
      <c r="E5" s="41">
        <v>2</v>
      </c>
    </row>
    <row r="6" spans="1:5" x14ac:dyDescent="0.25">
      <c r="A6" s="22" t="str">
        <f>IF(Projects!A6="","",Projects!A6)</f>
        <v>P5</v>
      </c>
      <c r="B6" s="54">
        <f>IF(Projects!B6="","",Projects!B6)</f>
        <v>91.141772084442891</v>
      </c>
      <c r="C6" s="49">
        <v>35</v>
      </c>
      <c r="D6" s="41">
        <v>1.3252405880115388</v>
      </c>
      <c r="E6" s="41">
        <v>2</v>
      </c>
    </row>
    <row r="7" spans="1:5" x14ac:dyDescent="0.25">
      <c r="A7" s="22" t="str">
        <f>IF(Projects!A7="","",Projects!A7)</f>
        <v>P6</v>
      </c>
      <c r="B7" s="54">
        <f>IF(Projects!B7="","",Projects!B7)</f>
        <v>101.50560235661756</v>
      </c>
      <c r="C7" s="49">
        <v>12.111111111111111</v>
      </c>
      <c r="D7" s="41">
        <v>2.2156883199999999</v>
      </c>
      <c r="E7" s="41">
        <v>2</v>
      </c>
    </row>
    <row r="8" spans="1:5" x14ac:dyDescent="0.25">
      <c r="A8" s="22" t="str">
        <f>IF(Projects!A8="","",Projects!A8)</f>
        <v>P7</v>
      </c>
      <c r="B8" s="54">
        <f>IF(Projects!B8="","",Projects!B8)</f>
        <v>358.81422113562593</v>
      </c>
      <c r="C8" s="49">
        <v>12.945027999602372</v>
      </c>
      <c r="D8" s="41">
        <v>2.4433932</v>
      </c>
      <c r="E8" s="41">
        <v>1</v>
      </c>
    </row>
    <row r="9" spans="1:5" x14ac:dyDescent="0.25">
      <c r="A9" s="22" t="str">
        <f>IF(Projects!A9="","",Projects!A9)</f>
        <v>P8</v>
      </c>
      <c r="B9" s="54">
        <f>IF(Projects!B9="","",Projects!B9)</f>
        <v>134.10032848477772</v>
      </c>
      <c r="C9" s="49">
        <v>25.942999102891449</v>
      </c>
      <c r="D9" s="41">
        <v>0.92243859445113929</v>
      </c>
      <c r="E9" s="41">
        <v>2</v>
      </c>
    </row>
    <row r="10" spans="1:5" x14ac:dyDescent="0.25">
      <c r="A10" s="22" t="str">
        <f>IF(Projects!A10="","",Projects!A10)</f>
        <v>P9</v>
      </c>
      <c r="B10" s="54">
        <f>IF(Projects!B10="","",Projects!B10)</f>
        <v>63.529505721437147</v>
      </c>
      <c r="C10" s="49">
        <v>20.45695226183031</v>
      </c>
      <c r="D10" s="41">
        <v>0.33159469159495458</v>
      </c>
      <c r="E10" s="41">
        <v>3</v>
      </c>
    </row>
    <row r="11" spans="1:5" x14ac:dyDescent="0.25">
      <c r="A11" s="22" t="str">
        <f>IF(Projects!A11="","",Projects!A11)</f>
        <v>P10</v>
      </c>
      <c r="B11" s="54">
        <f>IF(Projects!B11="","",Projects!B11)</f>
        <v>34.273958837549863</v>
      </c>
      <c r="C11" s="49">
        <v>36.343488539802046</v>
      </c>
      <c r="D11" s="41">
        <v>0</v>
      </c>
      <c r="E11" s="41">
        <v>3</v>
      </c>
    </row>
    <row r="12" spans="1:5" x14ac:dyDescent="0.25">
      <c r="A12" s="22" t="str">
        <f>IF(Projects!A12="","",Projects!A12)</f>
        <v>P11</v>
      </c>
      <c r="B12" s="54">
        <f>IF(Projects!B12="","",Projects!B12)</f>
        <v>40.093755528038209</v>
      </c>
      <c r="C12" s="49">
        <v>18.074402494410997</v>
      </c>
      <c r="D12" s="41">
        <v>0.88479102444851565</v>
      </c>
      <c r="E12" s="41">
        <v>3</v>
      </c>
    </row>
    <row r="13" spans="1:5" x14ac:dyDescent="0.25">
      <c r="A13" s="22" t="str">
        <f>IF(Projects!A13="","",Projects!A13)</f>
        <v>P12</v>
      </c>
      <c r="B13" s="54">
        <f>IF(Projects!B13="","",Projects!B13)</f>
        <v>19.785132701190538</v>
      </c>
      <c r="C13" s="49">
        <v>21</v>
      </c>
      <c r="D13" s="41">
        <v>2.9242900304696127</v>
      </c>
      <c r="E13" s="41">
        <v>1</v>
      </c>
    </row>
    <row r="14" spans="1:5" x14ac:dyDescent="0.25">
      <c r="A14" s="22" t="str">
        <f>IF(Projects!A14="","",Projects!A14)</f>
        <v>P13</v>
      </c>
      <c r="B14" s="54">
        <f>IF(Projects!B14="","",Projects!B14)</f>
        <v>75.4867889064125</v>
      </c>
      <c r="C14" s="49">
        <v>25</v>
      </c>
      <c r="D14" s="41">
        <v>3.3305880000000001</v>
      </c>
      <c r="E14" s="41">
        <v>1</v>
      </c>
    </row>
    <row r="15" spans="1:5" x14ac:dyDescent="0.25">
      <c r="A15" s="22" t="str">
        <f>IF(Projects!A15="","",Projects!A15)</f>
        <v>P14</v>
      </c>
      <c r="B15" s="54">
        <f>IF(Projects!B15="","",Projects!B15)</f>
        <v>92.255436220636625</v>
      </c>
      <c r="C15" s="49">
        <v>24.482406356413168</v>
      </c>
      <c r="D15" s="41">
        <v>0.41353932836100055</v>
      </c>
      <c r="E15" s="41">
        <v>1</v>
      </c>
    </row>
    <row r="16" spans="1:5" x14ac:dyDescent="0.25">
      <c r="A16" s="22" t="str">
        <f>IF(Projects!A16="","",Projects!A16)</f>
        <v>P15</v>
      </c>
      <c r="B16" s="54">
        <f>IF(Projects!B16="","",Projects!B16)</f>
        <v>67.207208002483483</v>
      </c>
      <c r="C16" s="49">
        <v>11.178513731825525</v>
      </c>
      <c r="D16" s="41">
        <v>1.0440888616932145</v>
      </c>
      <c r="E16" s="41">
        <v>1</v>
      </c>
    </row>
    <row r="17" spans="1:5" x14ac:dyDescent="0.25">
      <c r="A17" s="22" t="str">
        <f>IF(Projects!A17="","",Projects!A17)</f>
        <v>P16</v>
      </c>
      <c r="B17" s="54">
        <f>IF(Projects!B17="","",Projects!B17)</f>
        <v>110.80232603285897</v>
      </c>
      <c r="C17" s="49">
        <v>19.978347564980766</v>
      </c>
      <c r="D17" s="41">
        <v>0.52788384878296624</v>
      </c>
      <c r="E17" s="41">
        <v>3</v>
      </c>
    </row>
    <row r="18" spans="1:5" x14ac:dyDescent="0.25">
      <c r="A18" s="22" t="str">
        <f>IF(Projects!A18="","",Projects!A18)</f>
        <v>P17</v>
      </c>
      <c r="B18" s="54">
        <f>IF(Projects!B18="","",Projects!B18)</f>
        <v>57.291403378967317</v>
      </c>
      <c r="C18" s="49">
        <v>23.116777245544615</v>
      </c>
      <c r="D18" s="41">
        <v>0.66529556115377186</v>
      </c>
      <c r="E18" s="41">
        <v>3</v>
      </c>
    </row>
    <row r="19" spans="1:5" x14ac:dyDescent="0.25">
      <c r="A19" s="22" t="str">
        <f>IF(Projects!A19="","",Projects!A19)</f>
        <v>P18</v>
      </c>
      <c r="B19" s="54">
        <f>IF(Projects!B19="","",Projects!B19)</f>
        <v>94.719790963219936</v>
      </c>
      <c r="C19" s="49">
        <v>17</v>
      </c>
      <c r="D19" s="41">
        <v>0.22180349033217089</v>
      </c>
      <c r="E19" s="41">
        <v>1</v>
      </c>
    </row>
    <row r="20" spans="1:5" x14ac:dyDescent="0.25">
      <c r="A20" s="22" t="str">
        <f>IF(Projects!A20="","",Projects!A20)</f>
        <v>P19</v>
      </c>
      <c r="B20" s="54">
        <f>IF(Projects!B20="","",Projects!B20)</f>
        <v>13.182567719439019</v>
      </c>
      <c r="C20" s="49">
        <v>22</v>
      </c>
      <c r="D20" s="41">
        <v>0.27929468475203562</v>
      </c>
      <c r="E20" s="41">
        <v>1</v>
      </c>
    </row>
    <row r="21" spans="1:5" x14ac:dyDescent="0.25">
      <c r="A21" s="22" t="str">
        <f>IF(Projects!A21="","",Projects!A21)</f>
        <v>P20</v>
      </c>
      <c r="B21" s="54">
        <f>IF(Projects!B21="","",Projects!B21)</f>
        <v>357.45486313337216</v>
      </c>
      <c r="C21" s="49">
        <v>25</v>
      </c>
      <c r="D21" s="41">
        <v>0.53082581071016366</v>
      </c>
      <c r="E21" s="41">
        <v>1</v>
      </c>
    </row>
    <row r="22" spans="1:5" x14ac:dyDescent="0.25">
      <c r="A22" s="22" t="str">
        <f>IF(Projects!A22="","",Projects!A22)</f>
        <v>P21</v>
      </c>
      <c r="B22" s="54">
        <f>IF(Projects!B22="","",Projects!B22)</f>
        <v>101.91738416424882</v>
      </c>
      <c r="C22" s="49">
        <v>15.862567111307909</v>
      </c>
      <c r="D22" s="41">
        <v>0.94929799999999998</v>
      </c>
      <c r="E22" s="41">
        <v>2</v>
      </c>
    </row>
    <row r="23" spans="1:5" x14ac:dyDescent="0.25">
      <c r="A23" s="22" t="str">
        <f>IF(Projects!A23="","",Projects!A23)</f>
        <v>P22</v>
      </c>
      <c r="B23" s="54">
        <f>IF(Projects!B23="","",Projects!B23)</f>
        <v>97.801123064581716</v>
      </c>
      <c r="C23" s="49">
        <v>25</v>
      </c>
      <c r="D23" s="41">
        <v>3.1612040000000001</v>
      </c>
      <c r="E23" s="41">
        <v>2</v>
      </c>
    </row>
    <row r="24" spans="1:5" x14ac:dyDescent="0.25">
      <c r="A24" s="22" t="str">
        <f>IF(Projects!A24="","",Projects!A24)</f>
        <v>P23</v>
      </c>
      <c r="B24" s="54">
        <f>IF(Projects!B24="","",Projects!B24)</f>
        <v>109.01309275271484</v>
      </c>
      <c r="C24" s="49">
        <v>25</v>
      </c>
      <c r="D24" s="41">
        <v>1.2607643263866661</v>
      </c>
      <c r="E24" s="41">
        <v>1</v>
      </c>
    </row>
    <row r="25" spans="1:5" x14ac:dyDescent="0.25">
      <c r="A25" s="22" t="str">
        <f>IF(Projects!A25="","",Projects!A25)</f>
        <v>P24</v>
      </c>
      <c r="B25" s="54">
        <f>IF(Projects!B25="","",Projects!B25)</f>
        <v>158.91826997347314</v>
      </c>
      <c r="C25" s="49">
        <v>32</v>
      </c>
      <c r="D25" s="41">
        <v>1.0873429999999999</v>
      </c>
      <c r="E25" s="41">
        <v>1</v>
      </c>
    </row>
    <row r="26" spans="1:5" x14ac:dyDescent="0.25">
      <c r="A26" s="22" t="str">
        <f>IF(Projects!A26="","",Projects!A26)</f>
        <v>P25</v>
      </c>
      <c r="B26" s="54">
        <f>IF(Projects!B26="","",Projects!B26)</f>
        <v>3.105838831144009</v>
      </c>
      <c r="C26" s="49">
        <v>17.902214022140221</v>
      </c>
      <c r="D26" s="41">
        <v>1.9420770000000001</v>
      </c>
      <c r="E26" s="41">
        <v>1</v>
      </c>
    </row>
    <row r="27" spans="1:5" x14ac:dyDescent="0.25">
      <c r="A27" s="22" t="str">
        <f>IF(Projects!A27="","",Projects!A27)</f>
        <v>P26</v>
      </c>
      <c r="B27" s="54">
        <f>IF(Projects!B27="","",Projects!B27)</f>
        <v>80.861343707957317</v>
      </c>
      <c r="C27" s="49">
        <v>20.454980421605963</v>
      </c>
      <c r="D27" s="41">
        <v>4.5967240995837368</v>
      </c>
      <c r="E27" s="41">
        <v>3</v>
      </c>
    </row>
    <row r="28" spans="1:5" x14ac:dyDescent="0.25">
      <c r="A28" s="22" t="str">
        <f>IF(Projects!A28="","",Projects!A28)</f>
        <v>P27</v>
      </c>
      <c r="B28" s="54">
        <f>IF(Projects!B28="","",Projects!B28)</f>
        <v>14.043552326179778</v>
      </c>
      <c r="C28" s="49">
        <v>11</v>
      </c>
      <c r="D28" s="41">
        <v>1.4114197897575111</v>
      </c>
      <c r="E28" s="41">
        <v>0</v>
      </c>
    </row>
    <row r="29" spans="1:5" x14ac:dyDescent="0.25">
      <c r="A29" s="22" t="str">
        <f>IF(Projects!A29="","",Projects!A29)</f>
        <v>P28</v>
      </c>
      <c r="B29" s="54">
        <f>IF(Projects!B29="","",Projects!B29)</f>
        <v>94.234282592006622</v>
      </c>
      <c r="C29" s="49">
        <v>24.242424242424242</v>
      </c>
      <c r="D29" s="41">
        <v>2.2053236397350777</v>
      </c>
      <c r="E29" s="41">
        <v>1</v>
      </c>
    </row>
    <row r="30" spans="1:5" x14ac:dyDescent="0.25">
      <c r="A30" s="22" t="str">
        <f>IF(Projects!A30="","",Projects!A30)</f>
        <v/>
      </c>
      <c r="B30" s="54" t="str">
        <f>IF(Projects!B30="","",Projects!B30)</f>
        <v/>
      </c>
    </row>
    <row r="31" spans="1:5" x14ac:dyDescent="0.25">
      <c r="A31" s="22" t="str">
        <f>IF(Projects!A31="","",Projects!A31)</f>
        <v/>
      </c>
      <c r="B31" s="54" t="str">
        <f>IF(Projects!B31="","",Projects!B31)</f>
        <v/>
      </c>
    </row>
    <row r="32" spans="1:5" x14ac:dyDescent="0.25">
      <c r="A32" s="22" t="str">
        <f>IF(Projects!A32="","",Projects!A32)</f>
        <v/>
      </c>
      <c r="B32" s="54" t="str">
        <f>IF(Projects!B32="","",Projects!B32)</f>
        <v/>
      </c>
    </row>
    <row r="33" spans="1:2" x14ac:dyDescent="0.25">
      <c r="A33" s="22" t="str">
        <f>IF(Projects!A33="","",Projects!A33)</f>
        <v/>
      </c>
      <c r="B33" s="54" t="str">
        <f>IF(Projects!B33="","",Projects!B33)</f>
        <v/>
      </c>
    </row>
    <row r="34" spans="1:2" x14ac:dyDescent="0.25">
      <c r="A34" s="22" t="str">
        <f>IF(Projects!A34="","",Projects!A34)</f>
        <v/>
      </c>
      <c r="B34" s="54" t="str">
        <f>IF(Projects!B34="","",Projects!B34)</f>
        <v/>
      </c>
    </row>
    <row r="35" spans="1:2" x14ac:dyDescent="0.25">
      <c r="A35" s="22" t="str">
        <f>IF(Projects!A35="","",Projects!A35)</f>
        <v/>
      </c>
      <c r="B35" s="54" t="str">
        <f>IF(Projects!B35="","",Projects!B35)</f>
        <v/>
      </c>
    </row>
    <row r="36" spans="1:2" x14ac:dyDescent="0.25">
      <c r="A36" s="22" t="str">
        <f>IF(Projects!A36="","",Projects!A36)</f>
        <v/>
      </c>
      <c r="B36" s="54" t="str">
        <f>IF(Projects!B36="","",Projects!B36)</f>
        <v/>
      </c>
    </row>
    <row r="37" spans="1:2" x14ac:dyDescent="0.25">
      <c r="A37" s="22" t="str">
        <f>IF(Projects!A37="","",Projects!A37)</f>
        <v/>
      </c>
      <c r="B37" s="54" t="str">
        <f>IF(Projects!B37="","",Projects!B37)</f>
        <v/>
      </c>
    </row>
    <row r="38" spans="1:2" x14ac:dyDescent="0.25">
      <c r="A38" s="22" t="str">
        <f>IF(Projects!A38="","",Projects!A38)</f>
        <v/>
      </c>
      <c r="B38" s="54" t="str">
        <f>IF(Projects!B38="","",Projects!B38)</f>
        <v/>
      </c>
    </row>
    <row r="39" spans="1:2" x14ac:dyDescent="0.25">
      <c r="A39" s="22" t="str">
        <f>IF(Projects!A39="","",Projects!A39)</f>
        <v/>
      </c>
      <c r="B39" s="54" t="str">
        <f>IF(Projects!B39="","",Projects!B39)</f>
        <v/>
      </c>
    </row>
    <row r="40" spans="1:2" x14ac:dyDescent="0.25">
      <c r="A40" s="22" t="str">
        <f>IF(Projects!A40="","",Projects!A40)</f>
        <v/>
      </c>
      <c r="B40" s="54" t="str">
        <f>IF(Projects!B40="","",Projects!B40)</f>
        <v/>
      </c>
    </row>
    <row r="41" spans="1:2" x14ac:dyDescent="0.25">
      <c r="A41" s="22" t="str">
        <f>IF(Projects!A41="","",Projects!A41)</f>
        <v/>
      </c>
      <c r="B41" s="54" t="str">
        <f>IF(Projects!B41="","",Projects!B41)</f>
        <v/>
      </c>
    </row>
    <row r="42" spans="1:2" x14ac:dyDescent="0.25">
      <c r="A42" s="22" t="str">
        <f>IF(Projects!A42="","",Projects!A42)</f>
        <v/>
      </c>
      <c r="B42" s="54" t="str">
        <f>IF(Projects!B42="","",Projects!B42)</f>
        <v/>
      </c>
    </row>
    <row r="43" spans="1:2" x14ac:dyDescent="0.25">
      <c r="A43" s="22" t="str">
        <f>IF(Projects!A43="","",Projects!A43)</f>
        <v/>
      </c>
      <c r="B43" s="54" t="str">
        <f>IF(Projects!B43="","",Projects!B43)</f>
        <v/>
      </c>
    </row>
    <row r="44" spans="1:2" x14ac:dyDescent="0.25">
      <c r="A44" s="22" t="str">
        <f>IF(Projects!A44="","",Projects!A44)</f>
        <v/>
      </c>
      <c r="B44" s="54" t="str">
        <f>IF(Projects!B44="","",Projects!B44)</f>
        <v/>
      </c>
    </row>
    <row r="45" spans="1:2" x14ac:dyDescent="0.25">
      <c r="A45" s="22" t="str">
        <f>IF(Projects!A45="","",Projects!A45)</f>
        <v/>
      </c>
      <c r="B45" s="54" t="str">
        <f>IF(Projects!B45="","",Projects!B45)</f>
        <v/>
      </c>
    </row>
    <row r="46" spans="1:2" x14ac:dyDescent="0.25">
      <c r="A46" s="22" t="str">
        <f>IF(Projects!A46="","",Projects!A46)</f>
        <v/>
      </c>
      <c r="B46" s="54" t="str">
        <f>IF(Projects!B46="","",Projects!B46)</f>
        <v/>
      </c>
    </row>
    <row r="47" spans="1:2" x14ac:dyDescent="0.25">
      <c r="A47" s="22" t="str">
        <f>IF(Projects!A47="","",Projects!A47)</f>
        <v/>
      </c>
      <c r="B47" s="54" t="str">
        <f>IF(Projects!B47="","",Projects!B47)</f>
        <v/>
      </c>
    </row>
    <row r="48" spans="1:2" x14ac:dyDescent="0.25">
      <c r="A48" s="22" t="str">
        <f>IF(Projects!A48="","",Projects!A48)</f>
        <v/>
      </c>
      <c r="B48" s="54" t="str">
        <f>IF(Projects!B48="","",Projects!B48)</f>
        <v/>
      </c>
    </row>
    <row r="49" spans="1:2" x14ac:dyDescent="0.25">
      <c r="A49" s="22" t="str">
        <f>IF(Projects!A49="","",Projects!A49)</f>
        <v/>
      </c>
      <c r="B49" s="54" t="str">
        <f>IF(Projects!B49="","",Projects!B49)</f>
        <v/>
      </c>
    </row>
    <row r="50" spans="1:2" x14ac:dyDescent="0.25">
      <c r="A50" s="22" t="str">
        <f>IF(Projects!A50="","",Projects!A50)</f>
        <v/>
      </c>
      <c r="B50" s="54" t="str">
        <f>IF(Projects!B50="","",Projects!B50)</f>
        <v/>
      </c>
    </row>
    <row r="51" spans="1:2" x14ac:dyDescent="0.25">
      <c r="A51" s="22" t="str">
        <f>IF(Projects!A51="","",Projects!A51)</f>
        <v/>
      </c>
      <c r="B51" s="54" t="str">
        <f>IF(Projects!B51="","",Projects!B51)</f>
        <v/>
      </c>
    </row>
    <row r="52" spans="1:2" x14ac:dyDescent="0.25">
      <c r="A52" s="22" t="str">
        <f>IF(Projects!A52="","",Projects!A52)</f>
        <v/>
      </c>
      <c r="B52" s="54" t="str">
        <f>IF(Projects!B52="","",Projects!B52)</f>
        <v/>
      </c>
    </row>
    <row r="53" spans="1:2" x14ac:dyDescent="0.25">
      <c r="A53" s="22" t="str">
        <f>IF(Projects!A53="","",Projects!A53)</f>
        <v/>
      </c>
      <c r="B53" s="54" t="str">
        <f>IF(Projects!B53="","",Projects!B53)</f>
        <v/>
      </c>
    </row>
    <row r="54" spans="1:2" x14ac:dyDescent="0.25">
      <c r="A54" s="22" t="str">
        <f>IF(Projects!A54="","",Projects!A54)</f>
        <v/>
      </c>
      <c r="B54" s="54" t="str">
        <f>IF(Projects!B54="","",Projects!B54)</f>
        <v/>
      </c>
    </row>
    <row r="55" spans="1:2" x14ac:dyDescent="0.25">
      <c r="A55" s="22" t="str">
        <f>IF(Projects!A55="","",Projects!A55)</f>
        <v/>
      </c>
      <c r="B55" s="54" t="str">
        <f>IF(Projects!B55="","",Projects!B55)</f>
        <v/>
      </c>
    </row>
    <row r="56" spans="1:2" x14ac:dyDescent="0.25">
      <c r="A56" s="22" t="str">
        <f>IF(Projects!A56="","",Projects!A56)</f>
        <v/>
      </c>
      <c r="B56" s="54" t="str">
        <f>IF(Projects!B56="","",Projects!B56)</f>
        <v/>
      </c>
    </row>
    <row r="57" spans="1:2" x14ac:dyDescent="0.25">
      <c r="A57" s="22" t="str">
        <f>IF(Projects!A57="","",Projects!A57)</f>
        <v/>
      </c>
      <c r="B57" s="54" t="str">
        <f>IF(Projects!B57="","",Projects!B57)</f>
        <v/>
      </c>
    </row>
    <row r="58" spans="1:2" x14ac:dyDescent="0.25">
      <c r="A58" s="22" t="str">
        <f>IF(Projects!A58="","",Projects!A58)</f>
        <v/>
      </c>
      <c r="B58" s="54" t="str">
        <f>IF(Projects!B58="","",Projects!B58)</f>
        <v/>
      </c>
    </row>
    <row r="59" spans="1:2" x14ac:dyDescent="0.25">
      <c r="A59" s="22" t="str">
        <f>IF(Projects!A59="","",Projects!A59)</f>
        <v/>
      </c>
      <c r="B59" s="54" t="str">
        <f>IF(Projects!B59="","",Projects!B59)</f>
        <v/>
      </c>
    </row>
    <row r="60" spans="1:2" x14ac:dyDescent="0.25">
      <c r="A60" s="22" t="str">
        <f>IF(Projects!A60="","",Projects!A60)</f>
        <v/>
      </c>
      <c r="B60" s="54" t="str">
        <f>IF(Projects!B60="","",Projects!B60)</f>
        <v/>
      </c>
    </row>
    <row r="61" spans="1:2" x14ac:dyDescent="0.25">
      <c r="A61" s="22" t="str">
        <f>IF(Projects!A61="","",Projects!A61)</f>
        <v/>
      </c>
      <c r="B61" s="54" t="str">
        <f>IF(Projects!B61="","",Projects!B61)</f>
        <v/>
      </c>
    </row>
    <row r="62" spans="1:2" x14ac:dyDescent="0.25">
      <c r="A62" s="22" t="str">
        <f>IF(Projects!A62="","",Projects!A62)</f>
        <v/>
      </c>
      <c r="B62" s="54" t="str">
        <f>IF(Projects!B62="","",Projects!B62)</f>
        <v/>
      </c>
    </row>
    <row r="63" spans="1:2" x14ac:dyDescent="0.25">
      <c r="A63" s="22" t="str">
        <f>IF(Projects!A63="","",Projects!A63)</f>
        <v/>
      </c>
      <c r="B63" s="54" t="str">
        <f>IF(Projects!B63="","",Projects!B63)</f>
        <v/>
      </c>
    </row>
    <row r="64" spans="1:2" x14ac:dyDescent="0.25">
      <c r="A64" s="22" t="str">
        <f>IF(Projects!A64="","",Projects!A64)</f>
        <v/>
      </c>
      <c r="B64" s="54" t="str">
        <f>IF(Projects!B64="","",Projects!B64)</f>
        <v/>
      </c>
    </row>
    <row r="65" spans="1:2" x14ac:dyDescent="0.25">
      <c r="A65" s="22" t="str">
        <f>IF(Projects!A65="","",Projects!A65)</f>
        <v/>
      </c>
      <c r="B65" s="54" t="str">
        <f>IF(Projects!B65="","",Projects!B65)</f>
        <v/>
      </c>
    </row>
    <row r="66" spans="1:2" x14ac:dyDescent="0.25">
      <c r="A66" s="22" t="str">
        <f>IF(Projects!A66="","",Projects!A66)</f>
        <v/>
      </c>
      <c r="B66" s="54" t="str">
        <f>IF(Projects!B66="","",Projects!B66)</f>
        <v/>
      </c>
    </row>
    <row r="67" spans="1:2" x14ac:dyDescent="0.25">
      <c r="A67" s="22" t="str">
        <f>IF(Projects!A67="","",Projects!A67)</f>
        <v/>
      </c>
      <c r="B67" s="54" t="str">
        <f>IF(Projects!B67="","",Projects!B67)</f>
        <v/>
      </c>
    </row>
    <row r="68" spans="1:2" x14ac:dyDescent="0.25">
      <c r="A68" s="22" t="str">
        <f>IF(Projects!A68="","",Projects!A68)</f>
        <v/>
      </c>
      <c r="B68" s="54" t="str">
        <f>IF(Projects!B68="","",Projects!B68)</f>
        <v/>
      </c>
    </row>
    <row r="69" spans="1:2" x14ac:dyDescent="0.25">
      <c r="A69" s="22" t="str">
        <f>IF(Projects!A69="","",Projects!A69)</f>
        <v/>
      </c>
      <c r="B69" s="54" t="str">
        <f>IF(Projects!B69="","",Projects!B69)</f>
        <v/>
      </c>
    </row>
    <row r="70" spans="1:2" x14ac:dyDescent="0.25">
      <c r="A70" s="22" t="str">
        <f>IF(Projects!A70="","",Projects!A70)</f>
        <v/>
      </c>
      <c r="B70" s="54" t="str">
        <f>IF(Projects!B70="","",Projects!B70)</f>
        <v/>
      </c>
    </row>
    <row r="71" spans="1:2" x14ac:dyDescent="0.25">
      <c r="A71" s="22" t="str">
        <f>IF(Projects!A71="","",Projects!A71)</f>
        <v/>
      </c>
      <c r="B71" s="54" t="str">
        <f>IF(Projects!B71="","",Projects!B71)</f>
        <v/>
      </c>
    </row>
    <row r="72" spans="1:2" x14ac:dyDescent="0.25">
      <c r="A72" s="22" t="str">
        <f>IF(Projects!A72="","",Projects!A72)</f>
        <v/>
      </c>
      <c r="B72" s="54" t="str">
        <f>IF(Projects!B72="","",Projects!B72)</f>
        <v/>
      </c>
    </row>
    <row r="73" spans="1:2" x14ac:dyDescent="0.25">
      <c r="A73" s="22" t="str">
        <f>IF(Projects!A73="","",Projects!A73)</f>
        <v/>
      </c>
      <c r="B73" s="54" t="str">
        <f>IF(Projects!B73="","",Projects!B73)</f>
        <v/>
      </c>
    </row>
    <row r="74" spans="1:2" x14ac:dyDescent="0.25">
      <c r="A74" s="22" t="str">
        <f>IF(Projects!A74="","",Projects!A74)</f>
        <v/>
      </c>
      <c r="B74" s="54" t="str">
        <f>IF(Projects!B74="","",Projects!B74)</f>
        <v/>
      </c>
    </row>
    <row r="75" spans="1:2" x14ac:dyDescent="0.25">
      <c r="A75" s="22" t="str">
        <f>IF(Projects!A75="","",Projects!A75)</f>
        <v/>
      </c>
      <c r="B75" s="54" t="str">
        <f>IF(Projects!B75="","",Projects!B75)</f>
        <v/>
      </c>
    </row>
    <row r="76" spans="1:2" x14ac:dyDescent="0.25">
      <c r="A76" s="22" t="str">
        <f>IF(Projects!A76="","",Projects!A76)</f>
        <v/>
      </c>
      <c r="B76" s="54" t="str">
        <f>IF(Projects!B76="","",Projects!B76)</f>
        <v/>
      </c>
    </row>
    <row r="77" spans="1:2" x14ac:dyDescent="0.25">
      <c r="A77" s="22" t="str">
        <f>IF(Projects!A77="","",Projects!A77)</f>
        <v/>
      </c>
      <c r="B77" s="54" t="str">
        <f>IF(Projects!B77="","",Projects!B77)</f>
        <v/>
      </c>
    </row>
    <row r="78" spans="1:2" x14ac:dyDescent="0.25">
      <c r="A78" s="22" t="str">
        <f>IF(Projects!A78="","",Projects!A78)</f>
        <v/>
      </c>
      <c r="B78" s="54" t="str">
        <f>IF(Projects!B78="","",Projects!B78)</f>
        <v/>
      </c>
    </row>
    <row r="79" spans="1:2" x14ac:dyDescent="0.25">
      <c r="A79" s="22" t="str">
        <f>IF(Projects!A79="","",Projects!A79)</f>
        <v/>
      </c>
      <c r="B79" s="54" t="str">
        <f>IF(Projects!B79="","",Projects!B79)</f>
        <v/>
      </c>
    </row>
    <row r="80" spans="1:2" x14ac:dyDescent="0.25">
      <c r="A80" s="22" t="str">
        <f>IF(Projects!A80="","",Projects!A80)</f>
        <v/>
      </c>
      <c r="B80" s="54" t="str">
        <f>IF(Projects!B80="","",Projects!B80)</f>
        <v/>
      </c>
    </row>
    <row r="81" spans="1:2" x14ac:dyDescent="0.25">
      <c r="A81" s="22" t="str">
        <f>IF(Projects!A81="","",Projects!A81)</f>
        <v/>
      </c>
      <c r="B81" s="54" t="str">
        <f>IF(Projects!B81="","",Projects!B81)</f>
        <v/>
      </c>
    </row>
    <row r="82" spans="1:2" x14ac:dyDescent="0.25">
      <c r="A82" s="22" t="str">
        <f>IF(Projects!A82="","",Projects!A82)</f>
        <v/>
      </c>
      <c r="B82" s="54" t="str">
        <f>IF(Projects!B82="","",Projects!B82)</f>
        <v/>
      </c>
    </row>
    <row r="83" spans="1:2" x14ac:dyDescent="0.25">
      <c r="A83" s="22" t="str">
        <f>IF(Projects!A83="","",Projects!A83)</f>
        <v/>
      </c>
      <c r="B83" s="54" t="str">
        <f>IF(Projects!B83="","",Projects!B83)</f>
        <v/>
      </c>
    </row>
    <row r="84" spans="1:2" x14ac:dyDescent="0.25">
      <c r="A84" s="22" t="str">
        <f>IF(Projects!A84="","",Projects!A84)</f>
        <v/>
      </c>
      <c r="B84" s="54" t="str">
        <f>IF(Projects!B84="","",Projects!B84)</f>
        <v/>
      </c>
    </row>
    <row r="85" spans="1:2" x14ac:dyDescent="0.25">
      <c r="A85" s="22" t="str">
        <f>IF(Projects!A85="","",Projects!A85)</f>
        <v/>
      </c>
      <c r="B85" s="54" t="str">
        <f>IF(Projects!B85="","",Projects!B85)</f>
        <v/>
      </c>
    </row>
    <row r="86" spans="1:2" x14ac:dyDescent="0.25">
      <c r="A86" s="22" t="str">
        <f>IF(Projects!A86="","",Projects!A86)</f>
        <v/>
      </c>
      <c r="B86" s="54" t="str">
        <f>IF(Projects!B86="","",Projects!B86)</f>
        <v/>
      </c>
    </row>
    <row r="87" spans="1:2" x14ac:dyDescent="0.25">
      <c r="A87" s="22" t="str">
        <f>IF(Projects!A87="","",Projects!A87)</f>
        <v/>
      </c>
      <c r="B87" s="54" t="str">
        <f>IF(Projects!B87="","",Projects!B87)</f>
        <v/>
      </c>
    </row>
    <row r="88" spans="1:2" x14ac:dyDescent="0.25">
      <c r="A88" s="22" t="str">
        <f>IF(Projects!A88="","",Projects!A88)</f>
        <v/>
      </c>
      <c r="B88" s="54" t="str">
        <f>IF(Projects!B88="","",Projects!B88)</f>
        <v/>
      </c>
    </row>
    <row r="89" spans="1:2" x14ac:dyDescent="0.25">
      <c r="A89" s="22" t="str">
        <f>IF(Projects!A89="","",Projects!A89)</f>
        <v/>
      </c>
      <c r="B89" s="54" t="str">
        <f>IF(Projects!B89="","",Projects!B89)</f>
        <v/>
      </c>
    </row>
    <row r="90" spans="1:2" x14ac:dyDescent="0.25">
      <c r="A90" s="22" t="str">
        <f>IF(Projects!A90="","",Projects!A90)</f>
        <v/>
      </c>
      <c r="B90" s="54" t="str">
        <f>IF(Projects!B90="","",Projects!B90)</f>
        <v/>
      </c>
    </row>
    <row r="91" spans="1:2" x14ac:dyDescent="0.25">
      <c r="A91" s="22" t="str">
        <f>IF(Projects!A91="","",Projects!A91)</f>
        <v/>
      </c>
      <c r="B91" s="54" t="str">
        <f>IF(Projects!B91="","",Projects!B91)</f>
        <v/>
      </c>
    </row>
    <row r="92" spans="1:2" x14ac:dyDescent="0.25">
      <c r="A92" s="22" t="str">
        <f>IF(Projects!A92="","",Projects!A92)</f>
        <v/>
      </c>
      <c r="B92" s="54" t="str">
        <f>IF(Projects!B92="","",Projects!B92)</f>
        <v/>
      </c>
    </row>
    <row r="93" spans="1:2" x14ac:dyDescent="0.25">
      <c r="A93" s="22" t="str">
        <f>IF(Projects!A93="","",Projects!A93)</f>
        <v/>
      </c>
      <c r="B93" s="54" t="str">
        <f>IF(Projects!B93="","",Projects!B93)</f>
        <v/>
      </c>
    </row>
    <row r="94" spans="1:2" x14ac:dyDescent="0.25">
      <c r="A94" s="22" t="str">
        <f>IF(Projects!A94="","",Projects!A94)</f>
        <v/>
      </c>
      <c r="B94" s="54" t="str">
        <f>IF(Projects!B94="","",Projects!B94)</f>
        <v/>
      </c>
    </row>
    <row r="95" spans="1:2" x14ac:dyDescent="0.25">
      <c r="A95" s="22" t="str">
        <f>IF(Projects!A95="","",Projects!A95)</f>
        <v/>
      </c>
      <c r="B95" s="54" t="str">
        <f>IF(Projects!B95="","",Projects!B95)</f>
        <v/>
      </c>
    </row>
    <row r="96" spans="1:2" x14ac:dyDescent="0.25">
      <c r="A96" s="22" t="str">
        <f>IF(Projects!A96="","",Projects!A96)</f>
        <v/>
      </c>
      <c r="B96" s="54" t="str">
        <f>IF(Projects!B96="","",Projects!B96)</f>
        <v/>
      </c>
    </row>
    <row r="97" spans="1:2" x14ac:dyDescent="0.25">
      <c r="A97" s="22" t="str">
        <f>IF(Projects!A97="","",Projects!A97)</f>
        <v/>
      </c>
      <c r="B97" s="54" t="str">
        <f>IF(Projects!B97="","",Projects!B97)</f>
        <v/>
      </c>
    </row>
    <row r="98" spans="1:2" x14ac:dyDescent="0.25">
      <c r="A98" s="22" t="str">
        <f>IF(Projects!A98="","",Projects!A98)</f>
        <v/>
      </c>
      <c r="B98" s="54" t="str">
        <f>IF(Projects!B98="","",Projects!B98)</f>
        <v/>
      </c>
    </row>
    <row r="99" spans="1:2" x14ac:dyDescent="0.25">
      <c r="A99" s="22" t="str">
        <f>IF(Projects!A99="","",Projects!A99)</f>
        <v/>
      </c>
      <c r="B99" s="54" t="str">
        <f>IF(Projects!B99="","",Projects!B99)</f>
        <v/>
      </c>
    </row>
    <row r="100" spans="1:2" x14ac:dyDescent="0.25">
      <c r="A100" s="22" t="str">
        <f>IF(Projects!A100="","",Projects!A100)</f>
        <v/>
      </c>
      <c r="B100" s="54" t="str">
        <f>IF(Projects!B100="","",Projects!B100)</f>
        <v/>
      </c>
    </row>
    <row r="101" spans="1:2" x14ac:dyDescent="0.25">
      <c r="A101" s="22" t="str">
        <f>IF(Projects!A101="","",Projects!A101)</f>
        <v/>
      </c>
      <c r="B101" s="54" t="str">
        <f>IF(Projects!B101="","",Projects!B101)</f>
        <v/>
      </c>
    </row>
    <row r="102" spans="1:2" x14ac:dyDescent="0.25">
      <c r="A102" s="22" t="str">
        <f>IF(Projects!A102="","",Projects!A102)</f>
        <v/>
      </c>
      <c r="B102" s="54" t="str">
        <f>IF(Projects!B102="","",Projects!B102)</f>
        <v/>
      </c>
    </row>
    <row r="103" spans="1:2" x14ac:dyDescent="0.25">
      <c r="A103" s="22" t="str">
        <f>IF(Projects!A103="","",Projects!A103)</f>
        <v/>
      </c>
      <c r="B103" s="54" t="str">
        <f>IF(Projects!B103="","",Projects!B103)</f>
        <v/>
      </c>
    </row>
    <row r="104" spans="1:2" x14ac:dyDescent="0.25">
      <c r="A104" s="22" t="str">
        <f>IF(Projects!A104="","",Projects!A104)</f>
        <v/>
      </c>
      <c r="B104" s="54" t="str">
        <f>IF(Projects!B104="","",Projects!B104)</f>
        <v/>
      </c>
    </row>
    <row r="105" spans="1:2" x14ac:dyDescent="0.25">
      <c r="A105" s="22" t="str">
        <f>IF(Projects!A105="","",Projects!A105)</f>
        <v/>
      </c>
      <c r="B105" s="54" t="str">
        <f>IF(Projects!B105="","",Projects!B105)</f>
        <v/>
      </c>
    </row>
    <row r="106" spans="1:2" x14ac:dyDescent="0.25">
      <c r="A106" s="22" t="str">
        <f>IF(Projects!A106="","",Projects!A106)</f>
        <v/>
      </c>
      <c r="B106" s="54" t="str">
        <f>IF(Projects!B106="","",Projects!B106)</f>
        <v/>
      </c>
    </row>
    <row r="107" spans="1:2" x14ac:dyDescent="0.25">
      <c r="A107" s="22" t="str">
        <f>IF(Projects!A107="","",Projects!A107)</f>
        <v/>
      </c>
      <c r="B107" s="54" t="str">
        <f>IF(Projects!B107="","",Projects!B107)</f>
        <v/>
      </c>
    </row>
    <row r="108" spans="1:2" x14ac:dyDescent="0.25">
      <c r="A108" s="22" t="str">
        <f>IF(Projects!A108="","",Projects!A108)</f>
        <v/>
      </c>
      <c r="B108" s="54" t="str">
        <f>IF(Projects!B108="","",Projects!B108)</f>
        <v/>
      </c>
    </row>
    <row r="109" spans="1:2" x14ac:dyDescent="0.25">
      <c r="A109" s="22" t="str">
        <f>IF(Projects!A109="","",Projects!A109)</f>
        <v/>
      </c>
      <c r="B109" s="54" t="str">
        <f>IF(Projects!B109="","",Projects!B109)</f>
        <v/>
      </c>
    </row>
    <row r="110" spans="1:2" x14ac:dyDescent="0.25">
      <c r="A110" s="22" t="str">
        <f>IF(Projects!A110="","",Projects!A110)</f>
        <v/>
      </c>
      <c r="B110" s="54" t="str">
        <f>IF(Projects!B110="","",Projects!B110)</f>
        <v/>
      </c>
    </row>
    <row r="111" spans="1:2" x14ac:dyDescent="0.25">
      <c r="A111" s="22" t="str">
        <f>IF(Projects!A111="","",Projects!A111)</f>
        <v/>
      </c>
      <c r="B111" s="54" t="str">
        <f>IF(Projects!B111="","",Projects!B111)</f>
        <v/>
      </c>
    </row>
    <row r="112" spans="1:2" x14ac:dyDescent="0.25">
      <c r="A112" s="22" t="str">
        <f>IF(Projects!A112="","",Projects!A112)</f>
        <v/>
      </c>
      <c r="B112" s="54" t="str">
        <f>IF(Projects!B112="","",Projects!B112)</f>
        <v/>
      </c>
    </row>
    <row r="113" spans="1:2" x14ac:dyDescent="0.25">
      <c r="A113" s="22" t="str">
        <f>IF(Projects!A113="","",Projects!A113)</f>
        <v/>
      </c>
      <c r="B113" s="54" t="str">
        <f>IF(Projects!B113="","",Projects!B113)</f>
        <v/>
      </c>
    </row>
    <row r="114" spans="1:2" x14ac:dyDescent="0.25">
      <c r="A114" s="22" t="str">
        <f>IF(Projects!A114="","",Projects!A114)</f>
        <v/>
      </c>
      <c r="B114" s="54" t="str">
        <f>IF(Projects!B114="","",Projects!B114)</f>
        <v/>
      </c>
    </row>
    <row r="115" spans="1:2" x14ac:dyDescent="0.25">
      <c r="A115" s="22" t="str">
        <f>IF(Projects!A115="","",Projects!A115)</f>
        <v/>
      </c>
      <c r="B115" s="54" t="str">
        <f>IF(Projects!B115="","",Projects!B115)</f>
        <v/>
      </c>
    </row>
    <row r="116" spans="1:2" x14ac:dyDescent="0.25">
      <c r="A116" s="22" t="str">
        <f>IF(Projects!A116="","",Projects!A116)</f>
        <v/>
      </c>
      <c r="B116" s="54" t="str">
        <f>IF(Projects!B116="","",Projects!B116)</f>
        <v/>
      </c>
    </row>
    <row r="117" spans="1:2" x14ac:dyDescent="0.25">
      <c r="A117" s="22" t="str">
        <f>IF(Projects!A117="","",Projects!A117)</f>
        <v/>
      </c>
      <c r="B117" s="54" t="str">
        <f>IF(Projects!B117="","",Projects!B117)</f>
        <v/>
      </c>
    </row>
    <row r="118" spans="1:2" x14ac:dyDescent="0.25">
      <c r="A118" s="22" t="str">
        <f>IF(Projects!A118="","",Projects!A118)</f>
        <v/>
      </c>
      <c r="B118" s="54" t="str">
        <f>IF(Projects!B118="","",Projects!B118)</f>
        <v/>
      </c>
    </row>
    <row r="119" spans="1:2" x14ac:dyDescent="0.25">
      <c r="A119" s="22" t="str">
        <f>IF(Projects!A119="","",Projects!A119)</f>
        <v/>
      </c>
      <c r="B119" s="54" t="str">
        <f>IF(Projects!B119="","",Projects!B119)</f>
        <v/>
      </c>
    </row>
    <row r="120" spans="1:2" x14ac:dyDescent="0.25">
      <c r="A120" s="22" t="str">
        <f>IF(Projects!A120="","",Projects!A120)</f>
        <v/>
      </c>
      <c r="B120" s="54" t="str">
        <f>IF(Projects!B120="","",Projects!B120)</f>
        <v/>
      </c>
    </row>
    <row r="121" spans="1:2" x14ac:dyDescent="0.25">
      <c r="A121" s="22" t="str">
        <f>IF(Projects!A121="","",Projects!A121)</f>
        <v/>
      </c>
      <c r="B121" s="54" t="str">
        <f>IF(Projects!B121="","",Projects!B121)</f>
        <v/>
      </c>
    </row>
    <row r="122" spans="1:2" x14ac:dyDescent="0.25">
      <c r="A122" s="22" t="str">
        <f>IF(Projects!A122="","",Projects!A122)</f>
        <v/>
      </c>
      <c r="B122" s="54" t="str">
        <f>IF(Projects!B122="","",Projects!B122)</f>
        <v/>
      </c>
    </row>
    <row r="123" spans="1:2" x14ac:dyDescent="0.25">
      <c r="A123" s="22" t="str">
        <f>IF(Projects!A123="","",Projects!A123)</f>
        <v/>
      </c>
      <c r="B123" s="54" t="str">
        <f>IF(Projects!B123="","",Projects!B123)</f>
        <v/>
      </c>
    </row>
    <row r="124" spans="1:2" x14ac:dyDescent="0.25">
      <c r="A124" s="22" t="str">
        <f>IF(Projects!A124="","",Projects!A124)</f>
        <v/>
      </c>
      <c r="B124" s="54" t="str">
        <f>IF(Projects!B124="","",Projects!B124)</f>
        <v/>
      </c>
    </row>
    <row r="125" spans="1:2" x14ac:dyDescent="0.25">
      <c r="A125" s="22" t="str">
        <f>IF(Projects!A125="","",Projects!A125)</f>
        <v/>
      </c>
      <c r="B125" s="54" t="str">
        <f>IF(Projects!B125="","",Projects!B125)</f>
        <v/>
      </c>
    </row>
    <row r="126" spans="1:2" x14ac:dyDescent="0.25">
      <c r="A126" s="22" t="str">
        <f>IF(Projects!A126="","",Projects!A126)</f>
        <v/>
      </c>
      <c r="B126" s="54" t="str">
        <f>IF(Projects!B126="","",Projects!B126)</f>
        <v/>
      </c>
    </row>
    <row r="127" spans="1:2" x14ac:dyDescent="0.25">
      <c r="A127" s="22" t="str">
        <f>IF(Projects!A127="","",Projects!A127)</f>
        <v/>
      </c>
      <c r="B127" s="54" t="str">
        <f>IF(Projects!B127="","",Projects!B127)</f>
        <v/>
      </c>
    </row>
    <row r="128" spans="1:2" x14ac:dyDescent="0.25">
      <c r="A128" s="22" t="str">
        <f>IF(Projects!A128="","",Projects!A128)</f>
        <v/>
      </c>
      <c r="B128" s="54" t="str">
        <f>IF(Projects!B128="","",Projects!B128)</f>
        <v/>
      </c>
    </row>
    <row r="129" spans="1:2" x14ac:dyDescent="0.25">
      <c r="A129" s="22" t="str">
        <f>IF(Projects!A129="","",Projects!A129)</f>
        <v/>
      </c>
      <c r="B129" s="54" t="str">
        <f>IF(Projects!B129="","",Projects!B129)</f>
        <v/>
      </c>
    </row>
    <row r="130" spans="1:2" x14ac:dyDescent="0.25">
      <c r="A130" s="22" t="str">
        <f>IF(Projects!A130="","",Projects!A130)</f>
        <v/>
      </c>
      <c r="B130" s="54" t="str">
        <f>IF(Projects!B130="","",Projects!B130)</f>
        <v/>
      </c>
    </row>
    <row r="131" spans="1:2" x14ac:dyDescent="0.25">
      <c r="A131" s="22" t="str">
        <f>IF(Projects!A131="","",Projects!A131)</f>
        <v/>
      </c>
      <c r="B131" s="54" t="str">
        <f>IF(Projects!B131="","",Projects!B131)</f>
        <v/>
      </c>
    </row>
    <row r="132" spans="1:2" x14ac:dyDescent="0.25">
      <c r="A132" s="22" t="str">
        <f>IF(Projects!A132="","",Projects!A132)</f>
        <v/>
      </c>
      <c r="B132" s="54" t="str">
        <f>IF(Projects!B132="","",Projects!B132)</f>
        <v/>
      </c>
    </row>
    <row r="133" spans="1:2" x14ac:dyDescent="0.25">
      <c r="A133" s="22" t="str">
        <f>IF(Projects!A133="","",Projects!A133)</f>
        <v/>
      </c>
      <c r="B133" s="54" t="str">
        <f>IF(Projects!B133="","",Projects!B133)</f>
        <v/>
      </c>
    </row>
    <row r="134" spans="1:2" x14ac:dyDescent="0.25">
      <c r="A134" s="22" t="str">
        <f>IF(Projects!A134="","",Projects!A134)</f>
        <v/>
      </c>
      <c r="B134" s="54" t="str">
        <f>IF(Projects!B134="","",Projects!B134)</f>
        <v/>
      </c>
    </row>
    <row r="135" spans="1:2" x14ac:dyDescent="0.25">
      <c r="A135" s="22" t="str">
        <f>IF(Projects!A135="","",Projects!A135)</f>
        <v/>
      </c>
      <c r="B135" s="54" t="str">
        <f>IF(Projects!B135="","",Projects!B135)</f>
        <v/>
      </c>
    </row>
    <row r="136" spans="1:2" x14ac:dyDescent="0.25">
      <c r="A136" s="22" t="str">
        <f>IF(Projects!A136="","",Projects!A136)</f>
        <v/>
      </c>
      <c r="B136" s="54" t="str">
        <f>IF(Projects!B136="","",Projects!B136)</f>
        <v/>
      </c>
    </row>
    <row r="137" spans="1:2" x14ac:dyDescent="0.25">
      <c r="A137" s="22" t="str">
        <f>IF(Projects!A137="","",Projects!A137)</f>
        <v/>
      </c>
      <c r="B137" s="54" t="str">
        <f>IF(Projects!B137="","",Projects!B137)</f>
        <v/>
      </c>
    </row>
    <row r="138" spans="1:2" x14ac:dyDescent="0.25">
      <c r="A138" s="22" t="str">
        <f>IF(Projects!A138="","",Projects!A138)</f>
        <v/>
      </c>
      <c r="B138" s="54" t="str">
        <f>IF(Projects!B138="","",Projects!B138)</f>
        <v/>
      </c>
    </row>
    <row r="139" spans="1:2" x14ac:dyDescent="0.25">
      <c r="A139" s="22" t="str">
        <f>IF(Projects!A139="","",Projects!A139)</f>
        <v/>
      </c>
      <c r="B139" s="54" t="str">
        <f>IF(Projects!B139="","",Projects!B139)</f>
        <v/>
      </c>
    </row>
    <row r="140" spans="1:2" x14ac:dyDescent="0.25">
      <c r="A140" s="22" t="str">
        <f>IF(Projects!A140="","",Projects!A140)</f>
        <v/>
      </c>
      <c r="B140" s="54" t="str">
        <f>IF(Projects!B140="","",Projects!B140)</f>
        <v/>
      </c>
    </row>
    <row r="141" spans="1:2" x14ac:dyDescent="0.25">
      <c r="A141" s="22" t="str">
        <f>IF(Projects!A141="","",Projects!A141)</f>
        <v/>
      </c>
      <c r="B141" s="54" t="str">
        <f>IF(Projects!B141="","",Projects!B141)</f>
        <v/>
      </c>
    </row>
    <row r="142" spans="1:2" x14ac:dyDescent="0.25">
      <c r="A142" s="22" t="str">
        <f>IF(Projects!A142="","",Projects!A142)</f>
        <v/>
      </c>
      <c r="B142" s="54" t="str">
        <f>IF(Projects!B142="","",Projects!B142)</f>
        <v/>
      </c>
    </row>
    <row r="143" spans="1:2" x14ac:dyDescent="0.25">
      <c r="A143" s="22" t="str">
        <f>IF(Projects!A143="","",Projects!A143)</f>
        <v/>
      </c>
      <c r="B143" s="54" t="str">
        <f>IF(Projects!B143="","",Projects!B143)</f>
        <v/>
      </c>
    </row>
    <row r="144" spans="1:2" x14ac:dyDescent="0.25">
      <c r="A144" s="22" t="str">
        <f>IF(Projects!A144="","",Projects!A144)</f>
        <v/>
      </c>
      <c r="B144" s="54" t="str">
        <f>IF(Projects!B144="","",Projects!B144)</f>
        <v/>
      </c>
    </row>
    <row r="145" spans="1:2" x14ac:dyDescent="0.25">
      <c r="A145" s="22" t="str">
        <f>IF(Projects!A145="","",Projects!A145)</f>
        <v/>
      </c>
      <c r="B145" s="54" t="str">
        <f>IF(Projects!B145="","",Projects!B145)</f>
        <v/>
      </c>
    </row>
    <row r="146" spans="1:2" x14ac:dyDescent="0.25">
      <c r="A146" s="22" t="str">
        <f>IF(Projects!A146="","",Projects!A146)</f>
        <v/>
      </c>
      <c r="B146" s="54" t="str">
        <f>IF(Projects!B146="","",Projects!B146)</f>
        <v/>
      </c>
    </row>
    <row r="147" spans="1:2" x14ac:dyDescent="0.25">
      <c r="A147" s="22" t="str">
        <f>IF(Projects!A147="","",Projects!A147)</f>
        <v/>
      </c>
      <c r="B147" s="54" t="str">
        <f>IF(Projects!B147="","",Projects!B147)</f>
        <v/>
      </c>
    </row>
    <row r="148" spans="1:2" x14ac:dyDescent="0.25">
      <c r="A148" s="22" t="str">
        <f>IF(Projects!A148="","",Projects!A148)</f>
        <v/>
      </c>
      <c r="B148" s="54" t="str">
        <f>IF(Projects!B148="","",Projects!B148)</f>
        <v/>
      </c>
    </row>
    <row r="149" spans="1:2" x14ac:dyDescent="0.25">
      <c r="A149" s="22" t="str">
        <f>IF(Projects!A149="","",Projects!A149)</f>
        <v/>
      </c>
      <c r="B149" s="54" t="str">
        <f>IF(Projects!B149="","",Projects!B149)</f>
        <v/>
      </c>
    </row>
    <row r="150" spans="1:2" x14ac:dyDescent="0.25">
      <c r="A150" s="22" t="str">
        <f>IF(Projects!A150="","",Projects!A150)</f>
        <v/>
      </c>
      <c r="B150" s="54" t="str">
        <f>IF(Projects!B150="","",Projects!B150)</f>
        <v/>
      </c>
    </row>
    <row r="151" spans="1:2" x14ac:dyDescent="0.25">
      <c r="A151" s="22" t="str">
        <f>IF(Projects!A151="","",Projects!A151)</f>
        <v/>
      </c>
      <c r="B151" s="54" t="str">
        <f>IF(Projects!B151="","",Projects!B151)</f>
        <v/>
      </c>
    </row>
    <row r="152" spans="1:2" x14ac:dyDescent="0.25">
      <c r="A152" s="22" t="str">
        <f>IF(Projects!A152="","",Projects!A152)</f>
        <v/>
      </c>
      <c r="B152" s="54" t="str">
        <f>IF(Projects!B152="","",Projects!B152)</f>
        <v/>
      </c>
    </row>
    <row r="153" spans="1:2" x14ac:dyDescent="0.25">
      <c r="A153" s="22" t="str">
        <f>IF(Projects!A153="","",Projects!A153)</f>
        <v/>
      </c>
      <c r="B153" s="54" t="str">
        <f>IF(Projects!B153="","",Projects!B153)</f>
        <v/>
      </c>
    </row>
    <row r="154" spans="1:2" x14ac:dyDescent="0.25">
      <c r="A154" s="22" t="str">
        <f>IF(Projects!A154="","",Projects!A154)</f>
        <v/>
      </c>
      <c r="B154" s="54" t="str">
        <f>IF(Projects!B154="","",Projects!B154)</f>
        <v/>
      </c>
    </row>
    <row r="155" spans="1:2" x14ac:dyDescent="0.25">
      <c r="A155" s="22" t="str">
        <f>IF(Projects!A155="","",Projects!A155)</f>
        <v/>
      </c>
      <c r="B155" s="54" t="str">
        <f>IF(Projects!B155="","",Projects!B155)</f>
        <v/>
      </c>
    </row>
    <row r="156" spans="1:2" x14ac:dyDescent="0.25">
      <c r="A156" s="22" t="str">
        <f>IF(Projects!A156="","",Projects!A156)</f>
        <v/>
      </c>
      <c r="B156" s="54" t="str">
        <f>IF(Projects!B156="","",Projects!B156)</f>
        <v/>
      </c>
    </row>
    <row r="157" spans="1:2" x14ac:dyDescent="0.25">
      <c r="A157" s="22" t="str">
        <f>IF(Projects!A157="","",Projects!A157)</f>
        <v/>
      </c>
      <c r="B157" s="54" t="str">
        <f>IF(Projects!B157="","",Projects!B157)</f>
        <v/>
      </c>
    </row>
    <row r="158" spans="1:2" x14ac:dyDescent="0.25">
      <c r="A158" s="22" t="str">
        <f>IF(Projects!A158="","",Projects!A158)</f>
        <v/>
      </c>
      <c r="B158" s="54" t="str">
        <f>IF(Projects!B158="","",Projects!B158)</f>
        <v/>
      </c>
    </row>
    <row r="159" spans="1:2" x14ac:dyDescent="0.25">
      <c r="A159" s="22" t="str">
        <f>IF(Projects!A159="","",Projects!A159)</f>
        <v/>
      </c>
      <c r="B159" s="54" t="str">
        <f>IF(Projects!B159="","",Projects!B159)</f>
        <v/>
      </c>
    </row>
    <row r="160" spans="1:2" x14ac:dyDescent="0.25">
      <c r="A160" s="22" t="str">
        <f>IF(Projects!A160="","",Projects!A160)</f>
        <v/>
      </c>
      <c r="B160" s="54" t="str">
        <f>IF(Projects!B160="","",Projects!B160)</f>
        <v/>
      </c>
    </row>
    <row r="161" spans="1:2" x14ac:dyDescent="0.25">
      <c r="A161" s="22" t="str">
        <f>IF(Projects!A161="","",Projects!A161)</f>
        <v/>
      </c>
      <c r="B161" s="54" t="str">
        <f>IF(Projects!B161="","",Projects!B161)</f>
        <v/>
      </c>
    </row>
    <row r="162" spans="1:2" x14ac:dyDescent="0.25">
      <c r="A162" s="22" t="str">
        <f>IF(Projects!A162="","",Projects!A162)</f>
        <v/>
      </c>
      <c r="B162" s="54" t="str">
        <f>IF(Projects!B162="","",Projects!B162)</f>
        <v/>
      </c>
    </row>
    <row r="163" spans="1:2" x14ac:dyDescent="0.25">
      <c r="A163" s="22" t="str">
        <f>IF(Projects!A163="","",Projects!A163)</f>
        <v/>
      </c>
      <c r="B163" s="54" t="str">
        <f>IF(Projects!B163="","",Projects!B163)</f>
        <v/>
      </c>
    </row>
    <row r="164" spans="1:2" x14ac:dyDescent="0.25">
      <c r="A164" s="22" t="str">
        <f>IF(Projects!A164="","",Projects!A164)</f>
        <v/>
      </c>
      <c r="B164" s="54" t="str">
        <f>IF(Projects!B164="","",Projects!B164)</f>
        <v/>
      </c>
    </row>
    <row r="165" spans="1:2" x14ac:dyDescent="0.25">
      <c r="A165" s="22" t="str">
        <f>IF(Projects!A165="","",Projects!A165)</f>
        <v/>
      </c>
      <c r="B165" s="54" t="str">
        <f>IF(Projects!B165="","",Projects!B165)</f>
        <v/>
      </c>
    </row>
    <row r="166" spans="1:2" x14ac:dyDescent="0.25">
      <c r="A166" s="22" t="str">
        <f>IF(Projects!A166="","",Projects!A166)</f>
        <v/>
      </c>
      <c r="B166" s="54" t="str">
        <f>IF(Projects!B166="","",Projects!B166)</f>
        <v/>
      </c>
    </row>
    <row r="167" spans="1:2" x14ac:dyDescent="0.25">
      <c r="A167" s="22" t="str">
        <f>IF(Projects!A167="","",Projects!A167)</f>
        <v/>
      </c>
      <c r="B167" s="54" t="str">
        <f>IF(Projects!B167="","",Projects!B167)</f>
        <v/>
      </c>
    </row>
    <row r="168" spans="1:2" x14ac:dyDescent="0.25">
      <c r="A168" s="22" t="str">
        <f>IF(Projects!A168="","",Projects!A168)</f>
        <v/>
      </c>
      <c r="B168" s="54" t="str">
        <f>IF(Projects!B168="","",Projects!B168)</f>
        <v/>
      </c>
    </row>
    <row r="169" spans="1:2" x14ac:dyDescent="0.25">
      <c r="A169" s="22" t="str">
        <f>IF(Projects!A169="","",Projects!A169)</f>
        <v/>
      </c>
      <c r="B169" s="54" t="str">
        <f>IF(Projects!B169="","",Projects!B169)</f>
        <v/>
      </c>
    </row>
    <row r="170" spans="1:2" x14ac:dyDescent="0.25">
      <c r="A170" s="22" t="str">
        <f>IF(Projects!A170="","",Projects!A170)</f>
        <v/>
      </c>
      <c r="B170" s="54" t="str">
        <f>IF(Projects!B170="","",Projects!B170)</f>
        <v/>
      </c>
    </row>
    <row r="171" spans="1:2" x14ac:dyDescent="0.25">
      <c r="A171" s="22" t="str">
        <f>IF(Projects!A171="","",Projects!A171)</f>
        <v/>
      </c>
      <c r="B171" s="54" t="str">
        <f>IF(Projects!B171="","",Projects!B171)</f>
        <v/>
      </c>
    </row>
    <row r="172" spans="1:2" x14ac:dyDescent="0.25">
      <c r="A172" s="22" t="str">
        <f>IF(Projects!A172="","",Projects!A172)</f>
        <v/>
      </c>
      <c r="B172" s="54" t="str">
        <f>IF(Projects!B172="","",Projects!B172)</f>
        <v/>
      </c>
    </row>
    <row r="173" spans="1:2" x14ac:dyDescent="0.25">
      <c r="A173" s="22" t="str">
        <f>IF(Projects!A173="","",Projects!A173)</f>
        <v/>
      </c>
      <c r="B173" s="54" t="str">
        <f>IF(Projects!B173="","",Projects!B173)</f>
        <v/>
      </c>
    </row>
    <row r="174" spans="1:2" x14ac:dyDescent="0.25">
      <c r="A174" s="22" t="str">
        <f>IF(Projects!A174="","",Projects!A174)</f>
        <v/>
      </c>
      <c r="B174" s="54" t="str">
        <f>IF(Projects!B174="","",Projects!B174)</f>
        <v/>
      </c>
    </row>
    <row r="175" spans="1:2" x14ac:dyDescent="0.25">
      <c r="A175" s="22" t="str">
        <f>IF(Projects!A175="","",Projects!A175)</f>
        <v/>
      </c>
      <c r="B175" s="54" t="str">
        <f>IF(Projects!B175="","",Projects!B175)</f>
        <v/>
      </c>
    </row>
    <row r="176" spans="1:2" x14ac:dyDescent="0.25">
      <c r="A176" s="22" t="str">
        <f>IF(Projects!A176="","",Projects!A176)</f>
        <v/>
      </c>
      <c r="B176" s="54" t="str">
        <f>IF(Projects!B176="","",Projects!B176)</f>
        <v/>
      </c>
    </row>
    <row r="177" spans="1:2" x14ac:dyDescent="0.25">
      <c r="A177" s="22" t="str">
        <f>IF(Projects!A177="","",Projects!A177)</f>
        <v/>
      </c>
      <c r="B177" s="54" t="str">
        <f>IF(Projects!B177="","",Projects!B177)</f>
        <v/>
      </c>
    </row>
    <row r="178" spans="1:2" x14ac:dyDescent="0.25">
      <c r="A178" s="22" t="str">
        <f>IF(Projects!A178="","",Projects!A178)</f>
        <v/>
      </c>
      <c r="B178" s="54" t="str">
        <f>IF(Projects!B178="","",Projects!B178)</f>
        <v/>
      </c>
    </row>
    <row r="179" spans="1:2" x14ac:dyDescent="0.25">
      <c r="A179" s="22" t="str">
        <f>IF(Projects!A179="","",Projects!A179)</f>
        <v/>
      </c>
      <c r="B179" s="54" t="str">
        <f>IF(Projects!B179="","",Projects!B179)</f>
        <v/>
      </c>
    </row>
    <row r="180" spans="1:2" x14ac:dyDescent="0.25">
      <c r="A180" s="22" t="str">
        <f>IF(Projects!A180="","",Projects!A180)</f>
        <v/>
      </c>
      <c r="B180" s="54" t="str">
        <f>IF(Projects!B180="","",Projects!B180)</f>
        <v/>
      </c>
    </row>
    <row r="181" spans="1:2" x14ac:dyDescent="0.25">
      <c r="A181" s="22" t="str">
        <f>IF(Projects!A181="","",Projects!A181)</f>
        <v/>
      </c>
      <c r="B181" s="54" t="str">
        <f>IF(Projects!B181="","",Projects!B181)</f>
        <v/>
      </c>
    </row>
    <row r="182" spans="1:2" x14ac:dyDescent="0.25">
      <c r="A182" s="22" t="str">
        <f>IF(Projects!A182="","",Projects!A182)</f>
        <v/>
      </c>
      <c r="B182" s="54" t="str">
        <f>IF(Projects!B182="","",Projects!B182)</f>
        <v/>
      </c>
    </row>
    <row r="183" spans="1:2" x14ac:dyDescent="0.25">
      <c r="A183" s="22" t="str">
        <f>IF(Projects!A183="","",Projects!A183)</f>
        <v/>
      </c>
      <c r="B183" s="54" t="str">
        <f>IF(Projects!B183="","",Projects!B183)</f>
        <v/>
      </c>
    </row>
    <row r="184" spans="1:2" x14ac:dyDescent="0.25">
      <c r="A184" s="22" t="str">
        <f>IF(Projects!A184="","",Projects!A184)</f>
        <v/>
      </c>
      <c r="B184" s="54" t="str">
        <f>IF(Projects!B184="","",Projects!B184)</f>
        <v/>
      </c>
    </row>
    <row r="185" spans="1:2" x14ac:dyDescent="0.25">
      <c r="A185" s="22" t="str">
        <f>IF(Projects!A185="","",Projects!A185)</f>
        <v/>
      </c>
      <c r="B185" s="54" t="str">
        <f>IF(Projects!B185="","",Projects!B185)</f>
        <v/>
      </c>
    </row>
    <row r="186" spans="1:2" x14ac:dyDescent="0.25">
      <c r="A186" s="22" t="str">
        <f>IF(Projects!A186="","",Projects!A186)</f>
        <v/>
      </c>
      <c r="B186" s="54" t="str">
        <f>IF(Projects!B186="","",Projects!B186)</f>
        <v/>
      </c>
    </row>
    <row r="187" spans="1:2" x14ac:dyDescent="0.25">
      <c r="A187" s="22" t="str">
        <f>IF(Projects!A187="","",Projects!A187)</f>
        <v/>
      </c>
      <c r="B187" s="54" t="str">
        <f>IF(Projects!B187="","",Projects!B187)</f>
        <v/>
      </c>
    </row>
    <row r="188" spans="1:2" x14ac:dyDescent="0.25">
      <c r="A188" s="22" t="str">
        <f>IF(Projects!A188="","",Projects!A188)</f>
        <v/>
      </c>
      <c r="B188" s="54" t="str">
        <f>IF(Projects!B188="","",Projects!B188)</f>
        <v/>
      </c>
    </row>
    <row r="189" spans="1:2" x14ac:dyDescent="0.25">
      <c r="A189" s="22" t="str">
        <f>IF(Projects!A189="","",Projects!A189)</f>
        <v/>
      </c>
      <c r="B189" s="54" t="str">
        <f>IF(Projects!B189="","",Projects!B189)</f>
        <v/>
      </c>
    </row>
    <row r="190" spans="1:2" x14ac:dyDescent="0.25">
      <c r="A190" s="22" t="str">
        <f>IF(Projects!A190="","",Projects!A190)</f>
        <v/>
      </c>
      <c r="B190" s="54" t="str">
        <f>IF(Projects!B190="","",Projects!B190)</f>
        <v/>
      </c>
    </row>
    <row r="191" spans="1:2" x14ac:dyDescent="0.25">
      <c r="A191" s="22" t="str">
        <f>IF(Projects!A191="","",Projects!A191)</f>
        <v/>
      </c>
      <c r="B191" s="54" t="str">
        <f>IF(Projects!B191="","",Projects!B191)</f>
        <v/>
      </c>
    </row>
    <row r="192" spans="1:2" x14ac:dyDescent="0.25">
      <c r="A192" s="22" t="str">
        <f>IF(Projects!A192="","",Projects!A192)</f>
        <v/>
      </c>
      <c r="B192" s="54" t="str">
        <f>IF(Projects!B192="","",Projects!B192)</f>
        <v/>
      </c>
    </row>
    <row r="193" spans="1:2" x14ac:dyDescent="0.25">
      <c r="A193" s="22" t="str">
        <f>IF(Projects!A193="","",Projects!A193)</f>
        <v/>
      </c>
      <c r="B193" s="54" t="str">
        <f>IF(Projects!B193="","",Projects!B193)</f>
        <v/>
      </c>
    </row>
    <row r="194" spans="1:2" x14ac:dyDescent="0.25">
      <c r="A194" s="22" t="str">
        <f>IF(Projects!A194="","",Projects!A194)</f>
        <v/>
      </c>
      <c r="B194" s="54" t="str">
        <f>IF(Projects!B194="","",Projects!B194)</f>
        <v/>
      </c>
    </row>
    <row r="195" spans="1:2" x14ac:dyDescent="0.25">
      <c r="A195" s="22" t="str">
        <f>IF(Projects!A195="","",Projects!A195)</f>
        <v/>
      </c>
      <c r="B195" s="54" t="str">
        <f>IF(Projects!B195="","",Projects!B195)</f>
        <v/>
      </c>
    </row>
    <row r="196" spans="1:2" x14ac:dyDescent="0.25">
      <c r="A196" s="22" t="str">
        <f>IF(Projects!A196="","",Projects!A196)</f>
        <v/>
      </c>
      <c r="B196" s="54" t="str">
        <f>IF(Projects!B196="","",Projects!B196)</f>
        <v/>
      </c>
    </row>
    <row r="197" spans="1:2" x14ac:dyDescent="0.25">
      <c r="A197" s="22" t="str">
        <f>IF(Projects!A197="","",Projects!A197)</f>
        <v/>
      </c>
      <c r="B197" s="54" t="str">
        <f>IF(Projects!B197="","",Projects!B197)</f>
        <v/>
      </c>
    </row>
    <row r="198" spans="1:2" x14ac:dyDescent="0.25">
      <c r="A198" s="22" t="str">
        <f>IF(Projects!A198="","",Projects!A198)</f>
        <v/>
      </c>
      <c r="B198" s="54" t="str">
        <f>IF(Projects!B198="","",Projects!B198)</f>
        <v/>
      </c>
    </row>
    <row r="199" spans="1:2" x14ac:dyDescent="0.25">
      <c r="A199" s="22" t="str">
        <f>IF(Projects!A199="","",Projects!A199)</f>
        <v/>
      </c>
      <c r="B199" s="54" t="str">
        <f>IF(Projects!B199="","",Projects!B199)</f>
        <v/>
      </c>
    </row>
    <row r="200" spans="1:2" x14ac:dyDescent="0.25">
      <c r="A200" s="22" t="str">
        <f>IF(Projects!A200="","",Projects!A200)</f>
        <v/>
      </c>
      <c r="B200" s="54" t="str">
        <f>IF(Projects!B200="","",Projects!B200)</f>
        <v/>
      </c>
    </row>
    <row r="201" spans="1:2" x14ac:dyDescent="0.25">
      <c r="A201" s="22" t="str">
        <f>IF(Projects!A201="","",Projects!A201)</f>
        <v/>
      </c>
      <c r="B201" s="54" t="str">
        <f>IF(Projects!B201="","",Projects!B201)</f>
        <v/>
      </c>
    </row>
  </sheetData>
  <sheetProtection sheet="1" objects="1" scenarios="1" formatCells="0" formatColumns="0" insertColumns="0" deleteColumns="0"/>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B1:AE25"/>
  <sheetViews>
    <sheetView showGridLines="0" workbookViewId="0">
      <selection activeCell="C18" sqref="C18:J18"/>
    </sheetView>
  </sheetViews>
  <sheetFormatPr defaultRowHeight="15" x14ac:dyDescent="0.25"/>
  <cols>
    <col min="1" max="1" width="4.7109375" customWidth="1"/>
    <col min="2" max="2" width="17" bestFit="1" customWidth="1"/>
    <col min="7" max="9" width="10" bestFit="1" customWidth="1"/>
    <col min="10" max="10" width="9.42578125" customWidth="1"/>
    <col min="22" max="31" width="0" hidden="1" customWidth="1"/>
  </cols>
  <sheetData>
    <row r="1" spans="2:31" ht="18.75" x14ac:dyDescent="0.3">
      <c r="C1" s="129" t="s">
        <v>125</v>
      </c>
      <c r="D1" s="129"/>
      <c r="E1" s="129"/>
    </row>
    <row r="2" spans="2:31" x14ac:dyDescent="0.25">
      <c r="C2" s="94" t="s">
        <v>92</v>
      </c>
      <c r="D2" s="95" t="s">
        <v>93</v>
      </c>
      <c r="E2" s="95" t="s">
        <v>94</v>
      </c>
    </row>
    <row r="3" spans="2:31" x14ac:dyDescent="0.25">
      <c r="B3" s="56" t="s">
        <v>92</v>
      </c>
      <c r="C3" s="58">
        <v>1</v>
      </c>
      <c r="D3" s="58">
        <v>-7.8071857084504148E-2</v>
      </c>
      <c r="E3" s="58">
        <v>0.34576271262703751</v>
      </c>
    </row>
    <row r="4" spans="2:31" x14ac:dyDescent="0.25">
      <c r="B4" s="57" t="s">
        <v>93</v>
      </c>
      <c r="C4" s="58">
        <v>-7.8071857084504148E-2</v>
      </c>
      <c r="D4" s="58">
        <v>1</v>
      </c>
      <c r="E4" s="58">
        <v>-5.1812435219208794E-2</v>
      </c>
    </row>
    <row r="5" spans="2:31" x14ac:dyDescent="0.25">
      <c r="B5" s="57" t="s">
        <v>94</v>
      </c>
      <c r="C5" s="58">
        <v>0.34576271262703751</v>
      </c>
      <c r="D5" s="58">
        <v>-5.1812435219208794E-2</v>
      </c>
      <c r="E5" s="58">
        <v>1</v>
      </c>
    </row>
    <row r="7" spans="2:31" ht="18.75" x14ac:dyDescent="0.3">
      <c r="C7" s="128" t="s">
        <v>192</v>
      </c>
      <c r="D7" s="128"/>
      <c r="E7" s="128"/>
      <c r="F7" s="128"/>
      <c r="G7" s="128"/>
      <c r="H7" s="128"/>
      <c r="I7" s="128"/>
      <c r="J7" s="128"/>
      <c r="W7" s="128" t="s">
        <v>132</v>
      </c>
      <c r="X7" s="128"/>
      <c r="Y7" s="128"/>
      <c r="Z7" s="128"/>
      <c r="AA7" s="128"/>
      <c r="AB7" s="128"/>
      <c r="AC7" s="128"/>
      <c r="AD7" s="128"/>
      <c r="AE7" s="128"/>
    </row>
    <row r="8" spans="2:31" x14ac:dyDescent="0.25">
      <c r="C8" s="123" t="s">
        <v>135</v>
      </c>
      <c r="D8" s="125" t="s">
        <v>194</v>
      </c>
      <c r="E8" s="125" t="s">
        <v>195</v>
      </c>
      <c r="F8" s="125" t="s">
        <v>138</v>
      </c>
      <c r="G8" s="127" t="s">
        <v>139</v>
      </c>
      <c r="H8" s="127"/>
      <c r="I8" s="127"/>
      <c r="J8" s="127"/>
      <c r="W8" s="94" t="s">
        <v>197</v>
      </c>
      <c r="X8" s="95" t="s">
        <v>198</v>
      </c>
      <c r="Y8" s="95" t="s">
        <v>126</v>
      </c>
      <c r="Z8" s="95" t="s">
        <v>127</v>
      </c>
      <c r="AA8" s="59" t="s">
        <v>128</v>
      </c>
      <c r="AB8" s="95" t="s">
        <v>129</v>
      </c>
      <c r="AC8" s="95" t="s">
        <v>130</v>
      </c>
      <c r="AD8" s="95" t="s">
        <v>193</v>
      </c>
      <c r="AE8" s="95" t="s">
        <v>131</v>
      </c>
    </row>
    <row r="9" spans="2:31" x14ac:dyDescent="0.25">
      <c r="C9" s="124"/>
      <c r="D9" s="126"/>
      <c r="E9" s="126"/>
      <c r="F9" s="126"/>
      <c r="G9" s="95" t="s">
        <v>140</v>
      </c>
      <c r="H9" s="95" t="s">
        <v>141</v>
      </c>
      <c r="I9" s="95" t="s">
        <v>142</v>
      </c>
      <c r="J9" s="95" t="s">
        <v>143</v>
      </c>
      <c r="V9" s="56" t="s">
        <v>92</v>
      </c>
      <c r="W9" s="60">
        <v>-1</v>
      </c>
      <c r="X9" s="60">
        <v>1</v>
      </c>
      <c r="Y9" s="61"/>
      <c r="Z9" s="61"/>
      <c r="AA9" s="61"/>
      <c r="AB9" s="61"/>
      <c r="AC9" s="61"/>
      <c r="AD9" s="78">
        <v>0.61101342748430643</v>
      </c>
      <c r="AE9" s="78">
        <f t="array" ref="AE9:AE11">(p/SQRT(MMULT(TRANSPOSE(p),p)))</f>
        <v>0.69051845775358822</v>
      </c>
    </row>
    <row r="10" spans="2:31" x14ac:dyDescent="0.25">
      <c r="B10" s="56" t="s">
        <v>92</v>
      </c>
      <c r="C10" s="88">
        <v>0.61101342748430643</v>
      </c>
      <c r="D10" s="91">
        <v>0.50000000499945829</v>
      </c>
      <c r="E10" s="91">
        <v>0.49948100624715075</v>
      </c>
      <c r="F10" s="79">
        <f t="array" ref="F10:F12">(1/COUNTA(p))</f>
        <v>0.33333333333333331</v>
      </c>
      <c r="G10" s="80"/>
      <c r="H10" s="80"/>
      <c r="I10" s="80"/>
      <c r="J10" s="81">
        <f t="array" ref="J10:J12">IF(COUNTA(p)=0, "", p)</f>
        <v>0.61101342748430643</v>
      </c>
      <c r="V10" s="57" t="s">
        <v>93</v>
      </c>
      <c r="W10" s="60">
        <v>-1</v>
      </c>
      <c r="X10" s="60">
        <v>1</v>
      </c>
      <c r="Y10" s="61"/>
      <c r="Z10" s="61"/>
      <c r="AA10" s="61"/>
      <c r="AB10" s="61"/>
      <c r="AC10" s="61"/>
      <c r="AD10" s="78">
        <v>-0.21415557045017056</v>
      </c>
      <c r="AE10" s="78">
        <v>-0.2420214803387277</v>
      </c>
    </row>
    <row r="11" spans="2:31" x14ac:dyDescent="0.25">
      <c r="B11" s="57" t="s">
        <v>93</v>
      </c>
      <c r="C11" s="89">
        <v>-0.21415557045017056</v>
      </c>
      <c r="D11" s="92">
        <v>0</v>
      </c>
      <c r="E11" s="92">
        <v>1E-3</v>
      </c>
      <c r="F11" s="82">
        <v>0.33333333333333331</v>
      </c>
      <c r="G11" s="83"/>
      <c r="H11" s="83"/>
      <c r="I11" s="83"/>
      <c r="J11" s="84">
        <v>-0.21415557045017056</v>
      </c>
      <c r="L11" s="114" t="s">
        <v>199</v>
      </c>
      <c r="M11" s="115"/>
      <c r="N11" s="116"/>
      <c r="V11" s="57" t="s">
        <v>94</v>
      </c>
      <c r="W11" s="60">
        <v>-1</v>
      </c>
      <c r="X11" s="60">
        <v>1</v>
      </c>
      <c r="Y11" s="61"/>
      <c r="Z11" s="61"/>
      <c r="AA11" s="61"/>
      <c r="AB11" s="61"/>
      <c r="AC11" s="61"/>
      <c r="AD11" s="78">
        <v>0.6031421429658641</v>
      </c>
      <c r="AE11" s="78">
        <v>0.68162296216915763</v>
      </c>
    </row>
    <row r="12" spans="2:31" x14ac:dyDescent="0.25">
      <c r="B12" s="57" t="s">
        <v>94</v>
      </c>
      <c r="C12" s="90">
        <v>0.6031421429658641</v>
      </c>
      <c r="D12" s="93">
        <v>0.50000000500054131</v>
      </c>
      <c r="E12" s="93">
        <v>0.49951899375284936</v>
      </c>
      <c r="F12" s="85">
        <v>0.33333333333333331</v>
      </c>
      <c r="G12" s="86"/>
      <c r="H12" s="86"/>
      <c r="I12" s="86"/>
      <c r="J12" s="87">
        <v>0.6031421429658641</v>
      </c>
      <c r="L12" s="117">
        <f t="array" ref="L12">MMULT(MMULT(TRANSPOSE(p),Q),p)/MMULT(TRANSPOSE(p),p)</f>
        <v>1.368672019632283</v>
      </c>
      <c r="M12" s="118"/>
      <c r="N12" s="119"/>
    </row>
    <row r="13" spans="2:31" x14ac:dyDescent="0.25">
      <c r="B13" s="56" t="s">
        <v>133</v>
      </c>
      <c r="C13" s="60">
        <f t="array" ref="C13">IF(COUNTA(pca_loadings)=0,0, MMULT(MMULT(TRANSPOSE(pca_loadings),Q),pca_loadings))</f>
        <v>1.368672019632283</v>
      </c>
      <c r="D13" s="60">
        <f t="array" ref="D13">IF(COUNTA(kt_gr_eq_loadings)=0,0,MMULT(MMULT(TRANSPOSE(kt_gr_eq_loadings),Q),kt_gr_eq_loadings))</f>
        <v>1.3457627126270379</v>
      </c>
      <c r="E13" s="60">
        <f t="array" ref="E13">IF(COUNTA(kt_gr_loadings)=0,0,MMULT(MMULT(TRANSPOSE(kt_gr_loadings),Q),kt_gr_loadings))</f>
        <v>1.345501992625276</v>
      </c>
      <c r="F13" s="60">
        <f t="array" ref="F13">IF(COUNTA(simple_av_loadings)=0,0,MMULT(MMULT(TRANSPOSE(simple_av_loadings),Q),simple_av_loadings))</f>
        <v>1.1439189468822162</v>
      </c>
      <c r="G13" s="60">
        <f t="array" ref="G13">IF(COUNTA(constrained_sol_loadings_scenario_1)=0,0,MMULT(MMULT(TRANSPOSE(constrained_sol_loadings_scenario_1),Q),constrained_sol_loadings_scenario_1))</f>
        <v>0</v>
      </c>
      <c r="H13" s="60">
        <f t="array" ref="H13">IF(COUNTA(constrained_sol_loadings_scenario_2)=0,0,MMULT(MMULT(TRANSPOSE(constrained_sol_loadings_scenario_2),Q),constrained_sol_loadings_scenario_2))</f>
        <v>0</v>
      </c>
      <c r="I13" s="60">
        <f t="array" ref="I13">IF(COUNTA(constrained_sol_loadings_scenario_3)=0,0,MMULT(MMULT(TRANSPOSE(constrained_sol_loadings_scenario_3),Q),constrained_sol_loadings_scenario_3))</f>
        <v>0</v>
      </c>
      <c r="J13" s="60">
        <f t="array" ref="J13">IF(COUNTBLANK(constrained_sol_loadings)=ROWS(constrained_sol_loadings),0,MMULT(MMULT(TRANSPOSE(constrained_sol_loadings),Q),constrained_sol_loadings))</f>
        <v>1.368672019632283</v>
      </c>
    </row>
    <row r="14" spans="2:31" x14ac:dyDescent="0.25">
      <c r="B14" s="57" t="s">
        <v>134</v>
      </c>
      <c r="C14" s="67">
        <f>pca_ret_var/COLUMNS(Q)</f>
        <v>0.45622400654409434</v>
      </c>
      <c r="D14" s="67">
        <f>qt_g_eq_ret_var/COLUMNS(Q)</f>
        <v>0.4485875708756793</v>
      </c>
      <c r="E14" s="67">
        <f>qt_g_ret_var/COLUMNS(Q)</f>
        <v>0.44850066420842533</v>
      </c>
      <c r="F14" s="67">
        <f>simple_av_ret_var/COLUMNS(Q)</f>
        <v>0.38130631562740541</v>
      </c>
      <c r="G14" s="67">
        <f>scenario_1_ret_var_pct/COLUMNS(Q)</f>
        <v>0</v>
      </c>
      <c r="H14" s="67">
        <f>scenario_2_ret_var_pct/COLUMNS(Q)</f>
        <v>0</v>
      </c>
      <c r="I14" s="67">
        <f>scenario_3_ret_var_pct/COLUMNS(Q)</f>
        <v>0</v>
      </c>
      <c r="J14" s="67">
        <f>curr_sol_ret_var_pct/COLUMNS(Q)</f>
        <v>0.45622400654409434</v>
      </c>
      <c r="L14" s="114" t="s">
        <v>196</v>
      </c>
      <c r="M14" s="115"/>
      <c r="N14" s="116"/>
    </row>
    <row r="15" spans="2:31" x14ac:dyDescent="0.25">
      <c r="L15" s="117">
        <f t="array" ref="L15">SUM(p)</f>
        <v>1</v>
      </c>
      <c r="M15" s="118"/>
      <c r="N15" s="119"/>
    </row>
    <row r="17" spans="2:18" x14ac:dyDescent="0.25">
      <c r="L17" s="114" t="s">
        <v>145</v>
      </c>
      <c r="M17" s="115"/>
      <c r="N17" s="116"/>
    </row>
    <row r="18" spans="2:18" ht="18.75" x14ac:dyDescent="0.3">
      <c r="C18" s="128" t="s">
        <v>144</v>
      </c>
      <c r="D18" s="128"/>
      <c r="E18" s="128"/>
      <c r="F18" s="128"/>
      <c r="G18" s="128"/>
      <c r="H18" s="128"/>
      <c r="I18" s="128"/>
      <c r="J18" s="128"/>
      <c r="L18" s="120">
        <v>5</v>
      </c>
      <c r="M18" s="121"/>
      <c r="N18" s="122"/>
    </row>
    <row r="19" spans="2:18" x14ac:dyDescent="0.25">
      <c r="C19" s="123" t="s">
        <v>135</v>
      </c>
      <c r="D19" s="125" t="s">
        <v>136</v>
      </c>
      <c r="E19" s="125" t="s">
        <v>137</v>
      </c>
      <c r="F19" s="125" t="s">
        <v>138</v>
      </c>
      <c r="G19" s="127" t="s">
        <v>139</v>
      </c>
      <c r="H19" s="127"/>
      <c r="I19" s="127"/>
      <c r="J19" s="127"/>
    </row>
    <row r="20" spans="2:18" x14ac:dyDescent="0.25">
      <c r="C20" s="124"/>
      <c r="D20" s="126"/>
      <c r="E20" s="126"/>
      <c r="F20" s="126"/>
      <c r="G20" s="95" t="s">
        <v>140</v>
      </c>
      <c r="H20" s="95" t="s">
        <v>141</v>
      </c>
      <c r="I20" s="95" t="s">
        <v>142</v>
      </c>
      <c r="J20" s="95" t="s">
        <v>143</v>
      </c>
      <c r="L20" s="114" t="s">
        <v>146</v>
      </c>
      <c r="M20" s="115"/>
      <c r="N20" s="115"/>
      <c r="O20" s="115"/>
      <c r="P20" s="115"/>
      <c r="Q20" s="115"/>
      <c r="R20" s="116"/>
    </row>
    <row r="21" spans="2:18" x14ac:dyDescent="0.25">
      <c r="B21" s="56" t="s">
        <v>92</v>
      </c>
      <c r="C21" s="71">
        <v>0.69051845775358822</v>
      </c>
      <c r="D21" s="68">
        <v>0.70710678118578185</v>
      </c>
      <c r="E21" s="68">
        <v>0.7070791840692483</v>
      </c>
      <c r="F21" s="62">
        <f t="array" ref="F21:F23">(simple_av_loadings_pct/SQRT(MMULT(TRANSPOSE(simple_av_loadings_pct),simple_av_loadings_pct)))</f>
        <v>0.57735026918962573</v>
      </c>
      <c r="G21" s="74"/>
      <c r="H21" s="74"/>
      <c r="I21" s="74"/>
      <c r="J21" s="63">
        <f t="array" ref="J21:J23">IF(COUNTA(x)=0, "", x)</f>
        <v>0.69051845775358822</v>
      </c>
      <c r="L21" s="108"/>
      <c r="M21" s="109"/>
      <c r="N21" s="109"/>
      <c r="O21" s="109"/>
      <c r="P21" s="109"/>
      <c r="Q21" s="109"/>
      <c r="R21" s="110"/>
    </row>
    <row r="22" spans="2:18" x14ac:dyDescent="0.25">
      <c r="B22" s="57" t="s">
        <v>93</v>
      </c>
      <c r="C22" s="72">
        <v>-0.2420214803387277</v>
      </c>
      <c r="D22" s="69">
        <v>0</v>
      </c>
      <c r="E22" s="69">
        <v>1.4156277720786339E-3</v>
      </c>
      <c r="F22" s="64">
        <v>0.57735026918962573</v>
      </c>
      <c r="G22" s="75"/>
      <c r="H22" s="75"/>
      <c r="I22" s="75"/>
      <c r="J22" s="65">
        <v>-0.2420214803387277</v>
      </c>
      <c r="L22" s="108"/>
      <c r="M22" s="109"/>
      <c r="N22" s="109"/>
      <c r="O22" s="109"/>
      <c r="P22" s="109"/>
      <c r="Q22" s="109"/>
      <c r="R22" s="110"/>
    </row>
    <row r="23" spans="2:18" x14ac:dyDescent="0.25">
      <c r="B23" s="57" t="s">
        <v>94</v>
      </c>
      <c r="C23" s="73">
        <v>0.68162296216915763</v>
      </c>
      <c r="D23" s="70">
        <v>0.7071067811873134</v>
      </c>
      <c r="E23" s="70">
        <v>0.70713296023730721</v>
      </c>
      <c r="F23" s="96">
        <v>0.57735026918962573</v>
      </c>
      <c r="G23" s="76"/>
      <c r="H23" s="76"/>
      <c r="I23" s="76"/>
      <c r="J23" s="66">
        <v>0.68162296216915763</v>
      </c>
      <c r="L23" s="108"/>
      <c r="M23" s="109"/>
      <c r="N23" s="109"/>
      <c r="O23" s="109"/>
      <c r="P23" s="109"/>
      <c r="Q23" s="109"/>
      <c r="R23" s="110"/>
    </row>
    <row r="24" spans="2:18" x14ac:dyDescent="0.25">
      <c r="B24" s="56" t="s">
        <v>133</v>
      </c>
      <c r="C24" s="60">
        <f t="array" ref="C24">IF(COUNTA(pca_loadings)=0,0, MMULT(MMULT(TRANSPOSE(pca_loadings),Q),pca_loadings))</f>
        <v>1.368672019632283</v>
      </c>
      <c r="D24" s="60">
        <f t="array" ref="D24">IF(COUNTA(kt_gr_eq_loadings)=0,0,MMULT(MMULT(TRANSPOSE(kt_gr_eq_loadings),Q),kt_gr_eq_loadings))</f>
        <v>1.3457627126270379</v>
      </c>
      <c r="E24" s="60">
        <f t="array" ref="E24">IF(COUNTA(kt_gr_loadings)=0,0,MMULT(MMULT(TRANSPOSE(kt_gr_loadings),Q),kt_gr_loadings))</f>
        <v>1.345501992625276</v>
      </c>
      <c r="F24" s="60">
        <f t="array" ref="F24">IF(COUNTA(simple_av_loadings)=0,0,MMULT(MMULT(TRANSPOSE(simple_av_loadings),Q),simple_av_loadings))</f>
        <v>1.1439189468822162</v>
      </c>
      <c r="G24" s="60">
        <f t="array" ref="G24">IF(COUNTA(constrained_sol_loadings_scenario_1)=0,0,MMULT(MMULT(TRANSPOSE(constrained_sol_loadings_scenario_1),Q),constrained_sol_loadings_scenario_1))</f>
        <v>0</v>
      </c>
      <c r="H24" s="60">
        <f t="array" ref="H24">IF(COUNTA(constrained_sol_loadings_scenario_2)=0,0,MMULT(MMULT(TRANSPOSE(constrained_sol_loadings_scenario_2),Q),constrained_sol_loadings_scenario_2))</f>
        <v>0</v>
      </c>
      <c r="I24" s="60">
        <f t="array" ref="I24">IF(COUNTA(constrained_sol_loadings_scenario_3)=0,0,MMULT(MMULT(TRANSPOSE(constrained_sol_loadings_scenario_3),Q),constrained_sol_loadings_scenario_3))</f>
        <v>0</v>
      </c>
      <c r="J24" s="60">
        <f t="array" ref="J24">IF(COUNTBLANK(constrained_sol_loadings)=ROWS(constrained_sol_loadings),0,MMULT(MMULT(TRANSPOSE(constrained_sol_loadings),Q),constrained_sol_loadings))</f>
        <v>1.368672019632283</v>
      </c>
      <c r="L24" s="108"/>
      <c r="M24" s="109"/>
      <c r="N24" s="109"/>
      <c r="O24" s="109"/>
      <c r="P24" s="109"/>
      <c r="Q24" s="109"/>
      <c r="R24" s="110"/>
    </row>
    <row r="25" spans="2:18" x14ac:dyDescent="0.25">
      <c r="B25" s="57" t="s">
        <v>134</v>
      </c>
      <c r="C25" s="67">
        <f>pca_ret_var/COLUMNS(Q)</f>
        <v>0.45622400654409434</v>
      </c>
      <c r="D25" s="67">
        <f>qt_g_eq_ret_var/COLUMNS(Q)</f>
        <v>0.4485875708756793</v>
      </c>
      <c r="E25" s="67">
        <f>qt_g_ret_var/COLUMNS(Q)</f>
        <v>0.44850066420842533</v>
      </c>
      <c r="F25" s="67">
        <f>simple_av_ret_var/COLUMNS(Q)</f>
        <v>0.38130631562740541</v>
      </c>
      <c r="G25" s="67">
        <f>scenario_1_ret_var/COLUMNS(Q)</f>
        <v>0</v>
      </c>
      <c r="H25" s="67">
        <f>scenario_2_ret_var/COLUMNS(Q)</f>
        <v>0</v>
      </c>
      <c r="I25" s="67">
        <f>scenario_3_ret_var/COLUMNS(Q)</f>
        <v>0</v>
      </c>
      <c r="J25" s="67">
        <f>curr_sol_ret_var/COLUMNS(Q)</f>
        <v>0.45622400654409434</v>
      </c>
      <c r="L25" s="111"/>
      <c r="M25" s="112"/>
      <c r="N25" s="112"/>
      <c r="O25" s="112"/>
      <c r="P25" s="112"/>
      <c r="Q25" s="112"/>
      <c r="R25" s="113"/>
    </row>
  </sheetData>
  <mergeCells count="22">
    <mergeCell ref="C18:J18"/>
    <mergeCell ref="C1:E1"/>
    <mergeCell ref="W7:AE7"/>
    <mergeCell ref="C8:C9"/>
    <mergeCell ref="D8:D9"/>
    <mergeCell ref="E8:E9"/>
    <mergeCell ref="F8:F9"/>
    <mergeCell ref="G8:J8"/>
    <mergeCell ref="C7:J7"/>
    <mergeCell ref="C19:C20"/>
    <mergeCell ref="D19:D20"/>
    <mergeCell ref="E19:E20"/>
    <mergeCell ref="F19:F20"/>
    <mergeCell ref="G19:J19"/>
    <mergeCell ref="L21:R25"/>
    <mergeCell ref="L20:R20"/>
    <mergeCell ref="L12:N12"/>
    <mergeCell ref="L11:N11"/>
    <mergeCell ref="L15:N15"/>
    <mergeCell ref="L14:N14"/>
    <mergeCell ref="L18:N18"/>
    <mergeCell ref="L17:N17"/>
  </mergeCells>
  <dataValidations count="3">
    <dataValidation type="list" operator="equal" allowBlank="1" showInputMessage="1" showErrorMessage="1" sqref="Y9 Z9 AA9 AB9 AC9">
      <formula1>"BCR,YIELD"</formula1>
    </dataValidation>
    <dataValidation type="list" operator="equal" allowBlank="1" showInputMessage="1" showErrorMessage="1" sqref="Y10 Z10 AA10 AB10 AC10">
      <formula1>"NRW,YIELD"</formula1>
    </dataValidation>
    <dataValidation type="list" operator="equal" allowBlank="1" showInputMessage="1" showErrorMessage="1" sqref="Y11 Z11 AA11 AB11 AC11">
      <formula1>"NRW,BCR"</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0945" r:id="rId3" name="Button 1">
              <controlPr defaultSize="0" print="0" autoFill="0" autoPict="0" macro="[0]!subLoadAddConstraintsForm">
                <anchor moveWithCells="1" sizeWithCells="1">
                  <from>
                    <xdr:col>11</xdr:col>
                    <xdr:colOff>0</xdr:colOff>
                    <xdr:row>7</xdr:row>
                    <xdr:rowOff>95250</xdr:rowOff>
                  </from>
                  <to>
                    <xdr:col>16</xdr:col>
                    <xdr:colOff>0</xdr:colOff>
                    <xdr:row>8</xdr:row>
                    <xdr:rowOff>95250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1:AE36"/>
  <sheetViews>
    <sheetView showGridLines="0" topLeftCell="A6" workbookViewId="0">
      <selection activeCell="I6" sqref="I6"/>
    </sheetView>
  </sheetViews>
  <sheetFormatPr defaultRowHeight="15" x14ac:dyDescent="0.25"/>
  <cols>
    <col min="1" max="1" width="4.7109375" customWidth="1"/>
    <col min="2" max="2" width="17" bestFit="1" customWidth="1"/>
    <col min="7" max="9" width="10" bestFit="1" customWidth="1"/>
    <col min="10" max="10" width="9.42578125" customWidth="1"/>
    <col min="22" max="31" width="9.140625" customWidth="1"/>
  </cols>
  <sheetData>
    <row r="1" spans="2:31" ht="18.75" x14ac:dyDescent="0.3">
      <c r="C1" s="129" t="s">
        <v>125</v>
      </c>
      <c r="D1" s="129"/>
      <c r="E1" s="129"/>
      <c r="F1" s="129"/>
      <c r="G1" s="129"/>
    </row>
    <row r="2" spans="2:31" x14ac:dyDescent="0.25">
      <c r="C2" s="94" t="s">
        <v>85</v>
      </c>
      <c r="D2" s="95" t="s">
        <v>86</v>
      </c>
      <c r="E2" s="95" t="s">
        <v>87</v>
      </c>
      <c r="F2" s="95" t="s">
        <v>88</v>
      </c>
      <c r="G2" s="95" t="s">
        <v>89</v>
      </c>
    </row>
    <row r="3" spans="2:31" x14ac:dyDescent="0.25">
      <c r="B3" s="56" t="s">
        <v>85</v>
      </c>
      <c r="C3" s="58">
        <v>1</v>
      </c>
      <c r="D3" s="58">
        <v>0.80497318063434786</v>
      </c>
      <c r="E3" s="58">
        <v>-0.1035353085399633</v>
      </c>
      <c r="F3" s="58">
        <v>-0.35086626049860004</v>
      </c>
      <c r="G3" s="58">
        <v>-0.33857045415658221</v>
      </c>
    </row>
    <row r="4" spans="2:31" x14ac:dyDescent="0.25">
      <c r="B4" s="57" t="s">
        <v>86</v>
      </c>
      <c r="C4" s="58">
        <v>0.80497318063434786</v>
      </c>
      <c r="D4" s="58">
        <v>1</v>
      </c>
      <c r="E4" s="58">
        <v>-0.23321822306251508</v>
      </c>
      <c r="F4" s="58">
        <v>-0.19149900811947596</v>
      </c>
      <c r="G4" s="58">
        <v>-0.50106246549435374</v>
      </c>
    </row>
    <row r="5" spans="2:31" x14ac:dyDescent="0.25">
      <c r="B5" s="57" t="s">
        <v>87</v>
      </c>
      <c r="C5" s="58">
        <v>-0.1035353085399633</v>
      </c>
      <c r="D5" s="58">
        <v>-0.23321822306251508</v>
      </c>
      <c r="E5" s="58">
        <v>1</v>
      </c>
      <c r="F5" s="58">
        <v>0.39720198718752908</v>
      </c>
      <c r="G5" s="58">
        <v>-9.5076442261169097E-2</v>
      </c>
    </row>
    <row r="6" spans="2:31" x14ac:dyDescent="0.25">
      <c r="B6" s="57" t="s">
        <v>88</v>
      </c>
      <c r="C6" s="58">
        <v>-0.35086626049860004</v>
      </c>
      <c r="D6" s="58">
        <v>-0.19149900811947596</v>
      </c>
      <c r="E6" s="58">
        <v>0.39720198718752908</v>
      </c>
      <c r="F6" s="58">
        <v>1</v>
      </c>
      <c r="G6" s="58">
        <v>-0.28022930612110641</v>
      </c>
    </row>
    <row r="7" spans="2:31" x14ac:dyDescent="0.25">
      <c r="B7" s="57" t="s">
        <v>89</v>
      </c>
      <c r="C7" s="58">
        <v>-0.33857045415658221</v>
      </c>
      <c r="D7" s="58">
        <v>-0.50106246549435374</v>
      </c>
      <c r="E7" s="58">
        <v>-9.5076442261169097E-2</v>
      </c>
      <c r="F7" s="58">
        <v>-0.28022930612110641</v>
      </c>
      <c r="G7" s="58">
        <v>1</v>
      </c>
    </row>
    <row r="9" spans="2:31" ht="18.75" x14ac:dyDescent="0.3">
      <c r="C9" s="128" t="s">
        <v>192</v>
      </c>
      <c r="D9" s="128"/>
      <c r="E9" s="128"/>
      <c r="F9" s="128"/>
      <c r="G9" s="128"/>
      <c r="H9" s="128"/>
      <c r="I9" s="128"/>
      <c r="J9" s="128"/>
      <c r="W9" s="128" t="s">
        <v>132</v>
      </c>
      <c r="X9" s="128"/>
      <c r="Y9" s="128"/>
      <c r="Z9" s="128"/>
      <c r="AA9" s="128"/>
      <c r="AB9" s="128"/>
      <c r="AC9" s="128"/>
      <c r="AD9" s="128"/>
      <c r="AE9" s="128"/>
    </row>
    <row r="10" spans="2:31" x14ac:dyDescent="0.25">
      <c r="C10" s="123" t="s">
        <v>135</v>
      </c>
      <c r="D10" s="125" t="s">
        <v>194</v>
      </c>
      <c r="E10" s="125" t="s">
        <v>195</v>
      </c>
      <c r="F10" s="125" t="s">
        <v>138</v>
      </c>
      <c r="G10" s="127" t="s">
        <v>139</v>
      </c>
      <c r="H10" s="127"/>
      <c r="I10" s="127"/>
      <c r="J10" s="127"/>
      <c r="W10" s="94" t="s">
        <v>197</v>
      </c>
      <c r="X10" s="95" t="s">
        <v>198</v>
      </c>
      <c r="Y10" s="95" t="s">
        <v>126</v>
      </c>
      <c r="Z10" s="95" t="s">
        <v>127</v>
      </c>
      <c r="AA10" s="59" t="s">
        <v>128</v>
      </c>
      <c r="AB10" s="95" t="s">
        <v>129</v>
      </c>
      <c r="AC10" s="95" t="s">
        <v>130</v>
      </c>
      <c r="AD10" s="95" t="s">
        <v>193</v>
      </c>
      <c r="AE10" s="95" t="s">
        <v>131</v>
      </c>
    </row>
    <row r="11" spans="2:31" x14ac:dyDescent="0.25">
      <c r="C11" s="124"/>
      <c r="D11" s="126"/>
      <c r="E11" s="126"/>
      <c r="F11" s="126"/>
      <c r="G11" s="95" t="s">
        <v>140</v>
      </c>
      <c r="H11" s="95" t="s">
        <v>141</v>
      </c>
      <c r="I11" s="95" t="s">
        <v>142</v>
      </c>
      <c r="J11" s="95" t="s">
        <v>143</v>
      </c>
      <c r="V11" s="56" t="s">
        <v>85</v>
      </c>
      <c r="W11" s="60">
        <v>-1</v>
      </c>
      <c r="X11" s="60">
        <v>1</v>
      </c>
      <c r="Y11" s="61"/>
      <c r="Z11" s="61"/>
      <c r="AA11" s="61"/>
      <c r="AB11" s="61"/>
      <c r="AC11" s="61"/>
      <c r="AD11" s="102">
        <v>0.249</v>
      </c>
      <c r="AE11" s="78">
        <f t="array" ref="AE11:AE15">(p/SQRT(MMULT(TRANSPOSE(p),p)))</f>
        <v>0.31471068389823997</v>
      </c>
    </row>
    <row r="12" spans="2:31" x14ac:dyDescent="0.25">
      <c r="B12" s="56" t="s">
        <v>85</v>
      </c>
      <c r="C12" s="88">
        <v>1</v>
      </c>
      <c r="D12" s="91">
        <v>0.49999999998697719</v>
      </c>
      <c r="E12" s="91">
        <v>0.49854132967604559</v>
      </c>
      <c r="F12" s="79">
        <f t="array" ref="F12:F16">(1/COUNTA(p))</f>
        <v>0.2</v>
      </c>
      <c r="G12" s="91">
        <v>0.18333333499999999</v>
      </c>
      <c r="H12" s="91">
        <v>0.2</v>
      </c>
      <c r="I12" s="91">
        <v>0.249</v>
      </c>
      <c r="J12" s="81">
        <f t="array" ref="J12:J16">IF(COUNTA(p)=0, "", p)</f>
        <v>0.249</v>
      </c>
      <c r="V12" s="57" t="s">
        <v>86</v>
      </c>
      <c r="W12" s="60">
        <v>-1</v>
      </c>
      <c r="X12" s="60">
        <v>1</v>
      </c>
      <c r="Y12" s="61"/>
      <c r="Z12" s="61"/>
      <c r="AA12" s="61"/>
      <c r="AB12" s="61"/>
      <c r="AC12" s="61"/>
      <c r="AD12" s="102">
        <v>0.751</v>
      </c>
      <c r="AE12" s="78">
        <v>0.94918764501035424</v>
      </c>
    </row>
    <row r="13" spans="2:31" x14ac:dyDescent="0.25">
      <c r="B13" s="57" t="s">
        <v>86</v>
      </c>
      <c r="C13" s="89">
        <v>1</v>
      </c>
      <c r="D13" s="92">
        <v>0.50000000001302258</v>
      </c>
      <c r="E13" s="92">
        <v>0.49845866032395469</v>
      </c>
      <c r="F13" s="82">
        <v>0.2</v>
      </c>
      <c r="G13" s="92">
        <v>0.18333333499999999</v>
      </c>
      <c r="H13" s="92">
        <v>0.2</v>
      </c>
      <c r="I13" s="92">
        <v>0.751</v>
      </c>
      <c r="J13" s="84">
        <v>0.751</v>
      </c>
      <c r="L13" s="114" t="s">
        <v>199</v>
      </c>
      <c r="M13" s="115"/>
      <c r="N13" s="116"/>
      <c r="V13" s="57" t="s">
        <v>87</v>
      </c>
      <c r="W13" s="60">
        <v>-1</v>
      </c>
      <c r="X13" s="60">
        <v>1</v>
      </c>
      <c r="Y13" s="61"/>
      <c r="Z13" s="61"/>
      <c r="AA13" s="61"/>
      <c r="AB13" s="61"/>
      <c r="AC13" s="61"/>
      <c r="AD13" s="102">
        <v>0</v>
      </c>
      <c r="AE13" s="78">
        <v>0</v>
      </c>
    </row>
    <row r="14" spans="2:31" x14ac:dyDescent="0.25">
      <c r="B14" s="57" t="s">
        <v>87</v>
      </c>
      <c r="C14" s="89">
        <v>-0.21666999095043799</v>
      </c>
      <c r="D14" s="92">
        <v>0</v>
      </c>
      <c r="E14" s="92">
        <v>1E-3</v>
      </c>
      <c r="F14" s="82">
        <v>0.2</v>
      </c>
      <c r="G14" s="92">
        <v>0.26666666999999999</v>
      </c>
      <c r="H14" s="92">
        <v>0.2</v>
      </c>
      <c r="I14" s="92">
        <v>0</v>
      </c>
      <c r="J14" s="84">
        <v>0</v>
      </c>
      <c r="L14" s="117">
        <f t="array" ref="L14">MMULT(MMULT(TRANSPOSE(p),Q),p)/MMULT(TRANSPOSE(p),p)</f>
        <v>1.4809223606488238</v>
      </c>
      <c r="M14" s="118"/>
      <c r="N14" s="119"/>
      <c r="V14" s="57" t="s">
        <v>88</v>
      </c>
      <c r="W14" s="60">
        <v>-1</v>
      </c>
      <c r="X14" s="60">
        <v>1</v>
      </c>
      <c r="Y14" s="61"/>
      <c r="Z14" s="61"/>
      <c r="AA14" s="61"/>
      <c r="AB14" s="61"/>
      <c r="AC14" s="61"/>
      <c r="AD14" s="102">
        <v>0</v>
      </c>
      <c r="AE14" s="78">
        <v>0</v>
      </c>
    </row>
    <row r="15" spans="2:31" x14ac:dyDescent="0.25">
      <c r="B15" s="57" t="s">
        <v>88</v>
      </c>
      <c r="C15" s="89">
        <v>-0.28800144854835319</v>
      </c>
      <c r="D15" s="92">
        <v>0</v>
      </c>
      <c r="E15" s="92">
        <v>1E-3</v>
      </c>
      <c r="F15" s="82">
        <v>0.2</v>
      </c>
      <c r="G15" s="92">
        <v>0.18333333499999999</v>
      </c>
      <c r="H15" s="92">
        <v>0.2</v>
      </c>
      <c r="I15" s="92">
        <v>0</v>
      </c>
      <c r="J15" s="84">
        <v>0</v>
      </c>
      <c r="V15" s="57" t="s">
        <v>89</v>
      </c>
      <c r="W15" s="60">
        <v>-1</v>
      </c>
      <c r="X15" s="60">
        <v>1</v>
      </c>
      <c r="Y15" s="61"/>
      <c r="Z15" s="61"/>
      <c r="AA15" s="61"/>
      <c r="AB15" s="61"/>
      <c r="AC15" s="61"/>
      <c r="AD15" s="102">
        <v>0</v>
      </c>
      <c r="AE15" s="78">
        <v>0</v>
      </c>
    </row>
    <row r="16" spans="2:31" x14ac:dyDescent="0.25">
      <c r="B16" s="57" t="s">
        <v>89</v>
      </c>
      <c r="C16" s="90">
        <v>-0.49532856050120877</v>
      </c>
      <c r="D16" s="93">
        <v>0</v>
      </c>
      <c r="E16" s="93">
        <v>1E-3</v>
      </c>
      <c r="F16" s="85">
        <v>0.2</v>
      </c>
      <c r="G16" s="93">
        <v>0.18333333499999999</v>
      </c>
      <c r="H16" s="93">
        <v>0.2</v>
      </c>
      <c r="I16" s="93">
        <v>0</v>
      </c>
      <c r="J16" s="87">
        <v>0</v>
      </c>
      <c r="L16" s="114" t="s">
        <v>196</v>
      </c>
      <c r="M16" s="115"/>
      <c r="N16" s="116"/>
    </row>
    <row r="17" spans="2:18" x14ac:dyDescent="0.25">
      <c r="B17" s="56" t="s">
        <v>133</v>
      </c>
      <c r="C17" s="60">
        <f t="array" ref="C17">IF(COUNTA(pca_loadings)=0,0, MMULT(MMULT(TRANSPOSE(pca_loadings),Q),pca_loadings))</f>
        <v>2.1995746792099755</v>
      </c>
      <c r="D17" s="60">
        <f t="array" ref="D17">IF(COUNTA(kt_gr_eq_loadings)=0,0,MMULT(MMULT(TRANSPOSE(kt_gr_eq_loadings),Q),kt_gr_eq_loadings))</f>
        <v>1.8049731806343479</v>
      </c>
      <c r="E17" s="60">
        <f t="array" ref="E17">IF(COUNTA(kt_gr_loadings)=0,0,MMULT(MMULT(TRANSPOSE(kt_gr_loadings),Q),kt_gr_loadings))</f>
        <v>1.8015205946684341</v>
      </c>
      <c r="F17" s="60">
        <f t="array" ref="F17">IF(COUNTA(simple_av_loadings)=0,0,MMULT(MMULT(TRANSPOSE(simple_av_loadings),Q),simple_av_loadings))</f>
        <v>0.64324707982724449</v>
      </c>
      <c r="G17" s="60">
        <f t="array" ref="G17">IF(COUNTA(constrained_sol_loadings_scenario_1)=0,0,MMULT(MMULT(TRANSPOSE(constrained_sol_loadings_scenario_1),Q),constrained_sol_loadings_scenario_1))</f>
        <v>0.70318298005086077</v>
      </c>
      <c r="H17" s="60">
        <f t="array" ref="H17">IF(COUNTA(constrained_sol_loadings_scenario_2)=0,0,MMULT(MMULT(TRANSPOSE(constrained_sol_loadings_scenario_2),Q),constrained_sol_loadings_scenario_2))</f>
        <v>0.64324707982724449</v>
      </c>
      <c r="I17" s="60">
        <f t="array" ref="I17">IF(COUNTA(constrained_sol_loadings_scenario_3)=0,0,MMULT(MMULT(TRANSPOSE(constrained_sol_loadings_scenario_3),Q),constrained_sol_loadings_scenario_3))</f>
        <v>1.4809223606488238</v>
      </c>
      <c r="J17" s="60">
        <f t="array" ref="J17">IF(COUNTBLANK(constrained_sol_loadings)=ROWS(constrained_sol_loadings),0,MMULT(MMULT(TRANSPOSE(constrained_sol_loadings),Q),constrained_sol_loadings))</f>
        <v>1.4809223606488238</v>
      </c>
      <c r="L17" s="117">
        <f t="array" ref="L17">SUM(p)</f>
        <v>1</v>
      </c>
      <c r="M17" s="118"/>
      <c r="N17" s="119"/>
    </row>
    <row r="18" spans="2:18" x14ac:dyDescent="0.25">
      <c r="B18" s="57" t="s">
        <v>134</v>
      </c>
      <c r="C18" s="67">
        <f>pca_ret_var/COLUMNS(Q)</f>
        <v>0.43991493584199509</v>
      </c>
      <c r="D18" s="67">
        <f>qt_g_eq_ret_var/COLUMNS(Q)</f>
        <v>0.36099463612686955</v>
      </c>
      <c r="E18" s="67">
        <f>qt_g_ret_var/COLUMNS(Q)</f>
        <v>0.3603041189336868</v>
      </c>
      <c r="F18" s="67">
        <f>simple_av_ret_var/COLUMNS(Q)</f>
        <v>0.1286494159654489</v>
      </c>
      <c r="G18" s="67">
        <f>scenario_1_ret_var_pct/COLUMNS(Q)</f>
        <v>0.14063659601017214</v>
      </c>
      <c r="H18" s="67">
        <f>scenario_2_ret_var_pct/COLUMNS(Q)</f>
        <v>0.1286494159654489</v>
      </c>
      <c r="I18" s="67">
        <f>scenario_3_ret_var_pct/COLUMNS(Q)</f>
        <v>0.29618447212976473</v>
      </c>
      <c r="J18" s="67">
        <f>curr_sol_ret_var_pct/COLUMNS(Q)</f>
        <v>0.29618447212976473</v>
      </c>
    </row>
    <row r="19" spans="2:18" x14ac:dyDescent="0.25">
      <c r="L19" s="114" t="s">
        <v>145</v>
      </c>
      <c r="M19" s="115"/>
      <c r="N19" s="116"/>
    </row>
    <row r="20" spans="2:18" x14ac:dyDescent="0.25">
      <c r="L20" s="120">
        <v>5</v>
      </c>
      <c r="M20" s="121"/>
      <c r="N20" s="122"/>
    </row>
    <row r="22" spans="2:18" ht="18.75" x14ac:dyDescent="0.3">
      <c r="C22" s="128" t="s">
        <v>144</v>
      </c>
      <c r="D22" s="128"/>
      <c r="E22" s="128"/>
      <c r="F22" s="128"/>
      <c r="G22" s="128"/>
      <c r="H22" s="128"/>
      <c r="I22" s="128"/>
      <c r="J22" s="128"/>
      <c r="L22" s="114" t="s">
        <v>146</v>
      </c>
      <c r="M22" s="115"/>
      <c r="N22" s="115"/>
      <c r="O22" s="115"/>
      <c r="P22" s="115"/>
      <c r="Q22" s="115"/>
      <c r="R22" s="116"/>
    </row>
    <row r="23" spans="2:18" x14ac:dyDescent="0.25">
      <c r="C23" s="123" t="s">
        <v>135</v>
      </c>
      <c r="D23" s="125" t="s">
        <v>136</v>
      </c>
      <c r="E23" s="125" t="s">
        <v>137</v>
      </c>
      <c r="F23" s="125" t="s">
        <v>138</v>
      </c>
      <c r="G23" s="127" t="s">
        <v>139</v>
      </c>
      <c r="H23" s="127"/>
      <c r="I23" s="127"/>
      <c r="J23" s="127"/>
      <c r="L23" s="130" t="s">
        <v>200</v>
      </c>
      <c r="M23" s="109"/>
      <c r="N23" s="109"/>
      <c r="O23" s="109"/>
      <c r="P23" s="109"/>
      <c r="Q23" s="109"/>
      <c r="R23" s="110"/>
    </row>
    <row r="24" spans="2:18" x14ac:dyDescent="0.25">
      <c r="C24" s="124"/>
      <c r="D24" s="126"/>
      <c r="E24" s="126"/>
      <c r="F24" s="126"/>
      <c r="G24" s="95" t="s">
        <v>140</v>
      </c>
      <c r="H24" s="95" t="s">
        <v>141</v>
      </c>
      <c r="I24" s="95" t="s">
        <v>142</v>
      </c>
      <c r="J24" s="95" t="s">
        <v>143</v>
      </c>
      <c r="L24" s="108"/>
      <c r="M24" s="109"/>
      <c r="N24" s="109"/>
      <c r="O24" s="109"/>
      <c r="P24" s="109"/>
      <c r="Q24" s="109"/>
      <c r="R24" s="110"/>
    </row>
    <row r="25" spans="2:18" x14ac:dyDescent="0.25">
      <c r="B25" s="56" t="s">
        <v>85</v>
      </c>
      <c r="C25" s="71">
        <v>0.64885275065973358</v>
      </c>
      <c r="D25" s="68">
        <v>0.70710678116813064</v>
      </c>
      <c r="E25" s="68">
        <v>0.70716327643834853</v>
      </c>
      <c r="F25" s="62">
        <f t="array" ref="F25:F29">(simple_av_loadings_pct/SQRT(MMULT(TRANSPOSE(simple_av_loadings_pct),simple_av_loadings_pct)))</f>
        <v>0.44721359549995793</v>
      </c>
      <c r="G25" s="68">
        <v>0.40436804167469831</v>
      </c>
      <c r="H25" s="68">
        <v>0.44721359549995793</v>
      </c>
      <c r="I25" s="68">
        <v>0.31471068389823997</v>
      </c>
      <c r="J25" s="63">
        <f t="array" ref="J25:J29">IF(COUNTA(x)=0, "", x)</f>
        <v>0.31471068389823997</v>
      </c>
      <c r="L25" s="108"/>
      <c r="M25" s="109"/>
      <c r="N25" s="109"/>
      <c r="O25" s="109"/>
      <c r="P25" s="109"/>
      <c r="Q25" s="109"/>
      <c r="R25" s="110"/>
    </row>
    <row r="26" spans="2:18" x14ac:dyDescent="0.25">
      <c r="B26" s="57" t="s">
        <v>86</v>
      </c>
      <c r="C26" s="72">
        <v>0.64885275065973358</v>
      </c>
      <c r="D26" s="69">
        <v>0.7071067812049644</v>
      </c>
      <c r="E26" s="69">
        <v>0.70704601288083446</v>
      </c>
      <c r="F26" s="64">
        <v>0.44721359549995793</v>
      </c>
      <c r="G26" s="69">
        <v>0.40436804167469831</v>
      </c>
      <c r="H26" s="69">
        <v>0.44721359549995793</v>
      </c>
      <c r="I26" s="69">
        <v>0.94918764501035424</v>
      </c>
      <c r="J26" s="65">
        <v>0.94918764501035424</v>
      </c>
      <c r="L26" s="108"/>
      <c r="M26" s="109"/>
      <c r="N26" s="109"/>
      <c r="O26" s="109"/>
      <c r="P26" s="109"/>
      <c r="Q26" s="109"/>
      <c r="R26" s="110"/>
    </row>
    <row r="27" spans="2:18" x14ac:dyDescent="0.25">
      <c r="B27" s="57" t="s">
        <v>87</v>
      </c>
      <c r="C27" s="72">
        <v>-0.14058691961361128</v>
      </c>
      <c r="D27" s="69">
        <v>0</v>
      </c>
      <c r="E27" s="69">
        <v>1.4184646975966195E-3</v>
      </c>
      <c r="F27" s="64">
        <v>0.44721359549995793</v>
      </c>
      <c r="G27" s="69">
        <v>0.58817169898651012</v>
      </c>
      <c r="H27" s="69">
        <v>0.44721359549995793</v>
      </c>
      <c r="I27" s="69">
        <v>0</v>
      </c>
      <c r="J27" s="65">
        <v>0</v>
      </c>
      <c r="L27" s="111"/>
      <c r="M27" s="112"/>
      <c r="N27" s="112"/>
      <c r="O27" s="112"/>
      <c r="P27" s="112"/>
      <c r="Q27" s="112"/>
      <c r="R27" s="113"/>
    </row>
    <row r="28" spans="2:18" x14ac:dyDescent="0.25">
      <c r="B28" s="57" t="s">
        <v>88</v>
      </c>
      <c r="C28" s="72">
        <v>-0.1868705320845867</v>
      </c>
      <c r="D28" s="69">
        <v>0</v>
      </c>
      <c r="E28" s="69">
        <v>1.4184646975966195E-3</v>
      </c>
      <c r="F28" s="64">
        <v>0.44721359549995793</v>
      </c>
      <c r="G28" s="69">
        <v>0.40436804167469831</v>
      </c>
      <c r="H28" s="69">
        <v>0.44721359549995793</v>
      </c>
      <c r="I28" s="69">
        <v>0</v>
      </c>
      <c r="J28" s="65">
        <v>0</v>
      </c>
    </row>
    <row r="29" spans="2:18" x14ac:dyDescent="0.25">
      <c r="B29" s="57" t="s">
        <v>89</v>
      </c>
      <c r="C29" s="73">
        <v>-0.32139529896153557</v>
      </c>
      <c r="D29" s="70">
        <v>0</v>
      </c>
      <c r="E29" s="70">
        <v>1.4184646975966195E-3</v>
      </c>
      <c r="F29" s="96">
        <v>0.44721359549995793</v>
      </c>
      <c r="G29" s="70">
        <v>0.40436804167469831</v>
      </c>
      <c r="H29" s="70">
        <v>0.44721359549995793</v>
      </c>
      <c r="I29" s="70">
        <v>0</v>
      </c>
      <c r="J29" s="66">
        <v>0</v>
      </c>
    </row>
    <row r="30" spans="2:18" x14ac:dyDescent="0.25">
      <c r="B30" s="56" t="s">
        <v>133</v>
      </c>
      <c r="C30" s="60">
        <f t="array" ref="C30">IF(COUNTA(pca_loadings)=0,0, MMULT(MMULT(TRANSPOSE(pca_loadings),Q),pca_loadings))</f>
        <v>2.1995746792099755</v>
      </c>
      <c r="D30" s="60">
        <f t="array" ref="D30">IF(COUNTA(kt_gr_eq_loadings)=0,0,MMULT(MMULT(TRANSPOSE(kt_gr_eq_loadings),Q),kt_gr_eq_loadings))</f>
        <v>1.8049731806343479</v>
      </c>
      <c r="E30" s="60">
        <f t="array" ref="E30">IF(COUNTA(kt_gr_loadings)=0,0,MMULT(MMULT(TRANSPOSE(kt_gr_loadings),Q),kt_gr_loadings))</f>
        <v>1.8015205946684341</v>
      </c>
      <c r="F30" s="60">
        <f t="array" ref="F30">IF(COUNTA(simple_av_loadings)=0,0,MMULT(MMULT(TRANSPOSE(simple_av_loadings),Q),simple_av_loadings))</f>
        <v>0.64324707982724449</v>
      </c>
      <c r="G30" s="60">
        <f t="array" ref="G30">IF(COUNTA(constrained_sol_loadings_scenario_1)=0,0,MMULT(MMULT(TRANSPOSE(constrained_sol_loadings_scenario_1),Q),constrained_sol_loadings_scenario_1))</f>
        <v>0.70318298005086077</v>
      </c>
      <c r="H30" s="60">
        <f t="array" ref="H30">IF(COUNTA(constrained_sol_loadings_scenario_2)=0,0,MMULT(MMULT(TRANSPOSE(constrained_sol_loadings_scenario_2),Q),constrained_sol_loadings_scenario_2))</f>
        <v>0.64324707982724449</v>
      </c>
      <c r="I30" s="60">
        <f t="array" ref="I30">IF(COUNTA(constrained_sol_loadings_scenario_3)=0,0,MMULT(MMULT(TRANSPOSE(constrained_sol_loadings_scenario_3),Q),constrained_sol_loadings_scenario_3))</f>
        <v>1.4809223606488238</v>
      </c>
      <c r="J30" s="60">
        <f t="array" ref="J30">IF(COUNTBLANK(constrained_sol_loadings)=ROWS(constrained_sol_loadings),0,MMULT(MMULT(TRANSPOSE(constrained_sol_loadings),Q),constrained_sol_loadings))</f>
        <v>1.4809223606488238</v>
      </c>
    </row>
    <row r="31" spans="2:18" x14ac:dyDescent="0.25">
      <c r="B31" s="57" t="s">
        <v>134</v>
      </c>
      <c r="C31" s="67">
        <f>pca_ret_var/COLUMNS(Q)</f>
        <v>0.43991493584199509</v>
      </c>
      <c r="D31" s="67">
        <f>qt_g_eq_ret_var/COLUMNS(Q)</f>
        <v>0.36099463612686955</v>
      </c>
      <c r="E31" s="67">
        <f>qt_g_ret_var/COLUMNS(Q)</f>
        <v>0.3603041189336868</v>
      </c>
      <c r="F31" s="67">
        <f>simple_av_ret_var/COLUMNS(Q)</f>
        <v>0.1286494159654489</v>
      </c>
      <c r="G31" s="67">
        <f>scenario_1_ret_var/COLUMNS(Q)</f>
        <v>0.14063659601017214</v>
      </c>
      <c r="H31" s="67">
        <f>scenario_2_ret_var/COLUMNS(Q)</f>
        <v>0.1286494159654489</v>
      </c>
      <c r="I31" s="67">
        <f>scenario_3_ret_var/COLUMNS(Q)</f>
        <v>0.29618447212976473</v>
      </c>
      <c r="J31" s="67">
        <f>curr_sol_ret_var/COLUMNS(Q)</f>
        <v>0.29618447212976473</v>
      </c>
    </row>
    <row r="33" spans="4:9" ht="18.75" x14ac:dyDescent="0.3">
      <c r="D33" s="129" t="s">
        <v>201</v>
      </c>
      <c r="E33" s="129"/>
      <c r="F33" s="129"/>
      <c r="G33" s="129"/>
      <c r="H33" s="129"/>
      <c r="I33" s="129"/>
    </row>
    <row r="34" spans="4:9" x14ac:dyDescent="0.25">
      <c r="D34" s="98" t="s">
        <v>140</v>
      </c>
      <c r="E34" s="99"/>
      <c r="F34" s="99" t="s">
        <v>141</v>
      </c>
      <c r="G34" s="99"/>
      <c r="H34" s="99" t="s">
        <v>142</v>
      </c>
      <c r="I34" s="99"/>
    </row>
    <row r="35" spans="4:9" x14ac:dyDescent="0.25">
      <c r="D35" t="s">
        <v>202</v>
      </c>
      <c r="F35" t="s">
        <v>203</v>
      </c>
      <c r="H35" t="s">
        <v>204</v>
      </c>
    </row>
    <row r="36" spans="4:9" x14ac:dyDescent="0.25">
      <c r="H36" t="s">
        <v>205</v>
      </c>
    </row>
  </sheetData>
  <mergeCells count="23">
    <mergeCell ref="D33:I33"/>
    <mergeCell ref="C22:J22"/>
    <mergeCell ref="C1:G1"/>
    <mergeCell ref="W9:AE9"/>
    <mergeCell ref="C10:C11"/>
    <mergeCell ref="D10:D11"/>
    <mergeCell ref="E10:E11"/>
    <mergeCell ref="F10:F11"/>
    <mergeCell ref="G10:J10"/>
    <mergeCell ref="C9:J9"/>
    <mergeCell ref="C23:C24"/>
    <mergeCell ref="D23:D24"/>
    <mergeCell ref="E23:E24"/>
    <mergeCell ref="F23:F24"/>
    <mergeCell ref="G23:J23"/>
    <mergeCell ref="L23:R27"/>
    <mergeCell ref="L22:R22"/>
    <mergeCell ref="L14:N14"/>
    <mergeCell ref="L13:N13"/>
    <mergeCell ref="L17:N17"/>
    <mergeCell ref="L16:N16"/>
    <mergeCell ref="L20:N20"/>
    <mergeCell ref="L19:N19"/>
  </mergeCells>
  <dataValidations count="5">
    <dataValidation type="list" operator="equal" allowBlank="1" showInputMessage="1" showErrorMessage="1" sqref="Y11 Z11 AA11 AB11 AC11">
      <formula1>"JOB_INV,POVERTY,SUPPLY,QUALITY"</formula1>
    </dataValidation>
    <dataValidation type="list" operator="equal" allowBlank="1" showInputMessage="1" showErrorMessage="1" sqref="Y12 Z12 AA12 AB12 AC12">
      <formula1>"BEN_INV,POVERTY,SUPPLY,QUALITY"</formula1>
    </dataValidation>
    <dataValidation type="list" operator="equal" allowBlank="1" showInputMessage="1" showErrorMessage="1" sqref="Y13 Z13 AA13 AB13 AC13">
      <formula1>"BEN_INV,JOB_INV,SUPPLY,QUALITY"</formula1>
    </dataValidation>
    <dataValidation type="list" operator="equal" allowBlank="1" showInputMessage="1" showErrorMessage="1" sqref="Y14 Z14 AA14 AB14 AC14">
      <formula1>"BEN_INV,JOB_INV,POVERTY,QUALITY"</formula1>
    </dataValidation>
    <dataValidation type="list" operator="equal" allowBlank="1" showInputMessage="1" showErrorMessage="1" sqref="Y15 Z15 AA15 AB15 AC15">
      <formula1>"BEN_INV,JOB_INV,POVERTY,SUPPLY"</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1969" r:id="rId3" name="Button 1">
              <controlPr defaultSize="0" print="0" autoFill="0" autoPict="0" macro="[0]!subLoadAddConstraintsForm">
                <anchor moveWithCells="1" sizeWithCells="1">
                  <from>
                    <xdr:col>11</xdr:col>
                    <xdr:colOff>0</xdr:colOff>
                    <xdr:row>9</xdr:row>
                    <xdr:rowOff>95250</xdr:rowOff>
                  </from>
                  <to>
                    <xdr:col>16</xdr:col>
                    <xdr:colOff>0</xdr:colOff>
                    <xdr:row>10</xdr:row>
                    <xdr:rowOff>95250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AE53"/>
  <sheetViews>
    <sheetView showGridLines="0" topLeftCell="A12" workbookViewId="0">
      <selection activeCell="B15" sqref="B15"/>
    </sheetView>
  </sheetViews>
  <sheetFormatPr defaultRowHeight="15" x14ac:dyDescent="0.25"/>
  <cols>
    <col min="1" max="1" width="4.7109375" customWidth="1"/>
    <col min="2" max="2" width="17" bestFit="1" customWidth="1"/>
    <col min="7" max="9" width="10" bestFit="1" customWidth="1"/>
    <col min="10" max="10" width="9.5703125" customWidth="1"/>
    <col min="22" max="31" width="9.140625" customWidth="1"/>
  </cols>
  <sheetData>
    <row r="1" spans="2:31" ht="18.75" x14ac:dyDescent="0.3">
      <c r="C1" s="129" t="s">
        <v>125</v>
      </c>
      <c r="D1" s="129"/>
      <c r="E1" s="129"/>
      <c r="F1" s="129"/>
      <c r="G1" s="129"/>
      <c r="H1" s="129"/>
      <c r="I1" s="129"/>
      <c r="J1" s="129"/>
      <c r="K1" s="129"/>
      <c r="L1" s="129"/>
    </row>
    <row r="2" spans="2:31" x14ac:dyDescent="0.25">
      <c r="C2" s="98" t="s">
        <v>85</v>
      </c>
      <c r="D2" s="99" t="s">
        <v>86</v>
      </c>
      <c r="E2" s="99" t="s">
        <v>87</v>
      </c>
      <c r="F2" s="99" t="s">
        <v>88</v>
      </c>
      <c r="G2" s="99" t="s">
        <v>89</v>
      </c>
      <c r="H2" s="99" t="s">
        <v>90</v>
      </c>
      <c r="I2" s="99" t="s">
        <v>91</v>
      </c>
      <c r="J2" s="99" t="s">
        <v>104</v>
      </c>
      <c r="K2" s="99" t="s">
        <v>105</v>
      </c>
      <c r="L2" s="99" t="s">
        <v>106</v>
      </c>
    </row>
    <row r="3" spans="2:31" x14ac:dyDescent="0.25">
      <c r="B3" s="56" t="s">
        <v>85</v>
      </c>
      <c r="C3" s="58">
        <v>1</v>
      </c>
      <c r="D3" s="58">
        <v>0.80497318063434786</v>
      </c>
      <c r="E3" s="58">
        <v>-0.1035353085399633</v>
      </c>
      <c r="F3" s="58">
        <v>-0.35086626049860004</v>
      </c>
      <c r="G3" s="58">
        <v>-0.33857045415658221</v>
      </c>
      <c r="H3" s="58">
        <v>-0.14141595299885534</v>
      </c>
      <c r="I3" s="58">
        <v>-7.9026059695714496E-2</v>
      </c>
      <c r="J3" s="58">
        <v>-0.33857045415658221</v>
      </c>
      <c r="K3" s="58">
        <v>-0.14141595299885534</v>
      </c>
      <c r="L3" s="58">
        <v>-7.9026059695714496E-2</v>
      </c>
    </row>
    <row r="4" spans="2:31" x14ac:dyDescent="0.25">
      <c r="B4" s="57" t="s">
        <v>86</v>
      </c>
      <c r="C4" s="58">
        <v>0.80497318063434786</v>
      </c>
      <c r="D4" s="58">
        <v>1</v>
      </c>
      <c r="E4" s="58">
        <v>-0.23321822306251508</v>
      </c>
      <c r="F4" s="58">
        <v>-0.19149900811947626</v>
      </c>
      <c r="G4" s="58">
        <v>-0.50106246549435374</v>
      </c>
      <c r="H4" s="58">
        <v>0.16145383877749961</v>
      </c>
      <c r="I4" s="58">
        <v>-0.10944989106875551</v>
      </c>
      <c r="J4" s="58">
        <v>-0.50106246549435374</v>
      </c>
      <c r="K4" s="58">
        <v>0.16145383877749961</v>
      </c>
      <c r="L4" s="58">
        <v>-0.10944989106875551</v>
      </c>
    </row>
    <row r="5" spans="2:31" x14ac:dyDescent="0.25">
      <c r="B5" s="57" t="s">
        <v>87</v>
      </c>
      <c r="C5" s="58">
        <v>-0.1035353085399633</v>
      </c>
      <c r="D5" s="58">
        <v>-0.23321822306251508</v>
      </c>
      <c r="E5" s="58">
        <v>1</v>
      </c>
      <c r="F5" s="58">
        <v>0.39720198718752908</v>
      </c>
      <c r="G5" s="58">
        <v>-9.5076442261169541E-2</v>
      </c>
      <c r="H5" s="58">
        <v>9.055715336979492E-4</v>
      </c>
      <c r="I5" s="58">
        <v>0.11584665086141395</v>
      </c>
      <c r="J5" s="58">
        <v>-9.5076442261169097E-2</v>
      </c>
      <c r="K5" s="58">
        <v>9.055715336979492E-4</v>
      </c>
      <c r="L5" s="58">
        <v>0.11584665086141395</v>
      </c>
    </row>
    <row r="6" spans="2:31" x14ac:dyDescent="0.25">
      <c r="B6" s="57" t="s">
        <v>88</v>
      </c>
      <c r="C6" s="58">
        <v>-0.35086626049860004</v>
      </c>
      <c r="D6" s="58">
        <v>-0.19149900811947626</v>
      </c>
      <c r="E6" s="58">
        <v>0.39720198718752908</v>
      </c>
      <c r="F6" s="58">
        <v>1</v>
      </c>
      <c r="G6" s="58">
        <v>-0.28022930612110641</v>
      </c>
      <c r="H6" s="58">
        <v>0.18319021848581823</v>
      </c>
      <c r="I6" s="58">
        <v>-0.19346643076000014</v>
      </c>
      <c r="J6" s="58">
        <v>-0.28022930612110641</v>
      </c>
      <c r="K6" s="58">
        <v>0.18319021848581823</v>
      </c>
      <c r="L6" s="58">
        <v>-0.19346643076000006</v>
      </c>
    </row>
    <row r="7" spans="2:31" x14ac:dyDescent="0.25">
      <c r="B7" s="57" t="s">
        <v>89</v>
      </c>
      <c r="C7" s="58">
        <v>-0.33857045415658221</v>
      </c>
      <c r="D7" s="58">
        <v>-0.50106246549435374</v>
      </c>
      <c r="E7" s="58">
        <v>-9.5076442261169541E-2</v>
      </c>
      <c r="F7" s="58">
        <v>-0.28022930612110641</v>
      </c>
      <c r="G7" s="58">
        <v>1</v>
      </c>
      <c r="H7" s="58">
        <v>-0.32816084206719709</v>
      </c>
      <c r="I7" s="58">
        <v>0.2564462385816822</v>
      </c>
      <c r="J7" s="58">
        <v>0.24263922437323809</v>
      </c>
      <c r="K7" s="58">
        <v>-0.32816084206719709</v>
      </c>
      <c r="L7" s="58">
        <v>0.2564462385816822</v>
      </c>
    </row>
    <row r="8" spans="2:31" x14ac:dyDescent="0.25">
      <c r="B8" s="57" t="s">
        <v>90</v>
      </c>
      <c r="C8" s="58">
        <v>-0.14141595299885534</v>
      </c>
      <c r="D8" s="58">
        <v>0.16145383877749961</v>
      </c>
      <c r="E8" s="58">
        <v>9.055715336979492E-4</v>
      </c>
      <c r="F8" s="58">
        <v>0.18319021848581823</v>
      </c>
      <c r="G8" s="58">
        <v>-0.32816084206719709</v>
      </c>
      <c r="H8" s="58">
        <v>1</v>
      </c>
      <c r="I8" s="58">
        <v>0.23150229252242652</v>
      </c>
      <c r="J8" s="58">
        <v>-0.32816084206719709</v>
      </c>
      <c r="K8" s="58">
        <v>1.0000000000000002</v>
      </c>
      <c r="L8" s="58">
        <v>0.23150229252242652</v>
      </c>
    </row>
    <row r="9" spans="2:31" x14ac:dyDescent="0.25">
      <c r="B9" s="57" t="s">
        <v>91</v>
      </c>
      <c r="C9" s="58">
        <v>-7.9026059695714496E-2</v>
      </c>
      <c r="D9" s="58">
        <v>-0.10944989106875551</v>
      </c>
      <c r="E9" s="58">
        <v>0.11584665086141395</v>
      </c>
      <c r="F9" s="58">
        <v>-0.19346643076000014</v>
      </c>
      <c r="G9" s="58">
        <v>0.2564462385816822</v>
      </c>
      <c r="H9" s="58">
        <v>0.23150229252242652</v>
      </c>
      <c r="I9" s="58">
        <v>1</v>
      </c>
      <c r="J9" s="58">
        <v>0.2564462385816822</v>
      </c>
      <c r="K9" s="58">
        <v>0.23150229252242649</v>
      </c>
      <c r="L9" s="58">
        <v>1</v>
      </c>
    </row>
    <row r="10" spans="2:31" x14ac:dyDescent="0.25">
      <c r="B10" s="57" t="s">
        <v>104</v>
      </c>
      <c r="C10" s="58">
        <v>-0.33857045415658221</v>
      </c>
      <c r="D10" s="58">
        <v>-0.50106246549435374</v>
      </c>
      <c r="E10" s="58">
        <v>-9.5076442261169097E-2</v>
      </c>
      <c r="F10" s="58">
        <v>-0.28022930612110641</v>
      </c>
      <c r="G10" s="58">
        <v>0.24263922437323809</v>
      </c>
      <c r="H10" s="58">
        <v>-0.32816084206719709</v>
      </c>
      <c r="I10" s="58">
        <v>0.2564462385816822</v>
      </c>
      <c r="J10" s="58">
        <v>1</v>
      </c>
      <c r="K10" s="58">
        <v>-0.32816084206719709</v>
      </c>
      <c r="L10" s="58">
        <v>0.2564462385816822</v>
      </c>
    </row>
    <row r="11" spans="2:31" x14ac:dyDescent="0.25">
      <c r="B11" s="57" t="s">
        <v>105</v>
      </c>
      <c r="C11" s="58">
        <v>-0.14141595299885534</v>
      </c>
      <c r="D11" s="58">
        <v>0.16145383877749961</v>
      </c>
      <c r="E11" s="58">
        <v>9.055715336979492E-4</v>
      </c>
      <c r="F11" s="58">
        <v>0.18319021848581823</v>
      </c>
      <c r="G11" s="58">
        <v>-0.32816084206719709</v>
      </c>
      <c r="H11" s="58">
        <v>1.0000000000000002</v>
      </c>
      <c r="I11" s="58">
        <v>0.23150229252242649</v>
      </c>
      <c r="J11" s="58">
        <v>-0.32816084206719709</v>
      </c>
      <c r="K11" s="58">
        <v>1</v>
      </c>
      <c r="L11" s="58">
        <v>0.23150229252242652</v>
      </c>
    </row>
    <row r="12" spans="2:31" x14ac:dyDescent="0.25">
      <c r="B12" s="57" t="s">
        <v>106</v>
      </c>
      <c r="C12" s="58">
        <v>-7.9026059695714496E-2</v>
      </c>
      <c r="D12" s="58">
        <v>-0.10944989106875551</v>
      </c>
      <c r="E12" s="58">
        <v>0.11584665086141395</v>
      </c>
      <c r="F12" s="58">
        <v>-0.19346643076000006</v>
      </c>
      <c r="G12" s="58">
        <v>0.2564462385816822</v>
      </c>
      <c r="H12" s="58">
        <v>0.23150229252242652</v>
      </c>
      <c r="I12" s="58">
        <v>1</v>
      </c>
      <c r="J12" s="58">
        <v>0.2564462385816822</v>
      </c>
      <c r="K12" s="58">
        <v>0.23150229252242652</v>
      </c>
      <c r="L12" s="58">
        <v>1</v>
      </c>
    </row>
    <row r="14" spans="2:31" ht="18.75" x14ac:dyDescent="0.3">
      <c r="C14" s="128" t="s">
        <v>192</v>
      </c>
      <c r="D14" s="128"/>
      <c r="E14" s="128"/>
      <c r="F14" s="128"/>
      <c r="G14" s="128"/>
      <c r="H14" s="128"/>
      <c r="I14" s="128"/>
      <c r="J14" s="128"/>
      <c r="W14" s="128" t="s">
        <v>132</v>
      </c>
      <c r="X14" s="128"/>
      <c r="Y14" s="128"/>
      <c r="Z14" s="128"/>
      <c r="AA14" s="128"/>
      <c r="AB14" s="128"/>
      <c r="AC14" s="128"/>
      <c r="AD14" s="128"/>
      <c r="AE14" s="128"/>
    </row>
    <row r="15" spans="2:31" x14ac:dyDescent="0.25">
      <c r="C15" s="123" t="s">
        <v>135</v>
      </c>
      <c r="D15" s="125" t="s">
        <v>194</v>
      </c>
      <c r="E15" s="125" t="s">
        <v>195</v>
      </c>
      <c r="F15" s="125" t="s">
        <v>138</v>
      </c>
      <c r="G15" s="127" t="s">
        <v>139</v>
      </c>
      <c r="H15" s="127"/>
      <c r="I15" s="127"/>
      <c r="J15" s="127"/>
      <c r="W15" s="98" t="s">
        <v>197</v>
      </c>
      <c r="X15" s="99" t="s">
        <v>198</v>
      </c>
      <c r="Y15" s="99" t="s">
        <v>126</v>
      </c>
      <c r="Z15" s="99" t="s">
        <v>127</v>
      </c>
      <c r="AA15" s="59" t="s">
        <v>128</v>
      </c>
      <c r="AB15" s="99" t="s">
        <v>129</v>
      </c>
      <c r="AC15" s="99" t="s">
        <v>130</v>
      </c>
      <c r="AD15" s="99" t="s">
        <v>193</v>
      </c>
      <c r="AE15" s="99" t="s">
        <v>131</v>
      </c>
    </row>
    <row r="16" spans="2:31" x14ac:dyDescent="0.25">
      <c r="C16" s="124"/>
      <c r="D16" s="126"/>
      <c r="E16" s="126"/>
      <c r="F16" s="126"/>
      <c r="G16" s="99" t="s">
        <v>140</v>
      </c>
      <c r="H16" s="99" t="s">
        <v>141</v>
      </c>
      <c r="I16" s="99" t="s">
        <v>142</v>
      </c>
      <c r="J16" s="99" t="s">
        <v>143</v>
      </c>
      <c r="V16" s="56" t="s">
        <v>85</v>
      </c>
      <c r="W16" s="60">
        <v>-1</v>
      </c>
      <c r="X16" s="60">
        <v>1</v>
      </c>
      <c r="Y16" s="61"/>
      <c r="Z16" s="61"/>
      <c r="AA16" s="61"/>
      <c r="AB16" s="61"/>
      <c r="AC16" s="61"/>
      <c r="AD16" s="102">
        <v>0.10100000000000001</v>
      </c>
      <c r="AE16" s="78">
        <f t="array" ref="AE16:AE25">(p/SQRT(MMULT(TRANSPOSE(p),p)))</f>
        <v>0.24364625713982094</v>
      </c>
    </row>
    <row r="17" spans="2:31" x14ac:dyDescent="0.25">
      <c r="B17" s="56" t="s">
        <v>85</v>
      </c>
      <c r="C17" s="88">
        <v>-0.76232696975791936</v>
      </c>
      <c r="D17" s="91">
        <v>0</v>
      </c>
      <c r="E17" s="91">
        <v>1E-3</v>
      </c>
      <c r="F17" s="79">
        <f t="array" ref="F17:F26">(1/COUNTA(p))</f>
        <v>0.1</v>
      </c>
      <c r="G17" s="91">
        <v>0</v>
      </c>
      <c r="H17" s="91">
        <v>0.10100000000000001</v>
      </c>
      <c r="I17" s="91">
        <v>0.10100000000000001</v>
      </c>
      <c r="J17" s="81">
        <f t="array" ref="J17:J26">IF(COUNTA(p)=0, "", p)</f>
        <v>0.10100000000000001</v>
      </c>
      <c r="V17" s="57" t="s">
        <v>86</v>
      </c>
      <c r="W17" s="60">
        <v>-1</v>
      </c>
      <c r="X17" s="60">
        <v>1</v>
      </c>
      <c r="Y17" s="61"/>
      <c r="Z17" s="61"/>
      <c r="AA17" s="61"/>
      <c r="AB17" s="61"/>
      <c r="AC17" s="61"/>
      <c r="AD17" s="102">
        <v>0.1492312415851848</v>
      </c>
      <c r="AE17" s="78">
        <v>0.35999637089662051</v>
      </c>
    </row>
    <row r="18" spans="2:31" x14ac:dyDescent="0.25">
      <c r="B18" s="57" t="s">
        <v>86</v>
      </c>
      <c r="C18" s="89">
        <v>-1</v>
      </c>
      <c r="D18" s="92">
        <v>1.0179546777184087E-2</v>
      </c>
      <c r="E18" s="92">
        <v>9.8054341688106859E-3</v>
      </c>
      <c r="F18" s="82">
        <v>0.1</v>
      </c>
      <c r="G18" s="92">
        <v>0.10100000000000001</v>
      </c>
      <c r="H18" s="92">
        <v>0.14928093922191984</v>
      </c>
      <c r="I18" s="92">
        <v>0.1492312415851848</v>
      </c>
      <c r="J18" s="84">
        <v>0.1492312415851848</v>
      </c>
      <c r="L18" s="114" t="s">
        <v>199</v>
      </c>
      <c r="M18" s="115"/>
      <c r="N18" s="116"/>
      <c r="V18" s="57" t="s">
        <v>87</v>
      </c>
      <c r="W18" s="60">
        <v>-1</v>
      </c>
      <c r="X18" s="60">
        <v>1</v>
      </c>
      <c r="Y18" s="61"/>
      <c r="Z18" s="61"/>
      <c r="AA18" s="61"/>
      <c r="AB18" s="61"/>
      <c r="AC18" s="61"/>
      <c r="AD18" s="102">
        <v>5.5443796073884326E-2</v>
      </c>
      <c r="AE18" s="78">
        <v>0.13374924153490508</v>
      </c>
    </row>
    <row r="19" spans="2:31" x14ac:dyDescent="0.25">
      <c r="B19" s="57" t="s">
        <v>87</v>
      </c>
      <c r="C19" s="89">
        <v>0.16001990015283976</v>
      </c>
      <c r="D19" s="92">
        <v>3.7371147104809141E-2</v>
      </c>
      <c r="E19" s="92">
        <v>3.6904862922041502E-2</v>
      </c>
      <c r="F19" s="82">
        <v>0.1</v>
      </c>
      <c r="G19" s="92">
        <v>2.1477641244295593E-2</v>
      </c>
      <c r="H19" s="92">
        <v>5.5450565646338504E-2</v>
      </c>
      <c r="I19" s="92">
        <v>5.5443796073884326E-2</v>
      </c>
      <c r="J19" s="84">
        <v>5.5443796073884326E-2</v>
      </c>
      <c r="L19" s="117">
        <f t="array" ref="L19">MMULT(MMULT(TRANSPOSE(p),Q),p)/MMULT(TRANSPOSE(p),p)</f>
        <v>1.9440003041068115</v>
      </c>
      <c r="M19" s="118"/>
      <c r="N19" s="119"/>
      <c r="V19" s="57" t="s">
        <v>88</v>
      </c>
      <c r="W19" s="60">
        <v>-1</v>
      </c>
      <c r="X19" s="60">
        <v>1</v>
      </c>
      <c r="Y19" s="61"/>
      <c r="Z19" s="61"/>
      <c r="AA19" s="61"/>
      <c r="AB19" s="61"/>
      <c r="AC19" s="61"/>
      <c r="AD19" s="102">
        <v>1.4486680333683024E-2</v>
      </c>
      <c r="AE19" s="78">
        <v>3.4946786551316049E-2</v>
      </c>
    </row>
    <row r="20" spans="2:31" x14ac:dyDescent="0.25">
      <c r="B20" s="57" t="s">
        <v>88</v>
      </c>
      <c r="C20" s="89">
        <v>-0.23690030257851041</v>
      </c>
      <c r="D20" s="92">
        <v>5.6072691863190346E-3</v>
      </c>
      <c r="E20" s="92">
        <v>4.3039774047978884E-3</v>
      </c>
      <c r="F20" s="82">
        <v>0.1</v>
      </c>
      <c r="G20" s="92">
        <v>0</v>
      </c>
      <c r="H20" s="92">
        <v>1.4452859742050706E-2</v>
      </c>
      <c r="I20" s="92">
        <v>1.4486680333683024E-2</v>
      </c>
      <c r="J20" s="84">
        <v>1.4486680333683024E-2</v>
      </c>
      <c r="V20" s="57" t="s">
        <v>89</v>
      </c>
      <c r="W20" s="60">
        <v>-1</v>
      </c>
      <c r="X20" s="60">
        <v>1</v>
      </c>
      <c r="Y20" s="61"/>
      <c r="Z20" s="61"/>
      <c r="AA20" s="61"/>
      <c r="AB20" s="61"/>
      <c r="AC20" s="61"/>
      <c r="AD20" s="102">
        <v>0</v>
      </c>
      <c r="AE20" s="78">
        <v>0</v>
      </c>
    </row>
    <row r="21" spans="2:31" x14ac:dyDescent="0.25">
      <c r="B21" s="57" t="s">
        <v>89</v>
      </c>
      <c r="C21" s="89">
        <v>1</v>
      </c>
      <c r="D21" s="92">
        <v>0</v>
      </c>
      <c r="E21" s="92">
        <v>1E-3</v>
      </c>
      <c r="F21" s="82">
        <v>0.1</v>
      </c>
      <c r="G21" s="92">
        <v>0</v>
      </c>
      <c r="H21" s="92">
        <v>0</v>
      </c>
      <c r="I21" s="92">
        <v>0</v>
      </c>
      <c r="J21" s="84">
        <v>0</v>
      </c>
      <c r="L21" s="114" t="s">
        <v>196</v>
      </c>
      <c r="M21" s="115"/>
      <c r="N21" s="116"/>
      <c r="V21" s="57" t="s">
        <v>90</v>
      </c>
      <c r="W21" s="60">
        <v>-1</v>
      </c>
      <c r="X21" s="60">
        <v>1</v>
      </c>
      <c r="Y21" s="61"/>
      <c r="Z21" s="61"/>
      <c r="AA21" s="61"/>
      <c r="AB21" s="61"/>
      <c r="AC21" s="61"/>
      <c r="AD21" s="102">
        <v>9.9000000000000005E-2</v>
      </c>
      <c r="AE21" s="78">
        <v>0.23882157878061655</v>
      </c>
    </row>
    <row r="22" spans="2:31" x14ac:dyDescent="0.25">
      <c r="B22" s="57" t="s">
        <v>90</v>
      </c>
      <c r="C22" s="89">
        <v>-0.39037282420207103</v>
      </c>
      <c r="D22" s="92">
        <v>0.23701713939707977</v>
      </c>
      <c r="E22" s="92">
        <v>0.2358565230928705</v>
      </c>
      <c r="F22" s="82">
        <v>0.1</v>
      </c>
      <c r="G22" s="92">
        <v>0.19900000000000001</v>
      </c>
      <c r="H22" s="92">
        <v>9.9000000000000005E-2</v>
      </c>
      <c r="I22" s="92">
        <v>9.9000000000000005E-2</v>
      </c>
      <c r="J22" s="84">
        <v>9.9000000000000005E-2</v>
      </c>
      <c r="L22" s="117">
        <f t="array" ref="L22">SUM(p)</f>
        <v>1</v>
      </c>
      <c r="M22" s="118"/>
      <c r="N22" s="119"/>
      <c r="V22" s="57" t="s">
        <v>91</v>
      </c>
      <c r="W22" s="60">
        <v>-1</v>
      </c>
      <c r="X22" s="60">
        <v>1</v>
      </c>
      <c r="Y22" s="61"/>
      <c r="Z22" s="61"/>
      <c r="AA22" s="61"/>
      <c r="AB22" s="61"/>
      <c r="AC22" s="61"/>
      <c r="AD22" s="102">
        <v>9.9000000000000005E-2</v>
      </c>
      <c r="AE22" s="78">
        <v>0.23882157878061655</v>
      </c>
    </row>
    <row r="23" spans="2:31" x14ac:dyDescent="0.25">
      <c r="B23" s="57" t="s">
        <v>91</v>
      </c>
      <c r="C23" s="89">
        <v>0.8099764956693748</v>
      </c>
      <c r="D23" s="92">
        <v>0.23640383292100375</v>
      </c>
      <c r="E23" s="92">
        <v>0.23713631871387428</v>
      </c>
      <c r="F23" s="82">
        <v>0.1</v>
      </c>
      <c r="G23" s="92">
        <v>0.22520680347318212</v>
      </c>
      <c r="H23" s="92">
        <v>9.9000000000000005E-2</v>
      </c>
      <c r="I23" s="92">
        <v>9.9000000000000005E-2</v>
      </c>
      <c r="J23" s="84">
        <v>9.9000000000000005E-2</v>
      </c>
      <c r="V23" s="57" t="s">
        <v>104</v>
      </c>
      <c r="W23" s="60">
        <v>-1</v>
      </c>
      <c r="X23" s="60">
        <v>1</v>
      </c>
      <c r="Y23" s="61"/>
      <c r="Z23" s="61"/>
      <c r="AA23" s="61"/>
      <c r="AB23" s="61"/>
      <c r="AC23" s="61"/>
      <c r="AD23" s="102">
        <v>0</v>
      </c>
      <c r="AE23" s="78">
        <v>0</v>
      </c>
    </row>
    <row r="24" spans="2:31" x14ac:dyDescent="0.25">
      <c r="B24" s="57" t="s">
        <v>104</v>
      </c>
      <c r="C24" s="89">
        <v>0.99999999990405541</v>
      </c>
      <c r="D24" s="92">
        <v>0</v>
      </c>
      <c r="E24" s="92">
        <v>1E-3</v>
      </c>
      <c r="F24" s="82">
        <v>0.1</v>
      </c>
      <c r="G24" s="92">
        <v>0</v>
      </c>
      <c r="H24" s="92">
        <v>0</v>
      </c>
      <c r="I24" s="92">
        <v>0</v>
      </c>
      <c r="J24" s="84">
        <v>0</v>
      </c>
      <c r="L24" s="114" t="s">
        <v>145</v>
      </c>
      <c r="M24" s="115"/>
      <c r="N24" s="116"/>
      <c r="V24" s="57" t="s">
        <v>105</v>
      </c>
      <c r="W24" s="60">
        <v>-1</v>
      </c>
      <c r="X24" s="60">
        <v>1</v>
      </c>
      <c r="Y24" s="61"/>
      <c r="Z24" s="61"/>
      <c r="AA24" s="61"/>
      <c r="AB24" s="61"/>
      <c r="AC24" s="61"/>
      <c r="AD24" s="102">
        <v>0.25503819740133005</v>
      </c>
      <c r="AE24" s="78">
        <v>0.6152386358863452</v>
      </c>
    </row>
    <row r="25" spans="2:31" x14ac:dyDescent="0.25">
      <c r="B25" s="57" t="s">
        <v>105</v>
      </c>
      <c r="C25" s="89">
        <v>-0.39037282291500797</v>
      </c>
      <c r="D25" s="92">
        <v>0.23701720195632509</v>
      </c>
      <c r="E25" s="92">
        <v>0.23585652039679939</v>
      </c>
      <c r="F25" s="82">
        <v>0.1</v>
      </c>
      <c r="G25" s="92">
        <v>0.22810870696695526</v>
      </c>
      <c r="H25" s="92">
        <v>0.25503347773371005</v>
      </c>
      <c r="I25" s="92">
        <v>0.25503819740133005</v>
      </c>
      <c r="J25" s="84">
        <v>0.25503819740133005</v>
      </c>
      <c r="L25" s="120">
        <v>5</v>
      </c>
      <c r="M25" s="121"/>
      <c r="N25" s="122"/>
      <c r="V25" s="57" t="s">
        <v>106</v>
      </c>
      <c r="W25" s="60">
        <v>-1</v>
      </c>
      <c r="X25" s="60">
        <v>1</v>
      </c>
      <c r="Y25" s="61"/>
      <c r="Z25" s="61"/>
      <c r="AA25" s="61"/>
      <c r="AB25" s="61"/>
      <c r="AC25" s="61"/>
      <c r="AD25" s="102">
        <v>0.22680008460591791</v>
      </c>
      <c r="AE25" s="78">
        <v>0.54711873003194667</v>
      </c>
    </row>
    <row r="26" spans="2:31" x14ac:dyDescent="0.25">
      <c r="B26" s="57" t="s">
        <v>106</v>
      </c>
      <c r="C26" s="90">
        <v>0.80997652372723927</v>
      </c>
      <c r="D26" s="93">
        <v>0.23640386265727925</v>
      </c>
      <c r="E26" s="93">
        <v>0.2371363633008059</v>
      </c>
      <c r="F26" s="85">
        <v>0.1</v>
      </c>
      <c r="G26" s="93">
        <v>0.22520684831556712</v>
      </c>
      <c r="H26" s="93">
        <v>0.226782157655981</v>
      </c>
      <c r="I26" s="93">
        <v>0.22680008460591791</v>
      </c>
      <c r="J26" s="87">
        <v>0.22680008460591791</v>
      </c>
    </row>
    <row r="27" spans="2:31" x14ac:dyDescent="0.25">
      <c r="B27" s="56" t="s">
        <v>133</v>
      </c>
      <c r="C27" s="60">
        <f t="array" ref="C27">IF(COUNTA(pca_loadings)=0,0, MMULT(MMULT(TRANSPOSE(pca_loadings),Q),pca_loadings))</f>
        <v>2.7867765852234969</v>
      </c>
      <c r="D27" s="60">
        <f t="array" ref="D27">IF(COUNTA(kt_gr_eq_loadings)=0,0,MMULT(MMULT(TRANSPOSE(kt_gr_eq_loadings),Q),kt_gr_eq_loadings))</f>
        <v>2.4732172664637622</v>
      </c>
      <c r="E27" s="60">
        <f t="array" ref="E27">IF(COUNTA(kt_gr_loadings)=0,0,MMULT(MMULT(TRANSPOSE(kt_gr_loadings),Q),kt_gr_loadings))</f>
        <v>2.4715129385022054</v>
      </c>
      <c r="F27" s="60">
        <f t="array" ref="F27">IF(COUNTA(simple_av_loadings)=0,0,MMULT(MMULT(TRANSPOSE(simple_av_loadings),Q),simple_av_loadings))</f>
        <v>1.1302089804651982</v>
      </c>
      <c r="G27" s="60">
        <f t="array" ref="G27">IF(COUNTA(constrained_sol_loadings_scenario_1)=0,0,MMULT(MMULT(TRANSPOSE(constrained_sol_loadings_scenario_1),Q),constrained_sol_loadings_scenario_1))</f>
        <v>2.4063099237604906</v>
      </c>
      <c r="H27" s="60">
        <f t="array" ref="H27">IF(COUNTA(constrained_sol_loadings_scenario_2)=0,0,MMULT(MMULT(TRANSPOSE(constrained_sol_loadings_scenario_2),Q),constrained_sol_loadings_scenario_2))</f>
        <v>1.9440003246366691</v>
      </c>
      <c r="I27" s="60">
        <f t="array" ref="I27">IF(COUNTA(constrained_sol_loadings_scenario_3)=0,0,MMULT(MMULT(TRANSPOSE(constrained_sol_loadings_scenario_3),Q),constrained_sol_loadings_scenario_3))</f>
        <v>1.9440003041068112</v>
      </c>
      <c r="J27" s="60">
        <f t="array" ref="J27">IF(COUNTBLANK(constrained_sol_loadings)=ROWS(constrained_sol_loadings),0,MMULT(MMULT(TRANSPOSE(constrained_sol_loadings),Q),constrained_sol_loadings))</f>
        <v>1.9440003041068112</v>
      </c>
      <c r="L27" s="114" t="s">
        <v>146</v>
      </c>
      <c r="M27" s="115"/>
      <c r="N27" s="115"/>
      <c r="O27" s="115"/>
      <c r="P27" s="115"/>
      <c r="Q27" s="115"/>
      <c r="R27" s="116"/>
    </row>
    <row r="28" spans="2:31" x14ac:dyDescent="0.25">
      <c r="B28" s="57" t="s">
        <v>134</v>
      </c>
      <c r="C28" s="67">
        <f>pca_ret_var/COLUMNS(Q)</f>
        <v>0.27867765852234971</v>
      </c>
      <c r="D28" s="67">
        <f>qt_g_eq_ret_var/COLUMNS(Q)</f>
        <v>0.24732172664637622</v>
      </c>
      <c r="E28" s="67">
        <f>qt_g_ret_var/COLUMNS(Q)</f>
        <v>0.24715129385022055</v>
      </c>
      <c r="F28" s="67">
        <f>simple_av_ret_var/COLUMNS(Q)</f>
        <v>0.11302089804651982</v>
      </c>
      <c r="G28" s="67">
        <f>scenario_1_ret_var_pct/COLUMNS(Q)</f>
        <v>0.24063099237604907</v>
      </c>
      <c r="H28" s="67">
        <f>scenario_2_ret_var_pct/COLUMNS(Q)</f>
        <v>0.19440003246366691</v>
      </c>
      <c r="I28" s="67">
        <f>scenario_3_ret_var_pct/COLUMNS(Q)</f>
        <v>0.19440003041068113</v>
      </c>
      <c r="J28" s="67">
        <f>curr_sol_ret_var_pct/COLUMNS(Q)</f>
        <v>0.19440003041068113</v>
      </c>
      <c r="L28" s="130" t="s">
        <v>200</v>
      </c>
      <c r="M28" s="109"/>
      <c r="N28" s="109"/>
      <c r="O28" s="109"/>
      <c r="P28" s="109"/>
      <c r="Q28" s="109"/>
      <c r="R28" s="110"/>
    </row>
    <row r="29" spans="2:31" x14ac:dyDescent="0.25">
      <c r="L29" s="108"/>
      <c r="M29" s="109"/>
      <c r="N29" s="109"/>
      <c r="O29" s="109"/>
      <c r="P29" s="109"/>
      <c r="Q29" s="109"/>
      <c r="R29" s="110"/>
    </row>
    <row r="30" spans="2:31" x14ac:dyDescent="0.25">
      <c r="L30" s="108"/>
      <c r="M30" s="109"/>
      <c r="N30" s="109"/>
      <c r="O30" s="109"/>
      <c r="P30" s="109"/>
      <c r="Q30" s="109"/>
      <c r="R30" s="110"/>
    </row>
    <row r="31" spans="2:31" x14ac:dyDescent="0.25">
      <c r="L31" s="108"/>
      <c r="M31" s="109"/>
      <c r="N31" s="109"/>
      <c r="O31" s="109"/>
      <c r="P31" s="109"/>
      <c r="Q31" s="109"/>
      <c r="R31" s="110"/>
    </row>
    <row r="32" spans="2:31" ht="18.75" x14ac:dyDescent="0.3">
      <c r="C32" s="128" t="s">
        <v>144</v>
      </c>
      <c r="D32" s="128"/>
      <c r="E32" s="128"/>
      <c r="F32" s="128"/>
      <c r="G32" s="128"/>
      <c r="H32" s="128"/>
      <c r="I32" s="128"/>
      <c r="J32" s="128"/>
      <c r="L32" s="111"/>
      <c r="M32" s="112"/>
      <c r="N32" s="112"/>
      <c r="O32" s="112"/>
      <c r="P32" s="112"/>
      <c r="Q32" s="112"/>
      <c r="R32" s="113"/>
    </row>
    <row r="33" spans="2:10" x14ac:dyDescent="0.25">
      <c r="C33" s="123" t="s">
        <v>135</v>
      </c>
      <c r="D33" s="125" t="s">
        <v>136</v>
      </c>
      <c r="E33" s="125" t="s">
        <v>137</v>
      </c>
      <c r="F33" s="125" t="s">
        <v>138</v>
      </c>
      <c r="G33" s="127" t="s">
        <v>139</v>
      </c>
      <c r="H33" s="127"/>
      <c r="I33" s="127"/>
      <c r="J33" s="127"/>
    </row>
    <row r="34" spans="2:10" x14ac:dyDescent="0.25">
      <c r="C34" s="124"/>
      <c r="D34" s="126"/>
      <c r="E34" s="126"/>
      <c r="F34" s="126"/>
      <c r="G34" s="99" t="s">
        <v>140</v>
      </c>
      <c r="H34" s="99" t="s">
        <v>141</v>
      </c>
      <c r="I34" s="99" t="s">
        <v>142</v>
      </c>
      <c r="J34" s="99" t="s">
        <v>143</v>
      </c>
    </row>
    <row r="35" spans="2:10" x14ac:dyDescent="0.25">
      <c r="B35" s="56" t="s">
        <v>85</v>
      </c>
      <c r="C35" s="71">
        <v>-0.33176725787538197</v>
      </c>
      <c r="D35" s="68">
        <v>0</v>
      </c>
      <c r="E35" s="68">
        <v>2.1072322640409633E-3</v>
      </c>
      <c r="F35" s="62">
        <f t="array" ref="F35:F44">(simple_av_loadings_pct/SQRT(MMULT(TRANSPOSE(simple_av_loadings_pct),simple_av_loadings_pct)))</f>
        <v>0.31622776601683789</v>
      </c>
      <c r="G35" s="68">
        <v>0</v>
      </c>
      <c r="H35" s="68">
        <v>0.24364337282467477</v>
      </c>
      <c r="I35" s="68">
        <v>0.24364625713982094</v>
      </c>
      <c r="J35" s="63">
        <f t="array" ref="J35:J44">IF(COUNTA(x)=0, "", x)</f>
        <v>0.24364625713982094</v>
      </c>
    </row>
    <row r="36" spans="2:10" x14ac:dyDescent="0.25">
      <c r="B36" s="57" t="s">
        <v>86</v>
      </c>
      <c r="C36" s="72">
        <v>-0.43520335897434703</v>
      </c>
      <c r="D36" s="69">
        <v>2.1428986320842138E-2</v>
      </c>
      <c r="E36" s="69">
        <v>2.0662327243447562E-2</v>
      </c>
      <c r="F36" s="64">
        <v>0.31622776601683789</v>
      </c>
      <c r="G36" s="69">
        <v>0.22376418551036401</v>
      </c>
      <c r="H36" s="69">
        <v>0.36011199535112698</v>
      </c>
      <c r="I36" s="69">
        <v>0.35999637089662051</v>
      </c>
      <c r="J36" s="65">
        <v>0.35999637089662051</v>
      </c>
    </row>
    <row r="37" spans="2:10" x14ac:dyDescent="0.25">
      <c r="B37" s="57" t="s">
        <v>87</v>
      </c>
      <c r="C37" s="72">
        <v>6.964119804925549E-2</v>
      </c>
      <c r="D37" s="69">
        <v>7.8670084005907234E-2</v>
      </c>
      <c r="E37" s="69">
        <v>7.7767117849334905E-2</v>
      </c>
      <c r="F37" s="64">
        <v>0.31622776601683789</v>
      </c>
      <c r="G37" s="69">
        <v>4.7583434650629745E-2</v>
      </c>
      <c r="H37" s="69">
        <v>0.13376398850603916</v>
      </c>
      <c r="I37" s="69">
        <v>0.13374924153490508</v>
      </c>
      <c r="J37" s="65">
        <v>0.13374924153490508</v>
      </c>
    </row>
    <row r="38" spans="2:10" x14ac:dyDescent="0.25">
      <c r="B38" s="57" t="s">
        <v>88</v>
      </c>
      <c r="C38" s="72">
        <v>-0.10309980742420689</v>
      </c>
      <c r="D38" s="69">
        <v>1.1803874702970707E-2</v>
      </c>
      <c r="E38" s="69">
        <v>9.0694800510934034E-3</v>
      </c>
      <c r="F38" s="64">
        <v>0.31622776601683789</v>
      </c>
      <c r="G38" s="69">
        <v>0</v>
      </c>
      <c r="H38" s="69">
        <v>3.4864787074407849E-2</v>
      </c>
      <c r="I38" s="69">
        <v>3.4946786551316049E-2</v>
      </c>
      <c r="J38" s="65">
        <v>3.4946786551316049E-2</v>
      </c>
    </row>
    <row r="39" spans="2:10" x14ac:dyDescent="0.25">
      <c r="B39" s="57" t="s">
        <v>89</v>
      </c>
      <c r="C39" s="72">
        <v>0.43520335897434703</v>
      </c>
      <c r="D39" s="69">
        <v>0</v>
      </c>
      <c r="E39" s="69">
        <v>2.1072322640409633E-3</v>
      </c>
      <c r="F39" s="64">
        <v>0.31622776601683789</v>
      </c>
      <c r="G39" s="69">
        <v>0</v>
      </c>
      <c r="H39" s="69">
        <v>0</v>
      </c>
      <c r="I39" s="69">
        <v>0</v>
      </c>
      <c r="J39" s="65">
        <v>0</v>
      </c>
    </row>
    <row r="40" spans="2:10" x14ac:dyDescent="0.25">
      <c r="B40" s="57" t="s">
        <v>90</v>
      </c>
      <c r="C40" s="72">
        <v>-0.16989156434504357</v>
      </c>
      <c r="D40" s="69">
        <v>0.49894530170331841</v>
      </c>
      <c r="E40" s="69">
        <v>0.49700447514581925</v>
      </c>
      <c r="F40" s="64">
        <v>0.31622776601683789</v>
      </c>
      <c r="G40" s="69">
        <v>0.44088191006497462</v>
      </c>
      <c r="H40" s="69">
        <v>0.2388187515806218</v>
      </c>
      <c r="I40" s="69">
        <v>0.23882157878061655</v>
      </c>
      <c r="J40" s="65">
        <v>0.23882157878061655</v>
      </c>
    </row>
    <row r="41" spans="2:10" x14ac:dyDescent="0.25">
      <c r="B41" s="57" t="s">
        <v>91</v>
      </c>
      <c r="C41" s="72">
        <v>0.35250449160558256</v>
      </c>
      <c r="D41" s="69">
        <v>0.49765422889094391</v>
      </c>
      <c r="E41" s="69">
        <v>0.49970130176977673</v>
      </c>
      <c r="F41" s="64">
        <v>0.31622776601683789</v>
      </c>
      <c r="G41" s="69">
        <v>0.49894274208484368</v>
      </c>
      <c r="H41" s="69">
        <v>0.2388187515806218</v>
      </c>
      <c r="I41" s="69">
        <v>0.23882157878061655</v>
      </c>
      <c r="J41" s="65">
        <v>0.23882157878061655</v>
      </c>
    </row>
    <row r="42" spans="2:10" x14ac:dyDescent="0.25">
      <c r="B42" s="57" t="s">
        <v>104</v>
      </c>
      <c r="C42" s="72">
        <v>0.4352033589325916</v>
      </c>
      <c r="D42" s="69">
        <v>0</v>
      </c>
      <c r="E42" s="69">
        <v>2.1072322640409633E-3</v>
      </c>
      <c r="F42" s="64">
        <v>0.31622776601683789</v>
      </c>
      <c r="G42" s="69">
        <v>0</v>
      </c>
      <c r="H42" s="69">
        <v>0</v>
      </c>
      <c r="I42" s="69">
        <v>0</v>
      </c>
      <c r="J42" s="65">
        <v>0</v>
      </c>
    </row>
    <row r="43" spans="2:10" x14ac:dyDescent="0.25">
      <c r="B43" s="57" t="s">
        <v>105</v>
      </c>
      <c r="C43" s="72">
        <v>-0.16989156378490941</v>
      </c>
      <c r="D43" s="69">
        <v>0.49894543339692338</v>
      </c>
      <c r="E43" s="69">
        <v>0.49700446946457116</v>
      </c>
      <c r="F43" s="64">
        <v>0.31622776601683789</v>
      </c>
      <c r="G43" s="69">
        <v>0.50537187150775287</v>
      </c>
      <c r="H43" s="69">
        <v>0.61521996730938322</v>
      </c>
      <c r="I43" s="69">
        <v>0.6152386358863452</v>
      </c>
      <c r="J43" s="65">
        <v>0.6152386358863452</v>
      </c>
    </row>
    <row r="44" spans="2:10" x14ac:dyDescent="0.25">
      <c r="B44" s="57" t="s">
        <v>106</v>
      </c>
      <c r="C44" s="73">
        <v>0.35250450381645942</v>
      </c>
      <c r="D44" s="70">
        <v>0.49765429148884288</v>
      </c>
      <c r="E44" s="70">
        <v>0.4997013957247976</v>
      </c>
      <c r="F44" s="97">
        <v>0.31622776601683789</v>
      </c>
      <c r="G44" s="70">
        <v>0.49894284143256401</v>
      </c>
      <c r="H44" s="70">
        <v>0.54706900779960743</v>
      </c>
      <c r="I44" s="70">
        <v>0.54711873003194667</v>
      </c>
      <c r="J44" s="66">
        <v>0.54711873003194667</v>
      </c>
    </row>
    <row r="45" spans="2:10" x14ac:dyDescent="0.25">
      <c r="B45" s="56" t="s">
        <v>133</v>
      </c>
      <c r="C45" s="60">
        <f t="array" ref="C45">IF(COUNTA(pca_loadings)=0,0, MMULT(MMULT(TRANSPOSE(pca_loadings),Q),pca_loadings))</f>
        <v>2.7867765852234969</v>
      </c>
      <c r="D45" s="60">
        <f t="array" ref="D45">IF(COUNTA(kt_gr_eq_loadings)=0,0,MMULT(MMULT(TRANSPOSE(kt_gr_eq_loadings),Q),kt_gr_eq_loadings))</f>
        <v>2.4732172664637622</v>
      </c>
      <c r="E45" s="60">
        <f t="array" ref="E45">IF(COUNTA(kt_gr_loadings)=0,0,MMULT(MMULT(TRANSPOSE(kt_gr_loadings),Q),kt_gr_loadings))</f>
        <v>2.4715129385022054</v>
      </c>
      <c r="F45" s="60">
        <f t="array" ref="F45">IF(COUNTA(simple_av_loadings)=0,0,MMULT(MMULT(TRANSPOSE(simple_av_loadings),Q),simple_av_loadings))</f>
        <v>1.1302089804651982</v>
      </c>
      <c r="G45" s="60">
        <f t="array" ref="G45">IF(COUNTA(constrained_sol_loadings_scenario_1)=0,0,MMULT(MMULT(TRANSPOSE(constrained_sol_loadings_scenario_1),Q),constrained_sol_loadings_scenario_1))</f>
        <v>2.4063099237604906</v>
      </c>
      <c r="H45" s="60">
        <f t="array" ref="H45">IF(COUNTA(constrained_sol_loadings_scenario_2)=0,0,MMULT(MMULT(TRANSPOSE(constrained_sol_loadings_scenario_2),Q),constrained_sol_loadings_scenario_2))</f>
        <v>1.9440003246366691</v>
      </c>
      <c r="I45" s="60">
        <f t="array" ref="I45">IF(COUNTA(constrained_sol_loadings_scenario_3)=0,0,MMULT(MMULT(TRANSPOSE(constrained_sol_loadings_scenario_3),Q),constrained_sol_loadings_scenario_3))</f>
        <v>1.9440003041068112</v>
      </c>
      <c r="J45" s="60">
        <f t="array" ref="J45">IF(COUNTBLANK(constrained_sol_loadings)=ROWS(constrained_sol_loadings),0,MMULT(MMULT(TRANSPOSE(constrained_sol_loadings),Q),constrained_sol_loadings))</f>
        <v>1.9440003041068112</v>
      </c>
    </row>
    <row r="46" spans="2:10" x14ac:dyDescent="0.25">
      <c r="B46" s="57" t="s">
        <v>134</v>
      </c>
      <c r="C46" s="67">
        <f>pca_ret_var/COLUMNS(Q)</f>
        <v>0.27867765852234971</v>
      </c>
      <c r="D46" s="67">
        <f>qt_g_eq_ret_var/COLUMNS(Q)</f>
        <v>0.24732172664637622</v>
      </c>
      <c r="E46" s="67">
        <f>qt_g_ret_var/COLUMNS(Q)</f>
        <v>0.24715129385022055</v>
      </c>
      <c r="F46" s="67">
        <f>simple_av_ret_var/COLUMNS(Q)</f>
        <v>0.11302089804651982</v>
      </c>
      <c r="G46" s="67">
        <f>scenario_1_ret_var/COLUMNS(Q)</f>
        <v>0.24063099237604907</v>
      </c>
      <c r="H46" s="67">
        <f>scenario_2_ret_var/COLUMNS(Q)</f>
        <v>0.19440003246366691</v>
      </c>
      <c r="I46" s="67">
        <f>scenario_3_ret_var/COLUMNS(Q)</f>
        <v>0.19440003041068113</v>
      </c>
      <c r="J46" s="67">
        <f>curr_sol_ret_var/COLUMNS(Q)</f>
        <v>0.19440003041068113</v>
      </c>
    </row>
    <row r="48" spans="2:10" ht="18.75" x14ac:dyDescent="0.3">
      <c r="D48" s="129" t="s">
        <v>201</v>
      </c>
      <c r="E48" s="129"/>
      <c r="F48" s="129"/>
      <c r="G48" s="129"/>
      <c r="H48" s="129"/>
      <c r="I48" s="129"/>
    </row>
    <row r="49" spans="4:9" x14ac:dyDescent="0.25">
      <c r="D49" s="100" t="s">
        <v>140</v>
      </c>
      <c r="E49" s="101"/>
      <c r="F49" s="101" t="s">
        <v>141</v>
      </c>
      <c r="G49" s="101"/>
      <c r="H49" s="101" t="s">
        <v>142</v>
      </c>
      <c r="I49" s="101"/>
    </row>
    <row r="50" spans="4:9" x14ac:dyDescent="0.25">
      <c r="D50" t="s">
        <v>206</v>
      </c>
      <c r="F50" t="s">
        <v>208</v>
      </c>
      <c r="H50" t="s">
        <v>208</v>
      </c>
    </row>
    <row r="51" spans="4:9" x14ac:dyDescent="0.25">
      <c r="D51" t="s">
        <v>207</v>
      </c>
      <c r="F51" t="s">
        <v>206</v>
      </c>
      <c r="H51" t="s">
        <v>206</v>
      </c>
    </row>
    <row r="52" spans="4:9" x14ac:dyDescent="0.25">
      <c r="F52" t="s">
        <v>209</v>
      </c>
      <c r="H52" t="s">
        <v>209</v>
      </c>
    </row>
    <row r="53" spans="4:9" x14ac:dyDescent="0.25">
      <c r="F53" t="s">
        <v>210</v>
      </c>
      <c r="H53" t="s">
        <v>210</v>
      </c>
    </row>
  </sheetData>
  <mergeCells count="23">
    <mergeCell ref="L28:R32"/>
    <mergeCell ref="L27:R27"/>
    <mergeCell ref="D48:I48"/>
    <mergeCell ref="L19:N19"/>
    <mergeCell ref="L18:N18"/>
    <mergeCell ref="L22:N22"/>
    <mergeCell ref="L21:N21"/>
    <mergeCell ref="L25:N25"/>
    <mergeCell ref="L24:N24"/>
    <mergeCell ref="C32:J32"/>
    <mergeCell ref="C33:C34"/>
    <mergeCell ref="D33:D34"/>
    <mergeCell ref="E33:E34"/>
    <mergeCell ref="F33:F34"/>
    <mergeCell ref="G33:J33"/>
    <mergeCell ref="C1:L1"/>
    <mergeCell ref="W14:AE14"/>
    <mergeCell ref="C15:C16"/>
    <mergeCell ref="D15:D16"/>
    <mergeCell ref="E15:E16"/>
    <mergeCell ref="F15:F16"/>
    <mergeCell ref="G15:J15"/>
    <mergeCell ref="C14:J14"/>
  </mergeCells>
  <dataValidations count="10">
    <dataValidation type="list" operator="equal" allowBlank="1" showInputMessage="1" showErrorMessage="1" sqref="Y16 Z16 AA16 AB16 AC16">
      <formula1>"JOB_INV,POVERTY,SUPPLY,QUALITY,INV_COV,DISEASES,QUALITY2,INV_COV2,DISEASES2"</formula1>
    </dataValidation>
    <dataValidation type="list" operator="equal" allowBlank="1" showInputMessage="1" showErrorMessage="1" sqref="Y17 Z17 AA17 AB17 AC17">
      <formula1>"BEN_INV,POVERTY,SUPPLY,QUALITY,INV_COV,DISEASES,QUALITY2,INV_COV2,DISEASES2"</formula1>
    </dataValidation>
    <dataValidation type="list" operator="equal" allowBlank="1" showInputMessage="1" showErrorMessage="1" sqref="Y18 Z18 AA18 AB18 AC18">
      <formula1>"BEN_INV,JOB_INV,SUPPLY,QUALITY,INV_COV,DISEASES,QUALITY2,INV_COV2,DISEASES2"</formula1>
    </dataValidation>
    <dataValidation type="list" operator="equal" allowBlank="1" showInputMessage="1" showErrorMessage="1" sqref="Y19 Z19 AA19 AB19 AC19">
      <formula1>"BEN_INV,JOB_INV,POVERTY,QUALITY,INV_COV,DISEASES,QUALITY2,INV_COV2,DISEASES2"</formula1>
    </dataValidation>
    <dataValidation type="list" operator="equal" allowBlank="1" showInputMessage="1" showErrorMessage="1" sqref="Y20 Z20 AA20 AB20 AC20">
      <formula1>"BEN_INV,JOB_INV,POVERTY,SUPPLY,INV_COV,DISEASES,QUALITY2,INV_COV2,DISEASES2"</formula1>
    </dataValidation>
    <dataValidation type="list" operator="equal" allowBlank="1" showInputMessage="1" showErrorMessage="1" sqref="Y21 Z21 AA21 AB21 AC21">
      <formula1>"BEN_INV,JOB_INV,POVERTY,SUPPLY,QUALITY,DISEASES,QUALITY2,INV_COV2,DISEASES2"</formula1>
    </dataValidation>
    <dataValidation type="list" operator="equal" allowBlank="1" showInputMessage="1" showErrorMessage="1" sqref="Y22 Z22 AA22 AB22 AC22">
      <formula1>"BEN_INV,JOB_INV,POVERTY,SUPPLY,QUALITY,INV_COV,QUALITY2,INV_COV2,DISEASES2"</formula1>
    </dataValidation>
    <dataValidation type="list" operator="equal" allowBlank="1" showInputMessage="1" showErrorMessage="1" sqref="Y23 Z23 AA23 AB23 AC23">
      <formula1>"BEN_INV,JOB_INV,POVERTY,SUPPLY,QUALITY,INV_COV,DISEASES,INV_COV2,DISEASES2"</formula1>
    </dataValidation>
    <dataValidation type="list" operator="equal" allowBlank="1" showInputMessage="1" showErrorMessage="1" sqref="Y24 Z24 AA24 AB24 AC24">
      <formula1>"BEN_INV,JOB_INV,POVERTY,SUPPLY,QUALITY,INV_COV,DISEASES,QUALITY2,DISEASES2"</formula1>
    </dataValidation>
    <dataValidation type="list" operator="equal" allowBlank="1" showInputMessage="1" showErrorMessage="1" sqref="Y25 Z25 AA25 AB25 AC25">
      <formula1>"BEN_INV,JOB_INV,POVERTY,SUPPLY,QUALITY,INV_COV,DISEASES,QUALITY2,INV_COV2"</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0161" r:id="rId4" name="Button 1">
              <controlPr defaultSize="0" print="0" autoFill="0" autoPict="0" macro="[0]!subLoadAddConstraintsForm">
                <anchor moveWithCells="1" sizeWithCells="1">
                  <from>
                    <xdr:col>11</xdr:col>
                    <xdr:colOff>0</xdr:colOff>
                    <xdr:row>14</xdr:row>
                    <xdr:rowOff>95250</xdr:rowOff>
                  </from>
                  <to>
                    <xdr:col>16</xdr:col>
                    <xdr:colOff>0</xdr:colOff>
                    <xdr:row>15</xdr:row>
                    <xdr:rowOff>95250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B1:AE29"/>
  <sheetViews>
    <sheetView showGridLines="0" workbookViewId="0">
      <selection activeCell="G1" sqref="G1"/>
    </sheetView>
  </sheetViews>
  <sheetFormatPr defaultRowHeight="15" x14ac:dyDescent="0.25"/>
  <cols>
    <col min="1" max="1" width="4.7109375" customWidth="1"/>
    <col min="2" max="2" width="17" bestFit="1" customWidth="1"/>
    <col min="7" max="9" width="10" bestFit="1" customWidth="1"/>
    <col min="10" max="10" width="9.42578125" customWidth="1"/>
    <col min="22" max="31" width="0" hidden="1" customWidth="1"/>
  </cols>
  <sheetData>
    <row r="1" spans="2:31" ht="18.75" x14ac:dyDescent="0.3">
      <c r="C1" s="129" t="s">
        <v>125</v>
      </c>
      <c r="D1" s="129"/>
      <c r="E1" s="129"/>
    </row>
    <row r="2" spans="2:31" x14ac:dyDescent="0.25">
      <c r="C2" s="98" t="s">
        <v>92</v>
      </c>
      <c r="D2" s="99" t="s">
        <v>93</v>
      </c>
      <c r="E2" s="99" t="s">
        <v>94</v>
      </c>
    </row>
    <row r="3" spans="2:31" x14ac:dyDescent="0.25">
      <c r="B3" s="56" t="s">
        <v>92</v>
      </c>
      <c r="C3" s="58">
        <v>1</v>
      </c>
      <c r="D3" s="58">
        <v>-7.8071857084504148E-2</v>
      </c>
      <c r="E3" s="58">
        <v>0.34576271262703751</v>
      </c>
    </row>
    <row r="4" spans="2:31" x14ac:dyDescent="0.25">
      <c r="B4" s="57" t="s">
        <v>93</v>
      </c>
      <c r="C4" s="58">
        <v>-7.8071857084504148E-2</v>
      </c>
      <c r="D4" s="58">
        <v>1</v>
      </c>
      <c r="E4" s="58">
        <v>-5.1812435219208794E-2</v>
      </c>
    </row>
    <row r="5" spans="2:31" x14ac:dyDescent="0.25">
      <c r="B5" s="57" t="s">
        <v>94</v>
      </c>
      <c r="C5" s="58">
        <v>0.34576271262703751</v>
      </c>
      <c r="D5" s="58">
        <v>-5.1812435219208794E-2</v>
      </c>
      <c r="E5" s="58">
        <v>1</v>
      </c>
    </row>
    <row r="7" spans="2:31" ht="18.75" x14ac:dyDescent="0.3">
      <c r="C7" s="128" t="s">
        <v>192</v>
      </c>
      <c r="D7" s="128"/>
      <c r="E7" s="128"/>
      <c r="F7" s="128"/>
      <c r="G7" s="128"/>
      <c r="H7" s="128"/>
      <c r="I7" s="128"/>
      <c r="J7" s="128"/>
      <c r="W7" s="128" t="s">
        <v>132</v>
      </c>
      <c r="X7" s="128"/>
      <c r="Y7" s="128"/>
      <c r="Z7" s="128"/>
      <c r="AA7" s="128"/>
      <c r="AB7" s="128"/>
      <c r="AC7" s="128"/>
      <c r="AD7" s="128"/>
      <c r="AE7" s="128"/>
    </row>
    <row r="8" spans="2:31" x14ac:dyDescent="0.25">
      <c r="C8" s="123" t="s">
        <v>135</v>
      </c>
      <c r="D8" s="125" t="s">
        <v>194</v>
      </c>
      <c r="E8" s="125" t="s">
        <v>195</v>
      </c>
      <c r="F8" s="125" t="s">
        <v>138</v>
      </c>
      <c r="G8" s="127" t="s">
        <v>139</v>
      </c>
      <c r="H8" s="127"/>
      <c r="I8" s="127"/>
      <c r="J8" s="127"/>
      <c r="W8" s="98" t="s">
        <v>197</v>
      </c>
      <c r="X8" s="99" t="s">
        <v>198</v>
      </c>
      <c r="Y8" s="99" t="s">
        <v>126</v>
      </c>
      <c r="Z8" s="99" t="s">
        <v>127</v>
      </c>
      <c r="AA8" s="59" t="s">
        <v>128</v>
      </c>
      <c r="AB8" s="99" t="s">
        <v>129</v>
      </c>
      <c r="AC8" s="99" t="s">
        <v>130</v>
      </c>
      <c r="AD8" s="99" t="s">
        <v>193</v>
      </c>
      <c r="AE8" s="99" t="s">
        <v>131</v>
      </c>
    </row>
    <row r="9" spans="2:31" x14ac:dyDescent="0.25">
      <c r="C9" s="124"/>
      <c r="D9" s="126"/>
      <c r="E9" s="126"/>
      <c r="F9" s="126"/>
      <c r="G9" s="99" t="s">
        <v>140</v>
      </c>
      <c r="H9" s="99" t="s">
        <v>141</v>
      </c>
      <c r="I9" s="99" t="s">
        <v>142</v>
      </c>
      <c r="J9" s="99" t="s">
        <v>143</v>
      </c>
      <c r="V9" s="56" t="s">
        <v>92</v>
      </c>
      <c r="W9" s="60">
        <v>-1</v>
      </c>
      <c r="X9" s="60">
        <v>1</v>
      </c>
      <c r="Y9" s="61"/>
      <c r="Z9" s="61"/>
      <c r="AA9" s="61"/>
      <c r="AB9" s="61"/>
      <c r="AC9" s="61"/>
      <c r="AD9" s="102">
        <v>0.36858484500782529</v>
      </c>
      <c r="AE9" s="78">
        <f t="array" ref="AE9:AE11">(p/SQRT(MMULT(TRANSPOSE(p),p)))</f>
        <v>0.62882373067545183</v>
      </c>
    </row>
    <row r="10" spans="2:31" x14ac:dyDescent="0.25">
      <c r="B10" s="56" t="s">
        <v>92</v>
      </c>
      <c r="C10" s="88">
        <v>0.61101352074618398</v>
      </c>
      <c r="D10" s="91">
        <v>0.50000000499945829</v>
      </c>
      <c r="E10" s="91">
        <v>0.49948101124576932</v>
      </c>
      <c r="F10" s="79">
        <f t="array" ref="F10:F12">(1/COUNTA(p))</f>
        <v>0.33333333333333331</v>
      </c>
      <c r="G10" s="91">
        <v>0.36858484500782529</v>
      </c>
      <c r="H10" s="80"/>
      <c r="I10" s="80"/>
      <c r="J10" s="81">
        <f t="array" ref="J10:J12">IF(COUNTA(p)=0, "", p)</f>
        <v>0.36858484500782529</v>
      </c>
      <c r="V10" s="57" t="s">
        <v>93</v>
      </c>
      <c r="W10" s="60">
        <v>-1</v>
      </c>
      <c r="X10" s="60">
        <v>1</v>
      </c>
      <c r="Y10" s="61"/>
      <c r="Z10" s="61"/>
      <c r="AA10" s="61"/>
      <c r="AB10" s="61"/>
      <c r="AC10" s="61"/>
      <c r="AD10" s="102">
        <v>0.251</v>
      </c>
      <c r="AE10" s="78">
        <v>0.42821824754131571</v>
      </c>
    </row>
    <row r="11" spans="2:31" x14ac:dyDescent="0.25">
      <c r="B11" s="57" t="s">
        <v>93</v>
      </c>
      <c r="C11" s="89">
        <v>-0.21415553509454222</v>
      </c>
      <c r="D11" s="92">
        <v>0</v>
      </c>
      <c r="E11" s="92">
        <v>1.0000000000000009E-3</v>
      </c>
      <c r="F11" s="82">
        <v>0.33333333333333331</v>
      </c>
      <c r="G11" s="92">
        <v>0.251</v>
      </c>
      <c r="H11" s="83"/>
      <c r="I11" s="83"/>
      <c r="J11" s="84">
        <v>0.251</v>
      </c>
      <c r="L11" s="114" t="s">
        <v>199</v>
      </c>
      <c r="M11" s="115"/>
      <c r="N11" s="116"/>
      <c r="V11" s="57" t="s">
        <v>94</v>
      </c>
      <c r="W11" s="60">
        <v>-1</v>
      </c>
      <c r="X11" s="60">
        <v>1</v>
      </c>
      <c r="Y11" s="61"/>
      <c r="Z11" s="61"/>
      <c r="AA11" s="61"/>
      <c r="AB11" s="61"/>
      <c r="AC11" s="61"/>
      <c r="AD11" s="102">
        <v>0.38041515499217465</v>
      </c>
      <c r="AE11" s="78">
        <v>0.64900681676855387</v>
      </c>
    </row>
    <row r="12" spans="2:31" x14ac:dyDescent="0.25">
      <c r="B12" s="57" t="s">
        <v>94</v>
      </c>
      <c r="C12" s="90">
        <v>0.60314202434835784</v>
      </c>
      <c r="D12" s="93">
        <v>0.50000000500054131</v>
      </c>
      <c r="E12" s="93">
        <v>0.4995189987542305</v>
      </c>
      <c r="F12" s="85">
        <v>0.33333333333333331</v>
      </c>
      <c r="G12" s="93">
        <v>0.38041515499217465</v>
      </c>
      <c r="H12" s="86"/>
      <c r="I12" s="86"/>
      <c r="J12" s="87">
        <v>0.38041515499217465</v>
      </c>
      <c r="L12" s="117">
        <f t="array" ref="L12">MMULT(MMULT(TRANSPOSE(p),Q),p)/MMULT(TRANSPOSE(p),p)</f>
        <v>1.2113745768742898</v>
      </c>
      <c r="M12" s="118"/>
      <c r="N12" s="119"/>
    </row>
    <row r="13" spans="2:31" x14ac:dyDescent="0.25">
      <c r="B13" s="56" t="s">
        <v>133</v>
      </c>
      <c r="C13" s="60">
        <f t="array" ref="C13">IF(COUNTA(pca_loadings)=0,0, MMULT(MMULT(TRANSPOSE(pca_loadings),Q),pca_loadings))</f>
        <v>1.3686720196322801</v>
      </c>
      <c r="D13" s="60">
        <f t="array" ref="D13">IF(COUNTA(kt_gr_eq_loadings)=0,0,MMULT(MMULT(TRANSPOSE(kt_gr_eq_loadings),Q),kt_gr_eq_loadings))</f>
        <v>1.3457627126270379</v>
      </c>
      <c r="E13" s="60">
        <f t="array" ref="E13">IF(COUNTA(kt_gr_loadings)=0,0,MMULT(MMULT(TRANSPOSE(kt_gr_loadings),Q),kt_gr_loadings))</f>
        <v>1.3455019926278924</v>
      </c>
      <c r="F13" s="60">
        <f t="array" ref="F13">IF(COUNTA(simple_av_loadings)=0,0,MMULT(MMULT(TRANSPOSE(simple_av_loadings),Q),simple_av_loadings))</f>
        <v>1.1439189468822162</v>
      </c>
      <c r="G13" s="60">
        <f t="array" ref="G13">IF(COUNTA(constrained_sol_loadings_scenario_1)=0,0,MMULT(MMULT(TRANSPOSE(constrained_sol_loadings_scenario_1),Q),constrained_sol_loadings_scenario_1))</f>
        <v>1.2113745768742896</v>
      </c>
      <c r="H13" s="60">
        <f t="array" ref="H13">IF(COUNTA(constrained_sol_loadings_scenario_2)=0,0,MMULT(MMULT(TRANSPOSE(constrained_sol_loadings_scenario_2),Q),constrained_sol_loadings_scenario_2))</f>
        <v>0</v>
      </c>
      <c r="I13" s="60">
        <f t="array" ref="I13">IF(COUNTA(constrained_sol_loadings_scenario_3)=0,0,MMULT(MMULT(TRANSPOSE(constrained_sol_loadings_scenario_3),Q),constrained_sol_loadings_scenario_3))</f>
        <v>0</v>
      </c>
      <c r="J13" s="60">
        <f t="array" ref="J13">IF(COUNTBLANK(constrained_sol_loadings)=ROWS(constrained_sol_loadings),0,MMULT(MMULT(TRANSPOSE(constrained_sol_loadings),Q),constrained_sol_loadings))</f>
        <v>1.2113745768742896</v>
      </c>
    </row>
    <row r="14" spans="2:31" x14ac:dyDescent="0.25">
      <c r="B14" s="57" t="s">
        <v>134</v>
      </c>
      <c r="C14" s="67">
        <f>pca_ret_var/COLUMNS(Q)</f>
        <v>0.4562240065440934</v>
      </c>
      <c r="D14" s="67">
        <f>qt_g_eq_ret_var/COLUMNS(Q)</f>
        <v>0.4485875708756793</v>
      </c>
      <c r="E14" s="67">
        <f>qt_g_ret_var/COLUMNS(Q)</f>
        <v>0.44850066420929746</v>
      </c>
      <c r="F14" s="67">
        <f>simple_av_ret_var/COLUMNS(Q)</f>
        <v>0.38130631562740541</v>
      </c>
      <c r="G14" s="67">
        <f>scenario_1_ret_var_pct/COLUMNS(Q)</f>
        <v>0.40379152562476323</v>
      </c>
      <c r="H14" s="67">
        <f>scenario_2_ret_var_pct/COLUMNS(Q)</f>
        <v>0</v>
      </c>
      <c r="I14" s="67">
        <f>scenario_3_ret_var_pct/COLUMNS(Q)</f>
        <v>0</v>
      </c>
      <c r="J14" s="67">
        <f>curr_sol_ret_var_pct/COLUMNS(Q)</f>
        <v>0.40379152562476323</v>
      </c>
      <c r="L14" s="114" t="s">
        <v>196</v>
      </c>
      <c r="M14" s="115"/>
      <c r="N14" s="116"/>
    </row>
    <row r="15" spans="2:31" x14ac:dyDescent="0.25">
      <c r="L15" s="117">
        <f t="array" ref="L15">SUM(p)</f>
        <v>1</v>
      </c>
      <c r="M15" s="118"/>
      <c r="N15" s="119"/>
    </row>
    <row r="17" spans="2:18" x14ac:dyDescent="0.25">
      <c r="L17" s="114" t="s">
        <v>145</v>
      </c>
      <c r="M17" s="115"/>
      <c r="N17" s="116"/>
    </row>
    <row r="18" spans="2:18" ht="18.75" x14ac:dyDescent="0.3">
      <c r="C18" s="128" t="s">
        <v>144</v>
      </c>
      <c r="D18" s="128"/>
      <c r="E18" s="128"/>
      <c r="F18" s="128"/>
      <c r="G18" s="128"/>
      <c r="H18" s="128"/>
      <c r="I18" s="128"/>
      <c r="J18" s="128"/>
      <c r="L18" s="120">
        <v>5</v>
      </c>
      <c r="M18" s="121"/>
      <c r="N18" s="122"/>
    </row>
    <row r="19" spans="2:18" x14ac:dyDescent="0.25">
      <c r="C19" s="123" t="s">
        <v>135</v>
      </c>
      <c r="D19" s="125" t="s">
        <v>136</v>
      </c>
      <c r="E19" s="125" t="s">
        <v>137</v>
      </c>
      <c r="F19" s="125" t="s">
        <v>138</v>
      </c>
      <c r="G19" s="127" t="s">
        <v>139</v>
      </c>
      <c r="H19" s="127"/>
      <c r="I19" s="127"/>
      <c r="J19" s="127"/>
    </row>
    <row r="20" spans="2:18" x14ac:dyDescent="0.25">
      <c r="C20" s="124"/>
      <c r="D20" s="126"/>
      <c r="E20" s="126"/>
      <c r="F20" s="126"/>
      <c r="G20" s="99" t="s">
        <v>140</v>
      </c>
      <c r="H20" s="99" t="s">
        <v>141</v>
      </c>
      <c r="I20" s="99" t="s">
        <v>142</v>
      </c>
      <c r="J20" s="99" t="s">
        <v>143</v>
      </c>
      <c r="L20" s="114" t="s">
        <v>146</v>
      </c>
      <c r="M20" s="115"/>
      <c r="N20" s="115"/>
      <c r="O20" s="115"/>
      <c r="P20" s="115"/>
      <c r="Q20" s="115"/>
      <c r="R20" s="116"/>
    </row>
    <row r="21" spans="2:18" x14ac:dyDescent="0.25">
      <c r="B21" s="56" t="s">
        <v>92</v>
      </c>
      <c r="C21" s="71">
        <v>0.69051858266785748</v>
      </c>
      <c r="D21" s="68">
        <v>0.70710678118578185</v>
      </c>
      <c r="E21" s="68">
        <v>0.70707918406757608</v>
      </c>
      <c r="F21" s="62">
        <f t="array" ref="F21:F23">(simple_av_loadings_pct/SQRT(MMULT(TRANSPOSE(simple_av_loadings_pct),simple_av_loadings_pct)))</f>
        <v>0.57735026918962573</v>
      </c>
      <c r="G21" s="68">
        <v>0.62882373067545183</v>
      </c>
      <c r="H21" s="74"/>
      <c r="I21" s="74"/>
      <c r="J21" s="63">
        <f t="array" ref="J21:J23">IF(COUNTA(x)=0, "", x)</f>
        <v>0.62882373067545183</v>
      </c>
      <c r="L21" s="130" t="s">
        <v>200</v>
      </c>
      <c r="M21" s="109"/>
      <c r="N21" s="109"/>
      <c r="O21" s="109"/>
      <c r="P21" s="109"/>
      <c r="Q21" s="109"/>
      <c r="R21" s="110"/>
    </row>
    <row r="22" spans="2:18" x14ac:dyDescent="0.25">
      <c r="B22" s="57" t="s">
        <v>93</v>
      </c>
      <c r="C22" s="72">
        <v>-0.24202144722324209</v>
      </c>
      <c r="D22" s="69">
        <v>0</v>
      </c>
      <c r="E22" s="69">
        <v>1.4156277579082158E-3</v>
      </c>
      <c r="F22" s="64">
        <v>0.57735026918962573</v>
      </c>
      <c r="G22" s="69">
        <v>0.42821824754131571</v>
      </c>
      <c r="H22" s="75"/>
      <c r="I22" s="75"/>
      <c r="J22" s="65">
        <v>0.42821824754131571</v>
      </c>
      <c r="L22" s="108"/>
      <c r="M22" s="109"/>
      <c r="N22" s="109"/>
      <c r="O22" s="109"/>
      <c r="P22" s="109"/>
      <c r="Q22" s="109"/>
      <c r="R22" s="110"/>
    </row>
    <row r="23" spans="2:18" x14ac:dyDescent="0.25">
      <c r="B23" s="57" t="s">
        <v>94</v>
      </c>
      <c r="C23" s="73">
        <v>0.68162284738287682</v>
      </c>
      <c r="D23" s="70">
        <v>0.7071067811873134</v>
      </c>
      <c r="E23" s="70">
        <v>0.70713296023900751</v>
      </c>
      <c r="F23" s="97">
        <v>0.57735026918962573</v>
      </c>
      <c r="G23" s="70">
        <v>0.64900681676855387</v>
      </c>
      <c r="H23" s="76"/>
      <c r="I23" s="76"/>
      <c r="J23" s="66">
        <v>0.64900681676855387</v>
      </c>
      <c r="L23" s="108"/>
      <c r="M23" s="109"/>
      <c r="N23" s="109"/>
      <c r="O23" s="109"/>
      <c r="P23" s="109"/>
      <c r="Q23" s="109"/>
      <c r="R23" s="110"/>
    </row>
    <row r="24" spans="2:18" x14ac:dyDescent="0.25">
      <c r="B24" s="56" t="s">
        <v>133</v>
      </c>
      <c r="C24" s="60">
        <f t="array" ref="C24">IF(COUNTA(pca_loadings)=0,0, MMULT(MMULT(TRANSPOSE(pca_loadings),Q),pca_loadings))</f>
        <v>1.3686720196322801</v>
      </c>
      <c r="D24" s="60">
        <f t="array" ref="D24">IF(COUNTA(kt_gr_eq_loadings)=0,0,MMULT(MMULT(TRANSPOSE(kt_gr_eq_loadings),Q),kt_gr_eq_loadings))</f>
        <v>1.3457627126270379</v>
      </c>
      <c r="E24" s="60">
        <f t="array" ref="E24">IF(COUNTA(kt_gr_loadings)=0,0,MMULT(MMULT(TRANSPOSE(kt_gr_loadings),Q),kt_gr_loadings))</f>
        <v>1.3455019926278924</v>
      </c>
      <c r="F24" s="60">
        <f t="array" ref="F24">IF(COUNTA(simple_av_loadings)=0,0,MMULT(MMULT(TRANSPOSE(simple_av_loadings),Q),simple_av_loadings))</f>
        <v>1.1439189468822162</v>
      </c>
      <c r="G24" s="60">
        <f t="array" ref="G24">IF(COUNTA(constrained_sol_loadings_scenario_1)=0,0,MMULT(MMULT(TRANSPOSE(constrained_sol_loadings_scenario_1),Q),constrained_sol_loadings_scenario_1))</f>
        <v>1.2113745768742896</v>
      </c>
      <c r="H24" s="60">
        <f t="array" ref="H24">IF(COUNTA(constrained_sol_loadings_scenario_2)=0,0,MMULT(MMULT(TRANSPOSE(constrained_sol_loadings_scenario_2),Q),constrained_sol_loadings_scenario_2))</f>
        <v>0</v>
      </c>
      <c r="I24" s="60">
        <f t="array" ref="I24">IF(COUNTA(constrained_sol_loadings_scenario_3)=0,0,MMULT(MMULT(TRANSPOSE(constrained_sol_loadings_scenario_3),Q),constrained_sol_loadings_scenario_3))</f>
        <v>0</v>
      </c>
      <c r="J24" s="60">
        <f t="array" ref="J24">IF(COUNTBLANK(constrained_sol_loadings)=ROWS(constrained_sol_loadings),0,MMULT(MMULT(TRANSPOSE(constrained_sol_loadings),Q),constrained_sol_loadings))</f>
        <v>1.2113745768742896</v>
      </c>
      <c r="L24" s="108"/>
      <c r="M24" s="109"/>
      <c r="N24" s="109"/>
      <c r="O24" s="109"/>
      <c r="P24" s="109"/>
      <c r="Q24" s="109"/>
      <c r="R24" s="110"/>
    </row>
    <row r="25" spans="2:18" x14ac:dyDescent="0.25">
      <c r="B25" s="57" t="s">
        <v>134</v>
      </c>
      <c r="C25" s="67">
        <f>pca_ret_var/COLUMNS(Q)</f>
        <v>0.4562240065440934</v>
      </c>
      <c r="D25" s="67">
        <f>qt_g_eq_ret_var/COLUMNS(Q)</f>
        <v>0.4485875708756793</v>
      </c>
      <c r="E25" s="67">
        <f>qt_g_ret_var/COLUMNS(Q)</f>
        <v>0.44850066420929746</v>
      </c>
      <c r="F25" s="67">
        <f>simple_av_ret_var/COLUMNS(Q)</f>
        <v>0.38130631562740541</v>
      </c>
      <c r="G25" s="67">
        <f>scenario_1_ret_var/COLUMNS(Q)</f>
        <v>0.40379152562476323</v>
      </c>
      <c r="H25" s="67">
        <f>scenario_2_ret_var/COLUMNS(Q)</f>
        <v>0</v>
      </c>
      <c r="I25" s="67">
        <f>scenario_3_ret_var/COLUMNS(Q)</f>
        <v>0</v>
      </c>
      <c r="J25" s="67">
        <f>curr_sol_ret_var/COLUMNS(Q)</f>
        <v>0.40379152562476323</v>
      </c>
      <c r="L25" s="111"/>
      <c r="M25" s="112"/>
      <c r="N25" s="112"/>
      <c r="O25" s="112"/>
      <c r="P25" s="112"/>
      <c r="Q25" s="112"/>
      <c r="R25" s="113"/>
    </row>
    <row r="27" spans="2:18" ht="18.75" x14ac:dyDescent="0.3">
      <c r="D27" s="129" t="s">
        <v>201</v>
      </c>
      <c r="E27" s="129"/>
      <c r="F27" s="129"/>
      <c r="G27" s="129"/>
      <c r="H27" s="129"/>
      <c r="I27" s="129"/>
    </row>
    <row r="28" spans="2:18" x14ac:dyDescent="0.25">
      <c r="D28" s="98" t="s">
        <v>140</v>
      </c>
      <c r="E28" s="99"/>
      <c r="F28" s="99"/>
      <c r="G28" s="99"/>
      <c r="H28" s="99"/>
      <c r="I28" s="99"/>
    </row>
    <row r="29" spans="2:18" x14ac:dyDescent="0.25">
      <c r="D29" t="s">
        <v>216</v>
      </c>
    </row>
  </sheetData>
  <mergeCells count="23">
    <mergeCell ref="L21:R25"/>
    <mergeCell ref="L20:R20"/>
    <mergeCell ref="D27:I27"/>
    <mergeCell ref="L12:N12"/>
    <mergeCell ref="L11:N11"/>
    <mergeCell ref="L15:N15"/>
    <mergeCell ref="L14:N14"/>
    <mergeCell ref="L18:N18"/>
    <mergeCell ref="L17:N17"/>
    <mergeCell ref="C18:J18"/>
    <mergeCell ref="C19:C20"/>
    <mergeCell ref="D19:D20"/>
    <mergeCell ref="E19:E20"/>
    <mergeCell ref="F19:F20"/>
    <mergeCell ref="G19:J19"/>
    <mergeCell ref="C1:E1"/>
    <mergeCell ref="W7:AE7"/>
    <mergeCell ref="C8:C9"/>
    <mergeCell ref="D8:D9"/>
    <mergeCell ref="E8:E9"/>
    <mergeCell ref="F8:F9"/>
    <mergeCell ref="G8:J8"/>
    <mergeCell ref="C7:J7"/>
  </mergeCells>
  <dataValidations count="3">
    <dataValidation type="list" operator="equal" allowBlank="1" showInputMessage="1" showErrorMessage="1" sqref="Y9 Z9 AA9 AB9 AC9">
      <formula1>"BCR,YIELD"</formula1>
    </dataValidation>
    <dataValidation type="list" operator="equal" allowBlank="1" showInputMessage="1" showErrorMessage="1" sqref="Y10 Z10 AA10 AB10 AC10">
      <formula1>"NRW,YIELD"</formula1>
    </dataValidation>
    <dataValidation type="list" operator="equal" allowBlank="1" showInputMessage="1" showErrorMessage="1" sqref="Y11 Z11 AA11 AB11 AC11">
      <formula1>"NRW,BCR"</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1185" r:id="rId3" name="Button 1">
              <controlPr defaultSize="0" print="0" autoFill="0" autoPict="0" macro="[0]!subLoadAddConstraintsForm">
                <anchor moveWithCells="1" sizeWithCells="1">
                  <from>
                    <xdr:col>11</xdr:col>
                    <xdr:colOff>0</xdr:colOff>
                    <xdr:row>7</xdr:row>
                    <xdr:rowOff>95250</xdr:rowOff>
                  </from>
                  <to>
                    <xdr:col>16</xdr:col>
                    <xdr:colOff>0</xdr:colOff>
                    <xdr:row>8</xdr:row>
                    <xdr:rowOff>95250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B1:AE51"/>
  <sheetViews>
    <sheetView showGridLines="0" topLeftCell="A9" workbookViewId="0">
      <selection activeCell="G33" sqref="G33:J33"/>
    </sheetView>
  </sheetViews>
  <sheetFormatPr defaultRowHeight="15" x14ac:dyDescent="0.25"/>
  <cols>
    <col min="1" max="1" width="4.7109375" customWidth="1"/>
    <col min="2" max="2" width="17" bestFit="1" customWidth="1"/>
    <col min="7" max="9" width="10" bestFit="1" customWidth="1"/>
    <col min="10" max="10" width="9.5703125" customWidth="1"/>
    <col min="22" max="31" width="0" hidden="1" customWidth="1"/>
  </cols>
  <sheetData>
    <row r="1" spans="2:31" ht="18.75" x14ac:dyDescent="0.3">
      <c r="C1" s="129" t="s">
        <v>125</v>
      </c>
      <c r="D1" s="129"/>
      <c r="E1" s="129"/>
      <c r="F1" s="129"/>
      <c r="G1" s="129"/>
      <c r="H1" s="129"/>
      <c r="I1" s="129"/>
      <c r="J1" s="129"/>
      <c r="K1" s="129"/>
      <c r="L1" s="129"/>
    </row>
    <row r="2" spans="2:31" x14ac:dyDescent="0.25">
      <c r="C2" s="103" t="s">
        <v>85</v>
      </c>
      <c r="D2" s="104" t="s">
        <v>86</v>
      </c>
      <c r="E2" s="104" t="s">
        <v>87</v>
      </c>
      <c r="F2" s="104" t="s">
        <v>88</v>
      </c>
      <c r="G2" s="104" t="s">
        <v>89</v>
      </c>
      <c r="H2" s="104" t="s">
        <v>90</v>
      </c>
      <c r="I2" s="104" t="s">
        <v>91</v>
      </c>
      <c r="J2" s="104" t="s">
        <v>104</v>
      </c>
      <c r="K2" s="104" t="s">
        <v>105</v>
      </c>
      <c r="L2" s="104" t="s">
        <v>106</v>
      </c>
    </row>
    <row r="3" spans="2:31" x14ac:dyDescent="0.25">
      <c r="B3" s="56" t="s">
        <v>85</v>
      </c>
      <c r="C3" s="58">
        <v>1</v>
      </c>
      <c r="D3" s="58">
        <v>0.80497318063434786</v>
      </c>
      <c r="E3" s="58">
        <v>-0.1035353085399633</v>
      </c>
      <c r="F3" s="58">
        <v>-0.35086626049860004</v>
      </c>
      <c r="G3" s="58">
        <v>-0.33857045415658221</v>
      </c>
      <c r="H3" s="58">
        <v>-0.14141595299885534</v>
      </c>
      <c r="I3" s="58">
        <v>-7.9026059695714496E-2</v>
      </c>
      <c r="J3" s="58">
        <v>-0.33857045415658221</v>
      </c>
      <c r="K3" s="58">
        <v>-0.14141595299885534</v>
      </c>
      <c r="L3" s="58">
        <v>-7.9026059695714496E-2</v>
      </c>
    </row>
    <row r="4" spans="2:31" x14ac:dyDescent="0.25">
      <c r="B4" s="57" t="s">
        <v>86</v>
      </c>
      <c r="C4" s="58">
        <v>0.80497318063434786</v>
      </c>
      <c r="D4" s="58">
        <v>1</v>
      </c>
      <c r="E4" s="58">
        <v>-0.23321822306251508</v>
      </c>
      <c r="F4" s="58">
        <v>-0.19149900811947626</v>
      </c>
      <c r="G4" s="58">
        <v>-0.50106246549435374</v>
      </c>
      <c r="H4" s="58">
        <v>0.16145383877749961</v>
      </c>
      <c r="I4" s="58">
        <v>-0.10944989106875551</v>
      </c>
      <c r="J4" s="58">
        <v>-0.50106246549435374</v>
      </c>
      <c r="K4" s="58">
        <v>0.16145383877749961</v>
      </c>
      <c r="L4" s="58">
        <v>-0.10944989106875551</v>
      </c>
    </row>
    <row r="5" spans="2:31" x14ac:dyDescent="0.25">
      <c r="B5" s="57" t="s">
        <v>87</v>
      </c>
      <c r="C5" s="58">
        <v>-0.1035353085399633</v>
      </c>
      <c r="D5" s="58">
        <v>-0.23321822306251508</v>
      </c>
      <c r="E5" s="58">
        <v>1</v>
      </c>
      <c r="F5" s="58">
        <v>0.39720198718752908</v>
      </c>
      <c r="G5" s="58">
        <v>-9.5076442261169097E-2</v>
      </c>
      <c r="H5" s="58">
        <v>9.055715336979492E-4</v>
      </c>
      <c r="I5" s="58">
        <v>0.11584665086141395</v>
      </c>
      <c r="J5" s="58">
        <v>-9.5076442261169097E-2</v>
      </c>
      <c r="K5" s="58">
        <v>9.055715336979492E-4</v>
      </c>
      <c r="L5" s="58">
        <v>0.11584665086141395</v>
      </c>
    </row>
    <row r="6" spans="2:31" x14ac:dyDescent="0.25">
      <c r="B6" s="57" t="s">
        <v>88</v>
      </c>
      <c r="C6" s="58">
        <v>-0.35086626049860004</v>
      </c>
      <c r="D6" s="58">
        <v>-0.19149900811947626</v>
      </c>
      <c r="E6" s="58">
        <v>0.39720198718752908</v>
      </c>
      <c r="F6" s="58">
        <v>1</v>
      </c>
      <c r="G6" s="58">
        <v>-0.28022930612110641</v>
      </c>
      <c r="H6" s="58">
        <v>0.18319021848581823</v>
      </c>
      <c r="I6" s="58">
        <v>-0.19346643076000006</v>
      </c>
      <c r="J6" s="58">
        <v>-0.28022930612110641</v>
      </c>
      <c r="K6" s="58">
        <v>0.18319021848581823</v>
      </c>
      <c r="L6" s="58">
        <v>-0.19346643076000006</v>
      </c>
    </row>
    <row r="7" spans="2:31" x14ac:dyDescent="0.25">
      <c r="B7" s="57" t="s">
        <v>89</v>
      </c>
      <c r="C7" s="58">
        <v>-0.33857045415658221</v>
      </c>
      <c r="D7" s="58">
        <v>-0.50106246549435374</v>
      </c>
      <c r="E7" s="58">
        <v>-9.5076442261169097E-2</v>
      </c>
      <c r="F7" s="58">
        <v>-0.28022930612110641</v>
      </c>
      <c r="G7" s="58">
        <v>1</v>
      </c>
      <c r="H7" s="58">
        <v>-0.32816084206719709</v>
      </c>
      <c r="I7" s="58">
        <v>0.2564462385816822</v>
      </c>
      <c r="J7" s="58">
        <v>0.24263926969998686</v>
      </c>
      <c r="K7" s="58">
        <v>-0.32816084206719709</v>
      </c>
      <c r="L7" s="58">
        <v>0.2564462385816822</v>
      </c>
    </row>
    <row r="8" spans="2:31" x14ac:dyDescent="0.25">
      <c r="B8" s="57" t="s">
        <v>90</v>
      </c>
      <c r="C8" s="58">
        <v>-0.14141595299885534</v>
      </c>
      <c r="D8" s="58">
        <v>0.16145383877749961</v>
      </c>
      <c r="E8" s="58">
        <v>9.055715336979492E-4</v>
      </c>
      <c r="F8" s="58">
        <v>0.18319021848581823</v>
      </c>
      <c r="G8" s="58">
        <v>-0.32816084206719709</v>
      </c>
      <c r="H8" s="58">
        <v>1</v>
      </c>
      <c r="I8" s="58">
        <v>0.23150229252242652</v>
      </c>
      <c r="J8" s="58">
        <v>-0.32816084206719709</v>
      </c>
      <c r="K8" s="58">
        <v>1.0000000000000002</v>
      </c>
      <c r="L8" s="58">
        <v>0.23150229252242652</v>
      </c>
    </row>
    <row r="9" spans="2:31" x14ac:dyDescent="0.25">
      <c r="B9" s="57" t="s">
        <v>91</v>
      </c>
      <c r="C9" s="58">
        <v>-7.9026059695714496E-2</v>
      </c>
      <c r="D9" s="58">
        <v>-0.10944989106875551</v>
      </c>
      <c r="E9" s="58">
        <v>0.11584665086141395</v>
      </c>
      <c r="F9" s="58">
        <v>-0.19346643076000006</v>
      </c>
      <c r="G9" s="58">
        <v>0.2564462385816822</v>
      </c>
      <c r="H9" s="58">
        <v>0.23150229252242652</v>
      </c>
      <c r="I9" s="58">
        <v>1</v>
      </c>
      <c r="J9" s="58">
        <v>0.2564462385816822</v>
      </c>
      <c r="K9" s="58">
        <v>0.23150229252242649</v>
      </c>
      <c r="L9" s="58">
        <v>1</v>
      </c>
    </row>
    <row r="10" spans="2:31" x14ac:dyDescent="0.25">
      <c r="B10" s="57" t="s">
        <v>104</v>
      </c>
      <c r="C10" s="58">
        <v>-0.33857045415658221</v>
      </c>
      <c r="D10" s="58">
        <v>-0.50106246549435374</v>
      </c>
      <c r="E10" s="58">
        <v>-9.5076442261169097E-2</v>
      </c>
      <c r="F10" s="58">
        <v>-0.28022930612110641</v>
      </c>
      <c r="G10" s="58">
        <v>0.24263926969998686</v>
      </c>
      <c r="H10" s="58">
        <v>-0.32816084206719709</v>
      </c>
      <c r="I10" s="58">
        <v>0.2564462385816822</v>
      </c>
      <c r="J10" s="58">
        <v>1</v>
      </c>
      <c r="K10" s="58">
        <v>-0.32816084206719709</v>
      </c>
      <c r="L10" s="58">
        <v>0.2564462385816822</v>
      </c>
    </row>
    <row r="11" spans="2:31" x14ac:dyDescent="0.25">
      <c r="B11" s="57" t="s">
        <v>105</v>
      </c>
      <c r="C11" s="58">
        <v>-0.14141595299885534</v>
      </c>
      <c r="D11" s="58">
        <v>0.16145383877749961</v>
      </c>
      <c r="E11" s="58">
        <v>9.055715336979492E-4</v>
      </c>
      <c r="F11" s="58">
        <v>0.18319021848581823</v>
      </c>
      <c r="G11" s="58">
        <v>-0.32816084206719709</v>
      </c>
      <c r="H11" s="58">
        <v>1.0000000000000002</v>
      </c>
      <c r="I11" s="58">
        <v>0.23150229252242649</v>
      </c>
      <c r="J11" s="58">
        <v>-0.32816084206719709</v>
      </c>
      <c r="K11" s="58">
        <v>1</v>
      </c>
      <c r="L11" s="58">
        <v>0.23150229252242652</v>
      </c>
    </row>
    <row r="12" spans="2:31" x14ac:dyDescent="0.25">
      <c r="B12" s="57" t="s">
        <v>106</v>
      </c>
      <c r="C12" s="58">
        <v>-7.9026059695714496E-2</v>
      </c>
      <c r="D12" s="58">
        <v>-0.10944989106875551</v>
      </c>
      <c r="E12" s="58">
        <v>0.11584665086141395</v>
      </c>
      <c r="F12" s="58">
        <v>-0.19346643076000006</v>
      </c>
      <c r="G12" s="58">
        <v>0.2564462385816822</v>
      </c>
      <c r="H12" s="58">
        <v>0.23150229252242652</v>
      </c>
      <c r="I12" s="58">
        <v>1</v>
      </c>
      <c r="J12" s="58">
        <v>0.2564462385816822</v>
      </c>
      <c r="K12" s="58">
        <v>0.23150229252242652</v>
      </c>
      <c r="L12" s="58">
        <v>1</v>
      </c>
    </row>
    <row r="14" spans="2:31" ht="18.75" x14ac:dyDescent="0.3">
      <c r="C14" s="128" t="s">
        <v>192</v>
      </c>
      <c r="D14" s="128"/>
      <c r="E14" s="128"/>
      <c r="F14" s="128"/>
      <c r="G14" s="128"/>
      <c r="H14" s="128"/>
      <c r="I14" s="128"/>
      <c r="J14" s="128"/>
      <c r="W14" s="128" t="s">
        <v>132</v>
      </c>
      <c r="X14" s="128"/>
      <c r="Y14" s="128"/>
      <c r="Z14" s="128"/>
      <c r="AA14" s="128"/>
      <c r="AB14" s="128"/>
      <c r="AC14" s="128"/>
      <c r="AD14" s="128"/>
      <c r="AE14" s="128"/>
    </row>
    <row r="15" spans="2:31" x14ac:dyDescent="0.25">
      <c r="C15" s="123" t="s">
        <v>135</v>
      </c>
      <c r="D15" s="125" t="s">
        <v>194</v>
      </c>
      <c r="E15" s="125" t="s">
        <v>195</v>
      </c>
      <c r="F15" s="125" t="s">
        <v>138</v>
      </c>
      <c r="G15" s="127" t="s">
        <v>139</v>
      </c>
      <c r="H15" s="127"/>
      <c r="I15" s="127"/>
      <c r="J15" s="127"/>
      <c r="W15" s="103" t="s">
        <v>197</v>
      </c>
      <c r="X15" s="104" t="s">
        <v>198</v>
      </c>
      <c r="Y15" s="104" t="s">
        <v>126</v>
      </c>
      <c r="Z15" s="104" t="s">
        <v>127</v>
      </c>
      <c r="AA15" s="59" t="s">
        <v>128</v>
      </c>
      <c r="AB15" s="104" t="s">
        <v>129</v>
      </c>
      <c r="AC15" s="104" t="s">
        <v>130</v>
      </c>
      <c r="AD15" s="104" t="s">
        <v>193</v>
      </c>
      <c r="AE15" s="104" t="s">
        <v>131</v>
      </c>
    </row>
    <row r="16" spans="2:31" x14ac:dyDescent="0.25">
      <c r="C16" s="124"/>
      <c r="D16" s="126"/>
      <c r="E16" s="126"/>
      <c r="F16" s="126"/>
      <c r="G16" s="104" t="s">
        <v>140</v>
      </c>
      <c r="H16" s="104" t="s">
        <v>141</v>
      </c>
      <c r="I16" s="104" t="s">
        <v>142</v>
      </c>
      <c r="J16" s="104" t="s">
        <v>143</v>
      </c>
      <c r="V16" s="56" t="s">
        <v>85</v>
      </c>
      <c r="W16" s="60">
        <v>-1</v>
      </c>
      <c r="X16" s="60">
        <v>1</v>
      </c>
      <c r="Y16" s="61"/>
      <c r="Z16" s="61"/>
      <c r="AA16" s="61"/>
      <c r="AB16" s="61"/>
      <c r="AC16" s="61"/>
      <c r="AD16" s="102">
        <v>0</v>
      </c>
      <c r="AE16" s="78">
        <f t="array" ref="AE16:AE25">(p/SQRT(MMULT(TRANSPOSE(p),p)))</f>
        <v>0</v>
      </c>
    </row>
    <row r="17" spans="2:31" x14ac:dyDescent="0.25">
      <c r="B17" s="56" t="s">
        <v>85</v>
      </c>
      <c r="C17" s="88">
        <v>-0.76232695967938335</v>
      </c>
      <c r="D17" s="91">
        <v>0</v>
      </c>
      <c r="E17" s="91">
        <v>1E-3</v>
      </c>
      <c r="F17" s="79">
        <f t="array" ref="F17:F26">(1/COUNTA(p))</f>
        <v>0.1</v>
      </c>
      <c r="G17" s="91">
        <v>0</v>
      </c>
      <c r="H17" s="91">
        <v>0</v>
      </c>
      <c r="I17" s="80"/>
      <c r="J17" s="81">
        <f t="array" ref="J17:J26">IF(COUNTA(p)=0, "", p)</f>
        <v>0</v>
      </c>
      <c r="V17" s="57" t="s">
        <v>86</v>
      </c>
      <c r="W17" s="60">
        <v>-1</v>
      </c>
      <c r="X17" s="60">
        <v>1</v>
      </c>
      <c r="Y17" s="61"/>
      <c r="Z17" s="61"/>
      <c r="AA17" s="61"/>
      <c r="AB17" s="61"/>
      <c r="AC17" s="61"/>
      <c r="AD17" s="102">
        <v>0</v>
      </c>
      <c r="AE17" s="78">
        <v>0</v>
      </c>
    </row>
    <row r="18" spans="2:31" x14ac:dyDescent="0.25">
      <c r="B18" s="57" t="s">
        <v>86</v>
      </c>
      <c r="C18" s="89">
        <v>-1</v>
      </c>
      <c r="D18" s="92">
        <v>1.0179546765322794E-2</v>
      </c>
      <c r="E18" s="92">
        <v>9.805434171485234E-3</v>
      </c>
      <c r="F18" s="82">
        <v>0.1</v>
      </c>
      <c r="G18" s="92">
        <v>1.0177752413996736E-2</v>
      </c>
      <c r="H18" s="92">
        <v>0</v>
      </c>
      <c r="I18" s="83"/>
      <c r="J18" s="84">
        <v>0</v>
      </c>
      <c r="L18" s="114" t="s">
        <v>199</v>
      </c>
      <c r="M18" s="115"/>
      <c r="N18" s="116"/>
      <c r="V18" s="57" t="s">
        <v>87</v>
      </c>
      <c r="W18" s="60">
        <v>-1</v>
      </c>
      <c r="X18" s="60">
        <v>1</v>
      </c>
      <c r="Y18" s="61"/>
      <c r="Z18" s="61"/>
      <c r="AA18" s="61"/>
      <c r="AB18" s="61"/>
      <c r="AC18" s="61"/>
      <c r="AD18" s="102">
        <v>5.1378832372314089E-2</v>
      </c>
      <c r="AE18" s="78">
        <v>0.11671076800832446</v>
      </c>
    </row>
    <row r="19" spans="2:31" x14ac:dyDescent="0.25">
      <c r="B19" s="57" t="s">
        <v>87</v>
      </c>
      <c r="C19" s="89">
        <v>0.16001990190025756</v>
      </c>
      <c r="D19" s="92">
        <v>3.7371147049658431E-2</v>
      </c>
      <c r="E19" s="92">
        <v>3.6904862950804328E-2</v>
      </c>
      <c r="F19" s="82">
        <v>0.1</v>
      </c>
      <c r="G19" s="92">
        <v>3.7372072187560508E-2</v>
      </c>
      <c r="H19" s="92">
        <v>5.1378832372314089E-2</v>
      </c>
      <c r="I19" s="83"/>
      <c r="J19" s="84">
        <v>5.1378832372314089E-2</v>
      </c>
      <c r="L19" s="117">
        <f t="array" ref="L19">MMULT(MMULT(TRANSPOSE(p),Q),p)/MMULT(TRANSPOSE(p),p)</f>
        <v>2.4147734057373373</v>
      </c>
      <c r="M19" s="118"/>
      <c r="N19" s="119"/>
      <c r="V19" s="57" t="s">
        <v>88</v>
      </c>
      <c r="W19" s="60">
        <v>-1</v>
      </c>
      <c r="X19" s="60">
        <v>1</v>
      </c>
      <c r="Y19" s="61"/>
      <c r="Z19" s="61"/>
      <c r="AA19" s="61"/>
      <c r="AB19" s="61"/>
      <c r="AC19" s="61"/>
      <c r="AD19" s="102">
        <v>0.10100000000000001</v>
      </c>
      <c r="AE19" s="78">
        <v>0.22942887225270456</v>
      </c>
    </row>
    <row r="20" spans="2:31" x14ac:dyDescent="0.25">
      <c r="B20" s="57" t="s">
        <v>88</v>
      </c>
      <c r="C20" s="89">
        <v>-0.23690029453837064</v>
      </c>
      <c r="D20" s="92">
        <v>5.6072691663677622E-3</v>
      </c>
      <c r="E20" s="92">
        <v>4.303977496194435E-3</v>
      </c>
      <c r="F20" s="82">
        <v>0.1</v>
      </c>
      <c r="G20" s="92">
        <v>5.6058824929604584E-3</v>
      </c>
      <c r="H20" s="92">
        <v>0.10100000000000001</v>
      </c>
      <c r="I20" s="83"/>
      <c r="J20" s="84">
        <v>0.10100000000000001</v>
      </c>
      <c r="V20" s="57" t="s">
        <v>89</v>
      </c>
      <c r="W20" s="60">
        <v>-1</v>
      </c>
      <c r="X20" s="60">
        <v>1</v>
      </c>
      <c r="Y20" s="61"/>
      <c r="Z20" s="61"/>
      <c r="AA20" s="61"/>
      <c r="AB20" s="61"/>
      <c r="AC20" s="61"/>
      <c r="AD20" s="102">
        <v>0</v>
      </c>
      <c r="AE20" s="78">
        <v>0</v>
      </c>
    </row>
    <row r="21" spans="2:31" x14ac:dyDescent="0.25">
      <c r="B21" s="57" t="s">
        <v>89</v>
      </c>
      <c r="C21" s="89">
        <v>1</v>
      </c>
      <c r="D21" s="92">
        <v>0</v>
      </c>
      <c r="E21" s="92">
        <v>1E-3</v>
      </c>
      <c r="F21" s="82">
        <v>0.1</v>
      </c>
      <c r="G21" s="92">
        <v>0</v>
      </c>
      <c r="H21" s="92">
        <v>0</v>
      </c>
      <c r="I21" s="83"/>
      <c r="J21" s="84">
        <v>0</v>
      </c>
      <c r="L21" s="114" t="s">
        <v>196</v>
      </c>
      <c r="M21" s="115"/>
      <c r="N21" s="116"/>
      <c r="V21" s="57" t="s">
        <v>90</v>
      </c>
      <c r="W21" s="60">
        <v>-1</v>
      </c>
      <c r="X21" s="60">
        <v>1</v>
      </c>
      <c r="Y21" s="61"/>
      <c r="Z21" s="61"/>
      <c r="AA21" s="61"/>
      <c r="AB21" s="61"/>
      <c r="AC21" s="61"/>
      <c r="AD21" s="102">
        <v>0.23021267633732034</v>
      </c>
      <c r="AE21" s="78">
        <v>0.5229448981222603</v>
      </c>
    </row>
    <row r="22" spans="2:31" x14ac:dyDescent="0.25">
      <c r="B22" s="57" t="s">
        <v>90</v>
      </c>
      <c r="C22" s="89">
        <v>-0.39037282086400366</v>
      </c>
      <c r="D22" s="92">
        <v>0.23701713945256994</v>
      </c>
      <c r="E22" s="92">
        <v>0.23585652303809046</v>
      </c>
      <c r="F22" s="82">
        <v>0.1</v>
      </c>
      <c r="G22" s="92">
        <v>0.23701812116240223</v>
      </c>
      <c r="H22" s="92">
        <v>0.23021267633732034</v>
      </c>
      <c r="I22" s="83"/>
      <c r="J22" s="84">
        <v>0.23021267633732034</v>
      </c>
      <c r="L22" s="117">
        <f t="array" ref="L22">SUM(p)</f>
        <v>1.0000000000000002</v>
      </c>
      <c r="M22" s="118"/>
      <c r="N22" s="119"/>
      <c r="V22" s="57" t="s">
        <v>91</v>
      </c>
      <c r="W22" s="60">
        <v>-1</v>
      </c>
      <c r="X22" s="60">
        <v>1</v>
      </c>
      <c r="Y22" s="61"/>
      <c r="Z22" s="61"/>
      <c r="AA22" s="61"/>
      <c r="AB22" s="61"/>
      <c r="AC22" s="61"/>
      <c r="AD22" s="102">
        <v>0.19359814204613665</v>
      </c>
      <c r="AE22" s="78">
        <v>0.43977231088974295</v>
      </c>
    </row>
    <row r="23" spans="2:31" x14ac:dyDescent="0.25">
      <c r="B23" s="57" t="s">
        <v>91</v>
      </c>
      <c r="C23" s="89">
        <v>0.80997648420911317</v>
      </c>
      <c r="D23" s="92">
        <v>0.23640383293762038</v>
      </c>
      <c r="E23" s="92">
        <v>0.23713631866670723</v>
      </c>
      <c r="F23" s="82">
        <v>0.1</v>
      </c>
      <c r="G23" s="92">
        <v>0.23640462131174159</v>
      </c>
      <c r="H23" s="92">
        <v>0.19359814204613665</v>
      </c>
      <c r="I23" s="83"/>
      <c r="J23" s="84">
        <v>0.19359814204613665</v>
      </c>
      <c r="V23" s="57" t="s">
        <v>104</v>
      </c>
      <c r="W23" s="60">
        <v>-1</v>
      </c>
      <c r="X23" s="60">
        <v>1</v>
      </c>
      <c r="Y23" s="61"/>
      <c r="Z23" s="61"/>
      <c r="AA23" s="61"/>
      <c r="AB23" s="61"/>
      <c r="AC23" s="61"/>
      <c r="AD23" s="102">
        <v>0</v>
      </c>
      <c r="AE23" s="78">
        <v>0</v>
      </c>
    </row>
    <row r="24" spans="2:31" x14ac:dyDescent="0.25">
      <c r="B24" s="57" t="s">
        <v>104</v>
      </c>
      <c r="C24" s="89">
        <v>0.99999999844204124</v>
      </c>
      <c r="D24" s="92">
        <v>0</v>
      </c>
      <c r="E24" s="92">
        <v>1E-3</v>
      </c>
      <c r="F24" s="82">
        <v>0.1</v>
      </c>
      <c r="G24" s="92">
        <v>0</v>
      </c>
      <c r="H24" s="92">
        <v>0</v>
      </c>
      <c r="I24" s="83"/>
      <c r="J24" s="84">
        <v>0</v>
      </c>
      <c r="L24" s="114" t="s">
        <v>145</v>
      </c>
      <c r="M24" s="115"/>
      <c r="N24" s="116"/>
      <c r="V24" s="57" t="s">
        <v>105</v>
      </c>
      <c r="W24" s="60">
        <v>-1</v>
      </c>
      <c r="X24" s="60">
        <v>1</v>
      </c>
      <c r="Y24" s="61"/>
      <c r="Z24" s="61"/>
      <c r="AA24" s="61"/>
      <c r="AB24" s="61"/>
      <c r="AC24" s="61"/>
      <c r="AD24" s="102">
        <v>0.23021220719765112</v>
      </c>
      <c r="AE24" s="78">
        <v>0.52294383243725795</v>
      </c>
    </row>
    <row r="25" spans="2:31" x14ac:dyDescent="0.25">
      <c r="B25" s="57" t="s">
        <v>105</v>
      </c>
      <c r="C25" s="89">
        <v>-0.39037282086400327</v>
      </c>
      <c r="D25" s="92">
        <v>0.23701720196743742</v>
      </c>
      <c r="E25" s="92">
        <v>0.23585652037631893</v>
      </c>
      <c r="F25" s="82">
        <v>0.1</v>
      </c>
      <c r="G25" s="92">
        <v>0.23701692505878408</v>
      </c>
      <c r="H25" s="92">
        <v>0.23021220719765112</v>
      </c>
      <c r="I25" s="83"/>
      <c r="J25" s="84">
        <v>0.23021220719765112</v>
      </c>
      <c r="L25" s="120">
        <v>5</v>
      </c>
      <c r="M25" s="121"/>
      <c r="N25" s="122"/>
      <c r="V25" s="57" t="s">
        <v>106</v>
      </c>
      <c r="W25" s="60">
        <v>-1</v>
      </c>
      <c r="X25" s="60">
        <v>1</v>
      </c>
      <c r="Y25" s="61"/>
      <c r="Z25" s="61"/>
      <c r="AA25" s="61"/>
      <c r="AB25" s="61"/>
      <c r="AC25" s="61"/>
      <c r="AD25" s="102">
        <v>0.19359814204657796</v>
      </c>
      <c r="AE25" s="78">
        <v>0.43977231089074542</v>
      </c>
    </row>
    <row r="26" spans="2:31" x14ac:dyDescent="0.25">
      <c r="B26" s="57" t="s">
        <v>106</v>
      </c>
      <c r="C26" s="90">
        <v>0.80997651139434879</v>
      </c>
      <c r="D26" s="93">
        <v>0.23640386266102334</v>
      </c>
      <c r="E26" s="93">
        <v>0.23713636330039942</v>
      </c>
      <c r="F26" s="85">
        <v>0.1</v>
      </c>
      <c r="G26" s="93">
        <v>0.23640462537255452</v>
      </c>
      <c r="H26" s="93">
        <v>0.19359814204657796</v>
      </c>
      <c r="I26" s="86"/>
      <c r="J26" s="87">
        <v>0.19359814204657796</v>
      </c>
    </row>
    <row r="27" spans="2:31" x14ac:dyDescent="0.25">
      <c r="B27" s="56" t="s">
        <v>133</v>
      </c>
      <c r="C27" s="60">
        <f t="array" ref="C27">IF(COUNTA(pca_loadings)=0,0, MMULT(MMULT(TRANSPOSE(pca_loadings),Q),pca_loadings))</f>
        <v>2.786776602388465</v>
      </c>
      <c r="D27" s="60">
        <f t="array" ref="D27">IF(COUNTA(kt_gr_eq_loadings)=0,0,MMULT(MMULT(TRANSPOSE(kt_gr_eq_loadings),Q),kt_gr_eq_loadings))</f>
        <v>2.4732172664637617</v>
      </c>
      <c r="E27" s="60">
        <f t="array" ref="E27">IF(COUNTA(kt_gr_loadings)=0,0,MMULT(MMULT(TRANSPOSE(kt_gr_loadings),Q),kt_gr_loadings))</f>
        <v>2.4715129385026091</v>
      </c>
      <c r="F27" s="60">
        <f t="array" ref="F27">IF(COUNTA(simple_av_loadings)=0,0,MMULT(MMULT(TRANSPOSE(simple_av_loadings),Q),simple_av_loadings))</f>
        <v>1.130208989530548</v>
      </c>
      <c r="G27" s="60">
        <f t="array" ref="G27">IF(COUNTA(constrained_sol_loadings_scenario_1)=0,0,MMULT(MMULT(TRANSPOSE(constrained_sol_loadings_scenario_1),Q),constrained_sol_loadings_scenario_1))</f>
        <v>2.4732172664188097</v>
      </c>
      <c r="H27" s="60">
        <f t="array" ref="H27">IF(COUNTA(constrained_sol_loadings_scenario_2)=0,0,MMULT(MMULT(TRANSPOSE(constrained_sol_loadings_scenario_2),Q),constrained_sol_loadings_scenario_2))</f>
        <v>2.4147734057373373</v>
      </c>
      <c r="I27" s="60">
        <f t="array" ref="I27">IF(COUNTA(constrained_sol_loadings_scenario_3)=0,0,MMULT(MMULT(TRANSPOSE(constrained_sol_loadings_scenario_3),Q),constrained_sol_loadings_scenario_3))</f>
        <v>0</v>
      </c>
      <c r="J27" s="60">
        <f t="array" ref="J27">IF(COUNTBLANK(constrained_sol_loadings)=ROWS(constrained_sol_loadings),0,MMULT(MMULT(TRANSPOSE(constrained_sol_loadings),Q),constrained_sol_loadings))</f>
        <v>2.4147734057373373</v>
      </c>
      <c r="L27" s="114" t="s">
        <v>146</v>
      </c>
      <c r="M27" s="115"/>
      <c r="N27" s="115"/>
      <c r="O27" s="115"/>
      <c r="P27" s="115"/>
      <c r="Q27" s="115"/>
      <c r="R27" s="116"/>
    </row>
    <row r="28" spans="2:31" x14ac:dyDescent="0.25">
      <c r="B28" s="57" t="s">
        <v>134</v>
      </c>
      <c r="C28" s="67">
        <f>pca_ret_var/COLUMNS(Q)</f>
        <v>0.27867766023884649</v>
      </c>
      <c r="D28" s="67">
        <f>qt_g_eq_ret_var/COLUMNS(Q)</f>
        <v>0.24732172664637617</v>
      </c>
      <c r="E28" s="67">
        <f>qt_g_ret_var/COLUMNS(Q)</f>
        <v>0.24715129385026091</v>
      </c>
      <c r="F28" s="67">
        <f>simple_av_ret_var/COLUMNS(Q)</f>
        <v>0.11302089895305481</v>
      </c>
      <c r="G28" s="67">
        <f>scenario_1_ret_var_pct/COLUMNS(Q)</f>
        <v>0.24732172664188096</v>
      </c>
      <c r="H28" s="67">
        <f>scenario_2_ret_var_pct/COLUMNS(Q)</f>
        <v>0.24147734057373374</v>
      </c>
      <c r="I28" s="67">
        <f>scenario_3_ret_var_pct/COLUMNS(Q)</f>
        <v>0</v>
      </c>
      <c r="J28" s="67">
        <f>curr_sol_ret_var_pct/COLUMNS(Q)</f>
        <v>0.24147734057373374</v>
      </c>
      <c r="L28" s="130" t="s">
        <v>200</v>
      </c>
      <c r="M28" s="109"/>
      <c r="N28" s="109"/>
      <c r="O28" s="109"/>
      <c r="P28" s="109"/>
      <c r="Q28" s="109"/>
      <c r="R28" s="110"/>
    </row>
    <row r="29" spans="2:31" x14ac:dyDescent="0.25">
      <c r="L29" s="108"/>
      <c r="M29" s="109"/>
      <c r="N29" s="109"/>
      <c r="O29" s="109"/>
      <c r="P29" s="109"/>
      <c r="Q29" s="109"/>
      <c r="R29" s="110"/>
    </row>
    <row r="30" spans="2:31" x14ac:dyDescent="0.25">
      <c r="L30" s="108"/>
      <c r="M30" s="109"/>
      <c r="N30" s="109"/>
      <c r="O30" s="109"/>
      <c r="P30" s="109"/>
      <c r="Q30" s="109"/>
      <c r="R30" s="110"/>
    </row>
    <row r="31" spans="2:31" x14ac:dyDescent="0.25">
      <c r="L31" s="108"/>
      <c r="M31" s="109"/>
      <c r="N31" s="109"/>
      <c r="O31" s="109"/>
      <c r="P31" s="109"/>
      <c r="Q31" s="109"/>
      <c r="R31" s="110"/>
    </row>
    <row r="32" spans="2:31" ht="18.75" x14ac:dyDescent="0.3">
      <c r="C32" s="128" t="s">
        <v>144</v>
      </c>
      <c r="D32" s="128"/>
      <c r="E32" s="128"/>
      <c r="F32" s="128"/>
      <c r="G32" s="128"/>
      <c r="H32" s="128"/>
      <c r="I32" s="128"/>
      <c r="J32" s="128"/>
      <c r="L32" s="111"/>
      <c r="M32" s="112"/>
      <c r="N32" s="112"/>
      <c r="O32" s="112"/>
      <c r="P32" s="112"/>
      <c r="Q32" s="112"/>
      <c r="R32" s="113"/>
    </row>
    <row r="33" spans="2:10" x14ac:dyDescent="0.25">
      <c r="C33" s="123" t="s">
        <v>135</v>
      </c>
      <c r="D33" s="125" t="s">
        <v>136</v>
      </c>
      <c r="E33" s="125" t="s">
        <v>137</v>
      </c>
      <c r="F33" s="125" t="s">
        <v>138</v>
      </c>
      <c r="G33" s="127" t="s">
        <v>139</v>
      </c>
      <c r="H33" s="127"/>
      <c r="I33" s="127"/>
      <c r="J33" s="127"/>
    </row>
    <row r="34" spans="2:10" x14ac:dyDescent="0.25">
      <c r="C34" s="124"/>
      <c r="D34" s="126"/>
      <c r="E34" s="126"/>
      <c r="F34" s="126"/>
      <c r="G34" s="104" t="s">
        <v>140</v>
      </c>
      <c r="H34" s="104" t="s">
        <v>141</v>
      </c>
      <c r="I34" s="104" t="s">
        <v>142</v>
      </c>
      <c r="J34" s="104" t="s">
        <v>143</v>
      </c>
    </row>
    <row r="35" spans="2:10" x14ac:dyDescent="0.25">
      <c r="B35" s="56" t="s">
        <v>85</v>
      </c>
      <c r="C35" s="71">
        <v>-0.33176725550913216</v>
      </c>
      <c r="D35" s="68">
        <v>0</v>
      </c>
      <c r="E35" s="68">
        <v>2.1072322642987583E-3</v>
      </c>
      <c r="F35" s="62">
        <f t="array" ref="F35:F44">(simple_av_loadings_pct/SQRT(MMULT(TRANSPOSE(simple_av_loadings_pct),simple_av_loadings_pct)))</f>
        <v>0.31622776601683789</v>
      </c>
      <c r="G35" s="68">
        <v>0</v>
      </c>
      <c r="H35" s="68">
        <v>0</v>
      </c>
      <c r="I35" s="74"/>
      <c r="J35" s="63">
        <f t="array" ref="J35:J44">IF(COUNTA(x)=0, "", x)</f>
        <v>0</v>
      </c>
    </row>
    <row r="36" spans="2:10" x14ac:dyDescent="0.25">
      <c r="B36" s="57" t="s">
        <v>86</v>
      </c>
      <c r="C36" s="72">
        <v>-0.43520336162408008</v>
      </c>
      <c r="D36" s="69">
        <v>2.1428986294134571E-2</v>
      </c>
      <c r="E36" s="69">
        <v>2.066232725161125E-2</v>
      </c>
      <c r="F36" s="64">
        <v>0.31622776601683789</v>
      </c>
      <c r="G36" s="69">
        <v>2.1425157515742786E-2</v>
      </c>
      <c r="H36" s="69">
        <v>0</v>
      </c>
      <c r="I36" s="75"/>
      <c r="J36" s="65">
        <v>0</v>
      </c>
    </row>
    <row r="37" spans="2:10" x14ac:dyDescent="0.25">
      <c r="B37" s="57" t="s">
        <v>87</v>
      </c>
      <c r="C37" s="72">
        <v>6.9641199233747605E-2</v>
      </c>
      <c r="D37" s="69">
        <v>7.8670083883427583E-2</v>
      </c>
      <c r="E37" s="69">
        <v>7.7767117919458756E-2</v>
      </c>
      <c r="F37" s="64">
        <v>0.31622776601683789</v>
      </c>
      <c r="G37" s="69">
        <v>7.867184234183619E-2</v>
      </c>
      <c r="H37" s="69">
        <v>0.11671076800832446</v>
      </c>
      <c r="I37" s="75"/>
      <c r="J37" s="65">
        <v>0.11671076800832446</v>
      </c>
    </row>
    <row r="38" spans="2:10" x14ac:dyDescent="0.25">
      <c r="B38" s="57" t="s">
        <v>88</v>
      </c>
      <c r="C38" s="72">
        <v>-0.1030998045528336</v>
      </c>
      <c r="D38" s="69">
        <v>1.1803874660013701E-2</v>
      </c>
      <c r="E38" s="69">
        <v>9.0694802447966998E-3</v>
      </c>
      <c r="F38" s="64">
        <v>0.31622776601683789</v>
      </c>
      <c r="G38" s="69">
        <v>1.1800927212696606E-2</v>
      </c>
      <c r="H38" s="69">
        <v>0.22942887225270456</v>
      </c>
      <c r="I38" s="75"/>
      <c r="J38" s="65">
        <v>0.22942887225270456</v>
      </c>
    </row>
    <row r="39" spans="2:10" x14ac:dyDescent="0.25">
      <c r="B39" s="57" t="s">
        <v>89</v>
      </c>
      <c r="C39" s="72">
        <v>0.43520336162408008</v>
      </c>
      <c r="D39" s="69">
        <v>0</v>
      </c>
      <c r="E39" s="69">
        <v>2.1072322642987583E-3</v>
      </c>
      <c r="F39" s="64">
        <v>0.31622776601683789</v>
      </c>
      <c r="G39" s="69">
        <v>0</v>
      </c>
      <c r="H39" s="69">
        <v>0</v>
      </c>
      <c r="I39" s="75"/>
      <c r="J39" s="65">
        <v>0</v>
      </c>
    </row>
    <row r="40" spans="2:10" x14ac:dyDescent="0.25">
      <c r="B40" s="57" t="s">
        <v>90</v>
      </c>
      <c r="C40" s="72">
        <v>-0.16989156392668922</v>
      </c>
      <c r="D40" s="69">
        <v>0.49894530177965613</v>
      </c>
      <c r="E40" s="69">
        <v>0.49700447509118761</v>
      </c>
      <c r="F40" s="64">
        <v>0.31622776601683789</v>
      </c>
      <c r="G40" s="69">
        <v>0.49894616939259184</v>
      </c>
      <c r="H40" s="69">
        <v>0.5229448981222603</v>
      </c>
      <c r="I40" s="75"/>
      <c r="J40" s="65">
        <v>0.5229448981222603</v>
      </c>
    </row>
    <row r="41" spans="2:10" x14ac:dyDescent="0.25">
      <c r="B41" s="57" t="s">
        <v>91</v>
      </c>
      <c r="C41" s="72">
        <v>0.35250448876425966</v>
      </c>
      <c r="D41" s="69">
        <v>0.49765422888555355</v>
      </c>
      <c r="E41" s="69">
        <v>0.49970130173151739</v>
      </c>
      <c r="F41" s="64">
        <v>0.31622776601683789</v>
      </c>
      <c r="G41" s="69">
        <v>0.49765469261052625</v>
      </c>
      <c r="H41" s="69">
        <v>0.43977231088974295</v>
      </c>
      <c r="I41" s="75"/>
      <c r="J41" s="65">
        <v>0.43977231088974295</v>
      </c>
    </row>
    <row r="42" spans="2:10" x14ac:dyDescent="0.25">
      <c r="B42" s="57" t="s">
        <v>104</v>
      </c>
      <c r="C42" s="72">
        <v>0.43520336094605117</v>
      </c>
      <c r="D42" s="69">
        <v>0</v>
      </c>
      <c r="E42" s="69">
        <v>2.1072322642987583E-3</v>
      </c>
      <c r="F42" s="64">
        <v>0.31622776601683789</v>
      </c>
      <c r="G42" s="69">
        <v>0</v>
      </c>
      <c r="H42" s="69">
        <v>0</v>
      </c>
      <c r="I42" s="75"/>
      <c r="J42" s="65">
        <v>0</v>
      </c>
    </row>
    <row r="43" spans="2:10" x14ac:dyDescent="0.25">
      <c r="B43" s="57" t="s">
        <v>105</v>
      </c>
      <c r="C43" s="72">
        <v>-0.16989156392668903</v>
      </c>
      <c r="D43" s="69">
        <v>0.49894543337984121</v>
      </c>
      <c r="E43" s="69">
        <v>0.49700446948221677</v>
      </c>
      <c r="F43" s="64">
        <v>0.31622776601683789</v>
      </c>
      <c r="G43" s="69">
        <v>0.49894365147828407</v>
      </c>
      <c r="H43" s="69">
        <v>0.52294383243725795</v>
      </c>
      <c r="I43" s="75"/>
      <c r="J43" s="65">
        <v>0.52294383243725795</v>
      </c>
    </row>
    <row r="44" spans="2:10" x14ac:dyDescent="0.25">
      <c r="B44" s="57" t="s">
        <v>106</v>
      </c>
      <c r="C44" s="73">
        <v>0.35250450059536559</v>
      </c>
      <c r="D44" s="70">
        <v>0.49765429145635454</v>
      </c>
      <c r="E44" s="70">
        <v>0.49970139578507367</v>
      </c>
      <c r="F44" s="105">
        <v>0.31622776601683789</v>
      </c>
      <c r="G44" s="70">
        <v>0.49765470115893196</v>
      </c>
      <c r="H44" s="70">
        <v>0.43977231089074542</v>
      </c>
      <c r="I44" s="76"/>
      <c r="J44" s="66">
        <v>0.43977231089074542</v>
      </c>
    </row>
    <row r="45" spans="2:10" x14ac:dyDescent="0.25">
      <c r="B45" s="56" t="s">
        <v>133</v>
      </c>
      <c r="C45" s="60">
        <f t="array" ref="C45">IF(COUNTA(pca_loadings)=0,0, MMULT(MMULT(TRANSPOSE(pca_loadings),Q),pca_loadings))</f>
        <v>2.786776602388465</v>
      </c>
      <c r="D45" s="60">
        <f t="array" ref="D45">IF(COUNTA(kt_gr_eq_loadings)=0,0,MMULT(MMULT(TRANSPOSE(kt_gr_eq_loadings),Q),kt_gr_eq_loadings))</f>
        <v>2.4732172664637617</v>
      </c>
      <c r="E45" s="60">
        <f t="array" ref="E45">IF(COUNTA(kt_gr_loadings)=0,0,MMULT(MMULT(TRANSPOSE(kt_gr_loadings),Q),kt_gr_loadings))</f>
        <v>2.4715129385026091</v>
      </c>
      <c r="F45" s="60">
        <f t="array" ref="F45">IF(COUNTA(simple_av_loadings)=0,0,MMULT(MMULT(TRANSPOSE(simple_av_loadings),Q),simple_av_loadings))</f>
        <v>1.130208989530548</v>
      </c>
      <c r="G45" s="60">
        <f t="array" ref="G45">IF(COUNTA(constrained_sol_loadings_scenario_1)=0,0,MMULT(MMULT(TRANSPOSE(constrained_sol_loadings_scenario_1),Q),constrained_sol_loadings_scenario_1))</f>
        <v>2.4732172664188097</v>
      </c>
      <c r="H45" s="60">
        <f t="array" ref="H45">IF(COUNTA(constrained_sol_loadings_scenario_2)=0,0,MMULT(MMULT(TRANSPOSE(constrained_sol_loadings_scenario_2),Q),constrained_sol_loadings_scenario_2))</f>
        <v>2.4147734057373373</v>
      </c>
      <c r="I45" s="60">
        <f t="array" ref="I45">IF(COUNTA(constrained_sol_loadings_scenario_3)=0,0,MMULT(MMULT(TRANSPOSE(constrained_sol_loadings_scenario_3),Q),constrained_sol_loadings_scenario_3))</f>
        <v>0</v>
      </c>
      <c r="J45" s="60">
        <f t="array" ref="J45">IF(COUNTBLANK(constrained_sol_loadings)=ROWS(constrained_sol_loadings),0,MMULT(MMULT(TRANSPOSE(constrained_sol_loadings),Q),constrained_sol_loadings))</f>
        <v>2.4147734057373373</v>
      </c>
    </row>
    <row r="46" spans="2:10" x14ac:dyDescent="0.25">
      <c r="B46" s="57" t="s">
        <v>134</v>
      </c>
      <c r="C46" s="67">
        <f>pca_ret_var/COLUMNS(Q)</f>
        <v>0.27867766023884649</v>
      </c>
      <c r="D46" s="67">
        <f>qt_g_eq_ret_var/COLUMNS(Q)</f>
        <v>0.24732172664637617</v>
      </c>
      <c r="E46" s="67">
        <f>qt_g_ret_var/COLUMNS(Q)</f>
        <v>0.24715129385026091</v>
      </c>
      <c r="F46" s="67">
        <f>simple_av_ret_var/COLUMNS(Q)</f>
        <v>0.11302089895305481</v>
      </c>
      <c r="G46" s="67">
        <f>scenario_1_ret_var/COLUMNS(Q)</f>
        <v>0.24732172664188096</v>
      </c>
      <c r="H46" s="67">
        <f>scenario_2_ret_var/COLUMNS(Q)</f>
        <v>0.24147734057373374</v>
      </c>
      <c r="I46" s="67">
        <f>scenario_3_ret_var/COLUMNS(Q)</f>
        <v>0</v>
      </c>
      <c r="J46" s="67">
        <f>curr_sol_ret_var/COLUMNS(Q)</f>
        <v>0.24147734057373374</v>
      </c>
    </row>
    <row r="48" spans="2:10" ht="18.75" x14ac:dyDescent="0.3">
      <c r="D48" s="129" t="s">
        <v>201</v>
      </c>
      <c r="E48" s="129"/>
      <c r="F48" s="129"/>
      <c r="G48" s="129"/>
      <c r="H48" s="129"/>
      <c r="I48" s="129"/>
    </row>
    <row r="49" spans="4:9" x14ac:dyDescent="0.25">
      <c r="D49" s="103" t="s">
        <v>140</v>
      </c>
      <c r="E49" s="104"/>
      <c r="F49" s="104" t="s">
        <v>141</v>
      </c>
      <c r="G49" s="104"/>
      <c r="H49" s="104"/>
      <c r="I49" s="104"/>
    </row>
    <row r="50" spans="4:9" x14ac:dyDescent="0.25">
      <c r="D50" t="s">
        <v>217</v>
      </c>
      <c r="F50" t="s">
        <v>217</v>
      </c>
    </row>
    <row r="51" spans="4:9" x14ac:dyDescent="0.25">
      <c r="F51" t="s">
        <v>218</v>
      </c>
    </row>
  </sheetData>
  <mergeCells count="23">
    <mergeCell ref="L28:R32"/>
    <mergeCell ref="L27:R27"/>
    <mergeCell ref="D48:I48"/>
    <mergeCell ref="L19:N19"/>
    <mergeCell ref="L18:N18"/>
    <mergeCell ref="L22:N22"/>
    <mergeCell ref="L21:N21"/>
    <mergeCell ref="L25:N25"/>
    <mergeCell ref="L24:N24"/>
    <mergeCell ref="C33:C34"/>
    <mergeCell ref="D33:D34"/>
    <mergeCell ref="E33:E34"/>
    <mergeCell ref="F33:F34"/>
    <mergeCell ref="G33:J33"/>
    <mergeCell ref="C32:J32"/>
    <mergeCell ref="C1:L1"/>
    <mergeCell ref="W14:AE14"/>
    <mergeCell ref="C15:C16"/>
    <mergeCell ref="D15:D16"/>
    <mergeCell ref="E15:E16"/>
    <mergeCell ref="F15:F16"/>
    <mergeCell ref="G15:J15"/>
    <mergeCell ref="C14:J14"/>
  </mergeCells>
  <dataValidations count="10">
    <dataValidation type="list" operator="equal" allowBlank="1" showInputMessage="1" showErrorMessage="1" sqref="Y16 Z16 AA16 AB16 AC16">
      <formula1>"JOB_INV,POVERTY,SUPPLY,QUALITY,INV_COV,DISEASES,QUALITY2,INV_COV2,DISEASES2"</formula1>
    </dataValidation>
    <dataValidation type="list" operator="equal" allowBlank="1" showInputMessage="1" showErrorMessage="1" sqref="Y17 Z17 AA17 AB17 AC17">
      <formula1>"BEN_INV,POVERTY,SUPPLY,QUALITY,INV_COV,DISEASES,QUALITY2,INV_COV2,DISEASES2"</formula1>
    </dataValidation>
    <dataValidation type="list" operator="equal" allowBlank="1" showInputMessage="1" showErrorMessage="1" sqref="Y18 Z18 AA18 AB18 AC18">
      <formula1>"BEN_INV,JOB_INV,SUPPLY,QUALITY,INV_COV,DISEASES,QUALITY2,INV_COV2,DISEASES2"</formula1>
    </dataValidation>
    <dataValidation type="list" operator="equal" allowBlank="1" showInputMessage="1" showErrorMessage="1" sqref="Y19 Z19 AA19 AB19 AC19">
      <formula1>"BEN_INV,JOB_INV,POVERTY,QUALITY,INV_COV,DISEASES,QUALITY2,INV_COV2,DISEASES2"</formula1>
    </dataValidation>
    <dataValidation type="list" operator="equal" allowBlank="1" showInputMessage="1" showErrorMessage="1" sqref="Y20 Z20 AA20 AB20 AC20">
      <formula1>"BEN_INV,JOB_INV,POVERTY,SUPPLY,INV_COV,DISEASES,QUALITY2,INV_COV2,DISEASES2"</formula1>
    </dataValidation>
    <dataValidation type="list" operator="equal" allowBlank="1" showInputMessage="1" showErrorMessage="1" sqref="Y21 Z21 AA21 AB21 AC21">
      <formula1>"BEN_INV,JOB_INV,POVERTY,SUPPLY,QUALITY,DISEASES,QUALITY2,INV_COV2,DISEASES2"</formula1>
    </dataValidation>
    <dataValidation type="list" operator="equal" allowBlank="1" showInputMessage="1" showErrorMessage="1" sqref="Y22 Z22 AA22 AB22 AC22">
      <formula1>"BEN_INV,JOB_INV,POVERTY,SUPPLY,QUALITY,INV_COV,QUALITY2,INV_COV2,DISEASES2"</formula1>
    </dataValidation>
    <dataValidation type="list" operator="equal" allowBlank="1" showInputMessage="1" showErrorMessage="1" sqref="Y23 Z23 AA23 AB23 AC23">
      <formula1>"BEN_INV,JOB_INV,POVERTY,SUPPLY,QUALITY,INV_COV,DISEASES,INV_COV2,DISEASES2"</formula1>
    </dataValidation>
    <dataValidation type="list" operator="equal" allowBlank="1" showInputMessage="1" showErrorMessage="1" sqref="Y24 Z24 AA24 AB24 AC24">
      <formula1>"BEN_INV,JOB_INV,POVERTY,SUPPLY,QUALITY,INV_COV,DISEASES,QUALITY2,DISEASES2"</formula1>
    </dataValidation>
    <dataValidation type="list" operator="equal" allowBlank="1" showInputMessage="1" showErrorMessage="1" sqref="Y25 Z25 AA25 AB25 AC25">
      <formula1>"BEN_INV,JOB_INV,POVERTY,SUPPLY,QUALITY,INV_COV,DISEASES,QUALITY2,INV_COV2"</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9377" r:id="rId3" name="Button 1">
              <controlPr defaultSize="0" print="0" autoFill="0" autoPict="0" macro="[0]!subLoadAddConstraintsForm">
                <anchor moveWithCells="1" sizeWithCells="1">
                  <from>
                    <xdr:col>11</xdr:col>
                    <xdr:colOff>0</xdr:colOff>
                    <xdr:row>14</xdr:row>
                    <xdr:rowOff>95250</xdr:rowOff>
                  </from>
                  <to>
                    <xdr:col>16</xdr:col>
                    <xdr:colOff>0</xdr:colOff>
                    <xdr:row>15</xdr:row>
                    <xdr:rowOff>95250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B1:AE30"/>
  <sheetViews>
    <sheetView showGridLines="0" workbookViewId="0">
      <selection activeCell="G10" sqref="G10"/>
    </sheetView>
  </sheetViews>
  <sheetFormatPr defaultRowHeight="15" x14ac:dyDescent="0.25"/>
  <cols>
    <col min="1" max="1" width="4.7109375" customWidth="1"/>
    <col min="2" max="2" width="17" bestFit="1" customWidth="1"/>
    <col min="7" max="9" width="10" bestFit="1" customWidth="1"/>
    <col min="10" max="10" width="9.42578125" customWidth="1"/>
    <col min="22" max="31" width="0" hidden="1" customWidth="1"/>
  </cols>
  <sheetData>
    <row r="1" spans="2:31" ht="18.75" x14ac:dyDescent="0.3">
      <c r="C1" s="129" t="s">
        <v>125</v>
      </c>
      <c r="D1" s="129"/>
      <c r="E1" s="129"/>
    </row>
    <row r="2" spans="2:31" x14ac:dyDescent="0.25">
      <c r="C2" s="103" t="s">
        <v>92</v>
      </c>
      <c r="D2" s="104" t="s">
        <v>93</v>
      </c>
      <c r="E2" s="104" t="s">
        <v>94</v>
      </c>
    </row>
    <row r="3" spans="2:31" x14ac:dyDescent="0.25">
      <c r="B3" s="56" t="s">
        <v>92</v>
      </c>
      <c r="C3" s="58">
        <v>1</v>
      </c>
      <c r="D3" s="58">
        <v>-7.8071857084504148E-2</v>
      </c>
      <c r="E3" s="58">
        <v>0.34576271262703751</v>
      </c>
    </row>
    <row r="4" spans="2:31" x14ac:dyDescent="0.25">
      <c r="B4" s="57" t="s">
        <v>93</v>
      </c>
      <c r="C4" s="58">
        <v>-7.8071857084504148E-2</v>
      </c>
      <c r="D4" s="58">
        <v>1</v>
      </c>
      <c r="E4" s="58">
        <v>-5.1812435219208794E-2</v>
      </c>
    </row>
    <row r="5" spans="2:31" x14ac:dyDescent="0.25">
      <c r="B5" s="57" t="s">
        <v>94</v>
      </c>
      <c r="C5" s="58">
        <v>0.34576271262703751</v>
      </c>
      <c r="D5" s="58">
        <v>-5.1812435219208794E-2</v>
      </c>
      <c r="E5" s="58">
        <v>1</v>
      </c>
    </row>
    <row r="7" spans="2:31" ht="18.75" x14ac:dyDescent="0.3">
      <c r="C7" s="128" t="s">
        <v>192</v>
      </c>
      <c r="D7" s="128"/>
      <c r="E7" s="128"/>
      <c r="F7" s="128"/>
      <c r="G7" s="128"/>
      <c r="H7" s="128"/>
      <c r="I7" s="128"/>
      <c r="J7" s="128"/>
      <c r="W7" s="128" t="s">
        <v>132</v>
      </c>
      <c r="X7" s="128"/>
      <c r="Y7" s="128"/>
      <c r="Z7" s="128"/>
      <c r="AA7" s="128"/>
      <c r="AB7" s="128"/>
      <c r="AC7" s="128"/>
      <c r="AD7" s="128"/>
      <c r="AE7" s="128"/>
    </row>
    <row r="8" spans="2:31" x14ac:dyDescent="0.25">
      <c r="C8" s="123" t="s">
        <v>135</v>
      </c>
      <c r="D8" s="125" t="s">
        <v>194</v>
      </c>
      <c r="E8" s="125" t="s">
        <v>195</v>
      </c>
      <c r="F8" s="125" t="s">
        <v>138</v>
      </c>
      <c r="G8" s="127" t="s">
        <v>139</v>
      </c>
      <c r="H8" s="127"/>
      <c r="I8" s="127"/>
      <c r="J8" s="127"/>
      <c r="W8" s="103" t="s">
        <v>197</v>
      </c>
      <c r="X8" s="104" t="s">
        <v>198</v>
      </c>
      <c r="Y8" s="104" t="s">
        <v>126</v>
      </c>
      <c r="Z8" s="104" t="s">
        <v>127</v>
      </c>
      <c r="AA8" s="59" t="s">
        <v>128</v>
      </c>
      <c r="AB8" s="104" t="s">
        <v>129</v>
      </c>
      <c r="AC8" s="104" t="s">
        <v>130</v>
      </c>
      <c r="AD8" s="104" t="s">
        <v>193</v>
      </c>
      <c r="AE8" s="104" t="s">
        <v>131</v>
      </c>
    </row>
    <row r="9" spans="2:31" x14ac:dyDescent="0.25">
      <c r="C9" s="124"/>
      <c r="D9" s="126"/>
      <c r="E9" s="126"/>
      <c r="F9" s="126"/>
      <c r="G9" s="104" t="s">
        <v>140</v>
      </c>
      <c r="H9" s="104" t="s">
        <v>141</v>
      </c>
      <c r="I9" s="104" t="s">
        <v>142</v>
      </c>
      <c r="J9" s="104" t="s">
        <v>143</v>
      </c>
      <c r="V9" s="56" t="s">
        <v>92</v>
      </c>
      <c r="W9" s="60">
        <v>-1</v>
      </c>
      <c r="X9" s="60">
        <v>1</v>
      </c>
      <c r="Y9" s="61"/>
      <c r="Z9" s="61"/>
      <c r="AA9" s="61"/>
      <c r="AB9" s="61"/>
      <c r="AC9" s="61"/>
      <c r="AD9" s="102">
        <v>0.39900000000000002</v>
      </c>
      <c r="AE9" s="78">
        <f t="array" ref="AE9:AE11">(p/SQRT(MMULT(TRANSPOSE(p),p)))</f>
        <v>0.58556163309620868</v>
      </c>
    </row>
    <row r="10" spans="2:31" x14ac:dyDescent="0.25">
      <c r="B10" s="56" t="s">
        <v>92</v>
      </c>
      <c r="C10" s="88">
        <v>0.61101352572941536</v>
      </c>
      <c r="D10" s="91">
        <v>0.49999999999958739</v>
      </c>
      <c r="E10" s="91">
        <v>0.49948100624540354</v>
      </c>
      <c r="F10" s="79">
        <f t="array" ref="F10:F12">(1/COUNTA(p))</f>
        <v>0.33333333333333331</v>
      </c>
      <c r="G10" s="91">
        <v>0.47350895554692624</v>
      </c>
      <c r="H10" s="91">
        <v>0.39900000000000002</v>
      </c>
      <c r="I10" s="80"/>
      <c r="J10" s="81">
        <f t="array" ref="J10:J12">IF(COUNTA(p)=0, "", p)</f>
        <v>0.39900000000000002</v>
      </c>
      <c r="V10" s="57" t="s">
        <v>93</v>
      </c>
      <c r="W10" s="60">
        <v>-1</v>
      </c>
      <c r="X10" s="60">
        <v>1</v>
      </c>
      <c r="Y10" s="61"/>
      <c r="Z10" s="61"/>
      <c r="AA10" s="61"/>
      <c r="AB10" s="61"/>
      <c r="AC10" s="61"/>
      <c r="AD10" s="102">
        <v>5.1000000000000004E-2</v>
      </c>
      <c r="AE10" s="78">
        <v>7.4846223779214655E-2</v>
      </c>
    </row>
    <row r="11" spans="2:31" x14ac:dyDescent="0.25">
      <c r="B11" s="57" t="s">
        <v>93</v>
      </c>
      <c r="C11" s="89">
        <v>-0.21415554275035326</v>
      </c>
      <c r="D11" s="92">
        <v>0</v>
      </c>
      <c r="E11" s="92">
        <v>1.0000000000000009E-3</v>
      </c>
      <c r="F11" s="82">
        <v>0.33333333333333331</v>
      </c>
      <c r="G11" s="92">
        <v>5.1000000000000004E-2</v>
      </c>
      <c r="H11" s="92">
        <v>5.1000000000000004E-2</v>
      </c>
      <c r="I11" s="83"/>
      <c r="J11" s="84">
        <v>5.1000000000000004E-2</v>
      </c>
      <c r="L11" s="114" t="s">
        <v>199</v>
      </c>
      <c r="M11" s="115"/>
      <c r="N11" s="116"/>
      <c r="V11" s="57" t="s">
        <v>94</v>
      </c>
      <c r="W11" s="60">
        <v>-1</v>
      </c>
      <c r="X11" s="60">
        <v>1</v>
      </c>
      <c r="Y11" s="61"/>
      <c r="Z11" s="61"/>
      <c r="AA11" s="61"/>
      <c r="AB11" s="61"/>
      <c r="AC11" s="61"/>
      <c r="AD11" s="102">
        <v>0.55000000999999998</v>
      </c>
      <c r="AE11" s="78">
        <v>0.80716517307902536</v>
      </c>
    </row>
    <row r="12" spans="2:31" x14ac:dyDescent="0.25">
      <c r="B12" s="57" t="s">
        <v>94</v>
      </c>
      <c r="C12" s="90">
        <v>0.60314201702093784</v>
      </c>
      <c r="D12" s="93">
        <v>0.50000000000041267</v>
      </c>
      <c r="E12" s="93">
        <v>0.49951899375459635</v>
      </c>
      <c r="F12" s="85">
        <v>0.33333333333333331</v>
      </c>
      <c r="G12" s="93">
        <v>0.47549105445307371</v>
      </c>
      <c r="H12" s="93">
        <v>0.55000000999999998</v>
      </c>
      <c r="I12" s="86"/>
      <c r="J12" s="87">
        <v>0.55000000999999998</v>
      </c>
      <c r="L12" s="117">
        <f t="array" ref="L12">MMULT(MMULT(TRANSPOSE(p),Q),p)/MMULT(TRANSPOSE(p),p)</f>
        <v>1.3137423654685005</v>
      </c>
      <c r="M12" s="118"/>
      <c r="N12" s="119"/>
    </row>
    <row r="13" spans="2:31" x14ac:dyDescent="0.25">
      <c r="B13" s="56" t="s">
        <v>133</v>
      </c>
      <c r="C13" s="60">
        <f t="array" ref="C13">IF(COUNTA(pca_loadings)=0,0, MMULT(MMULT(TRANSPOSE(pca_loadings),Q),pca_loadings))</f>
        <v>1.3686720196322801</v>
      </c>
      <c r="D13" s="60">
        <f t="array" ref="D13">IF(COUNTA(kt_gr_eq_loadings)=0,0,MMULT(MMULT(TRANSPOSE(kt_gr_eq_loadings),Q),kt_gr_eq_loadings))</f>
        <v>1.3457627126270375</v>
      </c>
      <c r="E13" s="60">
        <f t="array" ref="E13">IF(COUNTA(kt_gr_loadings)=0,0,MMULT(MMULT(TRANSPOSE(kt_gr_loadings),Q),kt_gr_loadings))</f>
        <v>1.345501992625276</v>
      </c>
      <c r="F13" s="60">
        <f t="array" ref="F13">IF(COUNTA(simple_av_loadings)=0,0,MMULT(MMULT(TRANSPOSE(simple_av_loadings),Q),simple_av_loadings))</f>
        <v>1.1439189468822162</v>
      </c>
      <c r="G13" s="60">
        <f t="array" ref="G13">IF(COUNTA(constrained_sol_loadings_scenario_1)=0,0,MMULT(MMULT(TRANSPOSE(constrained_sol_loadings_scenario_1),Q),constrained_sol_loadings_scenario_1))</f>
        <v>1.3298999447835089</v>
      </c>
      <c r="H13" s="60">
        <f t="array" ref="H13">IF(COUNTA(constrained_sol_loadings_scenario_2)=0,0,MMULT(MMULT(TRANSPOSE(constrained_sol_loadings_scenario_2),Q),constrained_sol_loadings_scenario_2))</f>
        <v>1.3137423654685008</v>
      </c>
      <c r="I13" s="60">
        <f t="array" ref="I13">IF(COUNTA(constrained_sol_loadings_scenario_3)=0,0,MMULT(MMULT(TRANSPOSE(constrained_sol_loadings_scenario_3),Q),constrained_sol_loadings_scenario_3))</f>
        <v>0</v>
      </c>
      <c r="J13" s="60">
        <f t="array" ref="J13">IF(COUNTBLANK(constrained_sol_loadings)=ROWS(constrained_sol_loadings),0,MMULT(MMULT(TRANSPOSE(constrained_sol_loadings),Q),constrained_sol_loadings))</f>
        <v>1.3137423654685008</v>
      </c>
    </row>
    <row r="14" spans="2:31" x14ac:dyDescent="0.25">
      <c r="B14" s="57" t="s">
        <v>134</v>
      </c>
      <c r="C14" s="67">
        <f>pca_ret_var/COLUMNS(Q)</f>
        <v>0.4562240065440934</v>
      </c>
      <c r="D14" s="67">
        <f>qt_g_eq_ret_var/COLUMNS(Q)</f>
        <v>0.44858757087567919</v>
      </c>
      <c r="E14" s="67">
        <f>qt_g_ret_var/COLUMNS(Q)</f>
        <v>0.44850066420842533</v>
      </c>
      <c r="F14" s="67">
        <f>simple_av_ret_var/COLUMNS(Q)</f>
        <v>0.38130631562740541</v>
      </c>
      <c r="G14" s="67">
        <f>scenario_1_ret_var_pct/COLUMNS(Q)</f>
        <v>0.44329998159450296</v>
      </c>
      <c r="H14" s="67">
        <f>scenario_2_ret_var_pct/COLUMNS(Q)</f>
        <v>0.43791412182283357</v>
      </c>
      <c r="I14" s="67">
        <f>scenario_3_ret_var_pct/COLUMNS(Q)</f>
        <v>0</v>
      </c>
      <c r="J14" s="67">
        <f>curr_sol_ret_var_pct/COLUMNS(Q)</f>
        <v>0.43791412182283357</v>
      </c>
      <c r="L14" s="114" t="s">
        <v>196</v>
      </c>
      <c r="M14" s="115"/>
      <c r="N14" s="116"/>
    </row>
    <row r="15" spans="2:31" x14ac:dyDescent="0.25">
      <c r="L15" s="117">
        <f t="array" ref="L15">SUM(p)</f>
        <v>1.0000000099999999</v>
      </c>
      <c r="M15" s="118"/>
      <c r="N15" s="119"/>
    </row>
    <row r="17" spans="2:18" x14ac:dyDescent="0.25">
      <c r="L17" s="114" t="s">
        <v>145</v>
      </c>
      <c r="M17" s="115"/>
      <c r="N17" s="116"/>
    </row>
    <row r="18" spans="2:18" ht="18.75" x14ac:dyDescent="0.3">
      <c r="C18" s="128" t="s">
        <v>144</v>
      </c>
      <c r="D18" s="128"/>
      <c r="E18" s="128"/>
      <c r="F18" s="128"/>
      <c r="G18" s="128"/>
      <c r="H18" s="128"/>
      <c r="I18" s="128"/>
      <c r="J18" s="128"/>
      <c r="L18" s="120">
        <v>5</v>
      </c>
      <c r="M18" s="121"/>
      <c r="N18" s="122"/>
    </row>
    <row r="19" spans="2:18" x14ac:dyDescent="0.25">
      <c r="C19" s="123" t="s">
        <v>135</v>
      </c>
      <c r="D19" s="125" t="s">
        <v>136</v>
      </c>
      <c r="E19" s="125" t="s">
        <v>137</v>
      </c>
      <c r="F19" s="125" t="s">
        <v>138</v>
      </c>
      <c r="G19" s="127" t="s">
        <v>139</v>
      </c>
      <c r="H19" s="127"/>
      <c r="I19" s="127"/>
      <c r="J19" s="127"/>
    </row>
    <row r="20" spans="2:18" x14ac:dyDescent="0.25">
      <c r="C20" s="124"/>
      <c r="D20" s="126"/>
      <c r="E20" s="126"/>
      <c r="F20" s="126"/>
      <c r="G20" s="104" t="s">
        <v>140</v>
      </c>
      <c r="H20" s="104" t="s">
        <v>141</v>
      </c>
      <c r="I20" s="104" t="s">
        <v>142</v>
      </c>
      <c r="J20" s="104" t="s">
        <v>143</v>
      </c>
      <c r="L20" s="114" t="s">
        <v>146</v>
      </c>
      <c r="M20" s="115"/>
      <c r="N20" s="115"/>
      <c r="O20" s="115"/>
      <c r="P20" s="115"/>
      <c r="Q20" s="115"/>
      <c r="R20" s="116"/>
    </row>
    <row r="21" spans="2:18" x14ac:dyDescent="0.25">
      <c r="B21" s="56" t="s">
        <v>92</v>
      </c>
      <c r="C21" s="71">
        <v>0.69051858806590527</v>
      </c>
      <c r="D21" s="68">
        <v>0.70710678118596393</v>
      </c>
      <c r="E21" s="68">
        <v>0.70707918406677495</v>
      </c>
      <c r="F21" s="62">
        <f t="array" ref="F21:F23">(simple_av_loadings_pct/SQRT(MMULT(TRANSPOSE(simple_av_loadings_pct),simple_av_loadings_pct)))</f>
        <v>0.57735026918962573</v>
      </c>
      <c r="G21" s="68">
        <v>0.70359925573405835</v>
      </c>
      <c r="H21" s="68">
        <v>0.58556163309620868</v>
      </c>
      <c r="I21" s="74"/>
      <c r="J21" s="63">
        <f t="array" ref="J21:J23">IF(COUNTA(x)=0, "", x)</f>
        <v>0.58556163309620868</v>
      </c>
      <c r="L21" s="130" t="s">
        <v>200</v>
      </c>
      <c r="M21" s="109"/>
      <c r="N21" s="109"/>
      <c r="O21" s="109"/>
      <c r="P21" s="109"/>
      <c r="Q21" s="109"/>
      <c r="R21" s="110"/>
    </row>
    <row r="22" spans="2:18" x14ac:dyDescent="0.25">
      <c r="B22" s="57" t="s">
        <v>93</v>
      </c>
      <c r="C22" s="72">
        <v>-0.24202145579335152</v>
      </c>
      <c r="D22" s="69">
        <v>0</v>
      </c>
      <c r="E22" s="69">
        <v>1.4156277720786354E-3</v>
      </c>
      <c r="F22" s="64">
        <v>0.57735026918962573</v>
      </c>
      <c r="G22" s="69">
        <v>7.5782224648717977E-2</v>
      </c>
      <c r="H22" s="69">
        <v>7.4846223779214655E-2</v>
      </c>
      <c r="I22" s="75"/>
      <c r="J22" s="65">
        <v>7.4846223779214655E-2</v>
      </c>
      <c r="L22" s="108"/>
      <c r="M22" s="109"/>
      <c r="N22" s="109"/>
      <c r="O22" s="109"/>
      <c r="P22" s="109"/>
      <c r="Q22" s="109"/>
      <c r="R22" s="110"/>
    </row>
    <row r="23" spans="2:18" x14ac:dyDescent="0.25">
      <c r="B23" s="57" t="s">
        <v>94</v>
      </c>
      <c r="C23" s="73">
        <v>0.68162283887142106</v>
      </c>
      <c r="D23" s="70">
        <v>0.70710678118713111</v>
      </c>
      <c r="E23" s="70">
        <v>0.70713296023978045</v>
      </c>
      <c r="F23" s="105">
        <v>0.57735026918962573</v>
      </c>
      <c r="G23" s="70">
        <v>0.7065445079807573</v>
      </c>
      <c r="H23" s="70">
        <v>0.80716517307902536</v>
      </c>
      <c r="I23" s="76"/>
      <c r="J23" s="66">
        <v>0.80716517307902536</v>
      </c>
      <c r="L23" s="108"/>
      <c r="M23" s="109"/>
      <c r="N23" s="109"/>
      <c r="O23" s="109"/>
      <c r="P23" s="109"/>
      <c r="Q23" s="109"/>
      <c r="R23" s="110"/>
    </row>
    <row r="24" spans="2:18" x14ac:dyDescent="0.25">
      <c r="B24" s="56" t="s">
        <v>133</v>
      </c>
      <c r="C24" s="60">
        <f t="array" ref="C24">IF(COUNTA(pca_loadings)=0,0, MMULT(MMULT(TRANSPOSE(pca_loadings),Q),pca_loadings))</f>
        <v>1.3686720196322801</v>
      </c>
      <c r="D24" s="60">
        <f t="array" ref="D24">IF(COUNTA(kt_gr_eq_loadings)=0,0,MMULT(MMULT(TRANSPOSE(kt_gr_eq_loadings),Q),kt_gr_eq_loadings))</f>
        <v>1.3457627126270375</v>
      </c>
      <c r="E24" s="60">
        <f t="array" ref="E24">IF(COUNTA(kt_gr_loadings)=0,0,MMULT(MMULT(TRANSPOSE(kt_gr_loadings),Q),kt_gr_loadings))</f>
        <v>1.345501992625276</v>
      </c>
      <c r="F24" s="60">
        <f t="array" ref="F24">IF(COUNTA(simple_av_loadings)=0,0,MMULT(MMULT(TRANSPOSE(simple_av_loadings),Q),simple_av_loadings))</f>
        <v>1.1439189468822162</v>
      </c>
      <c r="G24" s="60">
        <f t="array" ref="G24">IF(COUNTA(constrained_sol_loadings_scenario_1)=0,0,MMULT(MMULT(TRANSPOSE(constrained_sol_loadings_scenario_1),Q),constrained_sol_loadings_scenario_1))</f>
        <v>1.3298999447835089</v>
      </c>
      <c r="H24" s="60">
        <f t="array" ref="H24">IF(COUNTA(constrained_sol_loadings_scenario_2)=0,0,MMULT(MMULT(TRANSPOSE(constrained_sol_loadings_scenario_2),Q),constrained_sol_loadings_scenario_2))</f>
        <v>1.3137423654685008</v>
      </c>
      <c r="I24" s="60">
        <f t="array" ref="I24">IF(COUNTA(constrained_sol_loadings_scenario_3)=0,0,MMULT(MMULT(TRANSPOSE(constrained_sol_loadings_scenario_3),Q),constrained_sol_loadings_scenario_3))</f>
        <v>0</v>
      </c>
      <c r="J24" s="60">
        <f t="array" ref="J24">IF(COUNTBLANK(constrained_sol_loadings)=ROWS(constrained_sol_loadings),0,MMULT(MMULT(TRANSPOSE(constrained_sol_loadings),Q),constrained_sol_loadings))</f>
        <v>1.3137423654685008</v>
      </c>
      <c r="L24" s="108"/>
      <c r="M24" s="109"/>
      <c r="N24" s="109"/>
      <c r="O24" s="109"/>
      <c r="P24" s="109"/>
      <c r="Q24" s="109"/>
      <c r="R24" s="110"/>
    </row>
    <row r="25" spans="2:18" x14ac:dyDescent="0.25">
      <c r="B25" s="57" t="s">
        <v>134</v>
      </c>
      <c r="C25" s="67">
        <f>pca_ret_var/COLUMNS(Q)</f>
        <v>0.4562240065440934</v>
      </c>
      <c r="D25" s="67">
        <f>qt_g_eq_ret_var/COLUMNS(Q)</f>
        <v>0.44858757087567919</v>
      </c>
      <c r="E25" s="67">
        <f>qt_g_ret_var/COLUMNS(Q)</f>
        <v>0.44850066420842533</v>
      </c>
      <c r="F25" s="67">
        <f>simple_av_ret_var/COLUMNS(Q)</f>
        <v>0.38130631562740541</v>
      </c>
      <c r="G25" s="67">
        <f>scenario_1_ret_var/COLUMNS(Q)</f>
        <v>0.44329998159450296</v>
      </c>
      <c r="H25" s="67">
        <f>scenario_2_ret_var/COLUMNS(Q)</f>
        <v>0.43791412182283357</v>
      </c>
      <c r="I25" s="67">
        <f>scenario_3_ret_var/COLUMNS(Q)</f>
        <v>0</v>
      </c>
      <c r="J25" s="67">
        <f>curr_sol_ret_var/COLUMNS(Q)</f>
        <v>0.43791412182283357</v>
      </c>
      <c r="L25" s="111"/>
      <c r="M25" s="112"/>
      <c r="N25" s="112"/>
      <c r="O25" s="112"/>
      <c r="P25" s="112"/>
      <c r="Q25" s="112"/>
      <c r="R25" s="113"/>
    </row>
    <row r="27" spans="2:18" ht="18.75" x14ac:dyDescent="0.3">
      <c r="D27" s="129" t="s">
        <v>201</v>
      </c>
      <c r="E27" s="129"/>
      <c r="F27" s="129"/>
      <c r="G27" s="129"/>
      <c r="H27" s="129"/>
      <c r="I27" s="129"/>
    </row>
    <row r="28" spans="2:18" x14ac:dyDescent="0.25">
      <c r="D28" s="103" t="s">
        <v>140</v>
      </c>
      <c r="E28" s="104"/>
      <c r="F28" s="104" t="s">
        <v>141</v>
      </c>
      <c r="G28" s="104"/>
      <c r="H28" s="104"/>
      <c r="I28" s="104"/>
    </row>
    <row r="29" spans="2:18" x14ac:dyDescent="0.25">
      <c r="D29" t="s">
        <v>219</v>
      </c>
      <c r="F29" t="s">
        <v>219</v>
      </c>
    </row>
    <row r="30" spans="2:18" x14ac:dyDescent="0.25">
      <c r="F30" t="s">
        <v>220</v>
      </c>
    </row>
  </sheetData>
  <mergeCells count="23">
    <mergeCell ref="L21:R25"/>
    <mergeCell ref="L20:R20"/>
    <mergeCell ref="D27:I27"/>
    <mergeCell ref="L12:N12"/>
    <mergeCell ref="L11:N11"/>
    <mergeCell ref="L15:N15"/>
    <mergeCell ref="L14:N14"/>
    <mergeCell ref="L18:N18"/>
    <mergeCell ref="L17:N17"/>
    <mergeCell ref="C19:C20"/>
    <mergeCell ref="D19:D20"/>
    <mergeCell ref="E19:E20"/>
    <mergeCell ref="F19:F20"/>
    <mergeCell ref="G19:J19"/>
    <mergeCell ref="C18:J18"/>
    <mergeCell ref="C1:E1"/>
    <mergeCell ref="W7:AE7"/>
    <mergeCell ref="C8:C9"/>
    <mergeCell ref="D8:D9"/>
    <mergeCell ref="E8:E9"/>
    <mergeCell ref="F8:F9"/>
    <mergeCell ref="G8:J8"/>
    <mergeCell ref="C7:J7"/>
  </mergeCells>
  <dataValidations count="3">
    <dataValidation type="list" operator="equal" allowBlank="1" showInputMessage="1" showErrorMessage="1" sqref="Y9 Z9 AA9 AB9 AC9">
      <formula1>"BCR,YIELD"</formula1>
    </dataValidation>
    <dataValidation type="list" operator="equal" allowBlank="1" showInputMessage="1" showErrorMessage="1" sqref="Y10 Z10 AA10 AB10 AC10">
      <formula1>"NRW,YIELD"</formula1>
    </dataValidation>
    <dataValidation type="list" operator="equal" allowBlank="1" showInputMessage="1" showErrorMessage="1" sqref="Y11 Z11 AA11 AB11 AC11">
      <formula1>"NRW,BCR"</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30401" r:id="rId3" name="Button 1">
              <controlPr defaultSize="0" print="0" autoFill="0" autoPict="0" macro="[0]!subLoadAddConstraintsForm">
                <anchor moveWithCells="1" sizeWithCells="1">
                  <from>
                    <xdr:col>11</xdr:col>
                    <xdr:colOff>0</xdr:colOff>
                    <xdr:row>7</xdr:row>
                    <xdr:rowOff>95250</xdr:rowOff>
                  </from>
                  <to>
                    <xdr:col>16</xdr:col>
                    <xdr:colOff>0</xdr:colOff>
                    <xdr:row>8</xdr:row>
                    <xdr:rowOff>95250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F34"/>
  <sheetViews>
    <sheetView showGridLines="0" topLeftCell="Y1" zoomScale="75" zoomScaleNormal="75" workbookViewId="0">
      <selection activeCell="FD1" sqref="FD1:FF1"/>
    </sheetView>
  </sheetViews>
  <sheetFormatPr defaultRowHeight="15" outlineLevelCol="1" x14ac:dyDescent="0.25"/>
  <cols>
    <col min="1" max="2" width="9.28515625" hidden="1" customWidth="1" outlineLevel="1"/>
    <col min="3" max="5" width="9.42578125" hidden="1" customWidth="1" outlineLevel="1"/>
    <col min="6" max="6" width="9.28515625" hidden="1" customWidth="1" outlineLevel="1"/>
    <col min="7" max="9" width="9.42578125" hidden="1" customWidth="1" outlineLevel="1"/>
    <col min="10" max="10" width="9.5703125" hidden="1" customWidth="1" outlineLevel="1"/>
    <col min="11" max="12" width="10.140625" hidden="1" customWidth="1" outlineLevel="1"/>
    <col min="13" max="13" width="12.5703125" hidden="1" customWidth="1" outlineLevel="1"/>
    <col min="14" max="14" width="12.28515625" hidden="1" customWidth="1" outlineLevel="1"/>
    <col min="15" max="15" width="12.7109375" hidden="1" customWidth="1" outlineLevel="1"/>
    <col min="16" max="16" width="11.140625" hidden="1" customWidth="1" outlineLevel="1"/>
    <col min="17" max="17" width="12.140625" hidden="1" customWidth="1" outlineLevel="1"/>
    <col min="18" max="19" width="12.85546875" hidden="1" customWidth="1" outlineLevel="1"/>
    <col min="20" max="20" width="13.28515625" hidden="1" customWidth="1" outlineLevel="1"/>
    <col min="21" max="22" width="14" hidden="1" customWidth="1" outlineLevel="1"/>
    <col min="23" max="23" width="9.42578125" hidden="1" customWidth="1" outlineLevel="1"/>
    <col min="24" max="24" width="8.28515625" hidden="1" customWidth="1" outlineLevel="1"/>
    <col min="25" max="25" width="21.42578125" style="17" customWidth="1" collapsed="1"/>
    <col min="26" max="26" width="9.28515625" style="17" hidden="1" customWidth="1" outlineLevel="1"/>
    <col min="27" max="27" width="9.140625" style="136" customWidth="1" collapsed="1"/>
    <col min="28" max="29" width="9.28515625" hidden="1" customWidth="1" outlineLevel="1"/>
    <col min="30" max="32" width="9.42578125" hidden="1" customWidth="1" outlineLevel="1"/>
    <col min="33" max="33" width="9.28515625" hidden="1" customWidth="1" outlineLevel="1"/>
    <col min="34" max="36" width="9.42578125" hidden="1" customWidth="1" outlineLevel="1"/>
    <col min="37" max="37" width="9.5703125" hidden="1" customWidth="1" outlineLevel="1"/>
    <col min="38" max="39" width="10.140625" hidden="1" customWidth="1" outlineLevel="1"/>
    <col min="40" max="40" width="12.5703125" hidden="1" customWidth="1" outlineLevel="1"/>
    <col min="41" max="41" width="12.28515625" hidden="1" customWidth="1" outlineLevel="1"/>
    <col min="42" max="42" width="12.7109375" hidden="1" customWidth="1" outlineLevel="1"/>
    <col min="43" max="43" width="11.140625" hidden="1" customWidth="1" outlineLevel="1"/>
    <col min="44" max="44" width="12.140625" hidden="1" customWidth="1" outlineLevel="1"/>
    <col min="45" max="46" width="12.85546875" hidden="1" customWidth="1" outlineLevel="1"/>
    <col min="47" max="47" width="13.28515625" hidden="1" customWidth="1" outlineLevel="1"/>
    <col min="48" max="49" width="14" hidden="1" customWidth="1" outlineLevel="1"/>
    <col min="50" max="50" width="9.42578125" hidden="1" customWidth="1" outlineLevel="1"/>
    <col min="51" max="51" width="8.28515625" hidden="1" customWidth="1" outlineLevel="1"/>
    <col min="52" max="52" width="21.42578125" style="17" customWidth="1" collapsed="1"/>
    <col min="53" max="53" width="9.28515625" style="17" hidden="1" customWidth="1" outlineLevel="1"/>
    <col min="54" max="54" width="9.140625" style="136" customWidth="1" collapsed="1"/>
    <col min="55" max="56" width="9.28515625" hidden="1" customWidth="1" outlineLevel="1"/>
    <col min="57" max="59" width="9.42578125" hidden="1" customWidth="1" outlineLevel="1"/>
    <col min="60" max="60" width="9.28515625" hidden="1" customWidth="1" outlineLevel="1"/>
    <col min="61" max="63" width="9.42578125" hidden="1" customWidth="1" outlineLevel="1"/>
    <col min="64" max="64" width="9.5703125" hidden="1" customWidth="1" outlineLevel="1"/>
    <col min="65" max="66" width="10.140625" hidden="1" customWidth="1" outlineLevel="1"/>
    <col min="67" max="67" width="12.5703125" hidden="1" customWidth="1" outlineLevel="1"/>
    <col min="68" max="68" width="12.28515625" hidden="1" customWidth="1" outlineLevel="1"/>
    <col min="69" max="69" width="12.7109375" hidden="1" customWidth="1" outlineLevel="1"/>
    <col min="70" max="70" width="11.140625" hidden="1" customWidth="1" outlineLevel="1"/>
    <col min="71" max="71" width="12.140625" hidden="1" customWidth="1" outlineLevel="1"/>
    <col min="72" max="73" width="12.85546875" hidden="1" customWidth="1" outlineLevel="1"/>
    <col min="74" max="74" width="13.28515625" hidden="1" customWidth="1" outlineLevel="1"/>
    <col min="75" max="76" width="14" hidden="1" customWidth="1" outlineLevel="1"/>
    <col min="77" max="77" width="9.42578125" hidden="1" customWidth="1" outlineLevel="1"/>
    <col min="78" max="78" width="8.28515625" hidden="1" customWidth="1" outlineLevel="1"/>
    <col min="79" max="79" width="9.28515625" style="17" customWidth="1" collapsed="1"/>
    <col min="80" max="80" width="9.28515625" style="17" hidden="1" customWidth="1" outlineLevel="1"/>
    <col min="81" max="81" width="8.28515625" style="136" customWidth="1" collapsed="1"/>
    <col min="82" max="83" width="9.28515625" hidden="1" customWidth="1" outlineLevel="1"/>
    <col min="84" max="86" width="9.42578125" hidden="1" customWidth="1" outlineLevel="1"/>
    <col min="87" max="87" width="9.28515625" hidden="1" customWidth="1" outlineLevel="1"/>
    <col min="88" max="90" width="9.42578125" hidden="1" customWidth="1" outlineLevel="1"/>
    <col min="91" max="91" width="9.5703125" hidden="1" customWidth="1" outlineLevel="1"/>
    <col min="92" max="93" width="10.140625" hidden="1" customWidth="1" outlineLevel="1"/>
    <col min="94" max="94" width="12.5703125" hidden="1" customWidth="1" outlineLevel="1"/>
    <col min="95" max="95" width="12.28515625" hidden="1" customWidth="1" outlineLevel="1"/>
    <col min="96" max="96" width="12.7109375" hidden="1" customWidth="1" outlineLevel="1"/>
    <col min="97" max="97" width="11.140625" hidden="1" customWidth="1" outlineLevel="1"/>
    <col min="98" max="98" width="12.140625" hidden="1" customWidth="1" outlineLevel="1"/>
    <col min="99" max="100" width="12.85546875" hidden="1" customWidth="1" outlineLevel="1"/>
    <col min="101" max="101" width="13.28515625" hidden="1" customWidth="1" outlineLevel="1"/>
    <col min="102" max="103" width="14" hidden="1" customWidth="1" outlineLevel="1"/>
    <col min="104" max="104" width="9.42578125" hidden="1" customWidth="1" outlineLevel="1"/>
    <col min="105" max="105" width="8.28515625" hidden="1" customWidth="1" outlineLevel="1"/>
    <col min="106" max="106" width="9.42578125" style="17" customWidth="1" collapsed="1"/>
    <col min="107" max="107" width="9.28515625" style="17" hidden="1" customWidth="1" outlineLevel="1"/>
    <col min="108" max="108" width="8.28515625" style="136" customWidth="1" collapsed="1"/>
    <col min="109" max="110" width="9.28515625" hidden="1" customWidth="1" outlineLevel="1"/>
    <col min="111" max="113" width="9.42578125" hidden="1" customWidth="1" outlineLevel="1"/>
    <col min="114" max="114" width="9.28515625" hidden="1" customWidth="1" outlineLevel="1"/>
    <col min="115" max="117" width="9.42578125" hidden="1" customWidth="1" outlineLevel="1"/>
    <col min="118" max="118" width="9.5703125" hidden="1" customWidth="1" outlineLevel="1"/>
    <col min="119" max="120" width="10.140625" hidden="1" customWidth="1" outlineLevel="1"/>
    <col min="121" max="121" width="12.5703125" hidden="1" customWidth="1" outlineLevel="1"/>
    <col min="122" max="122" width="12.28515625" hidden="1" customWidth="1" outlineLevel="1"/>
    <col min="123" max="123" width="12.7109375" hidden="1" customWidth="1" outlineLevel="1"/>
    <col min="124" max="124" width="11.140625" hidden="1" customWidth="1" outlineLevel="1"/>
    <col min="125" max="125" width="12.140625" hidden="1" customWidth="1" outlineLevel="1"/>
    <col min="126" max="127" width="12.85546875" hidden="1" customWidth="1" outlineLevel="1"/>
    <col min="128" max="128" width="13.28515625" hidden="1" customWidth="1" outlineLevel="1"/>
    <col min="129" max="130" width="14" hidden="1" customWidth="1" outlineLevel="1"/>
    <col min="131" max="131" width="9.42578125" hidden="1" customWidth="1" outlineLevel="1"/>
    <col min="132" max="132" width="8.28515625" hidden="1" customWidth="1" outlineLevel="1"/>
    <col min="133" max="133" width="9.28515625" style="17" customWidth="1" collapsed="1"/>
    <col min="134" max="134" width="9.28515625" style="17" hidden="1" customWidth="1" outlineLevel="1"/>
    <col min="135" max="135" width="8.28515625" style="136" customWidth="1" collapsed="1"/>
    <col min="136" max="137" width="9.28515625" hidden="1" customWidth="1" outlineLevel="1"/>
    <col min="138" max="140" width="9.42578125" hidden="1" customWidth="1" outlineLevel="1"/>
    <col min="141" max="141" width="9.28515625" hidden="1" customWidth="1" outlineLevel="1"/>
    <col min="142" max="144" width="9.42578125" hidden="1" customWidth="1" outlineLevel="1"/>
    <col min="145" max="145" width="9.5703125" hidden="1" customWidth="1" outlineLevel="1"/>
    <col min="146" max="147" width="10.140625" hidden="1" customWidth="1" outlineLevel="1"/>
    <col min="148" max="148" width="12.5703125" hidden="1" customWidth="1" outlineLevel="1"/>
    <col min="149" max="149" width="12.28515625" hidden="1" customWidth="1" outlineLevel="1"/>
    <col min="150" max="150" width="12.7109375" hidden="1" customWidth="1" outlineLevel="1"/>
    <col min="151" max="151" width="11.140625" hidden="1" customWidth="1" outlineLevel="1"/>
    <col min="152" max="152" width="12.140625" hidden="1" customWidth="1" outlineLevel="1"/>
    <col min="153" max="154" width="12.85546875" hidden="1" customWidth="1" outlineLevel="1"/>
    <col min="155" max="155" width="13.28515625" hidden="1" customWidth="1" outlineLevel="1"/>
    <col min="156" max="157" width="14" hidden="1" customWidth="1" outlineLevel="1"/>
    <col min="158" max="158" width="9.42578125" hidden="1" customWidth="1" outlineLevel="1"/>
    <col min="159" max="159" width="8.28515625" hidden="1" customWidth="1" outlineLevel="1"/>
    <col min="160" max="160" width="15" style="17" customWidth="1" collapsed="1"/>
    <col min="161" max="161" width="9.28515625" style="17" hidden="1" customWidth="1" outlineLevel="1"/>
    <col min="162" max="162" width="8.85546875" style="136" customWidth="1" collapsed="1"/>
  </cols>
  <sheetData>
    <row r="1" spans="1:162" x14ac:dyDescent="0.25">
      <c r="Y1" s="132" t="s">
        <v>151</v>
      </c>
      <c r="Z1" s="132"/>
      <c r="AA1" s="133"/>
      <c r="AZ1" s="132" t="s">
        <v>235</v>
      </c>
      <c r="BA1" s="132"/>
      <c r="BB1" s="133"/>
      <c r="CA1" s="132" t="s">
        <v>135</v>
      </c>
      <c r="CB1" s="132"/>
      <c r="CC1" s="133"/>
      <c r="DB1" s="132" t="s">
        <v>152</v>
      </c>
      <c r="DC1" s="132"/>
      <c r="DD1" s="133"/>
      <c r="EC1" s="132" t="s">
        <v>153</v>
      </c>
      <c r="ED1" s="132"/>
      <c r="EE1" s="133"/>
      <c r="FD1" s="132" t="s">
        <v>154</v>
      </c>
      <c r="FE1" s="132"/>
      <c r="FF1" s="133"/>
    </row>
    <row r="2" spans="1:162" x14ac:dyDescent="0.25">
      <c r="A2" s="104" t="s">
        <v>56</v>
      </c>
      <c r="B2" s="104" t="s">
        <v>221</v>
      </c>
      <c r="C2" s="104" t="s">
        <v>85</v>
      </c>
      <c r="D2" s="104" t="s">
        <v>86</v>
      </c>
      <c r="E2" s="104" t="s">
        <v>87</v>
      </c>
      <c r="F2" s="104" t="s">
        <v>88</v>
      </c>
      <c r="G2" s="104" t="s">
        <v>89</v>
      </c>
      <c r="H2" s="104" t="s">
        <v>90</v>
      </c>
      <c r="I2" s="104" t="s">
        <v>91</v>
      </c>
      <c r="J2" s="104" t="s">
        <v>104</v>
      </c>
      <c r="K2" s="104" t="s">
        <v>105</v>
      </c>
      <c r="L2" s="104" t="s">
        <v>106</v>
      </c>
      <c r="M2" s="104" t="s">
        <v>222</v>
      </c>
      <c r="N2" s="104" t="s">
        <v>223</v>
      </c>
      <c r="O2" s="104" t="s">
        <v>224</v>
      </c>
      <c r="P2" s="104" t="s">
        <v>225</v>
      </c>
      <c r="Q2" s="104" t="s">
        <v>226</v>
      </c>
      <c r="R2" s="104" t="s">
        <v>227</v>
      </c>
      <c r="S2" s="104" t="s">
        <v>228</v>
      </c>
      <c r="T2" s="104" t="s">
        <v>229</v>
      </c>
      <c r="U2" s="104" t="s">
        <v>230</v>
      </c>
      <c r="V2" s="104" t="s">
        <v>231</v>
      </c>
      <c r="W2" s="104" t="s">
        <v>232</v>
      </c>
      <c r="X2" s="104" t="s">
        <v>233</v>
      </c>
      <c r="Y2" s="104" t="s">
        <v>56</v>
      </c>
      <c r="Z2" s="104" t="s">
        <v>221</v>
      </c>
      <c r="AA2" s="134" t="s">
        <v>233</v>
      </c>
      <c r="AB2" s="103" t="s">
        <v>56</v>
      </c>
      <c r="AC2" s="104" t="s">
        <v>221</v>
      </c>
      <c r="AD2" s="104" t="s">
        <v>85</v>
      </c>
      <c r="AE2" s="104" t="s">
        <v>86</v>
      </c>
      <c r="AF2" s="104" t="s">
        <v>87</v>
      </c>
      <c r="AG2" s="104" t="s">
        <v>88</v>
      </c>
      <c r="AH2" s="104" t="s">
        <v>89</v>
      </c>
      <c r="AI2" s="104" t="s">
        <v>90</v>
      </c>
      <c r="AJ2" s="104" t="s">
        <v>91</v>
      </c>
      <c r="AK2" s="104" t="s">
        <v>104</v>
      </c>
      <c r="AL2" s="104" t="s">
        <v>105</v>
      </c>
      <c r="AM2" s="104" t="s">
        <v>106</v>
      </c>
      <c r="AN2" s="104" t="s">
        <v>222</v>
      </c>
      <c r="AO2" s="104" t="s">
        <v>223</v>
      </c>
      <c r="AP2" s="104" t="s">
        <v>224</v>
      </c>
      <c r="AQ2" s="104" t="s">
        <v>225</v>
      </c>
      <c r="AR2" s="104" t="s">
        <v>226</v>
      </c>
      <c r="AS2" s="104" t="s">
        <v>227</v>
      </c>
      <c r="AT2" s="104" t="s">
        <v>228</v>
      </c>
      <c r="AU2" s="104" t="s">
        <v>229</v>
      </c>
      <c r="AV2" s="104" t="s">
        <v>230</v>
      </c>
      <c r="AW2" s="104" t="s">
        <v>231</v>
      </c>
      <c r="AX2" s="104" t="s">
        <v>232</v>
      </c>
      <c r="AY2" s="104" t="s">
        <v>233</v>
      </c>
      <c r="AZ2" s="104" t="s">
        <v>56</v>
      </c>
      <c r="BA2" s="104" t="s">
        <v>221</v>
      </c>
      <c r="BB2" s="134" t="s">
        <v>233</v>
      </c>
      <c r="BC2" s="103" t="s">
        <v>56</v>
      </c>
      <c r="BD2" s="104" t="s">
        <v>221</v>
      </c>
      <c r="BE2" s="104" t="s">
        <v>85</v>
      </c>
      <c r="BF2" s="104" t="s">
        <v>86</v>
      </c>
      <c r="BG2" s="104" t="s">
        <v>87</v>
      </c>
      <c r="BH2" s="104" t="s">
        <v>88</v>
      </c>
      <c r="BI2" s="104" t="s">
        <v>89</v>
      </c>
      <c r="BJ2" s="104" t="s">
        <v>90</v>
      </c>
      <c r="BK2" s="104" t="s">
        <v>91</v>
      </c>
      <c r="BL2" s="104" t="s">
        <v>104</v>
      </c>
      <c r="BM2" s="104" t="s">
        <v>105</v>
      </c>
      <c r="BN2" s="104" t="s">
        <v>106</v>
      </c>
      <c r="BO2" s="104" t="s">
        <v>222</v>
      </c>
      <c r="BP2" s="104" t="s">
        <v>223</v>
      </c>
      <c r="BQ2" s="104" t="s">
        <v>224</v>
      </c>
      <c r="BR2" s="104" t="s">
        <v>225</v>
      </c>
      <c r="BS2" s="104" t="s">
        <v>226</v>
      </c>
      <c r="BT2" s="104" t="s">
        <v>227</v>
      </c>
      <c r="BU2" s="104" t="s">
        <v>228</v>
      </c>
      <c r="BV2" s="104" t="s">
        <v>229</v>
      </c>
      <c r="BW2" s="104" t="s">
        <v>230</v>
      </c>
      <c r="BX2" s="104" t="s">
        <v>231</v>
      </c>
      <c r="BY2" s="104" t="s">
        <v>232</v>
      </c>
      <c r="BZ2" s="104" t="s">
        <v>233</v>
      </c>
      <c r="CA2" s="104" t="s">
        <v>56</v>
      </c>
      <c r="CB2" s="104" t="s">
        <v>221</v>
      </c>
      <c r="CC2" s="134" t="s">
        <v>233</v>
      </c>
      <c r="CD2" s="103" t="s">
        <v>56</v>
      </c>
      <c r="CE2" s="104" t="s">
        <v>221</v>
      </c>
      <c r="CF2" s="104" t="s">
        <v>85</v>
      </c>
      <c r="CG2" s="104" t="s">
        <v>86</v>
      </c>
      <c r="CH2" s="104" t="s">
        <v>87</v>
      </c>
      <c r="CI2" s="104" t="s">
        <v>88</v>
      </c>
      <c r="CJ2" s="104" t="s">
        <v>89</v>
      </c>
      <c r="CK2" s="104" t="s">
        <v>90</v>
      </c>
      <c r="CL2" s="104" t="s">
        <v>91</v>
      </c>
      <c r="CM2" s="104" t="s">
        <v>104</v>
      </c>
      <c r="CN2" s="104" t="s">
        <v>105</v>
      </c>
      <c r="CO2" s="104" t="s">
        <v>106</v>
      </c>
      <c r="CP2" s="104" t="s">
        <v>222</v>
      </c>
      <c r="CQ2" s="104" t="s">
        <v>223</v>
      </c>
      <c r="CR2" s="104" t="s">
        <v>224</v>
      </c>
      <c r="CS2" s="104" t="s">
        <v>225</v>
      </c>
      <c r="CT2" s="104" t="s">
        <v>226</v>
      </c>
      <c r="CU2" s="104" t="s">
        <v>227</v>
      </c>
      <c r="CV2" s="104" t="s">
        <v>228</v>
      </c>
      <c r="CW2" s="104" t="s">
        <v>229</v>
      </c>
      <c r="CX2" s="104" t="s">
        <v>230</v>
      </c>
      <c r="CY2" s="104" t="s">
        <v>231</v>
      </c>
      <c r="CZ2" s="104" t="s">
        <v>232</v>
      </c>
      <c r="DA2" s="104" t="s">
        <v>233</v>
      </c>
      <c r="DB2" s="104" t="s">
        <v>56</v>
      </c>
      <c r="DC2" s="104" t="s">
        <v>221</v>
      </c>
      <c r="DD2" s="134" t="s">
        <v>233</v>
      </c>
      <c r="DE2" s="103" t="s">
        <v>56</v>
      </c>
      <c r="DF2" s="104" t="s">
        <v>221</v>
      </c>
      <c r="DG2" s="104" t="s">
        <v>85</v>
      </c>
      <c r="DH2" s="104" t="s">
        <v>86</v>
      </c>
      <c r="DI2" s="104" t="s">
        <v>87</v>
      </c>
      <c r="DJ2" s="104" t="s">
        <v>88</v>
      </c>
      <c r="DK2" s="104" t="s">
        <v>89</v>
      </c>
      <c r="DL2" s="104" t="s">
        <v>90</v>
      </c>
      <c r="DM2" s="104" t="s">
        <v>91</v>
      </c>
      <c r="DN2" s="104" t="s">
        <v>104</v>
      </c>
      <c r="DO2" s="104" t="s">
        <v>105</v>
      </c>
      <c r="DP2" s="104" t="s">
        <v>106</v>
      </c>
      <c r="DQ2" s="104" t="s">
        <v>222</v>
      </c>
      <c r="DR2" s="104" t="s">
        <v>223</v>
      </c>
      <c r="DS2" s="104" t="s">
        <v>224</v>
      </c>
      <c r="DT2" s="104" t="s">
        <v>225</v>
      </c>
      <c r="DU2" s="104" t="s">
        <v>226</v>
      </c>
      <c r="DV2" s="104" t="s">
        <v>227</v>
      </c>
      <c r="DW2" s="104" t="s">
        <v>228</v>
      </c>
      <c r="DX2" s="104" t="s">
        <v>229</v>
      </c>
      <c r="DY2" s="104" t="s">
        <v>230</v>
      </c>
      <c r="DZ2" s="104" t="s">
        <v>231</v>
      </c>
      <c r="EA2" s="104" t="s">
        <v>232</v>
      </c>
      <c r="EB2" s="104" t="s">
        <v>233</v>
      </c>
      <c r="EC2" s="104" t="s">
        <v>56</v>
      </c>
      <c r="ED2" s="104" t="s">
        <v>221</v>
      </c>
      <c r="EE2" s="134" t="s">
        <v>233</v>
      </c>
      <c r="EF2" s="103" t="s">
        <v>56</v>
      </c>
      <c r="EG2" s="104" t="s">
        <v>221</v>
      </c>
      <c r="EH2" s="104" t="s">
        <v>85</v>
      </c>
      <c r="EI2" s="104" t="s">
        <v>86</v>
      </c>
      <c r="EJ2" s="104" t="s">
        <v>87</v>
      </c>
      <c r="EK2" s="104" t="s">
        <v>88</v>
      </c>
      <c r="EL2" s="104" t="s">
        <v>89</v>
      </c>
      <c r="EM2" s="104" t="s">
        <v>90</v>
      </c>
      <c r="EN2" s="104" t="s">
        <v>91</v>
      </c>
      <c r="EO2" s="104" t="s">
        <v>104</v>
      </c>
      <c r="EP2" s="104" t="s">
        <v>105</v>
      </c>
      <c r="EQ2" s="104" t="s">
        <v>106</v>
      </c>
      <c r="ER2" s="104" t="s">
        <v>222</v>
      </c>
      <c r="ES2" s="104" t="s">
        <v>223</v>
      </c>
      <c r="ET2" s="104" t="s">
        <v>224</v>
      </c>
      <c r="EU2" s="104" t="s">
        <v>225</v>
      </c>
      <c r="EV2" s="104" t="s">
        <v>226</v>
      </c>
      <c r="EW2" s="104" t="s">
        <v>227</v>
      </c>
      <c r="EX2" s="104" t="s">
        <v>228</v>
      </c>
      <c r="EY2" s="104" t="s">
        <v>229</v>
      </c>
      <c r="EZ2" s="104" t="s">
        <v>230</v>
      </c>
      <c r="FA2" s="104" t="s">
        <v>231</v>
      </c>
      <c r="FB2" s="104" t="s">
        <v>232</v>
      </c>
      <c r="FC2" s="104" t="s">
        <v>233</v>
      </c>
      <c r="FD2" s="104" t="s">
        <v>56</v>
      </c>
      <c r="FE2" s="104" t="s">
        <v>221</v>
      </c>
      <c r="FF2" s="134" t="s">
        <v>233</v>
      </c>
    </row>
    <row r="3" spans="1:162" x14ac:dyDescent="0.25">
      <c r="A3" t="s">
        <v>234</v>
      </c>
      <c r="C3">
        <f>MIN(CS1_0)</f>
        <v>0</v>
      </c>
      <c r="D3">
        <f>MIN(CS1_1)</f>
        <v>11.029579643905521</v>
      </c>
      <c r="E3">
        <f>MIN(CS1_2)</f>
        <v>2.6497160786830172</v>
      </c>
      <c r="F3">
        <f>MIN(CS1_3)</f>
        <v>1</v>
      </c>
      <c r="G3">
        <f>MIN(CS1_4)</f>
        <v>0</v>
      </c>
      <c r="H3">
        <f>MIN(CS1_5)</f>
        <v>2.541577151916357</v>
      </c>
      <c r="I3">
        <f>MIN(CS1_6)</f>
        <v>31.580770367050047</v>
      </c>
      <c r="J3">
        <f>MIN(CS1_7)</f>
        <v>0</v>
      </c>
      <c r="K3">
        <f>MIN(CS1_8)</f>
        <v>2.541577151916357</v>
      </c>
      <c r="L3">
        <f>MIN(CS1_9)</f>
        <v>31.580770367050047</v>
      </c>
      <c r="M3">
        <f>MIN(CS1_0_std)</f>
        <v>-0.28594213261513696</v>
      </c>
      <c r="N3">
        <f>MIN(CS1_1_std)</f>
        <v>-0.90258403566274636</v>
      </c>
      <c r="O3">
        <f>MIN(CS1_2_std)</f>
        <v>-1.3082272871927743</v>
      </c>
      <c r="P3">
        <f>MIN(CS1_3_std)</f>
        <v>-0.76189920929035693</v>
      </c>
      <c r="Q3">
        <f>MIN(CS1_4_std)</f>
        <v>-0.59269558477019968</v>
      </c>
      <c r="R3">
        <f>MIN(CS1_5_std)</f>
        <v>-1.046712522872318</v>
      </c>
      <c r="S3">
        <f>MIN(CS1_6_std)</f>
        <v>-1.279466373954339</v>
      </c>
      <c r="T3">
        <f>MIN(CS1_7_std)</f>
        <v>-0.59269558477019968</v>
      </c>
      <c r="U3">
        <f>MIN(CS1_8_std)</f>
        <v>-1.046712522872318</v>
      </c>
      <c r="V3">
        <f>MIN(CS1_9_std)</f>
        <v>-1.279466373954339</v>
      </c>
      <c r="W3">
        <f>CS1_MIN_0_std * CS1_0_loading+CS1_MIN_1_std * CS1_1_loading+CS1_MIN_2_std * CS1_2_loading+CS1_MIN_3_std * CS1_3_loading+CS1_MIN_4_std * CS1_4_loading+CS1_MIN_5_std * CS1_5_loading+CS1_MIN_6_std * CS1_6_loading+CS1_MIN_7_std * CS1_7_loading+CS1_MIN_8_std * CS1_8_loading+CS1_MIN_9_std * CS1_9_loading</f>
        <v>-2.4492184460940938</v>
      </c>
      <c r="X3">
        <f>(CS1_MIN_I_STD-MIN(CS1_I_STD_ALL))/(MAX(CS1_I_STD_ALL)-MIN(CS1_I_STD_ALL))*100</f>
        <v>0</v>
      </c>
      <c r="Y3" s="131"/>
      <c r="Z3" s="131"/>
      <c r="AA3" s="135"/>
      <c r="AB3" t="s">
        <v>234</v>
      </c>
      <c r="AD3">
        <f>MIN(CS2_0)</f>
        <v>0</v>
      </c>
      <c r="AE3">
        <f>MIN(CS2_1)</f>
        <v>11.029579643905521</v>
      </c>
      <c r="AF3">
        <f>MIN(CS2_2)</f>
        <v>2.6497160786830172</v>
      </c>
      <c r="AG3">
        <f>MIN(CS2_3)</f>
        <v>1</v>
      </c>
      <c r="AH3">
        <f>MIN(CS2_4)</f>
        <v>0</v>
      </c>
      <c r="AI3">
        <f>MIN(CS2_5)</f>
        <v>2.541577151916357</v>
      </c>
      <c r="AJ3">
        <f>MIN(CS2_6)</f>
        <v>31.580770367050047</v>
      </c>
      <c r="AK3">
        <f>MIN(CS2_7)</f>
        <v>0</v>
      </c>
      <c r="AL3">
        <f>MIN(CS2_8)</f>
        <v>2.541577151916357</v>
      </c>
      <c r="AM3">
        <f>MIN(CS2_9)</f>
        <v>31.580770367050047</v>
      </c>
      <c r="AN3">
        <f>MIN(CS2_0_std)</f>
        <v>-0.28594213261513696</v>
      </c>
      <c r="AO3">
        <f>MIN(CS2_1_std)</f>
        <v>-0.90258403566274636</v>
      </c>
      <c r="AP3">
        <f>MIN(CS2_2_std)</f>
        <v>-1.3082272871927743</v>
      </c>
      <c r="AQ3">
        <f>MIN(CS2_3_std)</f>
        <v>-0.76189920929035693</v>
      </c>
      <c r="AR3">
        <f>MIN(CS2_4_std)</f>
        <v>-0.59269558477019968</v>
      </c>
      <c r="AS3">
        <f>MIN(CS2_5_std)</f>
        <v>-1.046712522872318</v>
      </c>
      <c r="AT3">
        <f>MIN(CS2_6_std)</f>
        <v>-1.279466373954339</v>
      </c>
      <c r="AU3">
        <f>MIN(CS2_7_std)</f>
        <v>-0.59269558477019968</v>
      </c>
      <c r="AV3">
        <f>MIN(CS2_8_std)</f>
        <v>-1.046712522872318</v>
      </c>
      <c r="AW3">
        <f>MIN(CS2_9_std)</f>
        <v>-1.279466373954339</v>
      </c>
      <c r="AX3">
        <f>CS2_MIN_0_std * CS2_0_loading+CS2_MIN_1_std * CS2_1_loading+CS2_MIN_2_std * CS2_2_loading+CS2_MIN_3_std * CS2_3_loading+CS2_MIN_4_std * CS2_4_loading+CS2_MIN_5_std * CS2_5_loading+CS2_MIN_6_std * CS2_6_loading+CS2_MIN_7_std * CS2_7_loading+CS2_MIN_8_std * CS2_8_loading+CS2_MIN_9_std * CS2_9_loading</f>
        <v>-2.5475784875436309</v>
      </c>
      <c r="AY3">
        <f>(CS2_MIN_I_STD-MIN(CS2_I_STD_ALL))/(MAX(CS2_I_STD_ALL)-MIN(CS2_I_STD_ALL))*100</f>
        <v>0</v>
      </c>
      <c r="AZ3" s="131"/>
      <c r="BA3" s="131"/>
      <c r="BB3" s="135"/>
      <c r="BC3" t="s">
        <v>234</v>
      </c>
      <c r="BE3">
        <f>MIN(PCA_0)</f>
        <v>0</v>
      </c>
      <c r="BF3">
        <f>MIN(PCA_1)</f>
        <v>11.029579643905521</v>
      </c>
      <c r="BG3">
        <f>MIN(PCA_2)</f>
        <v>2.6497160786830172</v>
      </c>
      <c r="BH3">
        <f>MIN(PCA_3)</f>
        <v>1</v>
      </c>
      <c r="BI3">
        <f>MIN(PCA_4)</f>
        <v>0</v>
      </c>
      <c r="BJ3">
        <f>MIN(PCA_5)</f>
        <v>2.541577151916357</v>
      </c>
      <c r="BK3">
        <f>MIN(PCA_6)</f>
        <v>31.580770367050047</v>
      </c>
      <c r="BL3">
        <f>MIN(PCA_7)</f>
        <v>0</v>
      </c>
      <c r="BM3">
        <f>MIN(PCA_8)</f>
        <v>2.541577151916357</v>
      </c>
      <c r="BN3">
        <f>MIN(PCA_9)</f>
        <v>31.580770367050047</v>
      </c>
      <c r="BO3">
        <f>MIN(PCA_0_std)</f>
        <v>-0.28594213261513696</v>
      </c>
      <c r="BP3">
        <f>MIN(PCA_1_std)</f>
        <v>-0.90258403566274636</v>
      </c>
      <c r="BQ3">
        <f>MIN(PCA_2_std)</f>
        <v>-1.3082272871927743</v>
      </c>
      <c r="BR3">
        <f>MIN(PCA_3_std)</f>
        <v>-0.76189920929035693</v>
      </c>
      <c r="BS3">
        <f>MIN(PCA_4_std)</f>
        <v>-0.59269558477019968</v>
      </c>
      <c r="BT3">
        <f>MIN(PCA_5_std)</f>
        <v>-1.046712522872318</v>
      </c>
      <c r="BU3">
        <f>MIN(PCA_6_std)</f>
        <v>-1.279466373954339</v>
      </c>
      <c r="BV3">
        <f>MIN(PCA_7_std)</f>
        <v>-0.59269558477019968</v>
      </c>
      <c r="BW3">
        <f>MIN(PCA_8_std)</f>
        <v>-1.046712522872318</v>
      </c>
      <c r="BX3">
        <f>MIN(PCA_9_std)</f>
        <v>-1.279466373954339</v>
      </c>
      <c r="BY3">
        <f>PCA_MIN_0_std * PCA_0_loading+PCA_MIN_1_std * PCA_1_loading+PCA_MIN_2_std * PCA_2_loading+PCA_MIN_3_std * PCA_3_loading+PCA_MIN_4_std * PCA_4_loading+PCA_MIN_5_std * PCA_5_loading+PCA_MIN_6_std * PCA_6_loading+PCA_MIN_7_std * PCA_7_loading+PCA_MIN_8_std * PCA_8_loading+PCA_MIN_9_std * PCA_9_loading</f>
        <v>-0.58714727620074769</v>
      </c>
      <c r="BZ3">
        <f>(PCA_MIN_I_STD-MIN(PCA_I_STD_ALL))/(MAX(PCA_I_STD_ALL)-MIN(PCA_I_STD_ALL))*100</f>
        <v>46.514261113362366</v>
      </c>
      <c r="CA3" s="131"/>
      <c r="CB3" s="131"/>
      <c r="CC3" s="135"/>
      <c r="CD3" t="s">
        <v>234</v>
      </c>
      <c r="CF3">
        <f>MIN(KTGET_0)</f>
        <v>0</v>
      </c>
      <c r="CG3">
        <f>MIN(KTGET_1)</f>
        <v>11.029579643905521</v>
      </c>
      <c r="CH3">
        <f>MIN(KTGET_2)</f>
        <v>2.6497160786830172</v>
      </c>
      <c r="CI3">
        <f>MIN(KTGET_3)</f>
        <v>1</v>
      </c>
      <c r="CJ3">
        <f>MIN(KTGET_4)</f>
        <v>0</v>
      </c>
      <c r="CK3">
        <f>MIN(KTGET_5)</f>
        <v>2.541577151916357</v>
      </c>
      <c r="CL3">
        <f>MIN(KTGET_6)</f>
        <v>31.580770367050047</v>
      </c>
      <c r="CM3">
        <f>MIN(KTGET_7)</f>
        <v>0</v>
      </c>
      <c r="CN3">
        <f>MIN(KTGET_8)</f>
        <v>2.541577151916357</v>
      </c>
      <c r="CO3">
        <f>MIN(KTGET_9)</f>
        <v>31.580770367050047</v>
      </c>
      <c r="CP3">
        <f>MIN(KTGET_0_std)</f>
        <v>-0.28594213261513696</v>
      </c>
      <c r="CQ3">
        <f>MIN(KTGET_1_std)</f>
        <v>-0.90258403566274636</v>
      </c>
      <c r="CR3">
        <f>MIN(KTGET_2_std)</f>
        <v>-1.3082272871927743</v>
      </c>
      <c r="CS3">
        <f>MIN(KTGET_3_std)</f>
        <v>-0.76189920929035693</v>
      </c>
      <c r="CT3">
        <f>MIN(KTGET_4_std)</f>
        <v>-0.59269558477019968</v>
      </c>
      <c r="CU3">
        <f>MIN(KTGET_5_std)</f>
        <v>-1.046712522872318</v>
      </c>
      <c r="CV3">
        <f>MIN(KTGET_6_std)</f>
        <v>-1.279466373954339</v>
      </c>
      <c r="CW3">
        <f>MIN(KTGET_7_std)</f>
        <v>-0.59269558477019968</v>
      </c>
      <c r="CX3">
        <f>MIN(KTGET_8_std)</f>
        <v>-1.046712522872318</v>
      </c>
      <c r="CY3">
        <f>MIN(KTGET_9_std)</f>
        <v>-1.279466373954339</v>
      </c>
      <c r="CZ3">
        <f>KTGET_MIN_0_std * KTGET_0_loading+KTGET_MIN_1_std * KTGET_1_loading+KTGET_MIN_2_std * KTGET_2_loading+KTGET_MIN_3_std * KTGET_3_loading+KTGET_MIN_4_std * KTGET_4_loading+KTGET_MIN_5_std * KTGET_5_loading+KTGET_MIN_6_std * KTGET_6_loading+KTGET_MIN_7_std * KTGET_7_loading+KTGET_MIN_8_std * KTGET_8_loading+KTGET_MIN_9_std * KTGET_9_loading</f>
        <v>-2.4492216865590226</v>
      </c>
      <c r="DA3">
        <f>(KTGET_MIN_I_STD-MIN(KTGET_I_STD_ALL))/(MAX(KTGET_I_STD_ALL)-MIN(KTGET_I_STD_ALL))*100</f>
        <v>0</v>
      </c>
      <c r="DB3" s="131"/>
      <c r="DC3" s="131"/>
      <c r="DD3" s="135"/>
      <c r="DE3" t="s">
        <v>234</v>
      </c>
      <c r="DG3">
        <f>MIN(KTGT_0)</f>
        <v>0</v>
      </c>
      <c r="DH3">
        <f>MIN(KTGT_1)</f>
        <v>11.029579643905521</v>
      </c>
      <c r="DI3">
        <f>MIN(KTGT_2)</f>
        <v>2.6497160786830172</v>
      </c>
      <c r="DJ3">
        <f>MIN(KTGT_3)</f>
        <v>1</v>
      </c>
      <c r="DK3">
        <f>MIN(KTGT_4)</f>
        <v>0</v>
      </c>
      <c r="DL3">
        <f>MIN(KTGT_5)</f>
        <v>2.541577151916357</v>
      </c>
      <c r="DM3">
        <f>MIN(KTGT_6)</f>
        <v>31.580770367050047</v>
      </c>
      <c r="DN3">
        <f>MIN(KTGT_7)</f>
        <v>0</v>
      </c>
      <c r="DO3">
        <f>MIN(KTGT_8)</f>
        <v>2.541577151916357</v>
      </c>
      <c r="DP3">
        <f>MIN(KTGT_9)</f>
        <v>31.580770367050047</v>
      </c>
      <c r="DQ3">
        <f>MIN(KTGT_0_std)</f>
        <v>-0.28594213261513696</v>
      </c>
      <c r="DR3">
        <f>MIN(KTGT_1_std)</f>
        <v>-0.90258403566274636</v>
      </c>
      <c r="DS3">
        <f>MIN(KTGT_2_std)</f>
        <v>-1.3082272871927743</v>
      </c>
      <c r="DT3">
        <f>MIN(KTGT_3_std)</f>
        <v>-0.76189920929035693</v>
      </c>
      <c r="DU3">
        <f>MIN(KTGT_4_std)</f>
        <v>-0.59269558477019968</v>
      </c>
      <c r="DV3">
        <f>MIN(KTGT_5_std)</f>
        <v>-1.046712522872318</v>
      </c>
      <c r="DW3">
        <f>MIN(KTGT_6_std)</f>
        <v>-1.279466373954339</v>
      </c>
      <c r="DX3">
        <f>MIN(KTGT_7_std)</f>
        <v>-0.59269558477019968</v>
      </c>
      <c r="DY3">
        <f>MIN(KTGT_8_std)</f>
        <v>-1.046712522872318</v>
      </c>
      <c r="DZ3">
        <f>MIN(KTGT_9_std)</f>
        <v>-1.279466373954339</v>
      </c>
      <c r="EA3">
        <f>KTGT_MIN_0_std * KTGT_0_loading+KTGT_MIN_1_std * KTGT_1_loading+KTGT_MIN_2_std * KTGT_2_loading+KTGT_MIN_3_std * KTGT_3_loading+KTGT_MIN_4_std * KTGT_4_loading+KTGT_MIN_5_std * KTGT_5_loading+KTGT_MIN_6_std * KTGT_6_loading+KTGT_MIN_7_std * KTGT_7_loading+KTGT_MIN_8_std * KTGT_8_loading+KTGT_MIN_9_std * KTGT_9_loading</f>
        <v>-2.449540778902358</v>
      </c>
      <c r="EB3">
        <f>(KTGT_MIN_I_STD-MIN(KTGT_I_STD_ALL))/(MAX(KTGT_I_STD_ALL)-MIN(KTGT_I_STD_ALL))*100</f>
        <v>0</v>
      </c>
      <c r="EC3" s="131"/>
      <c r="ED3" s="131"/>
      <c r="EE3" s="135"/>
      <c r="EF3" t="s">
        <v>234</v>
      </c>
      <c r="EH3">
        <f>MIN(SA_0)</f>
        <v>0</v>
      </c>
      <c r="EI3">
        <f>MIN(SA_1)</f>
        <v>11.029579643905521</v>
      </c>
      <c r="EJ3">
        <f>MIN(SA_2)</f>
        <v>2.6497160786830172</v>
      </c>
      <c r="EK3">
        <f>MIN(SA_3)</f>
        <v>1</v>
      </c>
      <c r="EL3">
        <f>MIN(SA_4)</f>
        <v>0</v>
      </c>
      <c r="EM3">
        <f>MIN(SA_5)</f>
        <v>2.541577151916357</v>
      </c>
      <c r="EN3">
        <f>MIN(SA_6)</f>
        <v>31.580770367050047</v>
      </c>
      <c r="EO3">
        <f>MIN(SA_7)</f>
        <v>0</v>
      </c>
      <c r="EP3">
        <f>MIN(SA_8)</f>
        <v>2.541577151916357</v>
      </c>
      <c r="EQ3">
        <f>MIN(SA_9)</f>
        <v>31.580770367050047</v>
      </c>
      <c r="ER3">
        <f>MIN(SA_0_std)</f>
        <v>-0.28594213261513696</v>
      </c>
      <c r="ES3">
        <f>MIN(SA_1_std)</f>
        <v>-0.90258403566274636</v>
      </c>
      <c r="ET3">
        <f>MIN(SA_2_std)</f>
        <v>-1.3082272871927743</v>
      </c>
      <c r="EU3">
        <f>MIN(SA_3_std)</f>
        <v>-0.76189920929035693</v>
      </c>
      <c r="EV3">
        <f>MIN(SA_4_std)</f>
        <v>-0.59269558477019968</v>
      </c>
      <c r="EW3">
        <f>MIN(SA_5_std)</f>
        <v>-1.046712522872318</v>
      </c>
      <c r="EX3">
        <f>MIN(SA_6_std)</f>
        <v>-1.279466373954339</v>
      </c>
      <c r="EY3">
        <f>MIN(SA_7_std)</f>
        <v>-0.59269558477019968</v>
      </c>
      <c r="EZ3">
        <f>MIN(SA_8_std)</f>
        <v>-1.046712522872318</v>
      </c>
      <c r="FA3">
        <f>MIN(SA_9_std)</f>
        <v>-1.279466373954339</v>
      </c>
      <c r="FB3">
        <f>SA_MIN_0_std * SA_0_loading+SA_MIN_1_std * SA_1_loading+SA_MIN_2_std * SA_2_loading+SA_MIN_3_std * SA_3_loading+SA_MIN_4_std * SA_4_loading+SA_MIN_5_std * SA_5_loading+SA_MIN_6_std * SA_6_loading+SA_MIN_7_std * SA_7_loading+SA_MIN_8_std * SA_8_loading+SA_MIN_9_std * SA_9_loading</f>
        <v>-2.8765347656000508</v>
      </c>
      <c r="FC3">
        <f>(SA_MIN_I_STD-MIN(SA_I_STD_ALL))/(MAX(SA_I_STD_ALL)-MIN(SA_I_STD_ALL))*100</f>
        <v>0</v>
      </c>
      <c r="FD3" s="131"/>
      <c r="FE3" s="131"/>
      <c r="FF3" s="135"/>
    </row>
    <row r="4" spans="1:162" x14ac:dyDescent="0.25">
      <c r="A4" t="s">
        <v>81</v>
      </c>
      <c r="B4">
        <v>8.5835812635249962</v>
      </c>
      <c r="C4">
        <v>1748.4543501411094</v>
      </c>
      <c r="D4">
        <v>22.484787418525727</v>
      </c>
      <c r="E4">
        <v>7.1503207470564396</v>
      </c>
      <c r="F4">
        <v>2</v>
      </c>
      <c r="G4">
        <v>25</v>
      </c>
      <c r="H4">
        <v>19.963747022100364</v>
      </c>
      <c r="I4">
        <v>338.34077683042398</v>
      </c>
      <c r="J4">
        <v>25</v>
      </c>
      <c r="K4">
        <v>19.963747022100364</v>
      </c>
      <c r="L4">
        <v>338.34077683042398</v>
      </c>
      <c r="M4">
        <f>(CS1_0-AVERAGE(CS1_0))/STDEV(CS1_0)</f>
        <v>-0.18270714602757071</v>
      </c>
      <c r="N4">
        <f>(CS1_1-AVERAGE(CS1_1))/STDEV(CS1_1)</f>
        <v>0.11491583203205757</v>
      </c>
      <c r="O4">
        <f>(CS1_2-AVERAGE(CS1_2))/STDEV(CS1_2)</f>
        <v>-0.16565288450620969</v>
      </c>
      <c r="P4">
        <f>(CS1_3-AVERAGE(CS1_3))/STDEV(CS1_3)</f>
        <v>0.2077906934428245</v>
      </c>
      <c r="Q4">
        <f>(CS1_4-AVERAGE(CS1_4))/STDEV(CS1_4)</f>
        <v>2.8646953263892989</v>
      </c>
      <c r="R4">
        <f>(CS1_5-AVERAGE(CS1_5))/STDEV(CS1_5)</f>
        <v>0.18689019109267835</v>
      </c>
      <c r="S4">
        <f>(CS1_6-AVERAGE(CS1_6))/STDEV(CS1_6)</f>
        <v>0.95269344149923996</v>
      </c>
      <c r="T4">
        <f>(CS1_7-AVERAGE(CS1_7))/STDEV(CS1_7)</f>
        <v>2.8646953263892989</v>
      </c>
      <c r="U4">
        <f>(CS1_8-AVERAGE(CS1_8))/STDEV(CS1_8)</f>
        <v>0.18689019109267835</v>
      </c>
      <c r="V4">
        <f>(CS1_9-AVERAGE(CS1_9))/STDEV(CS1_9)</f>
        <v>0.95269344149923996</v>
      </c>
      <c r="W4">
        <f>CS1_0_std * CS1_0_loading+CS1_1_std * CS1_1_loading+CS1_2_std * CS1_2_loading+CS1_3_std * CS1_3_loading+CS1_4_std * CS1_4_loading+CS1_5_std * CS1_5_loading+CS1_6_std * CS1_6_loading+CS1_7_std * CS1_7_loading+CS1_8_std * CS1_8_loading+CS1_9_std * CS1_9_loading</f>
        <v>1.126602546056535</v>
      </c>
      <c r="X4">
        <f>(CS1_I_STD-MIN(CS1_I_STD_ALL))/(MAX(CS1_I_STD_ALL)-MIN(CS1_I_STD_ALL))*100</f>
        <v>60.828799761819262</v>
      </c>
      <c r="Y4" s="138" t="s">
        <v>60</v>
      </c>
      <c r="Z4" s="138">
        <v>63.529505721437147</v>
      </c>
      <c r="AA4" s="139">
        <v>1.5317193901597725</v>
      </c>
      <c r="AB4" t="s">
        <v>81</v>
      </c>
      <c r="AC4">
        <v>8.5835812635249962</v>
      </c>
      <c r="AD4">
        <v>1748.4543501411094</v>
      </c>
      <c r="AE4">
        <v>22.484787418525727</v>
      </c>
      <c r="AF4">
        <v>7.1503207470564396</v>
      </c>
      <c r="AG4">
        <v>2</v>
      </c>
      <c r="AH4">
        <v>25</v>
      </c>
      <c r="AI4">
        <v>19.963747022100364</v>
      </c>
      <c r="AJ4">
        <v>338.34077683042398</v>
      </c>
      <c r="AK4">
        <v>25</v>
      </c>
      <c r="AL4">
        <v>19.963747022100364</v>
      </c>
      <c r="AM4">
        <v>338.34077683042398</v>
      </c>
      <c r="AN4">
        <f>(CS2_0-AVERAGE(CS2_0))/STDEV(CS2_0)</f>
        <v>-0.18270714602757071</v>
      </c>
      <c r="AO4">
        <f>(CS2_1-AVERAGE(CS2_1))/STDEV(CS2_1)</f>
        <v>0.11491583203205757</v>
      </c>
      <c r="AP4">
        <f>(CS2_2-AVERAGE(CS2_2))/STDEV(CS2_2)</f>
        <v>-0.16565288450620969</v>
      </c>
      <c r="AQ4">
        <f>(CS2_3-AVERAGE(CS2_3))/STDEV(CS2_3)</f>
        <v>0.2077906934428245</v>
      </c>
      <c r="AR4">
        <f>(CS2_4-AVERAGE(CS2_4))/STDEV(CS2_4)</f>
        <v>2.8646953263892989</v>
      </c>
      <c r="AS4">
        <f>(CS2_5-AVERAGE(CS2_5))/STDEV(CS2_5)</f>
        <v>0.18689019109267835</v>
      </c>
      <c r="AT4">
        <f>(CS2_6-AVERAGE(CS2_6))/STDEV(CS2_6)</f>
        <v>0.95269344149923996</v>
      </c>
      <c r="AU4">
        <f>(CS2_7-AVERAGE(CS2_7))/STDEV(CS2_7)</f>
        <v>2.8646953263892989</v>
      </c>
      <c r="AV4">
        <f>(CS2_8-AVERAGE(CS2_8))/STDEV(CS2_8)</f>
        <v>0.18689019109267835</v>
      </c>
      <c r="AW4">
        <f>(CS2_9-AVERAGE(CS2_9))/STDEV(CS2_9)</f>
        <v>0.95269344149923996</v>
      </c>
      <c r="AX4">
        <f>CS2_0_std * CS2_0_loading+CS2_1_std * CS2_1_loading+CS2_2_std * CS2_2_loading+CS2_3_std * CS2_3_loading+CS2_4_std * CS2_4_loading+CS2_5_std * CS2_5_loading+CS2_6_std * CS2_6_loading+CS2_7_std * CS2_7_loading+CS2_8_std * CS2_8_loading+CS2_9_std * CS2_9_loading</f>
        <v>1.0617424464798286</v>
      </c>
      <c r="AY4">
        <f>(CS2_I_STD-MIN(CS2_I_STD_ALL))/(MAX(CS2_I_STD_ALL)-MIN(CS2_I_STD_ALL))*100</f>
        <v>59.072644235894536</v>
      </c>
      <c r="AZ4" s="138" t="s">
        <v>60</v>
      </c>
      <c r="BA4" s="138">
        <v>63.529505721437147</v>
      </c>
      <c r="BB4" s="139">
        <v>0.74471647616712822</v>
      </c>
      <c r="BC4" t="s">
        <v>81</v>
      </c>
      <c r="BD4">
        <v>8.5835812635249962</v>
      </c>
      <c r="BE4">
        <v>1748.4543501411094</v>
      </c>
      <c r="BF4">
        <v>22.484787418525727</v>
      </c>
      <c r="BG4">
        <v>7.1503207470564396</v>
      </c>
      <c r="BH4">
        <v>2</v>
      </c>
      <c r="BI4">
        <v>25</v>
      </c>
      <c r="BJ4">
        <v>19.963747022100364</v>
      </c>
      <c r="BK4">
        <v>338.34077683042398</v>
      </c>
      <c r="BL4">
        <v>25</v>
      </c>
      <c r="BM4">
        <v>19.963747022100364</v>
      </c>
      <c r="BN4">
        <v>338.34077683042398</v>
      </c>
      <c r="BO4">
        <f>(PCA_0-AVERAGE(PCA_0))/STDEV(PCA_0)</f>
        <v>-0.18270714602757071</v>
      </c>
      <c r="BP4">
        <f>(PCA_1-AVERAGE(PCA_1))/STDEV(PCA_1)</f>
        <v>0.11491583203205757</v>
      </c>
      <c r="BQ4">
        <f>(PCA_2-AVERAGE(PCA_2))/STDEV(PCA_2)</f>
        <v>-0.16565288450620969</v>
      </c>
      <c r="BR4">
        <f>(PCA_3-AVERAGE(PCA_3))/STDEV(PCA_3)</f>
        <v>0.2077906934428245</v>
      </c>
      <c r="BS4">
        <f>(PCA_4-AVERAGE(PCA_4))/STDEV(PCA_4)</f>
        <v>2.8646953263892989</v>
      </c>
      <c r="BT4">
        <f>(PCA_5-AVERAGE(PCA_5))/STDEV(PCA_5)</f>
        <v>0.18689019109267835</v>
      </c>
      <c r="BU4">
        <f>(PCA_6-AVERAGE(PCA_6))/STDEV(PCA_6)</f>
        <v>0.95269344149923996</v>
      </c>
      <c r="BV4">
        <f>(PCA_7-AVERAGE(PCA_7))/STDEV(PCA_7)</f>
        <v>2.8646953263892989</v>
      </c>
      <c r="BW4">
        <f>(PCA_8-AVERAGE(PCA_8))/STDEV(PCA_8)</f>
        <v>0.18689019109267835</v>
      </c>
      <c r="BX4">
        <f>(PCA_9-AVERAGE(PCA_9))/STDEV(PCA_9)</f>
        <v>0.95269344149923996</v>
      </c>
      <c r="BY4">
        <f>PCA_0_std * PCA_0_loading+PCA_1_std * PCA_1_loading+PCA_2_std * PCA_2_loading+PCA_3_std * PCA_3_loading+PCA_4_std * PCA_4_loading+PCA_5_std * PCA_5_loading+PCA_6_std * PCA_6_loading+PCA_7_std * PCA_7_loading+PCA_8_std * PCA_8_loading+PCA_9_std * PCA_9_loading</f>
        <v>3.0792504234507176</v>
      </c>
      <c r="BZ4">
        <f>(PCA_I_STD-MIN(PCA_I_STD_ALL))/(MAX(PCA_I_STD_ALL)-MIN(PCA_I_STD_ALL))*100</f>
        <v>97.633297647745295</v>
      </c>
      <c r="CA4" s="138" t="s">
        <v>83</v>
      </c>
      <c r="CB4" s="138">
        <v>3.105838831144009</v>
      </c>
      <c r="CC4" s="139">
        <v>0</v>
      </c>
      <c r="CD4" t="s">
        <v>81</v>
      </c>
      <c r="CE4">
        <v>8.5835812635249962</v>
      </c>
      <c r="CF4">
        <v>1748.4543501411094</v>
      </c>
      <c r="CG4">
        <v>22.484787418525727</v>
      </c>
      <c r="CH4">
        <v>7.1503207470564396</v>
      </c>
      <c r="CI4">
        <v>2</v>
      </c>
      <c r="CJ4">
        <v>25</v>
      </c>
      <c r="CK4">
        <v>19.963747022100364</v>
      </c>
      <c r="CL4">
        <v>338.34077683042398</v>
      </c>
      <c r="CM4">
        <v>25</v>
      </c>
      <c r="CN4">
        <v>19.963747022100364</v>
      </c>
      <c r="CO4">
        <v>338.34077683042398</v>
      </c>
      <c r="CP4">
        <f>(KTGET_0-AVERAGE(KTGET_0))/STDEV(KTGET_0)</f>
        <v>-0.18270714602757071</v>
      </c>
      <c r="CQ4">
        <f>(KTGET_1-AVERAGE(KTGET_1))/STDEV(KTGET_1)</f>
        <v>0.11491583203205757</v>
      </c>
      <c r="CR4">
        <f>(KTGET_2-AVERAGE(KTGET_2))/STDEV(KTGET_2)</f>
        <v>-0.16565288450620969</v>
      </c>
      <c r="CS4">
        <f>(KTGET_3-AVERAGE(KTGET_3))/STDEV(KTGET_3)</f>
        <v>0.2077906934428245</v>
      </c>
      <c r="CT4">
        <f>(KTGET_4-AVERAGE(KTGET_4))/STDEV(KTGET_4)</f>
        <v>2.8646953263892989</v>
      </c>
      <c r="CU4">
        <f>(KTGET_5-AVERAGE(KTGET_5))/STDEV(KTGET_5)</f>
        <v>0.18689019109267835</v>
      </c>
      <c r="CV4">
        <f>(KTGET_6-AVERAGE(KTGET_6))/STDEV(KTGET_6)</f>
        <v>0.95269344149923996</v>
      </c>
      <c r="CW4">
        <f>(KTGET_7-AVERAGE(KTGET_7))/STDEV(KTGET_7)</f>
        <v>2.8646953263892989</v>
      </c>
      <c r="CX4">
        <f>(KTGET_8-AVERAGE(KTGET_8))/STDEV(KTGET_8)</f>
        <v>0.18689019109267835</v>
      </c>
      <c r="CY4">
        <f>(KTGET_9-AVERAGE(KTGET_9))/STDEV(KTGET_9)</f>
        <v>0.95269344149923996</v>
      </c>
      <c r="CZ4">
        <f>KTGET_0_std * KTGET_0_loading+KTGET_1_std * KTGET_1_loading+KTGET_2_std * KTGET_2_loading+KTGET_3_std * KTGET_3_loading+KTGET_4_std * KTGET_4_loading+KTGET_5_std * KTGET_5_loading+KTGET_6_std * KTGET_6_loading+KTGET_7_std * KTGET_7_loading+KTGET_8_std * KTGET_8_loading+KTGET_9_std * KTGET_9_loading</f>
        <v>1.1266032285524956</v>
      </c>
      <c r="DA4">
        <f>(KTGET_I_STD-MIN(KTGET_I_STD_ALL))/(MAX(KTGET_I_STD_ALL)-MIN(KTGET_I_STD_ALL))*100</f>
        <v>60.828826952702741</v>
      </c>
      <c r="DB4" s="138" t="s">
        <v>60</v>
      </c>
      <c r="DC4" s="138">
        <v>63.529505721437147</v>
      </c>
      <c r="DD4" s="139">
        <v>1.5318348204426835</v>
      </c>
      <c r="DE4" t="s">
        <v>81</v>
      </c>
      <c r="DF4">
        <v>8.5835812635249962</v>
      </c>
      <c r="DG4">
        <v>1748.4543501411094</v>
      </c>
      <c r="DH4">
        <v>22.484787418525727</v>
      </c>
      <c r="DI4">
        <v>7.1503207470564396</v>
      </c>
      <c r="DJ4">
        <v>2</v>
      </c>
      <c r="DK4">
        <v>25</v>
      </c>
      <c r="DL4">
        <v>19.963747022100364</v>
      </c>
      <c r="DM4">
        <v>338.34077683042398</v>
      </c>
      <c r="DN4">
        <v>25</v>
      </c>
      <c r="DO4">
        <v>19.963747022100364</v>
      </c>
      <c r="DP4">
        <v>338.34077683042398</v>
      </c>
      <c r="DQ4">
        <f>(KTGT_0-AVERAGE(KTGT_0))/STDEV(KTGT_0)</f>
        <v>-0.18270714602757071</v>
      </c>
      <c r="DR4">
        <f>(KTGT_1-AVERAGE(KTGT_1))/STDEV(KTGT_1)</f>
        <v>0.11491583203205757</v>
      </c>
      <c r="DS4">
        <f>(KTGT_2-AVERAGE(KTGT_2))/STDEV(KTGT_2)</f>
        <v>-0.16565288450620969</v>
      </c>
      <c r="DT4">
        <f>(KTGT_3-AVERAGE(KTGT_3))/STDEV(KTGT_3)</f>
        <v>0.2077906934428245</v>
      </c>
      <c r="DU4">
        <f>(KTGT_4-AVERAGE(KTGT_4))/STDEV(KTGT_4)</f>
        <v>2.8646953263892989</v>
      </c>
      <c r="DV4">
        <f>(KTGT_5-AVERAGE(KTGT_5))/STDEV(KTGT_5)</f>
        <v>0.18689019109267835</v>
      </c>
      <c r="DW4">
        <f>(KTGT_6-AVERAGE(KTGT_6))/STDEV(KTGT_6)</f>
        <v>0.95269344149923996</v>
      </c>
      <c r="DX4">
        <f>(KTGT_7-AVERAGE(KTGT_7))/STDEV(KTGT_7)</f>
        <v>2.8646953263892989</v>
      </c>
      <c r="DY4">
        <f>(KTGT_8-AVERAGE(KTGT_8))/STDEV(KTGT_8)</f>
        <v>0.18689019109267835</v>
      </c>
      <c r="DZ4">
        <f>(KTGT_9-AVERAGE(KTGT_9))/STDEV(KTGT_9)</f>
        <v>0.95269344149923996</v>
      </c>
      <c r="EA4">
        <f>KTGT_0_std * KTGT_0_loading+KTGT_1_std * KTGT_1_loading+KTGT_2_std * KTGT_2_loading+KTGT_3_std * KTGT_3_loading+KTGT_4_std * KTGT_4_loading+KTGT_5_std * KTGT_5_loading+KTGT_6_std * KTGT_6_loading+KTGT_7_std * KTGT_7_loading+KTGT_8_std * KTGT_8_loading+KTGT_9_std * KTGT_9_loading</f>
        <v>1.1409597020991167</v>
      </c>
      <c r="EB4">
        <f>(KTGT_I_STD-MIN(KTGT_I_STD_ALL))/(MAX(KTGT_I_STD_ALL)-MIN(KTGT_I_STD_ALL))*100</f>
        <v>61.045554751412389</v>
      </c>
      <c r="EC4" s="138" t="s">
        <v>60</v>
      </c>
      <c r="ED4" s="138">
        <v>63.529505721437147</v>
      </c>
      <c r="EE4" s="139">
        <v>1.5309752928840559</v>
      </c>
      <c r="EF4" t="s">
        <v>81</v>
      </c>
      <c r="EG4">
        <v>8.5835812635249962</v>
      </c>
      <c r="EH4">
        <v>1748.4543501411094</v>
      </c>
      <c r="EI4">
        <v>22.484787418525727</v>
      </c>
      <c r="EJ4">
        <v>7.1503207470564396</v>
      </c>
      <c r="EK4">
        <v>2</v>
      </c>
      <c r="EL4">
        <v>25</v>
      </c>
      <c r="EM4">
        <v>19.963747022100364</v>
      </c>
      <c r="EN4">
        <v>338.34077683042398</v>
      </c>
      <c r="EO4">
        <v>25</v>
      </c>
      <c r="EP4">
        <v>19.963747022100364</v>
      </c>
      <c r="EQ4">
        <v>338.34077683042398</v>
      </c>
      <c r="ER4">
        <f>(SA_0-AVERAGE(SA_0))/STDEV(SA_0)</f>
        <v>-0.18270714602757071</v>
      </c>
      <c r="ES4">
        <f>(SA_1-AVERAGE(SA_1))/STDEV(SA_1)</f>
        <v>0.11491583203205757</v>
      </c>
      <c r="ET4">
        <f>(SA_2-AVERAGE(SA_2))/STDEV(SA_2)</f>
        <v>-0.16565288450620969</v>
      </c>
      <c r="EU4">
        <f>(SA_3-AVERAGE(SA_3))/STDEV(SA_3)</f>
        <v>0.2077906934428245</v>
      </c>
      <c r="EV4">
        <f>(SA_4-AVERAGE(SA_4))/STDEV(SA_4)</f>
        <v>2.8646953263892989</v>
      </c>
      <c r="EW4">
        <f>(SA_5-AVERAGE(SA_5))/STDEV(SA_5)</f>
        <v>0.18689019109267835</v>
      </c>
      <c r="EX4">
        <f>(SA_6-AVERAGE(SA_6))/STDEV(SA_6)</f>
        <v>0.95269344149923996</v>
      </c>
      <c r="EY4">
        <f>(SA_7-AVERAGE(SA_7))/STDEV(SA_7)</f>
        <v>2.8646953263892989</v>
      </c>
      <c r="EZ4">
        <f>(SA_8-AVERAGE(SA_8))/STDEV(SA_8)</f>
        <v>0.18689019109267835</v>
      </c>
      <c r="FA4">
        <f>(SA_9-AVERAGE(SA_9))/STDEV(SA_9)</f>
        <v>0.95269344149923996</v>
      </c>
      <c r="FB4">
        <f>SA_0_std * SA_0_loading+SA_1_std * SA_1_loading+SA_2_std * SA_2_loading+SA_3_std * SA_3_loading+SA_4_std * SA_4_loading+SA_5_std * SA_5_loading+SA_6_std * SA_6_loading+SA_7_std * SA_7_loading+SA_8_std * SA_8_loading+SA_9_std * SA_9_loading</f>
        <v>2.5244160288184423</v>
      </c>
      <c r="FC4">
        <f>(SA_I_STD-MIN(SA_I_STD_ALL))/(MAX(SA_I_STD_ALL)-MIN(SA_I_STD_ALL))*100</f>
        <v>100</v>
      </c>
      <c r="FD4" s="138" t="s">
        <v>57</v>
      </c>
      <c r="FE4" s="138">
        <v>92.255436220636625</v>
      </c>
      <c r="FF4" s="139">
        <v>11.843516438677721</v>
      </c>
    </row>
    <row r="5" spans="1:162" x14ac:dyDescent="0.25">
      <c r="A5" t="s">
        <v>59</v>
      </c>
      <c r="B5">
        <v>112.06602026518708</v>
      </c>
      <c r="C5">
        <v>938.72343954985354</v>
      </c>
      <c r="D5">
        <v>11.029579643905521</v>
      </c>
      <c r="E5">
        <v>8.0978174695676657</v>
      </c>
      <c r="F5">
        <v>1</v>
      </c>
      <c r="G5">
        <v>0</v>
      </c>
      <c r="H5">
        <v>13</v>
      </c>
      <c r="I5">
        <v>137.44123176406123</v>
      </c>
      <c r="J5">
        <v>0</v>
      </c>
      <c r="K5">
        <v>13</v>
      </c>
      <c r="L5">
        <v>137.44123176406123</v>
      </c>
      <c r="M5">
        <f>(CS1_0-AVERAGE(CS1_0))/STDEV(CS1_0)</f>
        <v>-0.23051654962319776</v>
      </c>
      <c r="N5">
        <f>(CS1_1-AVERAGE(CS1_1))/STDEV(CS1_1)</f>
        <v>-0.90258403566274636</v>
      </c>
      <c r="O5">
        <f>(CS1_2-AVERAGE(CS1_2))/STDEV(CS1_2)</f>
        <v>7.488934960252451E-2</v>
      </c>
      <c r="P5">
        <f>(CS1_3-AVERAGE(CS1_3))/STDEV(CS1_3)</f>
        <v>-0.76189920929035693</v>
      </c>
      <c r="Q5">
        <f>(CS1_4-AVERAGE(CS1_4))/STDEV(CS1_4)</f>
        <v>-0.59269558477019968</v>
      </c>
      <c r="R5">
        <f>(CS1_5-AVERAGE(CS1_5))/STDEV(CS1_5)</f>
        <v>-0.3061882996945281</v>
      </c>
      <c r="S5">
        <f>(CS1_6-AVERAGE(CS1_6))/STDEV(CS1_6)</f>
        <v>-0.5091656078927882</v>
      </c>
      <c r="T5">
        <f>(CS1_7-AVERAGE(CS1_7))/STDEV(CS1_7)</f>
        <v>-0.59269558477019968</v>
      </c>
      <c r="U5">
        <f>(CS1_8-AVERAGE(CS1_8))/STDEV(CS1_8)</f>
        <v>-0.3061882996945281</v>
      </c>
      <c r="V5">
        <f>(CS1_9-AVERAGE(CS1_9))/STDEV(CS1_9)</f>
        <v>-0.5091656078927882</v>
      </c>
      <c r="W5">
        <f>CS1_0_std * CS1_0_loading+CS1_1_std * CS1_1_loading+CS1_2_std * CS1_2_loading+CS1_3_std * CS1_3_loading+CS1_4_std * CS1_4_loading+CS1_5_std * CS1_5_loading+CS1_6_std * CS1_6_loading+CS1_7_std * CS1_7_loading+CS1_8_std * CS1_8_loading+CS1_9_std * CS1_9_loading</f>
        <v>-0.83475693919746263</v>
      </c>
      <c r="X5">
        <f>(CS1_I_STD-MIN(CS1_I_STD_ALL))/(MAX(CS1_I_STD_ALL)-MIN(CS1_I_STD_ALL))*100</f>
        <v>27.463834442986386</v>
      </c>
      <c r="Y5" s="138" t="s">
        <v>57</v>
      </c>
      <c r="Z5" s="138">
        <v>92.255436220636625</v>
      </c>
      <c r="AA5" s="139">
        <v>3.2387863893412083</v>
      </c>
      <c r="AB5" t="s">
        <v>59</v>
      </c>
      <c r="AC5">
        <v>112.06602026518708</v>
      </c>
      <c r="AD5">
        <v>938.72343954985354</v>
      </c>
      <c r="AE5">
        <v>11.029579643905521</v>
      </c>
      <c r="AF5">
        <v>8.0978174695676657</v>
      </c>
      <c r="AG5">
        <v>1</v>
      </c>
      <c r="AH5">
        <v>0</v>
      </c>
      <c r="AI5">
        <v>13</v>
      </c>
      <c r="AJ5">
        <v>137.44123176406123</v>
      </c>
      <c r="AK5">
        <v>0</v>
      </c>
      <c r="AL5">
        <v>13</v>
      </c>
      <c r="AM5">
        <v>137.44123176406123</v>
      </c>
      <c r="AN5">
        <f>(CS2_0-AVERAGE(CS2_0))/STDEV(CS2_0)</f>
        <v>-0.23051654962319776</v>
      </c>
      <c r="AO5">
        <f>(CS2_1-AVERAGE(CS2_1))/STDEV(CS2_1)</f>
        <v>-0.90258403566274636</v>
      </c>
      <c r="AP5">
        <f>(CS2_2-AVERAGE(CS2_2))/STDEV(CS2_2)</f>
        <v>7.488934960252451E-2</v>
      </c>
      <c r="AQ5">
        <f>(CS2_3-AVERAGE(CS2_3))/STDEV(CS2_3)</f>
        <v>-0.76189920929035693</v>
      </c>
      <c r="AR5">
        <f>(CS2_4-AVERAGE(CS2_4))/STDEV(CS2_4)</f>
        <v>-0.59269558477019968</v>
      </c>
      <c r="AS5">
        <f>(CS2_5-AVERAGE(CS2_5))/STDEV(CS2_5)</f>
        <v>-0.3061882996945281</v>
      </c>
      <c r="AT5">
        <f>(CS2_6-AVERAGE(CS2_6))/STDEV(CS2_6)</f>
        <v>-0.5091656078927882</v>
      </c>
      <c r="AU5">
        <f>(CS2_7-AVERAGE(CS2_7))/STDEV(CS2_7)</f>
        <v>-0.59269558477019968</v>
      </c>
      <c r="AV5">
        <f>(CS2_8-AVERAGE(CS2_8))/STDEV(CS2_8)</f>
        <v>-0.3061882996945281</v>
      </c>
      <c r="AW5">
        <f>(CS2_9-AVERAGE(CS2_9))/STDEV(CS2_9)</f>
        <v>-0.5091656078927882</v>
      </c>
      <c r="AX5">
        <f>CS2_0_std * CS2_0_loading+CS2_1_std * CS2_1_loading+CS2_2_std * CS2_2_loading+CS2_3_std * CS2_3_loading+CS2_4_std * CS2_4_loading+CS2_5_std * CS2_5_loading+CS2_6_std * CS2_6_loading+CS2_7_std * CS2_7_loading+CS2_8_std * CS2_8_loading+CS2_9_std * CS2_9_loading</f>
        <v>-0.93413404694734159</v>
      </c>
      <c r="AY5">
        <f>(CS2_I_STD-MIN(CS2_I_STD_ALL))/(MAX(CS2_I_STD_ALL)-MIN(CS2_I_STD_ALL))*100</f>
        <v>26.406748298628013</v>
      </c>
      <c r="AZ5" s="138" t="s">
        <v>57</v>
      </c>
      <c r="BA5" s="138">
        <v>92.255436220636625</v>
      </c>
      <c r="BB5" s="139">
        <v>3.1876835748931631</v>
      </c>
      <c r="BC5" t="s">
        <v>59</v>
      </c>
      <c r="BD5">
        <v>112.06602026518708</v>
      </c>
      <c r="BE5">
        <v>938.72343954985354</v>
      </c>
      <c r="BF5">
        <v>11.029579643905521</v>
      </c>
      <c r="BG5">
        <v>8.0978174695676657</v>
      </c>
      <c r="BH5">
        <v>1</v>
      </c>
      <c r="BI5">
        <v>0</v>
      </c>
      <c r="BJ5">
        <v>13</v>
      </c>
      <c r="BK5">
        <v>137.44123176406123</v>
      </c>
      <c r="BL5">
        <v>0</v>
      </c>
      <c r="BM5">
        <v>13</v>
      </c>
      <c r="BN5">
        <v>137.44123176406123</v>
      </c>
      <c r="BO5">
        <f>(PCA_0-AVERAGE(PCA_0))/STDEV(PCA_0)</f>
        <v>-0.23051654962319776</v>
      </c>
      <c r="BP5">
        <f>(PCA_1-AVERAGE(PCA_1))/STDEV(PCA_1)</f>
        <v>-0.90258403566274636</v>
      </c>
      <c r="BQ5">
        <f>(PCA_2-AVERAGE(PCA_2))/STDEV(PCA_2)</f>
        <v>7.488934960252451E-2</v>
      </c>
      <c r="BR5">
        <f>(PCA_3-AVERAGE(PCA_3))/STDEV(PCA_3)</f>
        <v>-0.76189920929035693</v>
      </c>
      <c r="BS5">
        <f>(PCA_4-AVERAGE(PCA_4))/STDEV(PCA_4)</f>
        <v>-0.59269558477019968</v>
      </c>
      <c r="BT5">
        <f>(PCA_5-AVERAGE(PCA_5))/STDEV(PCA_5)</f>
        <v>-0.3061882996945281</v>
      </c>
      <c r="BU5">
        <f>(PCA_6-AVERAGE(PCA_6))/STDEV(PCA_6)</f>
        <v>-0.5091656078927882</v>
      </c>
      <c r="BV5">
        <f>(PCA_7-AVERAGE(PCA_7))/STDEV(PCA_7)</f>
        <v>-0.59269558477019968</v>
      </c>
      <c r="BW5">
        <f>(PCA_8-AVERAGE(PCA_8))/STDEV(PCA_8)</f>
        <v>-0.3061882996945281</v>
      </c>
      <c r="BX5">
        <f>(PCA_9-AVERAGE(PCA_9))/STDEV(PCA_9)</f>
        <v>-0.5091656078927882</v>
      </c>
      <c r="BY5">
        <f>PCA_0_std * PCA_0_loading+PCA_1_std * PCA_1_loading+PCA_2_std * PCA_2_loading+PCA_3_std * PCA_3_loading+PCA_4_std * PCA_4_loading+PCA_5_std * PCA_5_loading+PCA_6_std * PCA_6_loading+PCA_7_std * PCA_7_loading+PCA_8_std * PCA_8_loading+PCA_9_std * PCA_9_loading</f>
        <v>-0.2177624407069482</v>
      </c>
      <c r="BZ5">
        <f>(PCA_I_STD-MIN(PCA_I_STD_ALL))/(MAX(PCA_I_STD_ALL)-MIN(PCA_I_STD_ALL))*100</f>
        <v>51.664438057519178</v>
      </c>
      <c r="CA5" s="138" t="s">
        <v>84</v>
      </c>
      <c r="CB5" s="138">
        <v>101.91738416424882</v>
      </c>
      <c r="CC5" s="139">
        <v>23.976070203489165</v>
      </c>
      <c r="CD5" t="s">
        <v>59</v>
      </c>
      <c r="CE5">
        <v>112.06602026518708</v>
      </c>
      <c r="CF5">
        <v>938.72343954985354</v>
      </c>
      <c r="CG5">
        <v>11.029579643905521</v>
      </c>
      <c r="CH5">
        <v>8.0978174695676657</v>
      </c>
      <c r="CI5">
        <v>1</v>
      </c>
      <c r="CJ5">
        <v>0</v>
      </c>
      <c r="CK5">
        <v>13</v>
      </c>
      <c r="CL5">
        <v>137.44123176406123</v>
      </c>
      <c r="CM5">
        <v>0</v>
      </c>
      <c r="CN5">
        <v>13</v>
      </c>
      <c r="CO5">
        <v>137.44123176406123</v>
      </c>
      <c r="CP5">
        <f>(KTGET_0-AVERAGE(KTGET_0))/STDEV(KTGET_0)</f>
        <v>-0.23051654962319776</v>
      </c>
      <c r="CQ5">
        <f>(KTGET_1-AVERAGE(KTGET_1))/STDEV(KTGET_1)</f>
        <v>-0.90258403566274636</v>
      </c>
      <c r="CR5">
        <f>(KTGET_2-AVERAGE(KTGET_2))/STDEV(KTGET_2)</f>
        <v>7.488934960252451E-2</v>
      </c>
      <c r="CS5">
        <f>(KTGET_3-AVERAGE(KTGET_3))/STDEV(KTGET_3)</f>
        <v>-0.76189920929035693</v>
      </c>
      <c r="CT5">
        <f>(KTGET_4-AVERAGE(KTGET_4))/STDEV(KTGET_4)</f>
        <v>-0.59269558477019968</v>
      </c>
      <c r="CU5">
        <f>(KTGET_5-AVERAGE(KTGET_5))/STDEV(KTGET_5)</f>
        <v>-0.3061882996945281</v>
      </c>
      <c r="CV5">
        <f>(KTGET_6-AVERAGE(KTGET_6))/STDEV(KTGET_6)</f>
        <v>-0.5091656078927882</v>
      </c>
      <c r="CW5">
        <f>(KTGET_7-AVERAGE(KTGET_7))/STDEV(KTGET_7)</f>
        <v>-0.59269558477019968</v>
      </c>
      <c r="CX5">
        <f>(KTGET_8-AVERAGE(KTGET_8))/STDEV(KTGET_8)</f>
        <v>-0.3061882996945281</v>
      </c>
      <c r="CY5">
        <f>(KTGET_9-AVERAGE(KTGET_9))/STDEV(KTGET_9)</f>
        <v>-0.5091656078927882</v>
      </c>
      <c r="CZ5">
        <f>KTGET_0_std * KTGET_0_loading+KTGET_1_std * KTGET_1_loading+KTGET_2_std * KTGET_2_loading+KTGET_3_std * KTGET_3_loading+KTGET_4_std * KTGET_4_loading+KTGET_5_std * KTGET_5_loading+KTGET_6_std * KTGET_6_loading+KTGET_7_std * KTGET_7_loading+KTGET_8_std * KTGET_8_loading+KTGET_9_std * KTGET_9_loading</f>
        <v>-0.83476260756451093</v>
      </c>
      <c r="DA5">
        <f>(KTGET_I_STD-MIN(KTGET_I_STD_ALL))/(MAX(KTGET_I_STD_ALL)-MIN(KTGET_I_STD_ALL))*100</f>
        <v>27.463775288146149</v>
      </c>
      <c r="DB5" s="138" t="s">
        <v>57</v>
      </c>
      <c r="DC5" s="138">
        <v>92.255436220636625</v>
      </c>
      <c r="DD5" s="139">
        <v>3.238795374513074</v>
      </c>
      <c r="DE5" t="s">
        <v>59</v>
      </c>
      <c r="DF5">
        <v>112.06602026518708</v>
      </c>
      <c r="DG5">
        <v>938.72343954985354</v>
      </c>
      <c r="DH5">
        <v>11.029579643905521</v>
      </c>
      <c r="DI5">
        <v>8.0978174695676657</v>
      </c>
      <c r="DJ5">
        <v>1</v>
      </c>
      <c r="DK5">
        <v>0</v>
      </c>
      <c r="DL5">
        <v>13</v>
      </c>
      <c r="DM5">
        <v>137.44123176406123</v>
      </c>
      <c r="DN5">
        <v>0</v>
      </c>
      <c r="DO5">
        <v>13</v>
      </c>
      <c r="DP5">
        <v>137.44123176406123</v>
      </c>
      <c r="DQ5">
        <f>(KTGT_0-AVERAGE(KTGT_0))/STDEV(KTGT_0)</f>
        <v>-0.23051654962319776</v>
      </c>
      <c r="DR5">
        <f>(KTGT_1-AVERAGE(KTGT_1))/STDEV(KTGT_1)</f>
        <v>-0.90258403566274636</v>
      </c>
      <c r="DS5">
        <f>(KTGT_2-AVERAGE(KTGT_2))/STDEV(KTGT_2)</f>
        <v>7.488934960252451E-2</v>
      </c>
      <c r="DT5">
        <f>(KTGT_3-AVERAGE(KTGT_3))/STDEV(KTGT_3)</f>
        <v>-0.76189920929035693</v>
      </c>
      <c r="DU5">
        <f>(KTGT_4-AVERAGE(KTGT_4))/STDEV(KTGT_4)</f>
        <v>-0.59269558477019968</v>
      </c>
      <c r="DV5">
        <f>(KTGT_5-AVERAGE(KTGT_5))/STDEV(KTGT_5)</f>
        <v>-0.3061882996945281</v>
      </c>
      <c r="DW5">
        <f>(KTGT_6-AVERAGE(KTGT_6))/STDEV(KTGT_6)</f>
        <v>-0.5091656078927882</v>
      </c>
      <c r="DX5">
        <f>(KTGT_7-AVERAGE(KTGT_7))/STDEV(KTGT_7)</f>
        <v>-0.59269558477019968</v>
      </c>
      <c r="DY5">
        <f>(KTGT_8-AVERAGE(KTGT_8))/STDEV(KTGT_8)</f>
        <v>-0.3061882996945281</v>
      </c>
      <c r="DZ5">
        <f>(KTGT_9-AVERAGE(KTGT_9))/STDEV(KTGT_9)</f>
        <v>-0.5091656078927882</v>
      </c>
      <c r="EA5">
        <f>KTGT_0_std * KTGT_0_loading+KTGT_1_std * KTGT_1_loading+KTGT_2_std * KTGT_2_loading+KTGT_3_std * KTGT_3_loading+KTGT_4_std * KTGT_4_loading+KTGT_5_std * KTGT_5_loading+KTGT_6_std * KTGT_6_loading+KTGT_7_std * KTGT_7_loading+KTGT_8_std * KTGT_8_loading+KTGT_9_std * KTGT_9_loading</f>
        <v>-0.8359346247225794</v>
      </c>
      <c r="EB5">
        <f>(KTGT_I_STD-MIN(KTGT_I_STD_ALL))/(MAX(KTGT_I_STD_ALL)-MIN(KTGT_I_STD_ALL))*100</f>
        <v>27.434471420742639</v>
      </c>
      <c r="EC5" s="138" t="s">
        <v>57</v>
      </c>
      <c r="ED5" s="138">
        <v>92.255436220636625</v>
      </c>
      <c r="EE5" s="139">
        <v>3.2471370023877197</v>
      </c>
      <c r="EF5" t="s">
        <v>59</v>
      </c>
      <c r="EG5">
        <v>112.06602026518708</v>
      </c>
      <c r="EH5">
        <v>938.72343954985354</v>
      </c>
      <c r="EI5">
        <v>11.029579643905521</v>
      </c>
      <c r="EJ5">
        <v>8.0978174695676657</v>
      </c>
      <c r="EK5">
        <v>1</v>
      </c>
      <c r="EL5">
        <v>0</v>
      </c>
      <c r="EM5">
        <v>13</v>
      </c>
      <c r="EN5">
        <v>137.44123176406123</v>
      </c>
      <c r="EO5">
        <v>0</v>
      </c>
      <c r="EP5">
        <v>13</v>
      </c>
      <c r="EQ5">
        <v>137.44123176406123</v>
      </c>
      <c r="ER5">
        <f>(SA_0-AVERAGE(SA_0))/STDEV(SA_0)</f>
        <v>-0.23051654962319776</v>
      </c>
      <c r="ES5">
        <f>(SA_1-AVERAGE(SA_1))/STDEV(SA_1)</f>
        <v>-0.90258403566274636</v>
      </c>
      <c r="ET5">
        <f>(SA_2-AVERAGE(SA_2))/STDEV(SA_2)</f>
        <v>7.488934960252451E-2</v>
      </c>
      <c r="EU5">
        <f>(SA_3-AVERAGE(SA_3))/STDEV(SA_3)</f>
        <v>-0.76189920929035693</v>
      </c>
      <c r="EV5">
        <f>(SA_4-AVERAGE(SA_4))/STDEV(SA_4)</f>
        <v>-0.59269558477019968</v>
      </c>
      <c r="EW5">
        <f>(SA_5-AVERAGE(SA_5))/STDEV(SA_5)</f>
        <v>-0.3061882996945281</v>
      </c>
      <c r="EX5">
        <f>(SA_6-AVERAGE(SA_6))/STDEV(SA_6)</f>
        <v>-0.5091656078927882</v>
      </c>
      <c r="EY5">
        <f>(SA_7-AVERAGE(SA_7))/STDEV(SA_7)</f>
        <v>-0.59269558477019968</v>
      </c>
      <c r="EZ5">
        <f>(SA_8-AVERAGE(SA_8))/STDEV(SA_8)</f>
        <v>-0.3061882996945281</v>
      </c>
      <c r="FA5">
        <f>(SA_9-AVERAGE(SA_9))/STDEV(SA_9)</f>
        <v>-0.5091656078927882</v>
      </c>
      <c r="FB5">
        <f>SA_0_std * SA_0_loading+SA_1_std * SA_1_loading+SA_2_std * SA_2_loading+SA_3_std * SA_3_loading+SA_4_std * SA_4_loading+SA_5_std * SA_5_loading+SA_6_std * SA_6_loading+SA_7_std * SA_7_loading+SA_8_std * SA_8_loading+SA_9_std * SA_9_loading</f>
        <v>-1.4660981507366899</v>
      </c>
      <c r="FC5">
        <f>(SA_I_STD-MIN(SA_I_STD_ALL))/(MAX(SA_I_STD_ALL)-MIN(SA_I_STD_ALL))*100</f>
        <v>26.114598494786307</v>
      </c>
      <c r="FD5" s="138" t="s">
        <v>60</v>
      </c>
      <c r="FE5" s="138">
        <v>63.529505721437147</v>
      </c>
      <c r="FF5" s="139">
        <v>14.379943493079454</v>
      </c>
    </row>
    <row r="6" spans="1:162" x14ac:dyDescent="0.25">
      <c r="A6" t="s">
        <v>62</v>
      </c>
      <c r="B6">
        <v>44.85863586555007</v>
      </c>
      <c r="C6">
        <v>6391.0012970360858</v>
      </c>
      <c r="D6">
        <v>16.652311992698621</v>
      </c>
      <c r="E6">
        <v>4.07</v>
      </c>
      <c r="F6">
        <v>1</v>
      </c>
      <c r="G6">
        <v>18</v>
      </c>
      <c r="H6">
        <v>6.6942900938877159</v>
      </c>
      <c r="I6">
        <v>114.96455259628281</v>
      </c>
      <c r="J6">
        <v>18</v>
      </c>
      <c r="K6">
        <v>6.6942900938877159</v>
      </c>
      <c r="L6">
        <v>114.96455259628281</v>
      </c>
      <c r="M6">
        <f>(CS1_0-AVERAGE(CS1_0))/STDEV(CS1_0)</f>
        <v>9.1405399007516763E-2</v>
      </c>
      <c r="N6">
        <f>(CS1_1-AVERAGE(CS1_1))/STDEV(CS1_1)</f>
        <v>-0.40314923416959264</v>
      </c>
      <c r="O6">
        <f>(CS1_2-AVERAGE(CS1_2))/STDEV(CS1_2)</f>
        <v>-0.94765794759988409</v>
      </c>
      <c r="P6">
        <f>(CS1_3-AVERAGE(CS1_3))/STDEV(CS1_3)</f>
        <v>-0.76189920929035693</v>
      </c>
      <c r="Q6">
        <f>(CS1_4-AVERAGE(CS1_4))/STDEV(CS1_4)</f>
        <v>1.8966258712646393</v>
      </c>
      <c r="R6">
        <f>(CS1_5-AVERAGE(CS1_5))/STDEV(CS1_5)</f>
        <v>-0.75267349135647343</v>
      </c>
      <c r="S6">
        <f>(CS1_6-AVERAGE(CS1_6))/STDEV(CS1_6)</f>
        <v>-0.67271867532678531</v>
      </c>
      <c r="T6">
        <f>(CS1_7-AVERAGE(CS1_7))/STDEV(CS1_7)</f>
        <v>1.8966258712646393</v>
      </c>
      <c r="U6">
        <f>(CS1_8-AVERAGE(CS1_8))/STDEV(CS1_8)</f>
        <v>-0.75267349135647343</v>
      </c>
      <c r="V6">
        <f>(CS1_9-AVERAGE(CS1_9))/STDEV(CS1_9)</f>
        <v>-0.67271867532678531</v>
      </c>
      <c r="W6">
        <f>CS1_0_std * CS1_0_loading+CS1_1_std * CS1_1_loading+CS1_2_std * CS1_2_loading+CS1_3_std * CS1_3_loading+CS1_4_std * CS1_4_loading+CS1_5_std * CS1_5_loading+CS1_6_std * CS1_6_loading+CS1_7_std * CS1_7_loading+CS1_8_std * CS1_8_loading+CS1_9_std * CS1_9_loading</f>
        <v>-1.512831081985111</v>
      </c>
      <c r="X6">
        <f>(CS1_I_STD-MIN(CS1_I_STD_ALL))/(MAX(CS1_I_STD_ALL)-MIN(CS1_I_STD_ALL))*100</f>
        <v>15.929018705331124</v>
      </c>
      <c r="Y6" s="138" t="s">
        <v>58</v>
      </c>
      <c r="Z6" s="138">
        <v>67.207208002483483</v>
      </c>
      <c r="AA6" s="139">
        <v>11.948642667115069</v>
      </c>
      <c r="AB6" t="s">
        <v>62</v>
      </c>
      <c r="AC6">
        <v>44.85863586555007</v>
      </c>
      <c r="AD6">
        <v>6391.0012970360858</v>
      </c>
      <c r="AE6">
        <v>16.652311992698621</v>
      </c>
      <c r="AF6">
        <v>4.07</v>
      </c>
      <c r="AG6">
        <v>1</v>
      </c>
      <c r="AH6">
        <v>18</v>
      </c>
      <c r="AI6">
        <v>6.6942900938877159</v>
      </c>
      <c r="AJ6">
        <v>114.96455259628281</v>
      </c>
      <c r="AK6">
        <v>18</v>
      </c>
      <c r="AL6">
        <v>6.6942900938877159</v>
      </c>
      <c r="AM6">
        <v>114.96455259628281</v>
      </c>
      <c r="AN6">
        <f>(CS2_0-AVERAGE(CS2_0))/STDEV(CS2_0)</f>
        <v>9.1405399007516763E-2</v>
      </c>
      <c r="AO6">
        <f>(CS2_1-AVERAGE(CS2_1))/STDEV(CS2_1)</f>
        <v>-0.40314923416959264</v>
      </c>
      <c r="AP6">
        <f>(CS2_2-AVERAGE(CS2_2))/STDEV(CS2_2)</f>
        <v>-0.94765794759988409</v>
      </c>
      <c r="AQ6">
        <f>(CS2_3-AVERAGE(CS2_3))/STDEV(CS2_3)</f>
        <v>-0.76189920929035693</v>
      </c>
      <c r="AR6">
        <f>(CS2_4-AVERAGE(CS2_4))/STDEV(CS2_4)</f>
        <v>1.8966258712646393</v>
      </c>
      <c r="AS6">
        <f>(CS2_5-AVERAGE(CS2_5))/STDEV(CS2_5)</f>
        <v>-0.75267349135647343</v>
      </c>
      <c r="AT6">
        <f>(CS2_6-AVERAGE(CS2_6))/STDEV(CS2_6)</f>
        <v>-0.67271867532678531</v>
      </c>
      <c r="AU6">
        <f>(CS2_7-AVERAGE(CS2_7))/STDEV(CS2_7)</f>
        <v>1.8966258712646393</v>
      </c>
      <c r="AV6">
        <f>(CS2_8-AVERAGE(CS2_8))/STDEV(CS2_8)</f>
        <v>-0.75267349135647343</v>
      </c>
      <c r="AW6">
        <f>(CS2_9-AVERAGE(CS2_9))/STDEV(CS2_9)</f>
        <v>-0.67271867532678531</v>
      </c>
      <c r="AX6">
        <f>CS2_0_std * CS2_0_loading+CS2_1_std * CS2_1_loading+CS2_2_std * CS2_2_loading+CS2_3_std * CS2_3_loading+CS2_4_std * CS2_4_loading+CS2_5_std * CS2_5_loading+CS2_6_std * CS2_6_loading+CS2_7_std * CS2_7_loading+CS2_8_std * CS2_8_loading+CS2_9_std * CS2_9_loading</f>
        <v>-1.66430237848688</v>
      </c>
      <c r="AY6">
        <f>(CS2_I_STD-MIN(CS2_I_STD_ALL))/(MAX(CS2_I_STD_ALL)-MIN(CS2_I_STD_ALL))*100</f>
        <v>14.456308071837285</v>
      </c>
      <c r="AZ6" s="138" t="s">
        <v>58</v>
      </c>
      <c r="BA6" s="138">
        <v>67.207208002483483</v>
      </c>
      <c r="BB6" s="139">
        <v>12.181525800614383</v>
      </c>
      <c r="BC6" t="s">
        <v>62</v>
      </c>
      <c r="BD6">
        <v>44.85863586555007</v>
      </c>
      <c r="BE6">
        <v>6391.0012970360858</v>
      </c>
      <c r="BF6">
        <v>16.652311992698621</v>
      </c>
      <c r="BG6">
        <v>4.07</v>
      </c>
      <c r="BH6">
        <v>1</v>
      </c>
      <c r="BI6">
        <v>18</v>
      </c>
      <c r="BJ6">
        <v>6.6942900938877159</v>
      </c>
      <c r="BK6">
        <v>114.96455259628281</v>
      </c>
      <c r="BL6">
        <v>18</v>
      </c>
      <c r="BM6">
        <v>6.6942900938877159</v>
      </c>
      <c r="BN6">
        <v>114.96455259628281</v>
      </c>
      <c r="BO6">
        <f>(PCA_0-AVERAGE(PCA_0))/STDEV(PCA_0)</f>
        <v>9.1405399007516763E-2</v>
      </c>
      <c r="BP6">
        <f>(PCA_1-AVERAGE(PCA_1))/STDEV(PCA_1)</f>
        <v>-0.40314923416959264</v>
      </c>
      <c r="BQ6">
        <f>(PCA_2-AVERAGE(PCA_2))/STDEV(PCA_2)</f>
        <v>-0.94765794759988409</v>
      </c>
      <c r="BR6">
        <f>(PCA_3-AVERAGE(PCA_3))/STDEV(PCA_3)</f>
        <v>-0.76189920929035693</v>
      </c>
      <c r="BS6">
        <f>(PCA_4-AVERAGE(PCA_4))/STDEV(PCA_4)</f>
        <v>1.8966258712646393</v>
      </c>
      <c r="BT6">
        <f>(PCA_5-AVERAGE(PCA_5))/STDEV(PCA_5)</f>
        <v>-0.75267349135647343</v>
      </c>
      <c r="BU6">
        <f>(PCA_6-AVERAGE(PCA_6))/STDEV(PCA_6)</f>
        <v>-0.67271867532678531</v>
      </c>
      <c r="BV6">
        <f>(PCA_7-AVERAGE(PCA_7))/STDEV(PCA_7)</f>
        <v>1.8966258712646393</v>
      </c>
      <c r="BW6">
        <f>(PCA_8-AVERAGE(PCA_8))/STDEV(PCA_8)</f>
        <v>-0.75267349135647343</v>
      </c>
      <c r="BX6">
        <f>(PCA_9-AVERAGE(PCA_9))/STDEV(PCA_9)</f>
        <v>-0.67271867532678531</v>
      </c>
      <c r="BY6">
        <f>PCA_0_std * PCA_0_loading+PCA_1_std * PCA_1_loading+PCA_2_std * PCA_2_loading+PCA_3_std * PCA_3_loading+PCA_4_std * PCA_4_loading+PCA_5_std * PCA_5_loading+PCA_6_std * PCA_6_loading+PCA_7_std * PCA_7_loading+PCA_8_std * PCA_8_loading+PCA_9_std * PCA_9_loading</f>
        <v>1.5899911554910025</v>
      </c>
      <c r="BZ6">
        <f>(PCA_I_STD-MIN(PCA_I_STD_ALL))/(MAX(PCA_I_STD_ALL)-MIN(PCA_I_STD_ALL))*100</f>
        <v>76.869183886917313</v>
      </c>
      <c r="CA6" s="138" t="s">
        <v>80</v>
      </c>
      <c r="CB6" s="138">
        <v>14.043552326179778</v>
      </c>
      <c r="CC6" s="139">
        <v>30.780296120392443</v>
      </c>
      <c r="CD6" t="s">
        <v>62</v>
      </c>
      <c r="CE6">
        <v>44.85863586555007</v>
      </c>
      <c r="CF6">
        <v>6391.0012970360858</v>
      </c>
      <c r="CG6">
        <v>16.652311992698621</v>
      </c>
      <c r="CH6">
        <v>4.07</v>
      </c>
      <c r="CI6">
        <v>1</v>
      </c>
      <c r="CJ6">
        <v>18</v>
      </c>
      <c r="CK6">
        <v>6.6942900938877159</v>
      </c>
      <c r="CL6">
        <v>114.96455259628281</v>
      </c>
      <c r="CM6">
        <v>18</v>
      </c>
      <c r="CN6">
        <v>6.6942900938877159</v>
      </c>
      <c r="CO6">
        <v>114.96455259628281</v>
      </c>
      <c r="CP6">
        <f>(KTGET_0-AVERAGE(KTGET_0))/STDEV(KTGET_0)</f>
        <v>9.1405399007516763E-2</v>
      </c>
      <c r="CQ6">
        <f>(KTGET_1-AVERAGE(KTGET_1))/STDEV(KTGET_1)</f>
        <v>-0.40314923416959264</v>
      </c>
      <c r="CR6">
        <f>(KTGET_2-AVERAGE(KTGET_2))/STDEV(KTGET_2)</f>
        <v>-0.94765794759988409</v>
      </c>
      <c r="CS6">
        <f>(KTGET_3-AVERAGE(KTGET_3))/STDEV(KTGET_3)</f>
        <v>-0.76189920929035693</v>
      </c>
      <c r="CT6">
        <f>(KTGET_4-AVERAGE(KTGET_4))/STDEV(KTGET_4)</f>
        <v>1.8966258712646393</v>
      </c>
      <c r="CU6">
        <f>(KTGET_5-AVERAGE(KTGET_5))/STDEV(KTGET_5)</f>
        <v>-0.75267349135647343</v>
      </c>
      <c r="CV6">
        <f>(KTGET_6-AVERAGE(KTGET_6))/STDEV(KTGET_6)</f>
        <v>-0.67271867532678531</v>
      </c>
      <c r="CW6">
        <f>(KTGET_7-AVERAGE(KTGET_7))/STDEV(KTGET_7)</f>
        <v>1.8966258712646393</v>
      </c>
      <c r="CX6">
        <f>(KTGET_8-AVERAGE(KTGET_8))/STDEV(KTGET_8)</f>
        <v>-0.75267349135647343</v>
      </c>
      <c r="CY6">
        <f>(KTGET_9-AVERAGE(KTGET_9))/STDEV(KTGET_9)</f>
        <v>-0.67271867532678531</v>
      </c>
      <c r="CZ6">
        <f>KTGET_0_std * KTGET_0_loading+KTGET_1_std * KTGET_1_loading+KTGET_2_std * KTGET_2_loading+KTGET_3_std * KTGET_3_loading+KTGET_4_std * KTGET_4_loading+KTGET_5_std * KTGET_5_loading+KTGET_6_std * KTGET_6_loading+KTGET_7_std * KTGET_7_loading+KTGET_8_std * KTGET_8_loading+KTGET_9_std * KTGET_9_loading</f>
        <v>-1.5128333053846656</v>
      </c>
      <c r="DA6">
        <f>(KTGET_I_STD-MIN(KTGET_I_STD_ALL))/(MAX(KTGET_I_STD_ALL)-MIN(KTGET_I_STD_ALL))*100</f>
        <v>15.929025651749518</v>
      </c>
      <c r="DB6" s="138" t="s">
        <v>58</v>
      </c>
      <c r="DC6" s="138">
        <v>67.207208002483483</v>
      </c>
      <c r="DD6" s="139">
        <v>11.948592820724128</v>
      </c>
      <c r="DE6" t="s">
        <v>62</v>
      </c>
      <c r="DF6">
        <v>44.85863586555007</v>
      </c>
      <c r="DG6">
        <v>6391.0012970360858</v>
      </c>
      <c r="DH6">
        <v>16.652311992698621</v>
      </c>
      <c r="DI6">
        <v>4.07</v>
      </c>
      <c r="DJ6">
        <v>1</v>
      </c>
      <c r="DK6">
        <v>18</v>
      </c>
      <c r="DL6">
        <v>6.6942900938877159</v>
      </c>
      <c r="DM6">
        <v>114.96455259628281</v>
      </c>
      <c r="DN6">
        <v>18</v>
      </c>
      <c r="DO6">
        <v>6.6942900938877159</v>
      </c>
      <c r="DP6">
        <v>114.96455259628281</v>
      </c>
      <c r="DQ6">
        <f>(KTGT_0-AVERAGE(KTGT_0))/STDEV(KTGT_0)</f>
        <v>9.1405399007516763E-2</v>
      </c>
      <c r="DR6">
        <f>(KTGT_1-AVERAGE(KTGT_1))/STDEV(KTGT_1)</f>
        <v>-0.40314923416959264</v>
      </c>
      <c r="DS6">
        <f>(KTGT_2-AVERAGE(KTGT_2))/STDEV(KTGT_2)</f>
        <v>-0.94765794759988409</v>
      </c>
      <c r="DT6">
        <f>(KTGT_3-AVERAGE(KTGT_3))/STDEV(KTGT_3)</f>
        <v>-0.76189920929035693</v>
      </c>
      <c r="DU6">
        <f>(KTGT_4-AVERAGE(KTGT_4))/STDEV(KTGT_4)</f>
        <v>1.8966258712646393</v>
      </c>
      <c r="DV6">
        <f>(KTGT_5-AVERAGE(KTGT_5))/STDEV(KTGT_5)</f>
        <v>-0.75267349135647343</v>
      </c>
      <c r="DW6">
        <f>(KTGT_6-AVERAGE(KTGT_6))/STDEV(KTGT_6)</f>
        <v>-0.67271867532678531</v>
      </c>
      <c r="DX6">
        <f>(KTGT_7-AVERAGE(KTGT_7))/STDEV(KTGT_7)</f>
        <v>1.8966258712646393</v>
      </c>
      <c r="DY6">
        <f>(KTGT_8-AVERAGE(KTGT_8))/STDEV(KTGT_8)</f>
        <v>-0.75267349135647343</v>
      </c>
      <c r="DZ6">
        <f>(KTGT_9-AVERAGE(KTGT_9))/STDEV(KTGT_9)</f>
        <v>-0.67271867532678531</v>
      </c>
      <c r="EA6">
        <f>KTGT_0_std * KTGT_0_loading+KTGT_1_std * KTGT_1_loading+KTGT_2_std * KTGT_2_loading+KTGT_3_std * KTGT_3_loading+KTGT_4_std * KTGT_4_loading+KTGT_5_std * KTGT_5_loading+KTGT_6_std * KTGT_6_loading+KTGT_7_std * KTGT_7_loading+KTGT_8_std * KTGT_8_loading+KTGT_9_std * KTGT_9_loading</f>
        <v>-1.5012318252717658</v>
      </c>
      <c r="EB6">
        <f>(KTGT_I_STD-MIN(KTGT_I_STD_ALL))/(MAX(KTGT_I_STD_ALL)-MIN(KTGT_I_STD_ALL))*100</f>
        <v>16.123113325405829</v>
      </c>
      <c r="EC6" s="138" t="s">
        <v>58</v>
      </c>
      <c r="ED6" s="138">
        <v>67.207208002483483</v>
      </c>
      <c r="EE6" s="139">
        <v>11.962889544665902</v>
      </c>
      <c r="EF6" t="s">
        <v>62</v>
      </c>
      <c r="EG6">
        <v>44.85863586555007</v>
      </c>
      <c r="EH6">
        <v>6391.0012970360858</v>
      </c>
      <c r="EI6">
        <v>16.652311992698621</v>
      </c>
      <c r="EJ6">
        <v>4.07</v>
      </c>
      <c r="EK6">
        <v>1</v>
      </c>
      <c r="EL6">
        <v>18</v>
      </c>
      <c r="EM6">
        <v>6.6942900938877159</v>
      </c>
      <c r="EN6">
        <v>114.96455259628281</v>
      </c>
      <c r="EO6">
        <v>18</v>
      </c>
      <c r="EP6">
        <v>6.6942900938877159</v>
      </c>
      <c r="EQ6">
        <v>114.96455259628281</v>
      </c>
      <c r="ER6">
        <f>(SA_0-AVERAGE(SA_0))/STDEV(SA_0)</f>
        <v>9.1405399007516763E-2</v>
      </c>
      <c r="ES6">
        <f>(SA_1-AVERAGE(SA_1))/STDEV(SA_1)</f>
        <v>-0.40314923416959264</v>
      </c>
      <c r="ET6">
        <f>(SA_2-AVERAGE(SA_2))/STDEV(SA_2)</f>
        <v>-0.94765794759988409</v>
      </c>
      <c r="EU6">
        <f>(SA_3-AVERAGE(SA_3))/STDEV(SA_3)</f>
        <v>-0.76189920929035693</v>
      </c>
      <c r="EV6">
        <f>(SA_4-AVERAGE(SA_4))/STDEV(SA_4)</f>
        <v>1.8966258712646393</v>
      </c>
      <c r="EW6">
        <f>(SA_5-AVERAGE(SA_5))/STDEV(SA_5)</f>
        <v>-0.75267349135647343</v>
      </c>
      <c r="EX6">
        <f>(SA_6-AVERAGE(SA_6))/STDEV(SA_6)</f>
        <v>-0.67271867532678531</v>
      </c>
      <c r="EY6">
        <f>(SA_7-AVERAGE(SA_7))/STDEV(SA_7)</f>
        <v>1.8966258712646393</v>
      </c>
      <c r="EZ6">
        <f>(SA_8-AVERAGE(SA_8))/STDEV(SA_8)</f>
        <v>-0.75267349135647343</v>
      </c>
      <c r="FA6">
        <f>(SA_9-AVERAGE(SA_9))/STDEV(SA_9)</f>
        <v>-0.67271867532678531</v>
      </c>
      <c r="FB6">
        <f>SA_0_std * SA_0_loading+SA_1_std * SA_1_loading+SA_2_std * SA_2_loading+SA_3_std * SA_3_loading+SA_4_std * SA_4_loading+SA_5_std * SA_5_loading+SA_6_std * SA_6_loading+SA_7_std * SA_7_loading+SA_8_std * SA_8_loading+SA_9_std * SA_9_loading</f>
        <v>-0.34115713382110524</v>
      </c>
      <c r="FC6">
        <f>(SA_I_STD-MIN(SA_I_STD_ALL))/(MAX(SA_I_STD_ALL)-MIN(SA_I_STD_ALL))*100</f>
        <v>46.943172198478123</v>
      </c>
      <c r="FD6" s="138" t="s">
        <v>58</v>
      </c>
      <c r="FE6" s="138">
        <v>67.207208002483483</v>
      </c>
      <c r="FF6" s="139">
        <v>23.411289859734602</v>
      </c>
    </row>
    <row r="7" spans="1:162" x14ac:dyDescent="0.25">
      <c r="A7" t="s">
        <v>71</v>
      </c>
      <c r="B7">
        <v>59.97365989925494</v>
      </c>
      <c r="C7">
        <v>1240.6112971091886</v>
      </c>
      <c r="D7">
        <v>22.258825908077416</v>
      </c>
      <c r="E7">
        <v>6.7770395617905983</v>
      </c>
      <c r="F7">
        <v>1</v>
      </c>
      <c r="G7">
        <v>2</v>
      </c>
      <c r="H7">
        <v>27.775673827299983</v>
      </c>
      <c r="I7">
        <v>413.29118092603568</v>
      </c>
      <c r="J7">
        <v>2</v>
      </c>
      <c r="K7">
        <v>27.775673827299983</v>
      </c>
      <c r="L7">
        <v>413.29118092603568</v>
      </c>
      <c r="M7">
        <f>(CS1_0-AVERAGE(CS1_0))/STDEV(CS1_0)</f>
        <v>-0.21269201281240147</v>
      </c>
      <c r="N7">
        <f>(CS1_1-AVERAGE(CS1_1))/STDEV(CS1_1)</f>
        <v>9.4844977665306696E-2</v>
      </c>
      <c r="O7">
        <f>(CS1_2-AVERAGE(CS1_2))/STDEV(CS1_2)</f>
        <v>-0.26041826798597995</v>
      </c>
      <c r="P7">
        <f>(CS1_3-AVERAGE(CS1_3))/STDEV(CS1_3)</f>
        <v>-0.76189920929035693</v>
      </c>
      <c r="Q7">
        <f>(CS1_4-AVERAGE(CS1_4))/STDEV(CS1_4)</f>
        <v>-0.31610431187743987</v>
      </c>
      <c r="R7">
        <f>(CS1_5-AVERAGE(CS1_5))/STDEV(CS1_5)</f>
        <v>0.74002531605104682</v>
      </c>
      <c r="S7">
        <f>(CS1_6-AVERAGE(CS1_6))/STDEV(CS1_6)</f>
        <v>1.4980750970254697</v>
      </c>
      <c r="T7">
        <f>(CS1_7-AVERAGE(CS1_7))/STDEV(CS1_7)</f>
        <v>-0.31610431187743987</v>
      </c>
      <c r="U7">
        <f>(CS1_8-AVERAGE(CS1_8))/STDEV(CS1_8)</f>
        <v>0.74002531605104682</v>
      </c>
      <c r="V7">
        <f>(CS1_9-AVERAGE(CS1_9))/STDEV(CS1_9)</f>
        <v>1.4980750970254697</v>
      </c>
      <c r="W7">
        <f>CS1_0_std * CS1_0_loading+CS1_1_std * CS1_1_loading+CS1_2_std * CS1_2_loading+CS1_3_std * CS1_3_loading+CS1_4_std * CS1_4_loading+CS1_5_std * CS1_5_loading+CS1_6_std * CS1_6_loading+CS1_7_std * CS1_7_loading+CS1_8_std * CS1_8_loading+CS1_9_std * CS1_9_loading</f>
        <v>2.2020653132675179</v>
      </c>
      <c r="X7">
        <f>(CS1_I_STD-MIN(CS1_I_STD_ALL))/(MAX(CS1_I_STD_ALL)-MIN(CS1_I_STD_ALL))*100</f>
        <v>79.123649940721393</v>
      </c>
      <c r="Y7" s="138" t="s">
        <v>62</v>
      </c>
      <c r="Z7" s="138">
        <v>44.85863586555007</v>
      </c>
      <c r="AA7" s="139">
        <v>15.929018705331124</v>
      </c>
      <c r="AB7" t="s">
        <v>71</v>
      </c>
      <c r="AC7">
        <v>59.97365989925494</v>
      </c>
      <c r="AD7">
        <v>1240.6112971091886</v>
      </c>
      <c r="AE7">
        <v>22.258825908077416</v>
      </c>
      <c r="AF7">
        <v>6.7770395617905983</v>
      </c>
      <c r="AG7">
        <v>1</v>
      </c>
      <c r="AH7">
        <v>2</v>
      </c>
      <c r="AI7">
        <v>27.775673827299983</v>
      </c>
      <c r="AJ7">
        <v>413.29118092603568</v>
      </c>
      <c r="AK7">
        <v>2</v>
      </c>
      <c r="AL7">
        <v>27.775673827299983</v>
      </c>
      <c r="AM7">
        <v>413.29118092603568</v>
      </c>
      <c r="AN7">
        <f>(CS2_0-AVERAGE(CS2_0))/STDEV(CS2_0)</f>
        <v>-0.21269201281240147</v>
      </c>
      <c r="AO7">
        <f>(CS2_1-AVERAGE(CS2_1))/STDEV(CS2_1)</f>
        <v>9.4844977665306696E-2</v>
      </c>
      <c r="AP7">
        <f>(CS2_2-AVERAGE(CS2_2))/STDEV(CS2_2)</f>
        <v>-0.26041826798597995</v>
      </c>
      <c r="AQ7">
        <f>(CS2_3-AVERAGE(CS2_3))/STDEV(CS2_3)</f>
        <v>-0.76189920929035693</v>
      </c>
      <c r="AR7">
        <f>(CS2_4-AVERAGE(CS2_4))/STDEV(CS2_4)</f>
        <v>-0.31610431187743987</v>
      </c>
      <c r="AS7">
        <f>(CS2_5-AVERAGE(CS2_5))/STDEV(CS2_5)</f>
        <v>0.74002531605104682</v>
      </c>
      <c r="AT7">
        <f>(CS2_6-AVERAGE(CS2_6))/STDEV(CS2_6)</f>
        <v>1.4980750970254697</v>
      </c>
      <c r="AU7">
        <f>(CS2_7-AVERAGE(CS2_7))/STDEV(CS2_7)</f>
        <v>-0.31610431187743987</v>
      </c>
      <c r="AV7">
        <f>(CS2_8-AVERAGE(CS2_8))/STDEV(CS2_8)</f>
        <v>0.74002531605104682</v>
      </c>
      <c r="AW7">
        <f>(CS2_9-AVERAGE(CS2_9))/STDEV(CS2_9)</f>
        <v>1.4980750970254697</v>
      </c>
      <c r="AX7">
        <f>CS2_0_std * CS2_0_loading+CS2_1_std * CS2_1_loading+CS2_2_std * CS2_2_loading+CS2_3_std * CS2_3_loading+CS2_4_std * CS2_4_loading+CS2_5_std * CS2_5_loading+CS2_6_std * CS2_6_loading+CS2_7_std * CS2_7_loading+CS2_8_std * CS2_8_loading+CS2_9_std * CS2_9_loading</f>
        <v>1.8864127405808158</v>
      </c>
      <c r="AY7">
        <f>(CS2_I_STD-MIN(CS2_I_STD_ALL))/(MAX(CS2_I_STD_ALL)-MIN(CS2_I_STD_ALL))*100</f>
        <v>72.56976898202592</v>
      </c>
      <c r="AZ7" s="138" t="s">
        <v>62</v>
      </c>
      <c r="BA7" s="138">
        <v>44.85863586555007</v>
      </c>
      <c r="BB7" s="139">
        <v>14.456308071837285</v>
      </c>
      <c r="BC7" t="s">
        <v>71</v>
      </c>
      <c r="BD7">
        <v>59.97365989925494</v>
      </c>
      <c r="BE7">
        <v>1240.6112971091886</v>
      </c>
      <c r="BF7">
        <v>22.258825908077416</v>
      </c>
      <c r="BG7">
        <v>6.7770395617905983</v>
      </c>
      <c r="BH7">
        <v>1</v>
      </c>
      <c r="BI7">
        <v>2</v>
      </c>
      <c r="BJ7">
        <v>27.775673827299983</v>
      </c>
      <c r="BK7">
        <v>413.29118092603568</v>
      </c>
      <c r="BL7">
        <v>2</v>
      </c>
      <c r="BM7">
        <v>27.775673827299983</v>
      </c>
      <c r="BN7">
        <v>413.29118092603568</v>
      </c>
      <c r="BO7">
        <f>(PCA_0-AVERAGE(PCA_0))/STDEV(PCA_0)</f>
        <v>-0.21269201281240147</v>
      </c>
      <c r="BP7">
        <f>(PCA_1-AVERAGE(PCA_1))/STDEV(PCA_1)</f>
        <v>9.4844977665306696E-2</v>
      </c>
      <c r="BQ7">
        <f>(PCA_2-AVERAGE(PCA_2))/STDEV(PCA_2)</f>
        <v>-0.26041826798597995</v>
      </c>
      <c r="BR7">
        <f>(PCA_3-AVERAGE(PCA_3))/STDEV(PCA_3)</f>
        <v>-0.76189920929035693</v>
      </c>
      <c r="BS7">
        <f>(PCA_4-AVERAGE(PCA_4))/STDEV(PCA_4)</f>
        <v>-0.31610431187743987</v>
      </c>
      <c r="BT7">
        <f>(PCA_5-AVERAGE(PCA_5))/STDEV(PCA_5)</f>
        <v>0.74002531605104682</v>
      </c>
      <c r="BU7">
        <f>(PCA_6-AVERAGE(PCA_6))/STDEV(PCA_6)</f>
        <v>1.4980750970254697</v>
      </c>
      <c r="BV7">
        <f>(PCA_7-AVERAGE(PCA_7))/STDEV(PCA_7)</f>
        <v>-0.31610431187743987</v>
      </c>
      <c r="BW7">
        <f>(PCA_8-AVERAGE(PCA_8))/STDEV(PCA_8)</f>
        <v>0.74002531605104682</v>
      </c>
      <c r="BX7">
        <f>(PCA_9-AVERAGE(PCA_9))/STDEV(PCA_9)</f>
        <v>1.4980750970254697</v>
      </c>
      <c r="BY7">
        <f>PCA_0_std * PCA_0_loading+PCA_1_std * PCA_1_loading+PCA_2_std * PCA_2_loading+PCA_3_std * PCA_3_loading+PCA_4_std * PCA_4_loading+PCA_5_std * PCA_5_loading+PCA_6_std * PCA_6_loading+PCA_7_std * PCA_7_loading+PCA_8_std * PCA_8_loading+PCA_9_std * PCA_9_loading</f>
        <v>0.61927218679696683</v>
      </c>
      <c r="BZ7">
        <f>(PCA_I_STD-MIN(PCA_I_STD_ALL))/(MAX(PCA_I_STD_ALL)-MIN(PCA_I_STD_ALL))*100</f>
        <v>63.334858783558744</v>
      </c>
      <c r="CA7" s="138" t="s">
        <v>67</v>
      </c>
      <c r="CB7" s="138">
        <v>101.50560235661756</v>
      </c>
      <c r="CC7" s="139">
        <v>33.669847346093782</v>
      </c>
      <c r="CD7" t="s">
        <v>71</v>
      </c>
      <c r="CE7">
        <v>59.97365989925494</v>
      </c>
      <c r="CF7">
        <v>1240.6112971091886</v>
      </c>
      <c r="CG7">
        <v>22.258825908077416</v>
      </c>
      <c r="CH7">
        <v>6.7770395617905983</v>
      </c>
      <c r="CI7">
        <v>1</v>
      </c>
      <c r="CJ7">
        <v>2</v>
      </c>
      <c r="CK7">
        <v>27.775673827299983</v>
      </c>
      <c r="CL7">
        <v>413.29118092603568</v>
      </c>
      <c r="CM7">
        <v>2</v>
      </c>
      <c r="CN7">
        <v>27.775673827299983</v>
      </c>
      <c r="CO7">
        <v>413.29118092603568</v>
      </c>
      <c r="CP7">
        <f>(KTGET_0-AVERAGE(KTGET_0))/STDEV(KTGET_0)</f>
        <v>-0.21269201281240147</v>
      </c>
      <c r="CQ7">
        <f>(KTGET_1-AVERAGE(KTGET_1))/STDEV(KTGET_1)</f>
        <v>9.4844977665306696E-2</v>
      </c>
      <c r="CR7">
        <f>(KTGET_2-AVERAGE(KTGET_2))/STDEV(KTGET_2)</f>
        <v>-0.26041826798597995</v>
      </c>
      <c r="CS7">
        <f>(KTGET_3-AVERAGE(KTGET_3))/STDEV(KTGET_3)</f>
        <v>-0.76189920929035693</v>
      </c>
      <c r="CT7">
        <f>(KTGET_4-AVERAGE(KTGET_4))/STDEV(KTGET_4)</f>
        <v>-0.31610431187743987</v>
      </c>
      <c r="CU7">
        <f>(KTGET_5-AVERAGE(KTGET_5))/STDEV(KTGET_5)</f>
        <v>0.74002531605104682</v>
      </c>
      <c r="CV7">
        <f>(KTGET_6-AVERAGE(KTGET_6))/STDEV(KTGET_6)</f>
        <v>1.4980750970254697</v>
      </c>
      <c r="CW7">
        <f>(KTGET_7-AVERAGE(KTGET_7))/STDEV(KTGET_7)</f>
        <v>-0.31610431187743987</v>
      </c>
      <c r="CX7">
        <f>(KTGET_8-AVERAGE(KTGET_8))/STDEV(KTGET_8)</f>
        <v>0.74002531605104682</v>
      </c>
      <c r="CY7">
        <f>(KTGET_9-AVERAGE(KTGET_9))/STDEV(KTGET_9)</f>
        <v>1.4980750970254697</v>
      </c>
      <c r="CZ7">
        <f>KTGET_0_std * KTGET_0_loading+KTGET_1_std * KTGET_1_loading+KTGET_2_std * KTGET_2_loading+KTGET_3_std * KTGET_3_loading+KTGET_4_std * KTGET_4_loading+KTGET_5_std * KTGET_5_loading+KTGET_6_std * KTGET_6_loading+KTGET_7_std * KTGET_7_loading+KTGET_8_std * KTGET_8_loading+KTGET_9_std * KTGET_9_loading</f>
        <v>2.2020632568214955</v>
      </c>
      <c r="DA7">
        <f>(KTGET_I_STD-MIN(KTGET_I_STD_ALL))/(MAX(KTGET_I_STD_ALL)-MIN(KTGET_I_STD_ALL))*100</f>
        <v>79.123618646127596</v>
      </c>
      <c r="DB7" s="138" t="s">
        <v>62</v>
      </c>
      <c r="DC7" s="138">
        <v>44.85863586555007</v>
      </c>
      <c r="DD7" s="139">
        <v>15.929025651749518</v>
      </c>
      <c r="DE7" t="s">
        <v>71</v>
      </c>
      <c r="DF7">
        <v>59.97365989925494</v>
      </c>
      <c r="DG7">
        <v>1240.6112971091886</v>
      </c>
      <c r="DH7">
        <v>22.258825908077416</v>
      </c>
      <c r="DI7">
        <v>6.7770395617905983</v>
      </c>
      <c r="DJ7">
        <v>1</v>
      </c>
      <c r="DK7">
        <v>2</v>
      </c>
      <c r="DL7">
        <v>27.775673827299983</v>
      </c>
      <c r="DM7">
        <v>413.29118092603568</v>
      </c>
      <c r="DN7">
        <v>2</v>
      </c>
      <c r="DO7">
        <v>27.775673827299983</v>
      </c>
      <c r="DP7">
        <v>413.29118092603568</v>
      </c>
      <c r="DQ7">
        <f>(KTGT_0-AVERAGE(KTGT_0))/STDEV(KTGT_0)</f>
        <v>-0.21269201281240147</v>
      </c>
      <c r="DR7">
        <f>(KTGT_1-AVERAGE(KTGT_1))/STDEV(KTGT_1)</f>
        <v>9.4844977665306696E-2</v>
      </c>
      <c r="DS7">
        <f>(KTGT_2-AVERAGE(KTGT_2))/STDEV(KTGT_2)</f>
        <v>-0.26041826798597995</v>
      </c>
      <c r="DT7">
        <f>(KTGT_3-AVERAGE(KTGT_3))/STDEV(KTGT_3)</f>
        <v>-0.76189920929035693</v>
      </c>
      <c r="DU7">
        <f>(KTGT_4-AVERAGE(KTGT_4))/STDEV(KTGT_4)</f>
        <v>-0.31610431187743987</v>
      </c>
      <c r="DV7">
        <f>(KTGT_5-AVERAGE(KTGT_5))/STDEV(KTGT_5)</f>
        <v>0.74002531605104682</v>
      </c>
      <c r="DW7">
        <f>(KTGT_6-AVERAGE(KTGT_6))/STDEV(KTGT_6)</f>
        <v>1.4980750970254697</v>
      </c>
      <c r="DX7">
        <f>(KTGT_7-AVERAGE(KTGT_7))/STDEV(KTGT_7)</f>
        <v>-0.31610431187743987</v>
      </c>
      <c r="DY7">
        <f>(KTGT_8-AVERAGE(KTGT_8))/STDEV(KTGT_8)</f>
        <v>0.74002531605104682</v>
      </c>
      <c r="DZ7">
        <f>(KTGT_9-AVERAGE(KTGT_9))/STDEV(KTGT_9)</f>
        <v>1.4980750970254697</v>
      </c>
      <c r="EA7">
        <f>KTGT_0_std * KTGT_0_loading+KTGT_1_std * KTGT_1_loading+KTGT_2_std * KTGT_2_loading+KTGT_3_std * KTGT_3_loading+KTGT_4_std * KTGT_4_loading+KTGT_5_std * KTGT_5_loading+KTGT_6_std * KTGT_6_loading+KTGT_7_std * KTGT_7_loading+KTGT_8_std * KTGT_8_loading+KTGT_9_std * KTGT_9_loading</f>
        <v>2.2057893845183436</v>
      </c>
      <c r="EB7">
        <f>(KTGT_I_STD-MIN(KTGT_I_STD_ALL))/(MAX(KTGT_I_STD_ALL)-MIN(KTGT_I_STD_ALL))*100</f>
        <v>79.149749145203728</v>
      </c>
      <c r="EC7" s="138" t="s">
        <v>62</v>
      </c>
      <c r="ED7" s="138">
        <v>44.85863586555007</v>
      </c>
      <c r="EE7" s="139">
        <v>16.123113325405829</v>
      </c>
      <c r="EF7" t="s">
        <v>71</v>
      </c>
      <c r="EG7">
        <v>59.97365989925494</v>
      </c>
      <c r="EH7">
        <v>1240.6112971091886</v>
      </c>
      <c r="EI7">
        <v>22.258825908077416</v>
      </c>
      <c r="EJ7">
        <v>6.7770395617905983</v>
      </c>
      <c r="EK7">
        <v>1</v>
      </c>
      <c r="EL7">
        <v>2</v>
      </c>
      <c r="EM7">
        <v>27.775673827299983</v>
      </c>
      <c r="EN7">
        <v>413.29118092603568</v>
      </c>
      <c r="EO7">
        <v>2</v>
      </c>
      <c r="EP7">
        <v>27.775673827299983</v>
      </c>
      <c r="EQ7">
        <v>413.29118092603568</v>
      </c>
      <c r="ER7">
        <f>(SA_0-AVERAGE(SA_0))/STDEV(SA_0)</f>
        <v>-0.21269201281240147</v>
      </c>
      <c r="ES7">
        <f>(SA_1-AVERAGE(SA_1))/STDEV(SA_1)</f>
        <v>9.4844977665306696E-2</v>
      </c>
      <c r="ET7">
        <f>(SA_2-AVERAGE(SA_2))/STDEV(SA_2)</f>
        <v>-0.26041826798597995</v>
      </c>
      <c r="EU7">
        <f>(SA_3-AVERAGE(SA_3))/STDEV(SA_3)</f>
        <v>-0.76189920929035693</v>
      </c>
      <c r="EV7">
        <f>(SA_4-AVERAGE(SA_4))/STDEV(SA_4)</f>
        <v>-0.31610431187743987</v>
      </c>
      <c r="EW7">
        <f>(SA_5-AVERAGE(SA_5))/STDEV(SA_5)</f>
        <v>0.74002531605104682</v>
      </c>
      <c r="EX7">
        <f>(SA_6-AVERAGE(SA_6))/STDEV(SA_6)</f>
        <v>1.4980750970254697</v>
      </c>
      <c r="EY7">
        <f>(SA_7-AVERAGE(SA_7))/STDEV(SA_7)</f>
        <v>-0.31610431187743987</v>
      </c>
      <c r="EZ7">
        <f>(SA_8-AVERAGE(SA_8))/STDEV(SA_8)</f>
        <v>0.74002531605104682</v>
      </c>
      <c r="FA7">
        <f>(SA_9-AVERAGE(SA_9))/STDEV(SA_9)</f>
        <v>1.4980750970254697</v>
      </c>
      <c r="FB7">
        <f>SA_0_std * SA_0_loading+SA_1_std * SA_1_loading+SA_2_std * SA_2_loading+SA_3_std * SA_3_loading+SA_4_std * SA_4_loading+SA_5_std * SA_5_loading+SA_6_std * SA_6_loading+SA_7_std * SA_7_loading+SA_8_std * SA_8_loading+SA_9_std * SA_9_loading</f>
        <v>0.85502539009517364</v>
      </c>
      <c r="FC7">
        <f>(SA_I_STD-MIN(SA_I_STD_ALL))/(MAX(SA_I_STD_ALL)-MIN(SA_I_STD_ALL))*100</f>
        <v>69.090800818839753</v>
      </c>
      <c r="FD7" s="138" t="s">
        <v>59</v>
      </c>
      <c r="FE7" s="138">
        <v>112.06602026518708</v>
      </c>
      <c r="FF7" s="139">
        <v>26.114598494786307</v>
      </c>
    </row>
    <row r="8" spans="1:162" x14ac:dyDescent="0.25">
      <c r="A8" t="s">
        <v>70</v>
      </c>
      <c r="B8">
        <v>91.141772084442891</v>
      </c>
      <c r="C8">
        <v>695.3123529492691</v>
      </c>
      <c r="D8">
        <v>23.054447214052384</v>
      </c>
      <c r="E8">
        <v>6.7317272449716654</v>
      </c>
      <c r="F8">
        <v>1</v>
      </c>
      <c r="G8">
        <v>0</v>
      </c>
      <c r="H8">
        <v>41</v>
      </c>
      <c r="I8">
        <v>127.33730983178071</v>
      </c>
      <c r="J8">
        <v>0</v>
      </c>
      <c r="K8">
        <v>41</v>
      </c>
      <c r="L8">
        <v>127.33730983178071</v>
      </c>
      <c r="M8">
        <f>(CS1_0-AVERAGE(CS1_0))/STDEV(CS1_0)</f>
        <v>-0.24488840912210219</v>
      </c>
      <c r="N8">
        <f>(CS1_1-AVERAGE(CS1_1))/STDEV(CS1_1)</f>
        <v>0.16551541765141492</v>
      </c>
      <c r="O8">
        <f>(CS1_2-AVERAGE(CS1_2))/STDEV(CS1_2)</f>
        <v>-0.27192176521326428</v>
      </c>
      <c r="P8">
        <f>(CS1_3-AVERAGE(CS1_3))/STDEV(CS1_3)</f>
        <v>-0.76189920929035693</v>
      </c>
      <c r="Q8">
        <f>(CS1_4-AVERAGE(CS1_4))/STDEV(CS1_4)</f>
        <v>-0.59269558477019968</v>
      </c>
      <c r="R8">
        <f>(CS1_5-AVERAGE(CS1_5))/STDEV(CS1_5)</f>
        <v>1.6763934480665554</v>
      </c>
      <c r="S8">
        <f>(CS1_6-AVERAGE(CS1_6))/STDEV(CS1_6)</f>
        <v>-0.58268747528266085</v>
      </c>
      <c r="T8">
        <f>(CS1_7-AVERAGE(CS1_7))/STDEV(CS1_7)</f>
        <v>-0.59269558477019968</v>
      </c>
      <c r="U8">
        <f>(CS1_8-AVERAGE(CS1_8))/STDEV(CS1_8)</f>
        <v>1.6763934480665554</v>
      </c>
      <c r="V8">
        <f>(CS1_9-AVERAGE(CS1_9))/STDEV(CS1_9)</f>
        <v>-0.58268747528266085</v>
      </c>
      <c r="W8">
        <f>CS1_0_std * CS1_0_loading+CS1_1_std * CS1_1_loading+CS1_2_std * CS1_2_loading+CS1_3_std * CS1_3_loading+CS1_4_std * CS1_4_loading+CS1_5_std * CS1_5_loading+CS1_6_std * CS1_6_loading+CS1_7_std * CS1_7_loading+CS1_8_std * CS1_8_loading+CS1_9_std * CS1_9_loading</f>
        <v>1.066064130359651</v>
      </c>
      <c r="X8">
        <f>(CS1_I_STD-MIN(CS1_I_STD_ALL))/(MAX(CS1_I_STD_ALL)-MIN(CS1_I_STD_ALL))*100</f>
        <v>59.798972157359472</v>
      </c>
      <c r="Y8" s="138" t="s">
        <v>73</v>
      </c>
      <c r="Z8" s="138">
        <v>97.801123064581716</v>
      </c>
      <c r="AA8" s="139">
        <v>16.65882979635165</v>
      </c>
      <c r="AB8" t="s">
        <v>70</v>
      </c>
      <c r="AC8">
        <v>91.141772084442891</v>
      </c>
      <c r="AD8">
        <v>695.3123529492691</v>
      </c>
      <c r="AE8">
        <v>23.054447214052384</v>
      </c>
      <c r="AF8">
        <v>6.7317272449716654</v>
      </c>
      <c r="AG8">
        <v>1</v>
      </c>
      <c r="AH8">
        <v>0</v>
      </c>
      <c r="AI8">
        <v>41</v>
      </c>
      <c r="AJ8">
        <v>127.33730983178071</v>
      </c>
      <c r="AK8">
        <v>0</v>
      </c>
      <c r="AL8">
        <v>41</v>
      </c>
      <c r="AM8">
        <v>127.33730983178071</v>
      </c>
      <c r="AN8">
        <f>(CS2_0-AVERAGE(CS2_0))/STDEV(CS2_0)</f>
        <v>-0.24488840912210219</v>
      </c>
      <c r="AO8">
        <f>(CS2_1-AVERAGE(CS2_1))/STDEV(CS2_1)</f>
        <v>0.16551541765141492</v>
      </c>
      <c r="AP8">
        <f>(CS2_2-AVERAGE(CS2_2))/STDEV(CS2_2)</f>
        <v>-0.27192176521326428</v>
      </c>
      <c r="AQ8">
        <f>(CS2_3-AVERAGE(CS2_3))/STDEV(CS2_3)</f>
        <v>-0.76189920929035693</v>
      </c>
      <c r="AR8">
        <f>(CS2_4-AVERAGE(CS2_4))/STDEV(CS2_4)</f>
        <v>-0.59269558477019968</v>
      </c>
      <c r="AS8">
        <f>(CS2_5-AVERAGE(CS2_5))/STDEV(CS2_5)</f>
        <v>1.6763934480665554</v>
      </c>
      <c r="AT8">
        <f>(CS2_6-AVERAGE(CS2_6))/STDEV(CS2_6)</f>
        <v>-0.58268747528266085</v>
      </c>
      <c r="AU8">
        <f>(CS2_7-AVERAGE(CS2_7))/STDEV(CS2_7)</f>
        <v>-0.59269558477019968</v>
      </c>
      <c r="AV8">
        <f>(CS2_8-AVERAGE(CS2_8))/STDEV(CS2_8)</f>
        <v>1.6763934480665554</v>
      </c>
      <c r="AW8">
        <f>(CS2_9-AVERAGE(CS2_9))/STDEV(CS2_9)</f>
        <v>-0.58268747528266085</v>
      </c>
      <c r="AX8">
        <f>CS2_0_std * CS2_0_loading+CS2_1_std * CS2_1_loading+CS2_2_std * CS2_2_loading+CS2_3_std * CS2_3_loading+CS2_4_std * CS2_4_loading+CS2_5_std * CS2_5_loading+CS2_6_std * CS2_6_loading+CS2_7_std * CS2_7_loading+CS2_8_std * CS2_8_loading+CS2_9_std * CS2_9_loading</f>
        <v>1.0342835058389745</v>
      </c>
      <c r="AY8">
        <f>(CS2_I_STD-MIN(CS2_I_STD_ALL))/(MAX(CS2_I_STD_ALL)-MIN(CS2_I_STD_ALL))*100</f>
        <v>58.623232210413178</v>
      </c>
      <c r="AZ8" s="138" t="s">
        <v>83</v>
      </c>
      <c r="BA8" s="138">
        <v>3.105838831144009</v>
      </c>
      <c r="BB8" s="139">
        <v>22.412769499699003</v>
      </c>
      <c r="BC8" t="s">
        <v>70</v>
      </c>
      <c r="BD8">
        <v>91.141772084442891</v>
      </c>
      <c r="BE8">
        <v>695.3123529492691</v>
      </c>
      <c r="BF8">
        <v>23.054447214052384</v>
      </c>
      <c r="BG8">
        <v>6.7317272449716654</v>
      </c>
      <c r="BH8">
        <v>1</v>
      </c>
      <c r="BI8">
        <v>0</v>
      </c>
      <c r="BJ8">
        <v>41</v>
      </c>
      <c r="BK8">
        <v>127.33730983178071</v>
      </c>
      <c r="BL8">
        <v>0</v>
      </c>
      <c r="BM8">
        <v>41</v>
      </c>
      <c r="BN8">
        <v>127.33730983178071</v>
      </c>
      <c r="BO8">
        <f>(PCA_0-AVERAGE(PCA_0))/STDEV(PCA_0)</f>
        <v>-0.24488840912210219</v>
      </c>
      <c r="BP8">
        <f>(PCA_1-AVERAGE(PCA_1))/STDEV(PCA_1)</f>
        <v>0.16551541765141492</v>
      </c>
      <c r="BQ8">
        <f>(PCA_2-AVERAGE(PCA_2))/STDEV(PCA_2)</f>
        <v>-0.27192176521326428</v>
      </c>
      <c r="BR8">
        <f>(PCA_3-AVERAGE(PCA_3))/STDEV(PCA_3)</f>
        <v>-0.76189920929035693</v>
      </c>
      <c r="BS8">
        <f>(PCA_4-AVERAGE(PCA_4))/STDEV(PCA_4)</f>
        <v>-0.59269558477019968</v>
      </c>
      <c r="BT8">
        <f>(PCA_5-AVERAGE(PCA_5))/STDEV(PCA_5)</f>
        <v>1.6763934480665554</v>
      </c>
      <c r="BU8">
        <f>(PCA_6-AVERAGE(PCA_6))/STDEV(PCA_6)</f>
        <v>-0.58268747528266085</v>
      </c>
      <c r="BV8">
        <f>(PCA_7-AVERAGE(PCA_7))/STDEV(PCA_7)</f>
        <v>-0.59269558477019968</v>
      </c>
      <c r="BW8">
        <f>(PCA_8-AVERAGE(PCA_8))/STDEV(PCA_8)</f>
        <v>1.6763934480665554</v>
      </c>
      <c r="BX8">
        <f>(PCA_9-AVERAGE(PCA_9))/STDEV(PCA_9)</f>
        <v>-0.58268747528266085</v>
      </c>
      <c r="BY8">
        <f>PCA_0_std * PCA_0_loading+PCA_1_std * PCA_1_loading+PCA_2_std * PCA_2_loading+PCA_3_std * PCA_3_loading+PCA_4_std * PCA_4_loading+PCA_5_std * PCA_5_loading+PCA_6_std * PCA_6_loading+PCA_7_std * PCA_7_loading+PCA_8_std * PCA_8_loading+PCA_9_std * PCA_9_loading</f>
        <v>-1.4274685478026081</v>
      </c>
      <c r="BZ8">
        <f>(PCA_I_STD-MIN(PCA_I_STD_ALL))/(MAX(PCA_I_STD_ALL)-MIN(PCA_I_STD_ALL))*100</f>
        <v>34.798016095066032</v>
      </c>
      <c r="CA8" s="138" t="s">
        <v>70</v>
      </c>
      <c r="CB8" s="138">
        <v>91.141772084442891</v>
      </c>
      <c r="CC8" s="139">
        <v>34.798016095066032</v>
      </c>
      <c r="CD8" t="s">
        <v>70</v>
      </c>
      <c r="CE8">
        <v>91.141772084442891</v>
      </c>
      <c r="CF8">
        <v>695.3123529492691</v>
      </c>
      <c r="CG8">
        <v>23.054447214052384</v>
      </c>
      <c r="CH8">
        <v>6.7317272449716654</v>
      </c>
      <c r="CI8">
        <v>1</v>
      </c>
      <c r="CJ8">
        <v>0</v>
      </c>
      <c r="CK8">
        <v>41</v>
      </c>
      <c r="CL8">
        <v>127.33730983178071</v>
      </c>
      <c r="CM8">
        <v>0</v>
      </c>
      <c r="CN8">
        <v>41</v>
      </c>
      <c r="CO8">
        <v>127.33730983178071</v>
      </c>
      <c r="CP8">
        <f>(KTGET_0-AVERAGE(KTGET_0))/STDEV(KTGET_0)</f>
        <v>-0.24488840912210219</v>
      </c>
      <c r="CQ8">
        <f>(KTGET_1-AVERAGE(KTGET_1))/STDEV(KTGET_1)</f>
        <v>0.16551541765141492</v>
      </c>
      <c r="CR8">
        <f>(KTGET_2-AVERAGE(KTGET_2))/STDEV(KTGET_2)</f>
        <v>-0.27192176521326428</v>
      </c>
      <c r="CS8">
        <f>(KTGET_3-AVERAGE(KTGET_3))/STDEV(KTGET_3)</f>
        <v>-0.76189920929035693</v>
      </c>
      <c r="CT8">
        <f>(KTGET_4-AVERAGE(KTGET_4))/STDEV(KTGET_4)</f>
        <v>-0.59269558477019968</v>
      </c>
      <c r="CU8">
        <f>(KTGET_5-AVERAGE(KTGET_5))/STDEV(KTGET_5)</f>
        <v>1.6763934480665554</v>
      </c>
      <c r="CV8">
        <f>(KTGET_6-AVERAGE(KTGET_6))/STDEV(KTGET_6)</f>
        <v>-0.58268747528266085</v>
      </c>
      <c r="CW8">
        <f>(KTGET_7-AVERAGE(KTGET_7))/STDEV(KTGET_7)</f>
        <v>-0.59269558477019968</v>
      </c>
      <c r="CX8">
        <f>(KTGET_8-AVERAGE(KTGET_8))/STDEV(KTGET_8)</f>
        <v>1.6763934480665554</v>
      </c>
      <c r="CY8">
        <f>(KTGET_9-AVERAGE(KTGET_9))/STDEV(KTGET_9)</f>
        <v>-0.58268747528266085</v>
      </c>
      <c r="CZ8">
        <f>KTGET_0_std * KTGET_0_loading+KTGET_1_std * KTGET_1_loading+KTGET_2_std * KTGET_2_loading+KTGET_3_std * KTGET_3_loading+KTGET_4_std * KTGET_4_loading+KTGET_5_std * KTGET_5_loading+KTGET_6_std * KTGET_6_loading+KTGET_7_std * KTGET_7_loading+KTGET_8_std * KTGET_8_loading+KTGET_9_std * KTGET_9_loading</f>
        <v>1.0660650382295884</v>
      </c>
      <c r="DA8">
        <f>(KTGET_I_STD-MIN(KTGET_I_STD_ALL))/(MAX(KTGET_I_STD_ALL)-MIN(KTGET_I_STD_ALL))*100</f>
        <v>59.799003851571676</v>
      </c>
      <c r="DB8" s="138" t="s">
        <v>73</v>
      </c>
      <c r="DC8" s="138">
        <v>97.801123064581716</v>
      </c>
      <c r="DD8" s="139">
        <v>16.658929131055704</v>
      </c>
      <c r="DE8" t="s">
        <v>70</v>
      </c>
      <c r="DF8">
        <v>91.141772084442891</v>
      </c>
      <c r="DG8">
        <v>695.3123529492691</v>
      </c>
      <c r="DH8">
        <v>23.054447214052384</v>
      </c>
      <c r="DI8">
        <v>6.7317272449716654</v>
      </c>
      <c r="DJ8">
        <v>1</v>
      </c>
      <c r="DK8">
        <v>0</v>
      </c>
      <c r="DL8">
        <v>41</v>
      </c>
      <c r="DM8">
        <v>127.33730983178071</v>
      </c>
      <c r="DN8">
        <v>0</v>
      </c>
      <c r="DO8">
        <v>41</v>
      </c>
      <c r="DP8">
        <v>127.33730983178071</v>
      </c>
      <c r="DQ8">
        <f>(KTGT_0-AVERAGE(KTGT_0))/STDEV(KTGT_0)</f>
        <v>-0.24488840912210219</v>
      </c>
      <c r="DR8">
        <f>(KTGT_1-AVERAGE(KTGT_1))/STDEV(KTGT_1)</f>
        <v>0.16551541765141492</v>
      </c>
      <c r="DS8">
        <f>(KTGT_2-AVERAGE(KTGT_2))/STDEV(KTGT_2)</f>
        <v>-0.27192176521326428</v>
      </c>
      <c r="DT8">
        <f>(KTGT_3-AVERAGE(KTGT_3))/STDEV(KTGT_3)</f>
        <v>-0.76189920929035693</v>
      </c>
      <c r="DU8">
        <f>(KTGT_4-AVERAGE(KTGT_4))/STDEV(KTGT_4)</f>
        <v>-0.59269558477019968</v>
      </c>
      <c r="DV8">
        <f>(KTGT_5-AVERAGE(KTGT_5))/STDEV(KTGT_5)</f>
        <v>1.6763934480665554</v>
      </c>
      <c r="DW8">
        <f>(KTGT_6-AVERAGE(KTGT_6))/STDEV(KTGT_6)</f>
        <v>-0.58268747528266085</v>
      </c>
      <c r="DX8">
        <f>(KTGT_7-AVERAGE(KTGT_7))/STDEV(KTGT_7)</f>
        <v>-0.59269558477019968</v>
      </c>
      <c r="DY8">
        <f>(KTGT_8-AVERAGE(KTGT_8))/STDEV(KTGT_8)</f>
        <v>1.6763934480665554</v>
      </c>
      <c r="DZ8">
        <f>(KTGT_9-AVERAGE(KTGT_9))/STDEV(KTGT_9)</f>
        <v>-0.58268747528266085</v>
      </c>
      <c r="EA8">
        <f>KTGT_0_std * KTGT_0_loading+KTGT_1_std * KTGT_1_loading+KTGT_2_std * KTGT_2_loading+KTGT_3_std * KTGT_3_loading+KTGT_4_std * KTGT_4_loading+KTGT_5_std * KTGT_5_loading+KTGT_6_std * KTGT_6_loading+KTGT_7_std * KTGT_7_loading+KTGT_8_std * KTGT_8_loading+KTGT_9_std * KTGT_9_loading</f>
        <v>1.0563600480379669</v>
      </c>
      <c r="EB8">
        <f>(KTGT_I_STD-MIN(KTGT_I_STD_ALL))/(MAX(KTGT_I_STD_ALL)-MIN(KTGT_I_STD_ALL))*100</f>
        <v>59.607194600434219</v>
      </c>
      <c r="EC8" s="138" t="s">
        <v>73</v>
      </c>
      <c r="ED8" s="138">
        <v>97.801123064581716</v>
      </c>
      <c r="EE8" s="139">
        <v>16.54228255620438</v>
      </c>
      <c r="EF8" t="s">
        <v>70</v>
      </c>
      <c r="EG8">
        <v>91.141772084442891</v>
      </c>
      <c r="EH8">
        <v>695.3123529492691</v>
      </c>
      <c r="EI8">
        <v>23.054447214052384</v>
      </c>
      <c r="EJ8">
        <v>6.7317272449716654</v>
      </c>
      <c r="EK8">
        <v>1</v>
      </c>
      <c r="EL8">
        <v>0</v>
      </c>
      <c r="EM8">
        <v>41</v>
      </c>
      <c r="EN8">
        <v>127.33730983178071</v>
      </c>
      <c r="EO8">
        <v>0</v>
      </c>
      <c r="EP8">
        <v>41</v>
      </c>
      <c r="EQ8">
        <v>127.33730983178071</v>
      </c>
      <c r="ER8">
        <f>(SA_0-AVERAGE(SA_0))/STDEV(SA_0)</f>
        <v>-0.24488840912210219</v>
      </c>
      <c r="ES8">
        <f>(SA_1-AVERAGE(SA_1))/STDEV(SA_1)</f>
        <v>0.16551541765141492</v>
      </c>
      <c r="ET8">
        <f>(SA_2-AVERAGE(SA_2))/STDEV(SA_2)</f>
        <v>-0.27192176521326428</v>
      </c>
      <c r="EU8">
        <f>(SA_3-AVERAGE(SA_3))/STDEV(SA_3)</f>
        <v>-0.76189920929035693</v>
      </c>
      <c r="EV8">
        <f>(SA_4-AVERAGE(SA_4))/STDEV(SA_4)</f>
        <v>-0.59269558477019968</v>
      </c>
      <c r="EW8">
        <f>(SA_5-AVERAGE(SA_5))/STDEV(SA_5)</f>
        <v>1.6763934480665554</v>
      </c>
      <c r="EX8">
        <f>(SA_6-AVERAGE(SA_6))/STDEV(SA_6)</f>
        <v>-0.58268747528266085</v>
      </c>
      <c r="EY8">
        <f>(SA_7-AVERAGE(SA_7))/STDEV(SA_7)</f>
        <v>-0.59269558477019968</v>
      </c>
      <c r="EZ8">
        <f>(SA_8-AVERAGE(SA_8))/STDEV(SA_8)</f>
        <v>1.6763934480665554</v>
      </c>
      <c r="FA8">
        <f>(SA_9-AVERAGE(SA_9))/STDEV(SA_9)</f>
        <v>-0.58268747528266085</v>
      </c>
      <c r="FB8">
        <f>SA_0_std * SA_0_loading+SA_1_std * SA_1_loading+SA_2_std * SA_2_loading+SA_3_std * SA_3_loading+SA_4_std * SA_4_loading+SA_5_std * SA_5_loading+SA_6_std * SA_6_loading+SA_7_std * SA_7_loading+SA_8_std * SA_8_loading+SA_9_std * SA_9_loading</f>
        <v>-3.5156049497879815E-2</v>
      </c>
      <c r="FC8">
        <f>(SA_I_STD-MIN(SA_I_STD_ALL))/(MAX(SA_I_STD_ALL)-MIN(SA_I_STD_ALL))*100</f>
        <v>52.608861370085769</v>
      </c>
      <c r="FD8" s="138" t="s">
        <v>73</v>
      </c>
      <c r="FE8" s="138">
        <v>97.801123064581716</v>
      </c>
      <c r="FF8" s="139">
        <v>35.319589561867865</v>
      </c>
    </row>
    <row r="9" spans="1:162" x14ac:dyDescent="0.25">
      <c r="A9" t="s">
        <v>67</v>
      </c>
      <c r="B9">
        <v>101.50560235661756</v>
      </c>
      <c r="C9">
        <v>2767.8866336157785</v>
      </c>
      <c r="D9">
        <v>32.649987908428827</v>
      </c>
      <c r="E9">
        <v>4.3665671899582739</v>
      </c>
      <c r="F9">
        <v>1</v>
      </c>
      <c r="G9">
        <v>0</v>
      </c>
      <c r="H9">
        <v>20.5</v>
      </c>
      <c r="I9">
        <v>103.79444501460119</v>
      </c>
      <c r="J9">
        <v>0</v>
      </c>
      <c r="K9">
        <v>20.5</v>
      </c>
      <c r="L9">
        <v>103.79444501460119</v>
      </c>
      <c r="M9">
        <f>(CS1_0-AVERAGE(CS1_0))/STDEV(CS1_0)</f>
        <v>-0.12251622477020646</v>
      </c>
      <c r="N9">
        <f>(CS1_1-AVERAGE(CS1_1))/STDEV(CS1_1)</f>
        <v>1.0178318120008698</v>
      </c>
      <c r="O9">
        <f>(CS1_2-AVERAGE(CS1_2))/STDEV(CS1_2)</f>
        <v>-0.87236804659965417</v>
      </c>
      <c r="P9">
        <f>(CS1_3-AVERAGE(CS1_3))/STDEV(CS1_3)</f>
        <v>-0.76189920929035693</v>
      </c>
      <c r="Q9">
        <f>(CS1_4-AVERAGE(CS1_4))/STDEV(CS1_4)</f>
        <v>-0.59269558477019968</v>
      </c>
      <c r="R9">
        <f>(CS1_5-AVERAGE(CS1_5))/STDEV(CS1_5)</f>
        <v>0.22486038274147643</v>
      </c>
      <c r="S9">
        <f>(CS1_6-AVERAGE(CS1_6))/STDEV(CS1_6)</f>
        <v>-0.75399871429138232</v>
      </c>
      <c r="T9">
        <f>(CS1_7-AVERAGE(CS1_7))/STDEV(CS1_7)</f>
        <v>-0.59269558477019968</v>
      </c>
      <c r="U9">
        <f>(CS1_8-AVERAGE(CS1_8))/STDEV(CS1_8)</f>
        <v>0.22486038274147643</v>
      </c>
      <c r="V9">
        <f>(CS1_9-AVERAGE(CS1_9))/STDEV(CS1_9)</f>
        <v>-0.75399871429138232</v>
      </c>
      <c r="W9">
        <f>CS1_0_std * CS1_0_loading+CS1_1_std * CS1_1_loading+CS1_2_std * CS1_2_loading+CS1_3_std * CS1_3_loading+CS1_4_std * CS1_4_loading+CS1_5_std * CS1_5_loading+CS1_6_std * CS1_6_loading+CS1_7_std * CS1_7_loading+CS1_8_std * CS1_8_loading+CS1_9_std * CS1_9_loading</f>
        <v>-0.58189082781119583</v>
      </c>
      <c r="X9">
        <f>(CS1_I_STD-MIN(CS1_I_STD_ALL))/(MAX(CS1_I_STD_ALL)-MIN(CS1_I_STD_ALL))*100</f>
        <v>31.76537584839496</v>
      </c>
      <c r="Y9" s="138" t="s">
        <v>80</v>
      </c>
      <c r="Z9" s="138">
        <v>14.043552326179778</v>
      </c>
      <c r="AA9" s="139">
        <v>20.155892640682882</v>
      </c>
      <c r="AB9" t="s">
        <v>67</v>
      </c>
      <c r="AC9">
        <v>101.50560235661756</v>
      </c>
      <c r="AD9">
        <v>2767.8866336157785</v>
      </c>
      <c r="AE9">
        <v>32.649987908428827</v>
      </c>
      <c r="AF9">
        <v>4.3665671899582739</v>
      </c>
      <c r="AG9">
        <v>1</v>
      </c>
      <c r="AH9">
        <v>0</v>
      </c>
      <c r="AI9">
        <v>20.5</v>
      </c>
      <c r="AJ9">
        <v>103.79444501460119</v>
      </c>
      <c r="AK9">
        <v>0</v>
      </c>
      <c r="AL9">
        <v>20.5</v>
      </c>
      <c r="AM9">
        <v>103.79444501460119</v>
      </c>
      <c r="AN9">
        <f>(CS2_0-AVERAGE(CS2_0))/STDEV(CS2_0)</f>
        <v>-0.12251622477020646</v>
      </c>
      <c r="AO9">
        <f>(CS2_1-AVERAGE(CS2_1))/STDEV(CS2_1)</f>
        <v>1.0178318120008698</v>
      </c>
      <c r="AP9">
        <f>(CS2_2-AVERAGE(CS2_2))/STDEV(CS2_2)</f>
        <v>-0.87236804659965417</v>
      </c>
      <c r="AQ9">
        <f>(CS2_3-AVERAGE(CS2_3))/STDEV(CS2_3)</f>
        <v>-0.76189920929035693</v>
      </c>
      <c r="AR9">
        <f>(CS2_4-AVERAGE(CS2_4))/STDEV(CS2_4)</f>
        <v>-0.59269558477019968</v>
      </c>
      <c r="AS9">
        <f>(CS2_5-AVERAGE(CS2_5))/STDEV(CS2_5)</f>
        <v>0.22486038274147643</v>
      </c>
      <c r="AT9">
        <f>(CS2_6-AVERAGE(CS2_6))/STDEV(CS2_6)</f>
        <v>-0.75399871429138232</v>
      </c>
      <c r="AU9">
        <f>(CS2_7-AVERAGE(CS2_7))/STDEV(CS2_7)</f>
        <v>-0.59269558477019968</v>
      </c>
      <c r="AV9">
        <f>(CS2_8-AVERAGE(CS2_8))/STDEV(CS2_8)</f>
        <v>0.22486038274147643</v>
      </c>
      <c r="AW9">
        <f>(CS2_9-AVERAGE(CS2_9))/STDEV(CS2_9)</f>
        <v>-0.75399871429138232</v>
      </c>
      <c r="AX9">
        <f>CS2_0_std * CS2_0_loading+CS2_1_std * CS2_1_loading+CS2_2_std * CS2_2_loading+CS2_3_std * CS2_3_loading+CS2_4_std * CS2_4_loading+CS2_5_std * CS2_5_loading+CS2_6_std * CS2_6_loading+CS2_7_std * CS2_7_loading+CS2_8_std * CS2_8_loading+CS2_9_std * CS2_9_loading</f>
        <v>-0.70461299478805961</v>
      </c>
      <c r="AY9">
        <f>(CS2_I_STD-MIN(CS2_I_STD_ALL))/(MAX(CS2_I_STD_ALL)-MIN(CS2_I_STD_ALL))*100</f>
        <v>30.163248678254639</v>
      </c>
      <c r="AZ9" s="138" t="s">
        <v>73</v>
      </c>
      <c r="BA9" s="138">
        <v>97.801123064581716</v>
      </c>
      <c r="BB9" s="139">
        <v>25.74742485966004</v>
      </c>
      <c r="BC9" t="s">
        <v>67</v>
      </c>
      <c r="BD9">
        <v>101.50560235661756</v>
      </c>
      <c r="BE9">
        <v>2767.8866336157785</v>
      </c>
      <c r="BF9">
        <v>32.649987908428827</v>
      </c>
      <c r="BG9">
        <v>4.3665671899582739</v>
      </c>
      <c r="BH9">
        <v>1</v>
      </c>
      <c r="BI9">
        <v>0</v>
      </c>
      <c r="BJ9">
        <v>20.5</v>
      </c>
      <c r="BK9">
        <v>103.79444501460119</v>
      </c>
      <c r="BL9">
        <v>0</v>
      </c>
      <c r="BM9">
        <v>20.5</v>
      </c>
      <c r="BN9">
        <v>103.79444501460119</v>
      </c>
      <c r="BO9">
        <f>(PCA_0-AVERAGE(PCA_0))/STDEV(PCA_0)</f>
        <v>-0.12251622477020646</v>
      </c>
      <c r="BP9">
        <f>(PCA_1-AVERAGE(PCA_1))/STDEV(PCA_1)</f>
        <v>1.0178318120008698</v>
      </c>
      <c r="BQ9">
        <f>(PCA_2-AVERAGE(PCA_2))/STDEV(PCA_2)</f>
        <v>-0.87236804659965417</v>
      </c>
      <c r="BR9">
        <f>(PCA_3-AVERAGE(PCA_3))/STDEV(PCA_3)</f>
        <v>-0.76189920929035693</v>
      </c>
      <c r="BS9">
        <f>(PCA_4-AVERAGE(PCA_4))/STDEV(PCA_4)</f>
        <v>-0.59269558477019968</v>
      </c>
      <c r="BT9">
        <f>(PCA_5-AVERAGE(PCA_5))/STDEV(PCA_5)</f>
        <v>0.22486038274147643</v>
      </c>
      <c r="BU9">
        <f>(PCA_6-AVERAGE(PCA_6))/STDEV(PCA_6)</f>
        <v>-0.75399871429138232</v>
      </c>
      <c r="BV9">
        <f>(PCA_7-AVERAGE(PCA_7))/STDEV(PCA_7)</f>
        <v>-0.59269558477019968</v>
      </c>
      <c r="BW9">
        <f>(PCA_8-AVERAGE(PCA_8))/STDEV(PCA_8)</f>
        <v>0.22486038274147643</v>
      </c>
      <c r="BX9">
        <f>(PCA_9-AVERAGE(PCA_9))/STDEV(PCA_9)</f>
        <v>-0.75399871429138232</v>
      </c>
      <c r="BY9">
        <f>PCA_0_std * PCA_0_loading+PCA_1_std * PCA_1_loading+PCA_2_std * PCA_2_loading+PCA_3_std * PCA_3_loading+PCA_4_std * PCA_4_loading+PCA_5_std * PCA_5_loading+PCA_6_std * PCA_6_loading+PCA_7_std * PCA_7_loading+PCA_8_std * PCA_8_loading+PCA_9_std * PCA_9_loading</f>
        <v>-1.5083839090158111</v>
      </c>
      <c r="BZ9">
        <f>(PCA_I_STD-MIN(PCA_I_STD_ALL))/(MAX(PCA_I_STD_ALL)-MIN(PCA_I_STD_ALL))*100</f>
        <v>33.669847346093782</v>
      </c>
      <c r="CA9" s="138" t="s">
        <v>79</v>
      </c>
      <c r="CB9" s="138">
        <v>94.234282592006622</v>
      </c>
      <c r="CC9" s="139">
        <v>36.019055476881292</v>
      </c>
      <c r="CD9" t="s">
        <v>67</v>
      </c>
      <c r="CE9">
        <v>101.50560235661756</v>
      </c>
      <c r="CF9">
        <v>2767.8866336157785</v>
      </c>
      <c r="CG9">
        <v>32.649987908428827</v>
      </c>
      <c r="CH9">
        <v>4.3665671899582739</v>
      </c>
      <c r="CI9">
        <v>1</v>
      </c>
      <c r="CJ9">
        <v>0</v>
      </c>
      <c r="CK9">
        <v>20.5</v>
      </c>
      <c r="CL9">
        <v>103.79444501460119</v>
      </c>
      <c r="CM9">
        <v>0</v>
      </c>
      <c r="CN9">
        <v>20.5</v>
      </c>
      <c r="CO9">
        <v>103.79444501460119</v>
      </c>
      <c r="CP9">
        <f>(KTGET_0-AVERAGE(KTGET_0))/STDEV(KTGET_0)</f>
        <v>-0.12251622477020646</v>
      </c>
      <c r="CQ9">
        <f>(KTGET_1-AVERAGE(KTGET_1))/STDEV(KTGET_1)</f>
        <v>1.0178318120008698</v>
      </c>
      <c r="CR9">
        <f>(KTGET_2-AVERAGE(KTGET_2))/STDEV(KTGET_2)</f>
        <v>-0.87236804659965417</v>
      </c>
      <c r="CS9">
        <f>(KTGET_3-AVERAGE(KTGET_3))/STDEV(KTGET_3)</f>
        <v>-0.76189920929035693</v>
      </c>
      <c r="CT9">
        <f>(KTGET_4-AVERAGE(KTGET_4))/STDEV(KTGET_4)</f>
        <v>-0.59269558477019968</v>
      </c>
      <c r="CU9">
        <f>(KTGET_5-AVERAGE(KTGET_5))/STDEV(KTGET_5)</f>
        <v>0.22486038274147643</v>
      </c>
      <c r="CV9">
        <f>(KTGET_6-AVERAGE(KTGET_6))/STDEV(KTGET_6)</f>
        <v>-0.75399871429138232</v>
      </c>
      <c r="CW9">
        <f>(KTGET_7-AVERAGE(KTGET_7))/STDEV(KTGET_7)</f>
        <v>-0.59269558477019968</v>
      </c>
      <c r="CX9">
        <f>(KTGET_8-AVERAGE(KTGET_8))/STDEV(KTGET_8)</f>
        <v>0.22486038274147643</v>
      </c>
      <c r="CY9">
        <f>(KTGET_9-AVERAGE(KTGET_9))/STDEV(KTGET_9)</f>
        <v>-0.75399871429138232</v>
      </c>
      <c r="CZ9">
        <f>KTGET_0_std * KTGET_0_loading+KTGET_1_std * KTGET_1_loading+KTGET_2_std * KTGET_2_loading+KTGET_3_std * KTGET_3_loading+KTGET_4_std * KTGET_4_loading+KTGET_5_std * KTGET_5_loading+KTGET_6_std * KTGET_6_loading+KTGET_7_std * KTGET_7_loading+KTGET_8_std * KTGET_8_loading+KTGET_9_std * KTGET_9_loading</f>
        <v>-0.58188677824306179</v>
      </c>
      <c r="DA9">
        <f>(KTGET_I_STD-MIN(KTGET_I_STD_ALL))/(MAX(KTGET_I_STD_ALL)-MIN(KTGET_I_STD_ALL))*100</f>
        <v>31.765479210312563</v>
      </c>
      <c r="DB9" s="138" t="s">
        <v>80</v>
      </c>
      <c r="DC9" s="138">
        <v>14.043552326179778</v>
      </c>
      <c r="DD9" s="139">
        <v>20.156069942823809</v>
      </c>
      <c r="DE9" t="s">
        <v>67</v>
      </c>
      <c r="DF9">
        <v>101.50560235661756</v>
      </c>
      <c r="DG9">
        <v>2767.8866336157785</v>
      </c>
      <c r="DH9">
        <v>32.649987908428827</v>
      </c>
      <c r="DI9">
        <v>4.3665671899582739</v>
      </c>
      <c r="DJ9">
        <v>1</v>
      </c>
      <c r="DK9">
        <v>0</v>
      </c>
      <c r="DL9">
        <v>20.5</v>
      </c>
      <c r="DM9">
        <v>103.79444501460119</v>
      </c>
      <c r="DN9">
        <v>0</v>
      </c>
      <c r="DO9">
        <v>20.5</v>
      </c>
      <c r="DP9">
        <v>103.79444501460119</v>
      </c>
      <c r="DQ9">
        <f>(KTGT_0-AVERAGE(KTGT_0))/STDEV(KTGT_0)</f>
        <v>-0.12251622477020646</v>
      </c>
      <c r="DR9">
        <f>(KTGT_1-AVERAGE(KTGT_1))/STDEV(KTGT_1)</f>
        <v>1.0178318120008698</v>
      </c>
      <c r="DS9">
        <f>(KTGT_2-AVERAGE(KTGT_2))/STDEV(KTGT_2)</f>
        <v>-0.87236804659965417</v>
      </c>
      <c r="DT9">
        <f>(KTGT_3-AVERAGE(KTGT_3))/STDEV(KTGT_3)</f>
        <v>-0.76189920929035693</v>
      </c>
      <c r="DU9">
        <f>(KTGT_4-AVERAGE(KTGT_4))/STDEV(KTGT_4)</f>
        <v>-0.59269558477019968</v>
      </c>
      <c r="DV9">
        <f>(KTGT_5-AVERAGE(KTGT_5))/STDEV(KTGT_5)</f>
        <v>0.22486038274147643</v>
      </c>
      <c r="DW9">
        <f>(KTGT_6-AVERAGE(KTGT_6))/STDEV(KTGT_6)</f>
        <v>-0.75399871429138232</v>
      </c>
      <c r="DX9">
        <f>(KTGT_7-AVERAGE(KTGT_7))/STDEV(KTGT_7)</f>
        <v>-0.59269558477019968</v>
      </c>
      <c r="DY9">
        <f>(KTGT_8-AVERAGE(KTGT_8))/STDEV(KTGT_8)</f>
        <v>0.22486038274147643</v>
      </c>
      <c r="DZ9">
        <f>(KTGT_9-AVERAGE(KTGT_9))/STDEV(KTGT_9)</f>
        <v>-0.75399871429138232</v>
      </c>
      <c r="EA9">
        <f>KTGT_0_std * KTGT_0_loading+KTGT_1_std * KTGT_1_loading+KTGT_2_std * KTGT_2_loading+KTGT_3_std * KTGT_3_loading+KTGT_4_std * KTGT_4_loading+KTGT_5_std * KTGT_5_loading+KTGT_6_std * KTGT_6_loading+KTGT_7_std * KTGT_7_loading+KTGT_8_std * KTGT_8_loading+KTGT_9_std * KTGT_9_loading</f>
        <v>-0.58651198651123426</v>
      </c>
      <c r="EB9">
        <f>(KTGT_I_STD-MIN(KTGT_I_STD_ALL))/(MAX(KTGT_I_STD_ALL)-MIN(KTGT_I_STD_ALL))*100</f>
        <v>31.675145777350849</v>
      </c>
      <c r="EC9" s="138" t="s">
        <v>80</v>
      </c>
      <c r="ED9" s="138">
        <v>14.043552326179778</v>
      </c>
      <c r="EE9" s="139">
        <v>19.999302157662441</v>
      </c>
      <c r="EF9" t="s">
        <v>67</v>
      </c>
      <c r="EG9">
        <v>101.50560235661756</v>
      </c>
      <c r="EH9">
        <v>2767.8866336157785</v>
      </c>
      <c r="EI9">
        <v>32.649987908428827</v>
      </c>
      <c r="EJ9">
        <v>4.3665671899582739</v>
      </c>
      <c r="EK9">
        <v>1</v>
      </c>
      <c r="EL9">
        <v>0</v>
      </c>
      <c r="EM9">
        <v>20.5</v>
      </c>
      <c r="EN9">
        <v>103.79444501460119</v>
      </c>
      <c r="EO9">
        <v>0</v>
      </c>
      <c r="EP9">
        <v>20.5</v>
      </c>
      <c r="EQ9">
        <v>103.79444501460119</v>
      </c>
      <c r="ER9">
        <f>(SA_0-AVERAGE(SA_0))/STDEV(SA_0)</f>
        <v>-0.12251622477020646</v>
      </c>
      <c r="ES9">
        <f>(SA_1-AVERAGE(SA_1))/STDEV(SA_1)</f>
        <v>1.0178318120008698</v>
      </c>
      <c r="ET9">
        <f>(SA_2-AVERAGE(SA_2))/STDEV(SA_2)</f>
        <v>-0.87236804659965417</v>
      </c>
      <c r="EU9">
        <f>(SA_3-AVERAGE(SA_3))/STDEV(SA_3)</f>
        <v>-0.76189920929035693</v>
      </c>
      <c r="EV9">
        <f>(SA_4-AVERAGE(SA_4))/STDEV(SA_4)</f>
        <v>-0.59269558477019968</v>
      </c>
      <c r="EW9">
        <f>(SA_5-AVERAGE(SA_5))/STDEV(SA_5)</f>
        <v>0.22486038274147643</v>
      </c>
      <c r="EX9">
        <f>(SA_6-AVERAGE(SA_6))/STDEV(SA_6)</f>
        <v>-0.75399871429138232</v>
      </c>
      <c r="EY9">
        <f>(SA_7-AVERAGE(SA_7))/STDEV(SA_7)</f>
        <v>-0.59269558477019968</v>
      </c>
      <c r="EZ9">
        <f>(SA_8-AVERAGE(SA_8))/STDEV(SA_8)</f>
        <v>0.22486038274147643</v>
      </c>
      <c r="FA9">
        <f>(SA_9-AVERAGE(SA_9))/STDEV(SA_9)</f>
        <v>-0.75399871429138232</v>
      </c>
      <c r="FB9">
        <f>SA_0_std * SA_0_loading+SA_1_std * SA_1_loading+SA_2_std * SA_2_loading+SA_3_std * SA_3_loading+SA_4_std * SA_4_loading+SA_5_std * SA_5_loading+SA_6_std * SA_6_loading+SA_7_std * SA_7_loading+SA_8_std * SA_8_loading+SA_9_std * SA_9_loading</f>
        <v>-0.94318710177421461</v>
      </c>
      <c r="FC9">
        <f>(SA_I_STD-MIN(SA_I_STD_ALL))/(MAX(SA_I_STD_ALL)-MIN(SA_I_STD_ALL))*100</f>
        <v>35.796431728721103</v>
      </c>
      <c r="FD9" s="138" t="s">
        <v>63</v>
      </c>
      <c r="FE9" s="138">
        <v>158.91826997347314</v>
      </c>
      <c r="FF9" s="139">
        <v>35.375421726864083</v>
      </c>
    </row>
    <row r="10" spans="1:162" x14ac:dyDescent="0.25">
      <c r="A10" t="s">
        <v>64</v>
      </c>
      <c r="B10">
        <v>358.81422113562593</v>
      </c>
      <c r="C10">
        <v>720.49886758050673</v>
      </c>
      <c r="D10">
        <v>19.812703088536196</v>
      </c>
      <c r="E10">
        <v>5.5284053278839878</v>
      </c>
      <c r="F10">
        <v>1</v>
      </c>
      <c r="G10">
        <v>0</v>
      </c>
      <c r="H10">
        <v>22.721027549574814</v>
      </c>
      <c r="I10">
        <v>172.75409418996384</v>
      </c>
      <c r="J10">
        <v>0</v>
      </c>
      <c r="K10">
        <v>22.721027549574814</v>
      </c>
      <c r="L10">
        <v>172.75409418996384</v>
      </c>
      <c r="M10">
        <f>(CS1_0-AVERAGE(CS1_0))/STDEV(CS1_0)</f>
        <v>-0.24340130738568364</v>
      </c>
      <c r="N10">
        <f>(CS1_1-AVERAGE(CS1_1))/STDEV(CS1_1)</f>
        <v>-0.12242996786320874</v>
      </c>
      <c r="O10">
        <f>(CS1_2-AVERAGE(CS1_2))/STDEV(CS1_2)</f>
        <v>-0.57741067658503475</v>
      </c>
      <c r="P10">
        <f>(CS1_3-AVERAGE(CS1_3))/STDEV(CS1_3)</f>
        <v>-0.76189920929035693</v>
      </c>
      <c r="Q10">
        <f>(CS1_4-AVERAGE(CS1_4))/STDEV(CS1_4)</f>
        <v>-0.59269558477019968</v>
      </c>
      <c r="R10">
        <f>(CS1_5-AVERAGE(CS1_5))/STDEV(CS1_5)</f>
        <v>0.38212354992224612</v>
      </c>
      <c r="S10">
        <f>(CS1_6-AVERAGE(CS1_6))/STDEV(CS1_6)</f>
        <v>-0.25220918979742057</v>
      </c>
      <c r="T10">
        <f>(CS1_7-AVERAGE(CS1_7))/STDEV(CS1_7)</f>
        <v>-0.59269558477019968</v>
      </c>
      <c r="U10">
        <f>(CS1_8-AVERAGE(CS1_8))/STDEV(CS1_8)</f>
        <v>0.38212354992224612</v>
      </c>
      <c r="V10">
        <f>(CS1_9-AVERAGE(CS1_9))/STDEV(CS1_9)</f>
        <v>-0.25220918979742057</v>
      </c>
      <c r="W10">
        <f>CS1_0_std * CS1_0_loading+CS1_1_std * CS1_1_loading+CS1_2_std * CS1_2_loading+CS1_3_std * CS1_3_loading+CS1_4_std * CS1_4_loading+CS1_5_std * CS1_5_loading+CS1_6_std * CS1_6_loading+CS1_7_std * CS1_7_loading+CS1_8_std * CS1_8_loading+CS1_9_std * CS1_9_loading</f>
        <v>7.3250864808942523E-2</v>
      </c>
      <c r="X10">
        <f>(CS1_I_STD-MIN(CS1_I_STD_ALL))/(MAX(CS1_I_STD_ALL)-MIN(CS1_I_STD_ALL))*100</f>
        <v>42.910084412802604</v>
      </c>
      <c r="Y10" s="138" t="s">
        <v>79</v>
      </c>
      <c r="Z10" s="138">
        <v>94.234282592006622</v>
      </c>
      <c r="AA10" s="139">
        <v>24.765875888214161</v>
      </c>
      <c r="AB10" t="s">
        <v>64</v>
      </c>
      <c r="AC10">
        <v>358.81422113562593</v>
      </c>
      <c r="AD10">
        <v>720.49886758050673</v>
      </c>
      <c r="AE10">
        <v>19.812703088536196</v>
      </c>
      <c r="AF10">
        <v>5.5284053278839878</v>
      </c>
      <c r="AG10">
        <v>1</v>
      </c>
      <c r="AH10">
        <v>0</v>
      </c>
      <c r="AI10">
        <v>22.721027549574814</v>
      </c>
      <c r="AJ10">
        <v>172.75409418996384</v>
      </c>
      <c r="AK10">
        <v>0</v>
      </c>
      <c r="AL10">
        <v>22.721027549574814</v>
      </c>
      <c r="AM10">
        <v>172.75409418996384</v>
      </c>
      <c r="AN10">
        <f>(CS2_0-AVERAGE(CS2_0))/STDEV(CS2_0)</f>
        <v>-0.24340130738568364</v>
      </c>
      <c r="AO10">
        <f>(CS2_1-AVERAGE(CS2_1))/STDEV(CS2_1)</f>
        <v>-0.12242996786320874</v>
      </c>
      <c r="AP10">
        <f>(CS2_2-AVERAGE(CS2_2))/STDEV(CS2_2)</f>
        <v>-0.57741067658503475</v>
      </c>
      <c r="AQ10">
        <f>(CS2_3-AVERAGE(CS2_3))/STDEV(CS2_3)</f>
        <v>-0.76189920929035693</v>
      </c>
      <c r="AR10">
        <f>(CS2_4-AVERAGE(CS2_4))/STDEV(CS2_4)</f>
        <v>-0.59269558477019968</v>
      </c>
      <c r="AS10">
        <f>(CS2_5-AVERAGE(CS2_5))/STDEV(CS2_5)</f>
        <v>0.38212354992224612</v>
      </c>
      <c r="AT10">
        <f>(CS2_6-AVERAGE(CS2_6))/STDEV(CS2_6)</f>
        <v>-0.25220918979742057</v>
      </c>
      <c r="AU10">
        <f>(CS2_7-AVERAGE(CS2_7))/STDEV(CS2_7)</f>
        <v>-0.59269558477019968</v>
      </c>
      <c r="AV10">
        <f>(CS2_8-AVERAGE(CS2_8))/STDEV(CS2_8)</f>
        <v>0.38212354992224612</v>
      </c>
      <c r="AW10">
        <f>(CS2_9-AVERAGE(CS2_9))/STDEV(CS2_9)</f>
        <v>-0.25220918979742057</v>
      </c>
      <c r="AX10">
        <f>CS2_0_std * CS2_0_loading+CS2_1_std * CS2_1_loading+CS2_2_std * CS2_2_loading+CS2_3_std * CS2_3_loading+CS2_4_std * CS2_4_loading+CS2_5_std * CS2_5_loading+CS2_6_std * CS2_6_loading+CS2_7_std * CS2_7_loading+CS2_8_std * CS2_8_loading+CS2_9_std * CS2_9_loading</f>
        <v>-6.4362241783020566E-2</v>
      </c>
      <c r="AY10">
        <f>(CS2_I_STD-MIN(CS2_I_STD_ALL))/(MAX(CS2_I_STD_ALL)-MIN(CS2_I_STD_ALL))*100</f>
        <v>40.642035587311589</v>
      </c>
      <c r="AZ10" s="138" t="s">
        <v>59</v>
      </c>
      <c r="BA10" s="138">
        <v>112.06602026518708</v>
      </c>
      <c r="BB10" s="139">
        <v>26.406748298628013</v>
      </c>
      <c r="BC10" t="s">
        <v>64</v>
      </c>
      <c r="BD10">
        <v>358.81422113562593</v>
      </c>
      <c r="BE10">
        <v>720.49886758050673</v>
      </c>
      <c r="BF10">
        <v>19.812703088536196</v>
      </c>
      <c r="BG10">
        <v>5.5284053278839878</v>
      </c>
      <c r="BH10">
        <v>1</v>
      </c>
      <c r="BI10">
        <v>0</v>
      </c>
      <c r="BJ10">
        <v>22.721027549574814</v>
      </c>
      <c r="BK10">
        <v>172.75409418996384</v>
      </c>
      <c r="BL10">
        <v>0</v>
      </c>
      <c r="BM10">
        <v>22.721027549574814</v>
      </c>
      <c r="BN10">
        <v>172.75409418996384</v>
      </c>
      <c r="BO10">
        <f>(PCA_0-AVERAGE(PCA_0))/STDEV(PCA_0)</f>
        <v>-0.24340130738568364</v>
      </c>
      <c r="BP10">
        <f>(PCA_1-AVERAGE(PCA_1))/STDEV(PCA_1)</f>
        <v>-0.12242996786320874</v>
      </c>
      <c r="BQ10">
        <f>(PCA_2-AVERAGE(PCA_2))/STDEV(PCA_2)</f>
        <v>-0.57741067658503475</v>
      </c>
      <c r="BR10">
        <f>(PCA_3-AVERAGE(PCA_3))/STDEV(PCA_3)</f>
        <v>-0.76189920929035693</v>
      </c>
      <c r="BS10">
        <f>(PCA_4-AVERAGE(PCA_4))/STDEV(PCA_4)</f>
        <v>-0.59269558477019968</v>
      </c>
      <c r="BT10">
        <f>(PCA_5-AVERAGE(PCA_5))/STDEV(PCA_5)</f>
        <v>0.38212354992224612</v>
      </c>
      <c r="BU10">
        <f>(PCA_6-AVERAGE(PCA_6))/STDEV(PCA_6)</f>
        <v>-0.25220918979742057</v>
      </c>
      <c r="BV10">
        <f>(PCA_7-AVERAGE(PCA_7))/STDEV(PCA_7)</f>
        <v>-0.59269558477019968</v>
      </c>
      <c r="BW10">
        <f>(PCA_8-AVERAGE(PCA_8))/STDEV(PCA_8)</f>
        <v>0.38212354992224612</v>
      </c>
      <c r="BX10">
        <f>(PCA_9-AVERAGE(PCA_9))/STDEV(PCA_9)</f>
        <v>-0.25220918979742057</v>
      </c>
      <c r="BY10">
        <f>PCA_0_std * PCA_0_loading+PCA_1_std * PCA_1_loading+PCA_2_std * PCA_2_loading+PCA_3_std * PCA_3_loading+PCA_4_std * PCA_4_loading+PCA_5_std * PCA_5_loading+PCA_6_std * PCA_6_loading+PCA_7_std * PCA_7_loading+PCA_8_std * PCA_8_loading+PCA_9_std * PCA_9_loading</f>
        <v>-0.65116049753160132</v>
      </c>
      <c r="BZ10">
        <f>(PCA_I_STD-MIN(PCA_I_STD_ALL))/(MAX(PCA_I_STD_ALL)-MIN(PCA_I_STD_ALL))*100</f>
        <v>45.621751770961644</v>
      </c>
      <c r="CA10" s="138" t="s">
        <v>60</v>
      </c>
      <c r="CB10" s="138">
        <v>63.529505721437147</v>
      </c>
      <c r="CC10" s="139">
        <v>39.461248256338166</v>
      </c>
      <c r="CD10" t="s">
        <v>64</v>
      </c>
      <c r="CE10">
        <v>358.81422113562593</v>
      </c>
      <c r="CF10">
        <v>720.49886758050673</v>
      </c>
      <c r="CG10">
        <v>19.812703088536196</v>
      </c>
      <c r="CH10">
        <v>5.5284053278839878</v>
      </c>
      <c r="CI10">
        <v>1</v>
      </c>
      <c r="CJ10">
        <v>0</v>
      </c>
      <c r="CK10">
        <v>22.721027549574814</v>
      </c>
      <c r="CL10">
        <v>172.75409418996384</v>
      </c>
      <c r="CM10">
        <v>0</v>
      </c>
      <c r="CN10">
        <v>22.721027549574814</v>
      </c>
      <c r="CO10">
        <v>172.75409418996384</v>
      </c>
      <c r="CP10">
        <f>(KTGET_0-AVERAGE(KTGET_0))/STDEV(KTGET_0)</f>
        <v>-0.24340130738568364</v>
      </c>
      <c r="CQ10">
        <f>(KTGET_1-AVERAGE(KTGET_1))/STDEV(KTGET_1)</f>
        <v>-0.12242996786320874</v>
      </c>
      <c r="CR10">
        <f>(KTGET_2-AVERAGE(KTGET_2))/STDEV(KTGET_2)</f>
        <v>-0.57741067658503475</v>
      </c>
      <c r="CS10">
        <f>(KTGET_3-AVERAGE(KTGET_3))/STDEV(KTGET_3)</f>
        <v>-0.76189920929035693</v>
      </c>
      <c r="CT10">
        <f>(KTGET_4-AVERAGE(KTGET_4))/STDEV(KTGET_4)</f>
        <v>-0.59269558477019968</v>
      </c>
      <c r="CU10">
        <f>(KTGET_5-AVERAGE(KTGET_5))/STDEV(KTGET_5)</f>
        <v>0.38212354992224612</v>
      </c>
      <c r="CV10">
        <f>(KTGET_6-AVERAGE(KTGET_6))/STDEV(KTGET_6)</f>
        <v>-0.25220918979742057</v>
      </c>
      <c r="CW10">
        <f>(KTGET_7-AVERAGE(KTGET_7))/STDEV(KTGET_7)</f>
        <v>-0.59269558477019968</v>
      </c>
      <c r="CX10">
        <f>(KTGET_8-AVERAGE(KTGET_8))/STDEV(KTGET_8)</f>
        <v>0.38212354992224612</v>
      </c>
      <c r="CY10">
        <f>(KTGET_9-AVERAGE(KTGET_9))/STDEV(KTGET_9)</f>
        <v>-0.25220918979742057</v>
      </c>
      <c r="CZ10">
        <f>KTGET_0_std * KTGET_0_loading+KTGET_1_std * KTGET_1_loading+KTGET_2_std * KTGET_2_loading+KTGET_3_std * KTGET_3_loading+KTGET_4_std * KTGET_4_loading+KTGET_5_std * KTGET_5_loading+KTGET_6_std * KTGET_6_loading+KTGET_7_std * KTGET_7_loading+KTGET_8_std * KTGET_8_loading+KTGET_9_std * KTGET_9_loading</f>
        <v>7.3249735404274596E-2</v>
      </c>
      <c r="DA10">
        <f>(KTGET_I_STD-MIN(KTGET_I_STD_ALL))/(MAX(KTGET_I_STD_ALL)-MIN(KTGET_I_STD_ALL))*100</f>
        <v>42.910092429667571</v>
      </c>
      <c r="DB10" s="138" t="s">
        <v>79</v>
      </c>
      <c r="DC10" s="138">
        <v>94.234282592006622</v>
      </c>
      <c r="DD10" s="139">
        <v>24.765998001699423</v>
      </c>
      <c r="DE10" t="s">
        <v>64</v>
      </c>
      <c r="DF10">
        <v>358.81422113562593</v>
      </c>
      <c r="DG10">
        <v>720.49886758050673</v>
      </c>
      <c r="DH10">
        <v>19.812703088536196</v>
      </c>
      <c r="DI10">
        <v>5.5284053278839878</v>
      </c>
      <c r="DJ10">
        <v>1</v>
      </c>
      <c r="DK10">
        <v>0</v>
      </c>
      <c r="DL10">
        <v>22.721027549574814</v>
      </c>
      <c r="DM10">
        <v>172.75409418996384</v>
      </c>
      <c r="DN10">
        <v>0</v>
      </c>
      <c r="DO10">
        <v>22.721027549574814</v>
      </c>
      <c r="DP10">
        <v>172.75409418996384</v>
      </c>
      <c r="DQ10">
        <f>(KTGT_0-AVERAGE(KTGT_0))/STDEV(KTGT_0)</f>
        <v>-0.24340130738568364</v>
      </c>
      <c r="DR10">
        <f>(KTGT_1-AVERAGE(KTGT_1))/STDEV(KTGT_1)</f>
        <v>-0.12242996786320874</v>
      </c>
      <c r="DS10">
        <f>(KTGT_2-AVERAGE(KTGT_2))/STDEV(KTGT_2)</f>
        <v>-0.57741067658503475</v>
      </c>
      <c r="DT10">
        <f>(KTGT_3-AVERAGE(KTGT_3))/STDEV(KTGT_3)</f>
        <v>-0.76189920929035693</v>
      </c>
      <c r="DU10">
        <f>(KTGT_4-AVERAGE(KTGT_4))/STDEV(KTGT_4)</f>
        <v>-0.59269558477019968</v>
      </c>
      <c r="DV10">
        <f>(KTGT_5-AVERAGE(KTGT_5))/STDEV(KTGT_5)</f>
        <v>0.38212354992224612</v>
      </c>
      <c r="DW10">
        <f>(KTGT_6-AVERAGE(KTGT_6))/STDEV(KTGT_6)</f>
        <v>-0.25220918979742057</v>
      </c>
      <c r="DX10">
        <f>(KTGT_7-AVERAGE(KTGT_7))/STDEV(KTGT_7)</f>
        <v>-0.59269558477019968</v>
      </c>
      <c r="DY10">
        <f>(KTGT_8-AVERAGE(KTGT_8))/STDEV(KTGT_8)</f>
        <v>0.38212354992224612</v>
      </c>
      <c r="DZ10">
        <f>(KTGT_9-AVERAGE(KTGT_9))/STDEV(KTGT_9)</f>
        <v>-0.25220918979742057</v>
      </c>
      <c r="EA10">
        <f>KTGT_0_std * KTGT_0_loading+KTGT_1_std * KTGT_1_loading+KTGT_2_std * KTGT_2_loading+KTGT_3_std * KTGT_3_loading+KTGT_4_std * KTGT_4_loading+KTGT_5_std * KTGT_5_loading+KTGT_6_std * KTGT_6_loading+KTGT_7_std * KTGT_7_loading+KTGT_8_std * KTGT_8_loading+KTGT_9_std * KTGT_9_loading</f>
        <v>7.0421602263950611E-2</v>
      </c>
      <c r="EB10">
        <f>(KTGT_I_STD-MIN(KTGT_I_STD_ALL))/(MAX(KTGT_I_STD_ALL)-MIN(KTGT_I_STD_ALL))*100</f>
        <v>42.844306058435606</v>
      </c>
      <c r="EC10" s="138" t="s">
        <v>79</v>
      </c>
      <c r="ED10" s="138">
        <v>94.234282592006622</v>
      </c>
      <c r="EE10" s="139">
        <v>24.507271265832411</v>
      </c>
      <c r="EF10" t="s">
        <v>64</v>
      </c>
      <c r="EG10">
        <v>358.81422113562593</v>
      </c>
      <c r="EH10">
        <v>720.49886758050673</v>
      </c>
      <c r="EI10">
        <v>19.812703088536196</v>
      </c>
      <c r="EJ10">
        <v>5.5284053278839878</v>
      </c>
      <c r="EK10">
        <v>1</v>
      </c>
      <c r="EL10">
        <v>0</v>
      </c>
      <c r="EM10">
        <v>22.721027549574814</v>
      </c>
      <c r="EN10">
        <v>172.75409418996384</v>
      </c>
      <c r="EO10">
        <v>0</v>
      </c>
      <c r="EP10">
        <v>22.721027549574814</v>
      </c>
      <c r="EQ10">
        <v>172.75409418996384</v>
      </c>
      <c r="ER10">
        <f>(SA_0-AVERAGE(SA_0))/STDEV(SA_0)</f>
        <v>-0.24340130738568364</v>
      </c>
      <c r="ES10">
        <f>(SA_1-AVERAGE(SA_1))/STDEV(SA_1)</f>
        <v>-0.12242996786320874</v>
      </c>
      <c r="ET10">
        <f>(SA_2-AVERAGE(SA_2))/STDEV(SA_2)</f>
        <v>-0.57741067658503475</v>
      </c>
      <c r="EU10">
        <f>(SA_3-AVERAGE(SA_3))/STDEV(SA_3)</f>
        <v>-0.76189920929035693</v>
      </c>
      <c r="EV10">
        <f>(SA_4-AVERAGE(SA_4))/STDEV(SA_4)</f>
        <v>-0.59269558477019968</v>
      </c>
      <c r="EW10">
        <f>(SA_5-AVERAGE(SA_5))/STDEV(SA_5)</f>
        <v>0.38212354992224612</v>
      </c>
      <c r="EX10">
        <f>(SA_6-AVERAGE(SA_6))/STDEV(SA_6)</f>
        <v>-0.25220918979742057</v>
      </c>
      <c r="EY10">
        <f>(SA_7-AVERAGE(SA_7))/STDEV(SA_7)</f>
        <v>-0.59269558477019968</v>
      </c>
      <c r="EZ10">
        <f>(SA_8-AVERAGE(SA_8))/STDEV(SA_8)</f>
        <v>0.38212354992224612</v>
      </c>
      <c r="FA10">
        <f>(SA_9-AVERAGE(SA_9))/STDEV(SA_9)</f>
        <v>-0.25220918979742057</v>
      </c>
      <c r="FB10">
        <f>SA_0_std * SA_0_loading+SA_1_std * SA_1_loading+SA_2_std * SA_2_loading+SA_3_std * SA_3_loading+SA_4_std * SA_4_loading+SA_5_std * SA_5_loading+SA_6_std * SA_6_loading+SA_7_std * SA_7_loading+SA_8_std * SA_8_loading+SA_9_std * SA_9_loading</f>
        <v>-0.83190152577397525</v>
      </c>
      <c r="FC10">
        <f>(SA_I_STD-MIN(SA_I_STD_ALL))/(MAX(SA_I_STD_ALL)-MIN(SA_I_STD_ALL))*100</f>
        <v>37.856912933534993</v>
      </c>
      <c r="FD10" s="138" t="s">
        <v>67</v>
      </c>
      <c r="FE10" s="138">
        <v>101.50560235661756</v>
      </c>
      <c r="FF10" s="139">
        <v>35.796431728721103</v>
      </c>
    </row>
    <row r="11" spans="1:162" x14ac:dyDescent="0.25">
      <c r="A11" t="s">
        <v>74</v>
      </c>
      <c r="B11">
        <v>134.10032848477772</v>
      </c>
      <c r="C11">
        <v>662.50397000395731</v>
      </c>
      <c r="D11">
        <v>14.8630809553605</v>
      </c>
      <c r="E11">
        <v>8.6415278839942697</v>
      </c>
      <c r="F11">
        <v>2</v>
      </c>
      <c r="G11">
        <v>7</v>
      </c>
      <c r="H11">
        <v>22.680000000000007</v>
      </c>
      <c r="I11">
        <v>254.67019096551928</v>
      </c>
      <c r="J11">
        <v>7</v>
      </c>
      <c r="K11">
        <v>22.680000000000007</v>
      </c>
      <c r="L11">
        <v>254.67019096551928</v>
      </c>
      <c r="M11">
        <f>(CS1_0-AVERAGE(CS1_0))/STDEV(CS1_0)</f>
        <v>-0.24682553317286487</v>
      </c>
      <c r="N11">
        <f>(CS1_1-AVERAGE(CS1_1))/STDEV(CS1_1)</f>
        <v>-0.56207628111504493</v>
      </c>
      <c r="O11">
        <f>(CS1_2-AVERAGE(CS1_2))/STDEV(CS1_2)</f>
        <v>0.21292182474157337</v>
      </c>
      <c r="P11">
        <f>(CS1_3-AVERAGE(CS1_3))/STDEV(CS1_3)</f>
        <v>0.2077906934428245</v>
      </c>
      <c r="Q11">
        <f>(CS1_4-AVERAGE(CS1_4))/STDEV(CS1_4)</f>
        <v>0.37537387035445985</v>
      </c>
      <c r="R11">
        <f>(CS1_5-AVERAGE(CS1_5))/STDEV(CS1_5)</f>
        <v>0.37921853310287557</v>
      </c>
      <c r="S11">
        <f>(CS1_6-AVERAGE(CS1_6))/STDEV(CS1_6)</f>
        <v>0.34385879693028537</v>
      </c>
      <c r="T11">
        <f>(CS1_7-AVERAGE(CS1_7))/STDEV(CS1_7)</f>
        <v>0.37537387035445985</v>
      </c>
      <c r="U11">
        <f>(CS1_8-AVERAGE(CS1_8))/STDEV(CS1_8)</f>
        <v>0.37921853310287557</v>
      </c>
      <c r="V11">
        <f>(CS1_9-AVERAGE(CS1_9))/STDEV(CS1_9)</f>
        <v>0.34385879693028537</v>
      </c>
      <c r="W11">
        <f>CS1_0_std * CS1_0_loading+CS1_1_std * CS1_1_loading+CS1_2_std * CS1_2_loading+CS1_3_std * CS1_3_loading+CS1_4_std * CS1_4_loading+CS1_5_std * CS1_5_loading+CS1_6_std * CS1_6_loading+CS1_7_std * CS1_7_loading+CS1_8_std * CS1_8_loading+CS1_9_std * CS1_9_loading</f>
        <v>0.7278247070011693</v>
      </c>
      <c r="X11">
        <f>(CS1_I_STD-MIN(CS1_I_STD_ALL))/(MAX(CS1_I_STD_ALL)-MIN(CS1_I_STD_ALL))*100</f>
        <v>54.045133192771956</v>
      </c>
      <c r="Y11" s="138" t="s">
        <v>83</v>
      </c>
      <c r="Z11" s="138">
        <v>3.105838831144009</v>
      </c>
      <c r="AA11" s="139">
        <v>26.141320011209025</v>
      </c>
      <c r="AB11" t="s">
        <v>74</v>
      </c>
      <c r="AC11">
        <v>134.10032848477772</v>
      </c>
      <c r="AD11">
        <v>662.50397000395731</v>
      </c>
      <c r="AE11">
        <v>14.8630809553605</v>
      </c>
      <c r="AF11">
        <v>8.6415278839942697</v>
      </c>
      <c r="AG11">
        <v>2</v>
      </c>
      <c r="AH11">
        <v>7</v>
      </c>
      <c r="AI11">
        <v>22.680000000000007</v>
      </c>
      <c r="AJ11">
        <v>254.67019096551928</v>
      </c>
      <c r="AK11">
        <v>7</v>
      </c>
      <c r="AL11">
        <v>22.680000000000007</v>
      </c>
      <c r="AM11">
        <v>254.67019096551928</v>
      </c>
      <c r="AN11">
        <f>(CS2_0-AVERAGE(CS2_0))/STDEV(CS2_0)</f>
        <v>-0.24682553317286487</v>
      </c>
      <c r="AO11">
        <f>(CS2_1-AVERAGE(CS2_1))/STDEV(CS2_1)</f>
        <v>-0.56207628111504493</v>
      </c>
      <c r="AP11">
        <f>(CS2_2-AVERAGE(CS2_2))/STDEV(CS2_2)</f>
        <v>0.21292182474157337</v>
      </c>
      <c r="AQ11">
        <f>(CS2_3-AVERAGE(CS2_3))/STDEV(CS2_3)</f>
        <v>0.2077906934428245</v>
      </c>
      <c r="AR11">
        <f>(CS2_4-AVERAGE(CS2_4))/STDEV(CS2_4)</f>
        <v>0.37537387035445985</v>
      </c>
      <c r="AS11">
        <f>(CS2_5-AVERAGE(CS2_5))/STDEV(CS2_5)</f>
        <v>0.37921853310287557</v>
      </c>
      <c r="AT11">
        <f>(CS2_6-AVERAGE(CS2_6))/STDEV(CS2_6)</f>
        <v>0.34385879693028537</v>
      </c>
      <c r="AU11">
        <f>(CS2_7-AVERAGE(CS2_7))/STDEV(CS2_7)</f>
        <v>0.37537387035445985</v>
      </c>
      <c r="AV11">
        <f>(CS2_8-AVERAGE(CS2_8))/STDEV(CS2_8)</f>
        <v>0.37921853310287557</v>
      </c>
      <c r="AW11">
        <f>(CS2_9-AVERAGE(CS2_9))/STDEV(CS2_9)</f>
        <v>0.34385879693028537</v>
      </c>
      <c r="AX11">
        <f>CS2_0_std * CS2_0_loading+CS2_1_std * CS2_1_loading+CS2_2_std * CS2_2_loading+CS2_3_std * CS2_3_loading+CS2_4_std * CS2_4_loading+CS2_5_std * CS2_5_loading+CS2_6_std * CS2_6_loading+CS2_7_std * CS2_7_loading+CS2_8_std * CS2_8_loading+CS2_9_std * CS2_9_loading</f>
        <v>0.77158299983606826</v>
      </c>
      <c r="AY11">
        <f>(CS2_I_STD-MIN(CS2_I_STD_ALL))/(MAX(CS2_I_STD_ALL)-MIN(CS2_I_STD_ALL))*100</f>
        <v>54.323693927348906</v>
      </c>
      <c r="AZ11" s="138" t="s">
        <v>80</v>
      </c>
      <c r="BA11" s="138">
        <v>14.043552326179778</v>
      </c>
      <c r="BB11" s="139">
        <v>26.427641432772653</v>
      </c>
      <c r="BC11" t="s">
        <v>74</v>
      </c>
      <c r="BD11">
        <v>134.10032848477772</v>
      </c>
      <c r="BE11">
        <v>662.50397000395731</v>
      </c>
      <c r="BF11">
        <v>14.8630809553605</v>
      </c>
      <c r="BG11">
        <v>8.6415278839942697</v>
      </c>
      <c r="BH11">
        <v>2</v>
      </c>
      <c r="BI11">
        <v>7</v>
      </c>
      <c r="BJ11">
        <v>22.680000000000007</v>
      </c>
      <c r="BK11">
        <v>254.67019096551928</v>
      </c>
      <c r="BL11">
        <v>7</v>
      </c>
      <c r="BM11">
        <v>22.680000000000007</v>
      </c>
      <c r="BN11">
        <v>254.67019096551928</v>
      </c>
      <c r="BO11">
        <f>(PCA_0-AVERAGE(PCA_0))/STDEV(PCA_0)</f>
        <v>-0.24682553317286487</v>
      </c>
      <c r="BP11">
        <f>(PCA_1-AVERAGE(PCA_1))/STDEV(PCA_1)</f>
        <v>-0.56207628111504493</v>
      </c>
      <c r="BQ11">
        <f>(PCA_2-AVERAGE(PCA_2))/STDEV(PCA_2)</f>
        <v>0.21292182474157337</v>
      </c>
      <c r="BR11">
        <f>(PCA_3-AVERAGE(PCA_3))/STDEV(PCA_3)</f>
        <v>0.2077906934428245</v>
      </c>
      <c r="BS11">
        <f>(PCA_4-AVERAGE(PCA_4))/STDEV(PCA_4)</f>
        <v>0.37537387035445985</v>
      </c>
      <c r="BT11">
        <f>(PCA_5-AVERAGE(PCA_5))/STDEV(PCA_5)</f>
        <v>0.37921853310287557</v>
      </c>
      <c r="BU11">
        <f>(PCA_6-AVERAGE(PCA_6))/STDEV(PCA_6)</f>
        <v>0.34385879693028537</v>
      </c>
      <c r="BV11">
        <f>(PCA_7-AVERAGE(PCA_7))/STDEV(PCA_7)</f>
        <v>0.37537387035445985</v>
      </c>
      <c r="BW11">
        <f>(PCA_8-AVERAGE(PCA_8))/STDEV(PCA_8)</f>
        <v>0.37921853310287557</v>
      </c>
      <c r="BX11">
        <f>(PCA_9-AVERAGE(PCA_9))/STDEV(PCA_9)</f>
        <v>0.34385879693028537</v>
      </c>
      <c r="BY11">
        <f>PCA_0_std * PCA_0_loading+PCA_1_std * PCA_1_loading+PCA_2_std * PCA_2_loading+PCA_3_std * PCA_3_loading+PCA_4_std * PCA_4_loading+PCA_5_std * PCA_5_loading+PCA_6_std * PCA_6_loading+PCA_7_std * PCA_7_loading+PCA_8_std * PCA_8_loading+PCA_9_std * PCA_9_loading</f>
        <v>0.76021049191921952</v>
      </c>
      <c r="BZ11">
        <f>(PCA_I_STD-MIN(PCA_I_STD_ALL))/(MAX(PCA_I_STD_ALL)-MIN(PCA_I_STD_ALL))*100</f>
        <v>65.299902120053133</v>
      </c>
      <c r="CA11" s="138" t="s">
        <v>76</v>
      </c>
      <c r="CB11" s="138">
        <v>13.182567719439019</v>
      </c>
      <c r="CC11" s="139">
        <v>39.791207381971518</v>
      </c>
      <c r="CD11" t="s">
        <v>74</v>
      </c>
      <c r="CE11">
        <v>134.10032848477772</v>
      </c>
      <c r="CF11">
        <v>662.50397000395731</v>
      </c>
      <c r="CG11">
        <v>14.8630809553605</v>
      </c>
      <c r="CH11">
        <v>8.6415278839942697</v>
      </c>
      <c r="CI11">
        <v>2</v>
      </c>
      <c r="CJ11">
        <v>7</v>
      </c>
      <c r="CK11">
        <v>22.680000000000007</v>
      </c>
      <c r="CL11">
        <v>254.67019096551928</v>
      </c>
      <c r="CM11">
        <v>7</v>
      </c>
      <c r="CN11">
        <v>22.680000000000007</v>
      </c>
      <c r="CO11">
        <v>254.67019096551928</v>
      </c>
      <c r="CP11">
        <f>(KTGET_0-AVERAGE(KTGET_0))/STDEV(KTGET_0)</f>
        <v>-0.24682553317286487</v>
      </c>
      <c r="CQ11">
        <f>(KTGET_1-AVERAGE(KTGET_1))/STDEV(KTGET_1)</f>
        <v>-0.56207628111504493</v>
      </c>
      <c r="CR11">
        <f>(KTGET_2-AVERAGE(KTGET_2))/STDEV(KTGET_2)</f>
        <v>0.21292182474157337</v>
      </c>
      <c r="CS11">
        <f>(KTGET_3-AVERAGE(KTGET_3))/STDEV(KTGET_3)</f>
        <v>0.2077906934428245</v>
      </c>
      <c r="CT11">
        <f>(KTGET_4-AVERAGE(KTGET_4))/STDEV(KTGET_4)</f>
        <v>0.37537387035445985</v>
      </c>
      <c r="CU11">
        <f>(KTGET_5-AVERAGE(KTGET_5))/STDEV(KTGET_5)</f>
        <v>0.37921853310287557</v>
      </c>
      <c r="CV11">
        <f>(KTGET_6-AVERAGE(KTGET_6))/STDEV(KTGET_6)</f>
        <v>0.34385879693028537</v>
      </c>
      <c r="CW11">
        <f>(KTGET_7-AVERAGE(KTGET_7))/STDEV(KTGET_7)</f>
        <v>0.37537387035445985</v>
      </c>
      <c r="CX11">
        <f>(KTGET_8-AVERAGE(KTGET_8))/STDEV(KTGET_8)</f>
        <v>0.37921853310287557</v>
      </c>
      <c r="CY11">
        <f>(KTGET_9-AVERAGE(KTGET_9))/STDEV(KTGET_9)</f>
        <v>0.34385879693028537</v>
      </c>
      <c r="CZ11">
        <f>KTGET_0_std * KTGET_0_loading+KTGET_1_std * KTGET_1_loading+KTGET_2_std * KTGET_2_loading+KTGET_3_std * KTGET_3_loading+KTGET_4_std * KTGET_4_loading+KTGET_5_std * KTGET_5_loading+KTGET_6_std * KTGET_6_loading+KTGET_7_std * KTGET_7_loading+KTGET_8_std * KTGET_8_loading+KTGET_9_std * KTGET_9_loading</f>
        <v>0.72782283935304171</v>
      </c>
      <c r="DA11">
        <f>(KTGET_I_STD-MIN(KTGET_I_STD_ALL))/(MAX(KTGET_I_STD_ALL)-MIN(KTGET_I_STD_ALL))*100</f>
        <v>54.045121412693518</v>
      </c>
      <c r="DB11" s="138" t="s">
        <v>83</v>
      </c>
      <c r="DC11" s="138">
        <v>3.105838831144009</v>
      </c>
      <c r="DD11" s="139">
        <v>26.141593276498632</v>
      </c>
      <c r="DE11" t="s">
        <v>74</v>
      </c>
      <c r="DF11">
        <v>134.10032848477772</v>
      </c>
      <c r="DG11">
        <v>662.50397000395731</v>
      </c>
      <c r="DH11">
        <v>14.8630809553605</v>
      </c>
      <c r="DI11">
        <v>8.6415278839942697</v>
      </c>
      <c r="DJ11">
        <v>2</v>
      </c>
      <c r="DK11">
        <v>7</v>
      </c>
      <c r="DL11">
        <v>22.680000000000007</v>
      </c>
      <c r="DM11">
        <v>254.67019096551928</v>
      </c>
      <c r="DN11">
        <v>7</v>
      </c>
      <c r="DO11">
        <v>22.680000000000007</v>
      </c>
      <c r="DP11">
        <v>254.67019096551928</v>
      </c>
      <c r="DQ11">
        <f>(KTGT_0-AVERAGE(KTGT_0))/STDEV(KTGT_0)</f>
        <v>-0.24682553317286487</v>
      </c>
      <c r="DR11">
        <f>(KTGT_1-AVERAGE(KTGT_1))/STDEV(KTGT_1)</f>
        <v>-0.56207628111504493</v>
      </c>
      <c r="DS11">
        <f>(KTGT_2-AVERAGE(KTGT_2))/STDEV(KTGT_2)</f>
        <v>0.21292182474157337</v>
      </c>
      <c r="DT11">
        <f>(KTGT_3-AVERAGE(KTGT_3))/STDEV(KTGT_3)</f>
        <v>0.2077906934428245</v>
      </c>
      <c r="DU11">
        <f>(KTGT_4-AVERAGE(KTGT_4))/STDEV(KTGT_4)</f>
        <v>0.37537387035445985</v>
      </c>
      <c r="DV11">
        <f>(KTGT_5-AVERAGE(KTGT_5))/STDEV(KTGT_5)</f>
        <v>0.37921853310287557</v>
      </c>
      <c r="DW11">
        <f>(KTGT_6-AVERAGE(KTGT_6))/STDEV(KTGT_6)</f>
        <v>0.34385879693028537</v>
      </c>
      <c r="DX11">
        <f>(KTGT_7-AVERAGE(KTGT_7))/STDEV(KTGT_7)</f>
        <v>0.37537387035445985</v>
      </c>
      <c r="DY11">
        <f>(KTGT_8-AVERAGE(KTGT_8))/STDEV(KTGT_8)</f>
        <v>0.37921853310287557</v>
      </c>
      <c r="DZ11">
        <f>(KTGT_9-AVERAGE(KTGT_9))/STDEV(KTGT_9)</f>
        <v>0.34385879693028537</v>
      </c>
      <c r="EA11">
        <f>KTGT_0_std * KTGT_0_loading+KTGT_1_std * KTGT_1_loading+KTGT_2_std * KTGT_2_loading+KTGT_3_std * KTGT_3_loading+KTGT_4_std * KTGT_4_loading+KTGT_5_std * KTGT_5_loading+KTGT_6_std * KTGT_6_loading+KTGT_7_std * KTGT_7_loading+KTGT_8_std * KTGT_8_loading+KTGT_9_std * KTGT_9_loading</f>
        <v>0.72849097038438637</v>
      </c>
      <c r="EB11">
        <f>(KTGT_I_STD-MIN(KTGT_I_STD_ALL))/(MAX(KTGT_I_STD_ALL)-MIN(KTGT_I_STD_ALL))*100</f>
        <v>54.032776817425301</v>
      </c>
      <c r="EC11" s="138" t="s">
        <v>83</v>
      </c>
      <c r="ED11" s="138">
        <v>3.105838831144009</v>
      </c>
      <c r="EE11" s="139">
        <v>26.282907016757711</v>
      </c>
      <c r="EF11" t="s">
        <v>74</v>
      </c>
      <c r="EG11">
        <v>134.10032848477772</v>
      </c>
      <c r="EH11">
        <v>662.50397000395731</v>
      </c>
      <c r="EI11">
        <v>14.8630809553605</v>
      </c>
      <c r="EJ11">
        <v>8.6415278839942697</v>
      </c>
      <c r="EK11">
        <v>2</v>
      </c>
      <c r="EL11">
        <v>7</v>
      </c>
      <c r="EM11">
        <v>22.680000000000007</v>
      </c>
      <c r="EN11">
        <v>254.67019096551928</v>
      </c>
      <c r="EO11">
        <v>7</v>
      </c>
      <c r="EP11">
        <v>22.680000000000007</v>
      </c>
      <c r="EQ11">
        <v>254.67019096551928</v>
      </c>
      <c r="ER11">
        <f>(SA_0-AVERAGE(SA_0))/STDEV(SA_0)</f>
        <v>-0.24682553317286487</v>
      </c>
      <c r="ES11">
        <f>(SA_1-AVERAGE(SA_1))/STDEV(SA_1)</f>
        <v>-0.56207628111504493</v>
      </c>
      <c r="ET11">
        <f>(SA_2-AVERAGE(SA_2))/STDEV(SA_2)</f>
        <v>0.21292182474157337</v>
      </c>
      <c r="EU11">
        <f>(SA_3-AVERAGE(SA_3))/STDEV(SA_3)</f>
        <v>0.2077906934428245</v>
      </c>
      <c r="EV11">
        <f>(SA_4-AVERAGE(SA_4))/STDEV(SA_4)</f>
        <v>0.37537387035445985</v>
      </c>
      <c r="EW11">
        <f>(SA_5-AVERAGE(SA_5))/STDEV(SA_5)</f>
        <v>0.37921853310287557</v>
      </c>
      <c r="EX11">
        <f>(SA_6-AVERAGE(SA_6))/STDEV(SA_6)</f>
        <v>0.34385879693028537</v>
      </c>
      <c r="EY11">
        <f>(SA_7-AVERAGE(SA_7))/STDEV(SA_7)</f>
        <v>0.37537387035445985</v>
      </c>
      <c r="EZ11">
        <f>(SA_8-AVERAGE(SA_8))/STDEV(SA_8)</f>
        <v>0.37921853310287557</v>
      </c>
      <c r="FA11">
        <f>(SA_9-AVERAGE(SA_9))/STDEV(SA_9)</f>
        <v>0.34385879693028537</v>
      </c>
      <c r="FB11">
        <f>SA_0_std * SA_0_loading+SA_1_std * SA_1_loading+SA_2_std * SA_2_loading+SA_3_std * SA_3_loading+SA_4_std * SA_4_loading+SA_5_std * SA_5_loading+SA_6_std * SA_6_loading+SA_7_std * SA_7_loading+SA_8_std * SA_8_loading+SA_9_std * SA_9_loading</f>
        <v>0.57196530445572014</v>
      </c>
      <c r="FC11">
        <f>(SA_I_STD-MIN(SA_I_STD_ALL))/(MAX(SA_I_STD_ALL)-MIN(SA_I_STD_ALL))*100</f>
        <v>63.849870167666701</v>
      </c>
      <c r="FD11" s="138" t="s">
        <v>64</v>
      </c>
      <c r="FE11" s="138">
        <v>358.81422113562593</v>
      </c>
      <c r="FF11" s="139">
        <v>37.856912933534993</v>
      </c>
    </row>
    <row r="12" spans="1:162" x14ac:dyDescent="0.25">
      <c r="A12" t="s">
        <v>60</v>
      </c>
      <c r="B12">
        <v>63.529505721437147</v>
      </c>
      <c r="C12">
        <v>0</v>
      </c>
      <c r="D12">
        <v>31.286948485527365</v>
      </c>
      <c r="E12">
        <v>2.6497160786830172</v>
      </c>
      <c r="F12">
        <v>1</v>
      </c>
      <c r="G12">
        <v>2</v>
      </c>
      <c r="H12">
        <v>2.541577151916357</v>
      </c>
      <c r="I12">
        <v>38.690377891751872</v>
      </c>
      <c r="J12">
        <v>2</v>
      </c>
      <c r="K12">
        <v>2.541577151916357</v>
      </c>
      <c r="L12">
        <v>38.690377891751872</v>
      </c>
      <c r="M12">
        <f>(CS1_0-AVERAGE(CS1_0))/STDEV(CS1_0)</f>
        <v>-0.28594213261513696</v>
      </c>
      <c r="N12">
        <f>(CS1_1-AVERAGE(CS1_1))/STDEV(CS1_1)</f>
        <v>0.89676090174310963</v>
      </c>
      <c r="O12">
        <f>(CS1_2-AVERAGE(CS1_2))/STDEV(CS1_2)</f>
        <v>-1.3082272871927743</v>
      </c>
      <c r="P12">
        <f>(CS1_3-AVERAGE(CS1_3))/STDEV(CS1_3)</f>
        <v>-0.76189920929035693</v>
      </c>
      <c r="Q12">
        <f>(CS1_4-AVERAGE(CS1_4))/STDEV(CS1_4)</f>
        <v>-0.31610431187743987</v>
      </c>
      <c r="R12">
        <f>(CS1_5-AVERAGE(CS1_5))/STDEV(CS1_5)</f>
        <v>-1.046712522872318</v>
      </c>
      <c r="S12">
        <f>(CS1_6-AVERAGE(CS1_6))/STDEV(CS1_6)</f>
        <v>-1.2277328367072644</v>
      </c>
      <c r="T12">
        <f>(CS1_7-AVERAGE(CS1_7))/STDEV(CS1_7)</f>
        <v>-0.31610431187743987</v>
      </c>
      <c r="U12">
        <f>(CS1_8-AVERAGE(CS1_8))/STDEV(CS1_8)</f>
        <v>-1.046712522872318</v>
      </c>
      <c r="V12">
        <f>(CS1_9-AVERAGE(CS1_9))/STDEV(CS1_9)</f>
        <v>-1.2277328367072644</v>
      </c>
      <c r="W12">
        <f>CS1_0_std * CS1_0_loading+CS1_1_std * CS1_1_loading+CS1_2_std * CS1_2_loading+CS1_3_std * CS1_3_loading+CS1_4_std * CS1_4_loading+CS1_5_std * CS1_5_loading+CS1_6_std * CS1_6_loading+CS1_7_std * CS1_7_loading+CS1_8_std * CS1_8_loading+CS1_9_std * CS1_9_loading</f>
        <v>-2.3591763217900836</v>
      </c>
      <c r="X12">
        <f>(CS1_I_STD-MIN(CS1_I_STD_ALL))/(MAX(CS1_I_STD_ALL)-MIN(CS1_I_STD_ALL))*100</f>
        <v>1.5317193901597725</v>
      </c>
      <c r="Y12" s="138" t="s">
        <v>76</v>
      </c>
      <c r="Z12" s="138">
        <v>13.182567719439019</v>
      </c>
      <c r="AA12" s="139">
        <v>26.930243520555102</v>
      </c>
      <c r="AB12" t="s">
        <v>60</v>
      </c>
      <c r="AC12">
        <v>63.529505721437147</v>
      </c>
      <c r="AD12">
        <v>0</v>
      </c>
      <c r="AE12">
        <v>31.286948485527365</v>
      </c>
      <c r="AF12">
        <v>2.6497160786830172</v>
      </c>
      <c r="AG12">
        <v>1</v>
      </c>
      <c r="AH12">
        <v>2</v>
      </c>
      <c r="AI12">
        <v>2.541577151916357</v>
      </c>
      <c r="AJ12">
        <v>38.690377891751872</v>
      </c>
      <c r="AK12">
        <v>2</v>
      </c>
      <c r="AL12">
        <v>2.541577151916357</v>
      </c>
      <c r="AM12">
        <v>38.690377891751872</v>
      </c>
      <c r="AN12">
        <f>(CS2_0-AVERAGE(CS2_0))/STDEV(CS2_0)</f>
        <v>-0.28594213261513696</v>
      </c>
      <c r="AO12">
        <f>(CS2_1-AVERAGE(CS2_1))/STDEV(CS2_1)</f>
        <v>0.89676090174310963</v>
      </c>
      <c r="AP12">
        <f>(CS2_2-AVERAGE(CS2_2))/STDEV(CS2_2)</f>
        <v>-1.3082272871927743</v>
      </c>
      <c r="AQ12">
        <f>(CS2_3-AVERAGE(CS2_3))/STDEV(CS2_3)</f>
        <v>-0.76189920929035693</v>
      </c>
      <c r="AR12">
        <f>(CS2_4-AVERAGE(CS2_4))/STDEV(CS2_4)</f>
        <v>-0.31610431187743987</v>
      </c>
      <c r="AS12">
        <f>(CS2_5-AVERAGE(CS2_5))/STDEV(CS2_5)</f>
        <v>-1.046712522872318</v>
      </c>
      <c r="AT12">
        <f>(CS2_6-AVERAGE(CS2_6))/STDEV(CS2_6)</f>
        <v>-1.2277328367072644</v>
      </c>
      <c r="AU12">
        <f>(CS2_7-AVERAGE(CS2_7))/STDEV(CS2_7)</f>
        <v>-0.31610431187743987</v>
      </c>
      <c r="AV12">
        <f>(CS2_8-AVERAGE(CS2_8))/STDEV(CS2_8)</f>
        <v>-1.046712522872318</v>
      </c>
      <c r="AW12">
        <f>(CS2_9-AVERAGE(CS2_9))/STDEV(CS2_9)</f>
        <v>-1.2277328367072644</v>
      </c>
      <c r="AX12">
        <f>CS2_0_std * CS2_0_loading+CS2_1_std * CS2_1_loading+CS2_2_std * CS2_2_loading+CS2_3_std * CS2_3_loading+CS2_4_std * CS2_4_loading+CS2_5_std * CS2_5_loading+CS2_6_std * CS2_6_loading+CS2_7_std * CS2_7_loading+CS2_8_std * CS2_8_loading+CS2_9_std * CS2_9_loading</f>
        <v>-2.5020765330922856</v>
      </c>
      <c r="AY12">
        <f>(CS2_I_STD-MIN(CS2_I_STD_ALL))/(MAX(CS2_I_STD_ALL)-MIN(CS2_I_STD_ALL))*100</f>
        <v>0.74471647616712822</v>
      </c>
      <c r="AZ12" s="138" t="s">
        <v>63</v>
      </c>
      <c r="BA12" s="138">
        <v>158.91826997347314</v>
      </c>
      <c r="BB12" s="139">
        <v>28.954451375511987</v>
      </c>
      <c r="BC12" t="s">
        <v>60</v>
      </c>
      <c r="BD12">
        <v>63.529505721437147</v>
      </c>
      <c r="BE12">
        <v>0</v>
      </c>
      <c r="BF12">
        <v>31.286948485527365</v>
      </c>
      <c r="BG12">
        <v>2.6497160786830172</v>
      </c>
      <c r="BH12">
        <v>1</v>
      </c>
      <c r="BI12">
        <v>2</v>
      </c>
      <c r="BJ12">
        <v>2.541577151916357</v>
      </c>
      <c r="BK12">
        <v>38.690377891751872</v>
      </c>
      <c r="BL12">
        <v>2</v>
      </c>
      <c r="BM12">
        <v>2.541577151916357</v>
      </c>
      <c r="BN12">
        <v>38.690377891751872</v>
      </c>
      <c r="BO12">
        <f>(PCA_0-AVERAGE(PCA_0))/STDEV(PCA_0)</f>
        <v>-0.28594213261513696</v>
      </c>
      <c r="BP12">
        <f>(PCA_1-AVERAGE(PCA_1))/STDEV(PCA_1)</f>
        <v>0.89676090174310963</v>
      </c>
      <c r="BQ12">
        <f>(PCA_2-AVERAGE(PCA_2))/STDEV(PCA_2)</f>
        <v>-1.3082272871927743</v>
      </c>
      <c r="BR12">
        <f>(PCA_3-AVERAGE(PCA_3))/STDEV(PCA_3)</f>
        <v>-0.76189920929035693</v>
      </c>
      <c r="BS12">
        <f>(PCA_4-AVERAGE(PCA_4))/STDEV(PCA_4)</f>
        <v>-0.31610431187743987</v>
      </c>
      <c r="BT12">
        <f>(PCA_5-AVERAGE(PCA_5))/STDEV(PCA_5)</f>
        <v>-1.046712522872318</v>
      </c>
      <c r="BU12">
        <f>(PCA_6-AVERAGE(PCA_6))/STDEV(PCA_6)</f>
        <v>-1.2277328367072644</v>
      </c>
      <c r="BV12">
        <f>(PCA_7-AVERAGE(PCA_7))/STDEV(PCA_7)</f>
        <v>-0.31610431187743987</v>
      </c>
      <c r="BW12">
        <f>(PCA_8-AVERAGE(PCA_8))/STDEV(PCA_8)</f>
        <v>-1.046712522872318</v>
      </c>
      <c r="BX12">
        <f>(PCA_9-AVERAGE(PCA_9))/STDEV(PCA_9)</f>
        <v>-1.2277328367072644</v>
      </c>
      <c r="BY12">
        <f>PCA_0_std * PCA_0_loading+PCA_1_std * PCA_1_loading+PCA_2_std * PCA_2_loading+PCA_3_std * PCA_3_loading+PCA_4_std * PCA_4_loading+PCA_5_std * PCA_5_loading+PCA_6_std * PCA_6_loading+PCA_7_std * PCA_7_loading+PCA_8_std * PCA_8_loading+PCA_9_std * PCA_9_loading</f>
        <v>-1.0930087295403996</v>
      </c>
      <c r="BZ12">
        <f>(PCA_I_STD-MIN(PCA_I_STD_ALL))/(MAX(PCA_I_STD_ALL)-MIN(PCA_I_STD_ALL))*100</f>
        <v>39.461248256338166</v>
      </c>
      <c r="CA12" s="138" t="s">
        <v>78</v>
      </c>
      <c r="CB12" s="138">
        <v>40.093755528038209</v>
      </c>
      <c r="CC12" s="139">
        <v>40.007257279117034</v>
      </c>
      <c r="CD12" t="s">
        <v>60</v>
      </c>
      <c r="CE12">
        <v>63.529505721437147</v>
      </c>
      <c r="CF12">
        <v>0</v>
      </c>
      <c r="CG12">
        <v>31.286948485527365</v>
      </c>
      <c r="CH12">
        <v>2.6497160786830172</v>
      </c>
      <c r="CI12">
        <v>1</v>
      </c>
      <c r="CJ12">
        <v>2</v>
      </c>
      <c r="CK12">
        <v>2.541577151916357</v>
      </c>
      <c r="CL12">
        <v>38.690377891751872</v>
      </c>
      <c r="CM12">
        <v>2</v>
      </c>
      <c r="CN12">
        <v>2.541577151916357</v>
      </c>
      <c r="CO12">
        <v>38.690377891751872</v>
      </c>
      <c r="CP12">
        <f>(KTGET_0-AVERAGE(KTGET_0))/STDEV(KTGET_0)</f>
        <v>-0.28594213261513696</v>
      </c>
      <c r="CQ12">
        <f>(KTGET_1-AVERAGE(KTGET_1))/STDEV(KTGET_1)</f>
        <v>0.89676090174310963</v>
      </c>
      <c r="CR12">
        <f>(KTGET_2-AVERAGE(KTGET_2))/STDEV(KTGET_2)</f>
        <v>-1.3082272871927743</v>
      </c>
      <c r="CS12">
        <f>(KTGET_3-AVERAGE(KTGET_3))/STDEV(KTGET_3)</f>
        <v>-0.76189920929035693</v>
      </c>
      <c r="CT12">
        <f>(KTGET_4-AVERAGE(KTGET_4))/STDEV(KTGET_4)</f>
        <v>-0.31610431187743987</v>
      </c>
      <c r="CU12">
        <f>(KTGET_5-AVERAGE(KTGET_5))/STDEV(KTGET_5)</f>
        <v>-1.046712522872318</v>
      </c>
      <c r="CV12">
        <f>(KTGET_6-AVERAGE(KTGET_6))/STDEV(KTGET_6)</f>
        <v>-1.2277328367072644</v>
      </c>
      <c r="CW12">
        <f>(KTGET_7-AVERAGE(KTGET_7))/STDEV(KTGET_7)</f>
        <v>-0.31610431187743987</v>
      </c>
      <c r="CX12">
        <f>(KTGET_8-AVERAGE(KTGET_8))/STDEV(KTGET_8)</f>
        <v>-1.046712522872318</v>
      </c>
      <c r="CY12">
        <f>(KTGET_9-AVERAGE(KTGET_9))/STDEV(KTGET_9)</f>
        <v>-1.2277328367072644</v>
      </c>
      <c r="CZ12">
        <f>KTGET_0_std * KTGET_0_loading+KTGET_1_std * KTGET_1_loading+KTGET_2_std * KTGET_2_loading+KTGET_3_std * KTGET_3_loading+KTGET_4_std * KTGET_4_loading+KTGET_5_std * KTGET_5_loading+KTGET_6_std * KTGET_6_loading+KTGET_7_std * KTGET_7_loading+KTGET_8_std * KTGET_8_loading+KTGET_9_std * KTGET_9_loading</f>
        <v>-2.3591727181474931</v>
      </c>
      <c r="DA12">
        <f>(KTGET_I_STD-MIN(KTGET_I_STD_ALL))/(MAX(KTGET_I_STD_ALL)-MIN(KTGET_I_STD_ALL))*100</f>
        <v>1.5318348204426835</v>
      </c>
      <c r="DB12" s="138" t="s">
        <v>76</v>
      </c>
      <c r="DC12" s="138">
        <v>13.182567719439019</v>
      </c>
      <c r="DD12" s="139">
        <v>26.930389091701549</v>
      </c>
      <c r="DE12" t="s">
        <v>60</v>
      </c>
      <c r="DF12">
        <v>63.529505721437147</v>
      </c>
      <c r="DG12">
        <v>0</v>
      </c>
      <c r="DH12">
        <v>31.286948485527365</v>
      </c>
      <c r="DI12">
        <v>2.6497160786830172</v>
      </c>
      <c r="DJ12">
        <v>1</v>
      </c>
      <c r="DK12">
        <v>2</v>
      </c>
      <c r="DL12">
        <v>2.541577151916357</v>
      </c>
      <c r="DM12">
        <v>38.690377891751872</v>
      </c>
      <c r="DN12">
        <v>2</v>
      </c>
      <c r="DO12">
        <v>2.541577151916357</v>
      </c>
      <c r="DP12">
        <v>38.690377891751872</v>
      </c>
      <c r="DQ12">
        <f>(KTGT_0-AVERAGE(KTGT_0))/STDEV(KTGT_0)</f>
        <v>-0.28594213261513696</v>
      </c>
      <c r="DR12">
        <f>(KTGT_1-AVERAGE(KTGT_1))/STDEV(KTGT_1)</f>
        <v>0.89676090174310963</v>
      </c>
      <c r="DS12">
        <f>(KTGT_2-AVERAGE(KTGT_2))/STDEV(KTGT_2)</f>
        <v>-1.3082272871927743</v>
      </c>
      <c r="DT12">
        <f>(KTGT_3-AVERAGE(KTGT_3))/STDEV(KTGT_3)</f>
        <v>-0.76189920929035693</v>
      </c>
      <c r="DU12">
        <f>(KTGT_4-AVERAGE(KTGT_4))/STDEV(KTGT_4)</f>
        <v>-0.31610431187743987</v>
      </c>
      <c r="DV12">
        <f>(KTGT_5-AVERAGE(KTGT_5))/STDEV(KTGT_5)</f>
        <v>-1.046712522872318</v>
      </c>
      <c r="DW12">
        <f>(KTGT_6-AVERAGE(KTGT_6))/STDEV(KTGT_6)</f>
        <v>-1.2277328367072644</v>
      </c>
      <c r="DX12">
        <f>(KTGT_7-AVERAGE(KTGT_7))/STDEV(KTGT_7)</f>
        <v>-0.31610431187743987</v>
      </c>
      <c r="DY12">
        <f>(KTGT_8-AVERAGE(KTGT_8))/STDEV(KTGT_8)</f>
        <v>-1.046712522872318</v>
      </c>
      <c r="DZ12">
        <f>(KTGT_9-AVERAGE(KTGT_9))/STDEV(KTGT_9)</f>
        <v>-1.2277328367072644</v>
      </c>
      <c r="EA12">
        <f>KTGT_0_std * KTGT_0_loading+KTGT_1_std * KTGT_1_loading+KTGT_2_std * KTGT_2_loading+KTGT_3_std * KTGT_3_loading+KTGT_4_std * KTGT_4_loading+KTGT_5_std * KTGT_5_loading+KTGT_6_std * KTGT_6_loading+KTGT_7_std * KTGT_7_loading+KTGT_8_std * KTGT_8_loading+KTGT_9_std * KTGT_9_loading</f>
        <v>-2.3594938041818212</v>
      </c>
      <c r="EB12">
        <f>(KTGT_I_STD-MIN(KTGT_I_STD_ALL))/(MAX(KTGT_I_STD_ALL)-MIN(KTGT_I_STD_ALL))*100</f>
        <v>1.5309752928840559</v>
      </c>
      <c r="EC12" s="138" t="s">
        <v>76</v>
      </c>
      <c r="ED12" s="138">
        <v>13.182567719439019</v>
      </c>
      <c r="EE12" s="139">
        <v>26.802340632785338</v>
      </c>
      <c r="EF12" t="s">
        <v>60</v>
      </c>
      <c r="EG12">
        <v>63.529505721437147</v>
      </c>
      <c r="EH12">
        <v>0</v>
      </c>
      <c r="EI12">
        <v>31.286948485527365</v>
      </c>
      <c r="EJ12">
        <v>2.6497160786830172</v>
      </c>
      <c r="EK12">
        <v>1</v>
      </c>
      <c r="EL12">
        <v>2</v>
      </c>
      <c r="EM12">
        <v>2.541577151916357</v>
      </c>
      <c r="EN12">
        <v>38.690377891751872</v>
      </c>
      <c r="EO12">
        <v>2</v>
      </c>
      <c r="EP12">
        <v>2.541577151916357</v>
      </c>
      <c r="EQ12">
        <v>38.690377891751872</v>
      </c>
      <c r="ER12">
        <f>(SA_0-AVERAGE(SA_0))/STDEV(SA_0)</f>
        <v>-0.28594213261513696</v>
      </c>
      <c r="ES12">
        <f>(SA_1-AVERAGE(SA_1))/STDEV(SA_1)</f>
        <v>0.89676090174310963</v>
      </c>
      <c r="ET12">
        <f>(SA_2-AVERAGE(SA_2))/STDEV(SA_2)</f>
        <v>-1.3082272871927743</v>
      </c>
      <c r="EU12">
        <f>(SA_3-AVERAGE(SA_3))/STDEV(SA_3)</f>
        <v>-0.76189920929035693</v>
      </c>
      <c r="EV12">
        <f>(SA_4-AVERAGE(SA_4))/STDEV(SA_4)</f>
        <v>-0.31610431187743987</v>
      </c>
      <c r="EW12">
        <f>(SA_5-AVERAGE(SA_5))/STDEV(SA_5)</f>
        <v>-1.046712522872318</v>
      </c>
      <c r="EX12">
        <f>(SA_6-AVERAGE(SA_6))/STDEV(SA_6)</f>
        <v>-1.2277328367072644</v>
      </c>
      <c r="EY12">
        <f>(SA_7-AVERAGE(SA_7))/STDEV(SA_7)</f>
        <v>-0.31610431187743987</v>
      </c>
      <c r="EZ12">
        <f>(SA_8-AVERAGE(SA_8))/STDEV(SA_8)</f>
        <v>-1.046712522872318</v>
      </c>
      <c r="FA12">
        <f>(SA_9-AVERAGE(SA_9))/STDEV(SA_9)</f>
        <v>-1.2277328367072644</v>
      </c>
      <c r="FB12">
        <f>SA_0_std * SA_0_loading+SA_1_std * SA_1_loading+SA_2_std * SA_2_loading+SA_3_std * SA_3_loading+SA_4_std * SA_4_loading+SA_5_std * SA_5_loading+SA_6_std * SA_6_loading+SA_7_std * SA_7_loading+SA_8_std * SA_8_loading+SA_9_std * SA_9_loading</f>
        <v>-2.0998810932736456</v>
      </c>
      <c r="FC12">
        <f>(SA_I_STD-MIN(SA_I_STD_ALL))/(MAX(SA_I_STD_ALL)-MIN(SA_I_STD_ALL))*100</f>
        <v>14.379943493079454</v>
      </c>
      <c r="FD12" s="138" t="s">
        <v>79</v>
      </c>
      <c r="FE12" s="138">
        <v>94.234282592006622</v>
      </c>
      <c r="FF12" s="139">
        <v>42.203007131675889</v>
      </c>
    </row>
    <row r="13" spans="1:162" x14ac:dyDescent="0.25">
      <c r="A13" t="s">
        <v>69</v>
      </c>
      <c r="B13">
        <v>34.273958837549863</v>
      </c>
      <c r="C13">
        <v>1542.6291503295643</v>
      </c>
      <c r="D13">
        <v>14.914414216080887</v>
      </c>
      <c r="E13">
        <v>10.240889769971094</v>
      </c>
      <c r="F13">
        <v>1</v>
      </c>
      <c r="G13">
        <v>0</v>
      </c>
      <c r="H13">
        <v>22.499897001982433</v>
      </c>
      <c r="I13">
        <v>568.15035495553366</v>
      </c>
      <c r="J13">
        <v>0</v>
      </c>
      <c r="K13">
        <v>22.499897001982433</v>
      </c>
      <c r="L13">
        <v>568.15035495553366</v>
      </c>
      <c r="M13">
        <f>(CS1_0-AVERAGE(CS1_0))/STDEV(CS1_0)</f>
        <v>-0.19485980059370975</v>
      </c>
      <c r="N13">
        <f>(CS1_1-AVERAGE(CS1_1))/STDEV(CS1_1)</f>
        <v>-0.5575166443961842</v>
      </c>
      <c r="O13">
        <f>(CS1_2-AVERAGE(CS1_2))/STDEV(CS1_2)</f>
        <v>0.61895392180422659</v>
      </c>
      <c r="P13">
        <f>(CS1_3-AVERAGE(CS1_3))/STDEV(CS1_3)</f>
        <v>-0.76189920929035693</v>
      </c>
      <c r="Q13">
        <f>(CS1_4-AVERAGE(CS1_4))/STDEV(CS1_4)</f>
        <v>-0.59269558477019968</v>
      </c>
      <c r="R13">
        <f>(CS1_5-AVERAGE(CS1_5))/STDEV(CS1_5)</f>
        <v>0.36646607179620794</v>
      </c>
      <c r="S13">
        <f>(CS1_6-AVERAGE(CS1_6))/STDEV(CS1_6)</f>
        <v>2.6249182905310411</v>
      </c>
      <c r="T13">
        <f>(CS1_7-AVERAGE(CS1_7))/STDEV(CS1_7)</f>
        <v>-0.59269558477019968</v>
      </c>
      <c r="U13">
        <f>(CS1_8-AVERAGE(CS1_8))/STDEV(CS1_8)</f>
        <v>0.36646607179620794</v>
      </c>
      <c r="V13">
        <f>(CS1_9-AVERAGE(CS1_9))/STDEV(CS1_9)</f>
        <v>2.6249182905310411</v>
      </c>
      <c r="W13">
        <f>CS1_0_std * CS1_0_loading+CS1_1_std * CS1_1_loading+CS1_2_std * CS1_2_loading+CS1_3_std * CS1_3_loading+CS1_4_std * CS1_4_loading+CS1_5_std * CS1_5_loading+CS1_6_std * CS1_6_loading+CS1_7_std * CS1_7_loading+CS1_8_std * CS1_8_loading+CS1_9_std * CS1_9_loading</f>
        <v>3.0060568414997446</v>
      </c>
      <c r="X13">
        <f>(CS1_I_STD-MIN(CS1_I_STD_ALL))/(MAX(CS1_I_STD_ALL)-MIN(CS1_I_STD_ALL))*100</f>
        <v>92.800464241099306</v>
      </c>
      <c r="Y13" s="138" t="s">
        <v>59</v>
      </c>
      <c r="Z13" s="138">
        <v>112.06602026518708</v>
      </c>
      <c r="AA13" s="139">
        <v>27.463834442986386</v>
      </c>
      <c r="AB13" t="s">
        <v>69</v>
      </c>
      <c r="AC13">
        <v>34.273958837549863</v>
      </c>
      <c r="AD13">
        <v>1542.6291503295643</v>
      </c>
      <c r="AE13">
        <v>14.914414216080887</v>
      </c>
      <c r="AF13">
        <v>10.240889769971094</v>
      </c>
      <c r="AG13">
        <v>1</v>
      </c>
      <c r="AH13">
        <v>0</v>
      </c>
      <c r="AI13">
        <v>22.499897001982433</v>
      </c>
      <c r="AJ13">
        <v>568.15035495553366</v>
      </c>
      <c r="AK13">
        <v>0</v>
      </c>
      <c r="AL13">
        <v>22.499897001982433</v>
      </c>
      <c r="AM13">
        <v>568.15035495553366</v>
      </c>
      <c r="AN13">
        <f>(CS2_0-AVERAGE(CS2_0))/STDEV(CS2_0)</f>
        <v>-0.19485980059370975</v>
      </c>
      <c r="AO13">
        <f>(CS2_1-AVERAGE(CS2_1))/STDEV(CS2_1)</f>
        <v>-0.5575166443961842</v>
      </c>
      <c r="AP13">
        <f>(CS2_2-AVERAGE(CS2_2))/STDEV(CS2_2)</f>
        <v>0.61895392180422659</v>
      </c>
      <c r="AQ13">
        <f>(CS2_3-AVERAGE(CS2_3))/STDEV(CS2_3)</f>
        <v>-0.76189920929035693</v>
      </c>
      <c r="AR13">
        <f>(CS2_4-AVERAGE(CS2_4))/STDEV(CS2_4)</f>
        <v>-0.59269558477019968</v>
      </c>
      <c r="AS13">
        <f>(CS2_5-AVERAGE(CS2_5))/STDEV(CS2_5)</f>
        <v>0.36646607179620794</v>
      </c>
      <c r="AT13">
        <f>(CS2_6-AVERAGE(CS2_6))/STDEV(CS2_6)</f>
        <v>2.6249182905310411</v>
      </c>
      <c r="AU13">
        <f>(CS2_7-AVERAGE(CS2_7))/STDEV(CS2_7)</f>
        <v>-0.59269558477019968</v>
      </c>
      <c r="AV13">
        <f>(CS2_8-AVERAGE(CS2_8))/STDEV(CS2_8)</f>
        <v>0.36646607179620794</v>
      </c>
      <c r="AW13">
        <f>(CS2_9-AVERAGE(CS2_9))/STDEV(CS2_9)</f>
        <v>2.6249182905310411</v>
      </c>
      <c r="AX13">
        <f>CS2_0_std * CS2_0_loading+CS2_1_std * CS2_1_loading+CS2_2_std * CS2_2_loading+CS2_3_std * CS2_3_loading+CS2_4_std * CS2_4_loading+CS2_5_std * CS2_5_loading+CS2_6_std * CS2_6_loading+CS2_7_std * CS2_7_loading+CS2_8_std * CS2_8_loading+CS2_9_std * CS2_9_loading</f>
        <v>2.5894524108917016</v>
      </c>
      <c r="AY13">
        <f>(CS2_I_STD-MIN(CS2_I_STD_ALL))/(MAX(CS2_I_STD_ALL)-MIN(CS2_I_STD_ALL))*100</f>
        <v>84.076202764765185</v>
      </c>
      <c r="AZ13" s="138" t="s">
        <v>67</v>
      </c>
      <c r="BA13" s="138">
        <v>101.50560235661756</v>
      </c>
      <c r="BB13" s="139">
        <v>30.163248678254639</v>
      </c>
      <c r="BC13" t="s">
        <v>69</v>
      </c>
      <c r="BD13">
        <v>34.273958837549863</v>
      </c>
      <c r="BE13">
        <v>1542.6291503295643</v>
      </c>
      <c r="BF13">
        <v>14.914414216080887</v>
      </c>
      <c r="BG13">
        <v>10.240889769971094</v>
      </c>
      <c r="BH13">
        <v>1</v>
      </c>
      <c r="BI13">
        <v>0</v>
      </c>
      <c r="BJ13">
        <v>22.499897001982433</v>
      </c>
      <c r="BK13">
        <v>568.15035495553366</v>
      </c>
      <c r="BL13">
        <v>0</v>
      </c>
      <c r="BM13">
        <v>22.499897001982433</v>
      </c>
      <c r="BN13">
        <v>568.15035495553366</v>
      </c>
      <c r="BO13">
        <f>(PCA_0-AVERAGE(PCA_0))/STDEV(PCA_0)</f>
        <v>-0.19485980059370975</v>
      </c>
      <c r="BP13">
        <f>(PCA_1-AVERAGE(PCA_1))/STDEV(PCA_1)</f>
        <v>-0.5575166443961842</v>
      </c>
      <c r="BQ13">
        <f>(PCA_2-AVERAGE(PCA_2))/STDEV(PCA_2)</f>
        <v>0.61895392180422659</v>
      </c>
      <c r="BR13">
        <f>(PCA_3-AVERAGE(PCA_3))/STDEV(PCA_3)</f>
        <v>-0.76189920929035693</v>
      </c>
      <c r="BS13">
        <f>(PCA_4-AVERAGE(PCA_4))/STDEV(PCA_4)</f>
        <v>-0.59269558477019968</v>
      </c>
      <c r="BT13">
        <f>(PCA_5-AVERAGE(PCA_5))/STDEV(PCA_5)</f>
        <v>0.36646607179620794</v>
      </c>
      <c r="BU13">
        <f>(PCA_6-AVERAGE(PCA_6))/STDEV(PCA_6)</f>
        <v>2.6249182905310411</v>
      </c>
      <c r="BV13">
        <f>(PCA_7-AVERAGE(PCA_7))/STDEV(PCA_7)</f>
        <v>-0.59269558477019968</v>
      </c>
      <c r="BW13">
        <f>(PCA_8-AVERAGE(PCA_8))/STDEV(PCA_8)</f>
        <v>0.36646607179620794</v>
      </c>
      <c r="BX13">
        <f>(PCA_9-AVERAGE(PCA_9))/STDEV(PCA_9)</f>
        <v>2.6249182905310411</v>
      </c>
      <c r="BY13">
        <f>PCA_0_std * PCA_0_loading+PCA_1_std * PCA_1_loading+PCA_2_std * PCA_2_loading+PCA_3_std * PCA_3_loading+PCA_4_std * PCA_4_loading+PCA_5_std * PCA_5_loading+PCA_6_std * PCA_6_loading+PCA_7_std * PCA_7_loading+PCA_8_std * PCA_8_loading+PCA_9_std * PCA_9_loading</f>
        <v>1.6391233536165113</v>
      </c>
      <c r="BZ13">
        <f>(PCA_I_STD-MIN(PCA_I_STD_ALL))/(MAX(PCA_I_STD_ALL)-MIN(PCA_I_STD_ALL))*100</f>
        <v>77.554213400008919</v>
      </c>
      <c r="CA13" s="138" t="s">
        <v>64</v>
      </c>
      <c r="CB13" s="138">
        <v>358.81422113562593</v>
      </c>
      <c r="CC13" s="139">
        <v>45.621751770961644</v>
      </c>
      <c r="CD13" t="s">
        <v>69</v>
      </c>
      <c r="CE13">
        <v>34.273958837549863</v>
      </c>
      <c r="CF13">
        <v>1542.6291503295643</v>
      </c>
      <c r="CG13">
        <v>14.914414216080887</v>
      </c>
      <c r="CH13">
        <v>10.240889769971094</v>
      </c>
      <c r="CI13">
        <v>1</v>
      </c>
      <c r="CJ13">
        <v>0</v>
      </c>
      <c r="CK13">
        <v>22.499897001982433</v>
      </c>
      <c r="CL13">
        <v>568.15035495553366</v>
      </c>
      <c r="CM13">
        <v>0</v>
      </c>
      <c r="CN13">
        <v>22.499897001982433</v>
      </c>
      <c r="CO13">
        <v>568.15035495553366</v>
      </c>
      <c r="CP13">
        <f>(KTGET_0-AVERAGE(KTGET_0))/STDEV(KTGET_0)</f>
        <v>-0.19485980059370975</v>
      </c>
      <c r="CQ13">
        <f>(KTGET_1-AVERAGE(KTGET_1))/STDEV(KTGET_1)</f>
        <v>-0.5575166443961842</v>
      </c>
      <c r="CR13">
        <f>(KTGET_2-AVERAGE(KTGET_2))/STDEV(KTGET_2)</f>
        <v>0.61895392180422659</v>
      </c>
      <c r="CS13">
        <f>(KTGET_3-AVERAGE(KTGET_3))/STDEV(KTGET_3)</f>
        <v>-0.76189920929035693</v>
      </c>
      <c r="CT13">
        <f>(KTGET_4-AVERAGE(KTGET_4))/STDEV(KTGET_4)</f>
        <v>-0.59269558477019968</v>
      </c>
      <c r="CU13">
        <f>(KTGET_5-AVERAGE(KTGET_5))/STDEV(KTGET_5)</f>
        <v>0.36646607179620794</v>
      </c>
      <c r="CV13">
        <f>(KTGET_6-AVERAGE(KTGET_6))/STDEV(KTGET_6)</f>
        <v>2.6249182905310411</v>
      </c>
      <c r="CW13">
        <f>(KTGET_7-AVERAGE(KTGET_7))/STDEV(KTGET_7)</f>
        <v>-0.59269558477019968</v>
      </c>
      <c r="CX13">
        <f>(KTGET_8-AVERAGE(KTGET_8))/STDEV(KTGET_8)</f>
        <v>0.36646607179620794</v>
      </c>
      <c r="CY13">
        <f>(KTGET_9-AVERAGE(KTGET_9))/STDEV(KTGET_9)</f>
        <v>2.6249182905310411</v>
      </c>
      <c r="CZ13">
        <f>KTGET_0_std * KTGET_0_loading+KTGET_1_std * KTGET_1_loading+KTGET_2_std * KTGET_2_loading+KTGET_3_std * KTGET_3_loading+KTGET_4_std * KTGET_4_loading+KTGET_5_std * KTGET_5_loading+KTGET_6_std * KTGET_6_loading+KTGET_7_std * KTGET_7_loading+KTGET_8_std * KTGET_8_loading+KTGET_9_std * KTGET_9_loading</f>
        <v>3.0060494152093629</v>
      </c>
      <c r="DA13">
        <f>(KTGET_I_STD-MIN(KTGET_I_STD_ALL))/(MAX(KTGET_I_STD_ALL)-MIN(KTGET_I_STD_ALL))*100</f>
        <v>92.800332708459862</v>
      </c>
      <c r="DB13" s="138" t="s">
        <v>59</v>
      </c>
      <c r="DC13" s="138">
        <v>112.06602026518708</v>
      </c>
      <c r="DD13" s="139">
        <v>27.463775288146149</v>
      </c>
      <c r="DE13" t="s">
        <v>69</v>
      </c>
      <c r="DF13">
        <v>34.273958837549863</v>
      </c>
      <c r="DG13">
        <v>1542.6291503295643</v>
      </c>
      <c r="DH13">
        <v>14.914414216080887</v>
      </c>
      <c r="DI13">
        <v>10.240889769971094</v>
      </c>
      <c r="DJ13">
        <v>1</v>
      </c>
      <c r="DK13">
        <v>0</v>
      </c>
      <c r="DL13">
        <v>22.499897001982433</v>
      </c>
      <c r="DM13">
        <v>568.15035495553366</v>
      </c>
      <c r="DN13">
        <v>0</v>
      </c>
      <c r="DO13">
        <v>22.499897001982433</v>
      </c>
      <c r="DP13">
        <v>568.15035495553366</v>
      </c>
      <c r="DQ13">
        <f>(KTGT_0-AVERAGE(KTGT_0))/STDEV(KTGT_0)</f>
        <v>-0.19485980059370975</v>
      </c>
      <c r="DR13">
        <f>(KTGT_1-AVERAGE(KTGT_1))/STDEV(KTGT_1)</f>
        <v>-0.5575166443961842</v>
      </c>
      <c r="DS13">
        <f>(KTGT_2-AVERAGE(KTGT_2))/STDEV(KTGT_2)</f>
        <v>0.61895392180422659</v>
      </c>
      <c r="DT13">
        <f>(KTGT_3-AVERAGE(KTGT_3))/STDEV(KTGT_3)</f>
        <v>-0.76189920929035693</v>
      </c>
      <c r="DU13">
        <f>(KTGT_4-AVERAGE(KTGT_4))/STDEV(KTGT_4)</f>
        <v>-0.59269558477019968</v>
      </c>
      <c r="DV13">
        <f>(KTGT_5-AVERAGE(KTGT_5))/STDEV(KTGT_5)</f>
        <v>0.36646607179620794</v>
      </c>
      <c r="DW13">
        <f>(KTGT_6-AVERAGE(KTGT_6))/STDEV(KTGT_6)</f>
        <v>2.6249182905310411</v>
      </c>
      <c r="DX13">
        <f>(KTGT_7-AVERAGE(KTGT_7))/STDEV(KTGT_7)</f>
        <v>-0.59269558477019968</v>
      </c>
      <c r="DY13">
        <f>(KTGT_8-AVERAGE(KTGT_8))/STDEV(KTGT_8)</f>
        <v>0.36646607179620794</v>
      </c>
      <c r="DZ13">
        <f>(KTGT_9-AVERAGE(KTGT_9))/STDEV(KTGT_9)</f>
        <v>2.6249182905310411</v>
      </c>
      <c r="EA13">
        <f>KTGT_0_std * KTGT_0_loading+KTGT_1_std * KTGT_1_loading+KTGT_2_std * KTGT_2_loading+KTGT_3_std * KTGT_3_loading+KTGT_4_std * KTGT_4_loading+KTGT_5_std * KTGT_5_loading+KTGT_6_std * KTGT_6_loading+KTGT_7_std * KTGT_7_loading+KTGT_8_std * KTGT_8_loading+KTGT_9_std * KTGT_9_loading</f>
        <v>3.014417105630117</v>
      </c>
      <c r="EB13">
        <f>(KTGT_I_STD-MIN(KTGT_I_STD_ALL))/(MAX(KTGT_I_STD_ALL)-MIN(KTGT_I_STD_ALL))*100</f>
        <v>92.898007384921328</v>
      </c>
      <c r="EC13" s="138" t="s">
        <v>59</v>
      </c>
      <c r="ED13" s="138">
        <v>112.06602026518708</v>
      </c>
      <c r="EE13" s="139">
        <v>27.434471420742639</v>
      </c>
      <c r="EF13" t="s">
        <v>69</v>
      </c>
      <c r="EG13">
        <v>34.273958837549863</v>
      </c>
      <c r="EH13">
        <v>1542.6291503295643</v>
      </c>
      <c r="EI13">
        <v>14.914414216080887</v>
      </c>
      <c r="EJ13">
        <v>10.240889769971094</v>
      </c>
      <c r="EK13">
        <v>1</v>
      </c>
      <c r="EL13">
        <v>0</v>
      </c>
      <c r="EM13">
        <v>22.499897001982433</v>
      </c>
      <c r="EN13">
        <v>568.15035495553366</v>
      </c>
      <c r="EO13">
        <v>0</v>
      </c>
      <c r="EP13">
        <v>22.499897001982433</v>
      </c>
      <c r="EQ13">
        <v>568.15035495553366</v>
      </c>
      <c r="ER13">
        <f>(SA_0-AVERAGE(SA_0))/STDEV(SA_0)</f>
        <v>-0.19485980059370975</v>
      </c>
      <c r="ES13">
        <f>(SA_1-AVERAGE(SA_1))/STDEV(SA_1)</f>
        <v>-0.5575166443961842</v>
      </c>
      <c r="ET13">
        <f>(SA_2-AVERAGE(SA_2))/STDEV(SA_2)</f>
        <v>0.61895392180422659</v>
      </c>
      <c r="EU13">
        <f>(SA_3-AVERAGE(SA_3))/STDEV(SA_3)</f>
        <v>-0.76189920929035693</v>
      </c>
      <c r="EV13">
        <f>(SA_4-AVERAGE(SA_4))/STDEV(SA_4)</f>
        <v>-0.59269558477019968</v>
      </c>
      <c r="EW13">
        <f>(SA_5-AVERAGE(SA_5))/STDEV(SA_5)</f>
        <v>0.36646607179620794</v>
      </c>
      <c r="EX13">
        <f>(SA_6-AVERAGE(SA_6))/STDEV(SA_6)</f>
        <v>2.6249182905310411</v>
      </c>
      <c r="EY13">
        <f>(SA_7-AVERAGE(SA_7))/STDEV(SA_7)</f>
        <v>-0.59269558477019968</v>
      </c>
      <c r="EZ13">
        <f>(SA_8-AVERAGE(SA_8))/STDEV(SA_8)</f>
        <v>0.36646607179620794</v>
      </c>
      <c r="FA13">
        <f>(SA_9-AVERAGE(SA_9))/STDEV(SA_9)</f>
        <v>2.6249182905310411</v>
      </c>
      <c r="FB13">
        <f>SA_0_std * SA_0_loading+SA_1_std * SA_1_loading+SA_2_std * SA_2_loading+SA_3_std * SA_3_loading+SA_4_std * SA_4_loading+SA_5_std * SA_5_loading+SA_6_std * SA_6_loading+SA_7_std * SA_7_loading+SA_8_std * SA_8_loading+SA_9_std * SA_9_loading</f>
        <v>1.233938395665833</v>
      </c>
      <c r="FC13">
        <f>(SA_I_STD-MIN(SA_I_STD_ALL))/(MAX(SA_I_STD_ALL)-MIN(SA_I_STD_ALL))*100</f>
        <v>76.106473058665372</v>
      </c>
      <c r="FD13" s="138" t="s">
        <v>61</v>
      </c>
      <c r="FE13" s="138">
        <v>94.719790963219936</v>
      </c>
      <c r="FF13" s="139">
        <v>42.591845153219985</v>
      </c>
    </row>
    <row r="14" spans="1:162" x14ac:dyDescent="0.25">
      <c r="A14" t="s">
        <v>78</v>
      </c>
      <c r="B14">
        <v>40.093755528038209</v>
      </c>
      <c r="C14">
        <v>1974.4720582395764</v>
      </c>
      <c r="D14">
        <v>30.212304696698894</v>
      </c>
      <c r="E14">
        <v>6.3109806952401755</v>
      </c>
      <c r="F14">
        <v>1</v>
      </c>
      <c r="G14">
        <v>0</v>
      </c>
      <c r="H14">
        <v>41</v>
      </c>
      <c r="I14">
        <v>260.43854490464588</v>
      </c>
      <c r="J14">
        <v>0</v>
      </c>
      <c r="K14">
        <v>41</v>
      </c>
      <c r="L14">
        <v>260.43854490464588</v>
      </c>
      <c r="M14">
        <f>(CS1_0-AVERAGE(CS1_0))/STDEV(CS1_0)</f>
        <v>-0.16936225368753641</v>
      </c>
      <c r="N14">
        <f>(CS1_1-AVERAGE(CS1_1))/STDEV(CS1_1)</f>
        <v>0.80130650803279868</v>
      </c>
      <c r="O14">
        <f>(CS1_2-AVERAGE(CS1_2))/STDEV(CS1_2)</f>
        <v>-0.37873724294675598</v>
      </c>
      <c r="P14">
        <f>(CS1_3-AVERAGE(CS1_3))/STDEV(CS1_3)</f>
        <v>-0.76189920929035693</v>
      </c>
      <c r="Q14">
        <f>(CS1_4-AVERAGE(CS1_4))/STDEV(CS1_4)</f>
        <v>-0.59269558477019968</v>
      </c>
      <c r="R14">
        <f>(CS1_5-AVERAGE(CS1_5))/STDEV(CS1_5)</f>
        <v>1.6763934480665554</v>
      </c>
      <c r="S14">
        <f>(CS1_6-AVERAGE(CS1_6))/STDEV(CS1_6)</f>
        <v>0.38583261226781074</v>
      </c>
      <c r="T14">
        <f>(CS1_7-AVERAGE(CS1_7))/STDEV(CS1_7)</f>
        <v>-0.59269558477019968</v>
      </c>
      <c r="U14">
        <f>(CS1_8-AVERAGE(CS1_8))/STDEV(CS1_8)</f>
        <v>1.6763934480665554</v>
      </c>
      <c r="V14">
        <f>(CS1_9-AVERAGE(CS1_9))/STDEV(CS1_9)</f>
        <v>0.38583261226781074</v>
      </c>
      <c r="W14">
        <f>CS1_0_std * CS1_0_loading+CS1_1_std * CS1_1_loading+CS1_2_std * CS1_2_loading+CS1_3_std * CS1_3_loading+CS1_4_std * CS1_4_loading+CS1_5_std * CS1_5_loading+CS1_6_std * CS1_6_loading+CS1_7_std * CS1_7_loading+CS1_8_std * CS1_8_loading+CS1_9_std * CS1_9_loading</f>
        <v>2.0352598253876635</v>
      </c>
      <c r="X14">
        <f>(CS1_I_STD-MIN(CS1_I_STD_ALL))/(MAX(CS1_I_STD_ALL)-MIN(CS1_I_STD_ALL))*100</f>
        <v>76.286098048809237</v>
      </c>
      <c r="Y14" s="138" t="s">
        <v>77</v>
      </c>
      <c r="Z14" s="138">
        <v>75.4867889064125</v>
      </c>
      <c r="AA14" s="139">
        <v>28.081556129259429</v>
      </c>
      <c r="AB14" t="s">
        <v>78</v>
      </c>
      <c r="AC14">
        <v>40.093755528038209</v>
      </c>
      <c r="AD14">
        <v>1974.4720582395764</v>
      </c>
      <c r="AE14">
        <v>30.212304696698894</v>
      </c>
      <c r="AF14">
        <v>6.3109806952401755</v>
      </c>
      <c r="AG14">
        <v>1</v>
      </c>
      <c r="AH14">
        <v>0</v>
      </c>
      <c r="AI14">
        <v>41</v>
      </c>
      <c r="AJ14">
        <v>260.43854490464588</v>
      </c>
      <c r="AK14">
        <v>0</v>
      </c>
      <c r="AL14">
        <v>41</v>
      </c>
      <c r="AM14">
        <v>260.43854490464588</v>
      </c>
      <c r="AN14">
        <f>(CS2_0-AVERAGE(CS2_0))/STDEV(CS2_0)</f>
        <v>-0.16936225368753641</v>
      </c>
      <c r="AO14">
        <f>(CS2_1-AVERAGE(CS2_1))/STDEV(CS2_1)</f>
        <v>0.80130650803279868</v>
      </c>
      <c r="AP14">
        <f>(CS2_2-AVERAGE(CS2_2))/STDEV(CS2_2)</f>
        <v>-0.37873724294675598</v>
      </c>
      <c r="AQ14">
        <f>(CS2_3-AVERAGE(CS2_3))/STDEV(CS2_3)</f>
        <v>-0.76189920929035693</v>
      </c>
      <c r="AR14">
        <f>(CS2_4-AVERAGE(CS2_4))/STDEV(CS2_4)</f>
        <v>-0.59269558477019968</v>
      </c>
      <c r="AS14">
        <f>(CS2_5-AVERAGE(CS2_5))/STDEV(CS2_5)</f>
        <v>1.6763934480665554</v>
      </c>
      <c r="AT14">
        <f>(CS2_6-AVERAGE(CS2_6))/STDEV(CS2_6)</f>
        <v>0.38583261226781074</v>
      </c>
      <c r="AU14">
        <f>(CS2_7-AVERAGE(CS2_7))/STDEV(CS2_7)</f>
        <v>-0.59269558477019968</v>
      </c>
      <c r="AV14">
        <f>(CS2_8-AVERAGE(CS2_8))/STDEV(CS2_8)</f>
        <v>1.6763934480665554</v>
      </c>
      <c r="AW14">
        <f>(CS2_9-AVERAGE(CS2_9))/STDEV(CS2_9)</f>
        <v>0.38583261226781074</v>
      </c>
      <c r="AX14">
        <f>CS2_0_std * CS2_0_loading+CS2_1_std * CS2_1_loading+CS2_2_std * CS2_2_loading+CS2_3_std * CS2_3_loading+CS2_4_std * CS2_4_loading+CS2_5_std * CS2_5_loading+CS2_6_std * CS2_6_loading+CS2_7_std * CS2_7_loading+CS2_8_std * CS2_8_loading+CS2_9_std * CS2_9_loading</f>
        <v>1.8736736234889078</v>
      </c>
      <c r="AY14">
        <f>(CS2_I_STD-MIN(CS2_I_STD_ALL))/(MAX(CS2_I_STD_ALL)-MIN(CS2_I_STD_ALL))*100</f>
        <v>72.361271775596904</v>
      </c>
      <c r="AZ14" s="138" t="s">
        <v>66</v>
      </c>
      <c r="BA14" s="138">
        <v>80.861343707957317</v>
      </c>
      <c r="BB14" s="139">
        <v>30.727707203055456</v>
      </c>
      <c r="BC14" t="s">
        <v>78</v>
      </c>
      <c r="BD14">
        <v>40.093755528038209</v>
      </c>
      <c r="BE14">
        <v>1974.4720582395764</v>
      </c>
      <c r="BF14">
        <v>30.212304696698894</v>
      </c>
      <c r="BG14">
        <v>6.3109806952401755</v>
      </c>
      <c r="BH14">
        <v>1</v>
      </c>
      <c r="BI14">
        <v>0</v>
      </c>
      <c r="BJ14">
        <v>41</v>
      </c>
      <c r="BK14">
        <v>260.43854490464588</v>
      </c>
      <c r="BL14">
        <v>0</v>
      </c>
      <c r="BM14">
        <v>41</v>
      </c>
      <c r="BN14">
        <v>260.43854490464588</v>
      </c>
      <c r="BO14">
        <f>(PCA_0-AVERAGE(PCA_0))/STDEV(PCA_0)</f>
        <v>-0.16936225368753641</v>
      </c>
      <c r="BP14">
        <f>(PCA_1-AVERAGE(PCA_1))/STDEV(PCA_1)</f>
        <v>0.80130650803279868</v>
      </c>
      <c r="BQ14">
        <f>(PCA_2-AVERAGE(PCA_2))/STDEV(PCA_2)</f>
        <v>-0.37873724294675598</v>
      </c>
      <c r="BR14">
        <f>(PCA_3-AVERAGE(PCA_3))/STDEV(PCA_3)</f>
        <v>-0.76189920929035693</v>
      </c>
      <c r="BS14">
        <f>(PCA_4-AVERAGE(PCA_4))/STDEV(PCA_4)</f>
        <v>-0.59269558477019968</v>
      </c>
      <c r="BT14">
        <f>(PCA_5-AVERAGE(PCA_5))/STDEV(PCA_5)</f>
        <v>1.6763934480665554</v>
      </c>
      <c r="BU14">
        <f>(PCA_6-AVERAGE(PCA_6))/STDEV(PCA_6)</f>
        <v>0.38583261226781074</v>
      </c>
      <c r="BV14">
        <f>(PCA_7-AVERAGE(PCA_7))/STDEV(PCA_7)</f>
        <v>-0.59269558477019968</v>
      </c>
      <c r="BW14">
        <f>(PCA_8-AVERAGE(PCA_8))/STDEV(PCA_8)</f>
        <v>1.6763934480665554</v>
      </c>
      <c r="BX14">
        <f>(PCA_9-AVERAGE(PCA_9))/STDEV(PCA_9)</f>
        <v>0.38583261226781074</v>
      </c>
      <c r="BY14">
        <f>PCA_0_std * PCA_0_loading+PCA_1_std * PCA_1_loading+PCA_2_std * PCA_2_loading+PCA_3_std * PCA_3_loading+PCA_4_std * PCA_4_loading+PCA_5_std * PCA_5_loading+PCA_6_std * PCA_6_loading+PCA_7_std * PCA_7_loading+PCA_8_std * PCA_8_loading+PCA_9_std * PCA_9_loading</f>
        <v>-1.05384746280254</v>
      </c>
      <c r="BZ14">
        <f>(PCA_I_STD-MIN(PCA_I_STD_ALL))/(MAX(PCA_I_STD_ALL)-MIN(PCA_I_STD_ALL))*100</f>
        <v>40.007257279117034</v>
      </c>
      <c r="CA14" s="138" t="s">
        <v>72</v>
      </c>
      <c r="CB14" s="138">
        <v>110.80232603285897</v>
      </c>
      <c r="CC14" s="139">
        <v>48.138518265619908</v>
      </c>
      <c r="CD14" t="s">
        <v>78</v>
      </c>
      <c r="CE14">
        <v>40.093755528038209</v>
      </c>
      <c r="CF14">
        <v>1974.4720582395764</v>
      </c>
      <c r="CG14">
        <v>30.212304696698894</v>
      </c>
      <c r="CH14">
        <v>6.3109806952401755</v>
      </c>
      <c r="CI14">
        <v>1</v>
      </c>
      <c r="CJ14">
        <v>0</v>
      </c>
      <c r="CK14">
        <v>41</v>
      </c>
      <c r="CL14">
        <v>260.43854490464588</v>
      </c>
      <c r="CM14">
        <v>0</v>
      </c>
      <c r="CN14">
        <v>41</v>
      </c>
      <c r="CO14">
        <v>260.43854490464588</v>
      </c>
      <c r="CP14">
        <f>(KTGET_0-AVERAGE(KTGET_0))/STDEV(KTGET_0)</f>
        <v>-0.16936225368753641</v>
      </c>
      <c r="CQ14">
        <f>(KTGET_1-AVERAGE(KTGET_1))/STDEV(KTGET_1)</f>
        <v>0.80130650803279868</v>
      </c>
      <c r="CR14">
        <f>(KTGET_2-AVERAGE(KTGET_2))/STDEV(KTGET_2)</f>
        <v>-0.37873724294675598</v>
      </c>
      <c r="CS14">
        <f>(KTGET_3-AVERAGE(KTGET_3))/STDEV(KTGET_3)</f>
        <v>-0.76189920929035693</v>
      </c>
      <c r="CT14">
        <f>(KTGET_4-AVERAGE(KTGET_4))/STDEV(KTGET_4)</f>
        <v>-0.59269558477019968</v>
      </c>
      <c r="CU14">
        <f>(KTGET_5-AVERAGE(KTGET_5))/STDEV(KTGET_5)</f>
        <v>1.6763934480665554</v>
      </c>
      <c r="CV14">
        <f>(KTGET_6-AVERAGE(KTGET_6))/STDEV(KTGET_6)</f>
        <v>0.38583261226781074</v>
      </c>
      <c r="CW14">
        <f>(KTGET_7-AVERAGE(KTGET_7))/STDEV(KTGET_7)</f>
        <v>-0.59269558477019968</v>
      </c>
      <c r="CX14">
        <f>(KTGET_8-AVERAGE(KTGET_8))/STDEV(KTGET_8)</f>
        <v>1.6763934480665554</v>
      </c>
      <c r="CY14">
        <f>(KTGET_9-AVERAGE(KTGET_9))/STDEV(KTGET_9)</f>
        <v>0.38583261226781074</v>
      </c>
      <c r="CZ14">
        <f>KTGET_0_std * KTGET_0_loading+KTGET_1_std * KTGET_1_loading+KTGET_2_std * KTGET_2_loading+KTGET_3_std * KTGET_3_loading+KTGET_4_std * KTGET_4_loading+KTGET_5_std * KTGET_5_loading+KTGET_6_std * KTGET_6_loading+KTGET_7_std * KTGET_7_loading+KTGET_8_std * KTGET_8_loading+KTGET_9_std * KTGET_9_loading</f>
        <v>2.0352625094592365</v>
      </c>
      <c r="DA14">
        <f>(KTGET_I_STD-MIN(KTGET_I_STD_ALL))/(MAX(KTGET_I_STD_ALL)-MIN(KTGET_I_STD_ALL))*100</f>
        <v>76.286149240396384</v>
      </c>
      <c r="DB14" s="138" t="s">
        <v>77</v>
      </c>
      <c r="DC14" s="138">
        <v>75.4867889064125</v>
      </c>
      <c r="DD14" s="139">
        <v>28.081512469557879</v>
      </c>
      <c r="DE14" t="s">
        <v>78</v>
      </c>
      <c r="DF14">
        <v>40.093755528038209</v>
      </c>
      <c r="DG14">
        <v>1974.4720582395764</v>
      </c>
      <c r="DH14">
        <v>30.212304696698894</v>
      </c>
      <c r="DI14">
        <v>6.3109806952401755</v>
      </c>
      <c r="DJ14">
        <v>1</v>
      </c>
      <c r="DK14">
        <v>0</v>
      </c>
      <c r="DL14">
        <v>41</v>
      </c>
      <c r="DM14">
        <v>260.43854490464588</v>
      </c>
      <c r="DN14">
        <v>0</v>
      </c>
      <c r="DO14">
        <v>41</v>
      </c>
      <c r="DP14">
        <v>260.43854490464588</v>
      </c>
      <c r="DQ14">
        <f>(KTGT_0-AVERAGE(KTGT_0))/STDEV(KTGT_0)</f>
        <v>-0.16936225368753641</v>
      </c>
      <c r="DR14">
        <f>(KTGT_1-AVERAGE(KTGT_1))/STDEV(KTGT_1)</f>
        <v>0.80130650803279868</v>
      </c>
      <c r="DS14">
        <f>(KTGT_2-AVERAGE(KTGT_2))/STDEV(KTGT_2)</f>
        <v>-0.37873724294675598</v>
      </c>
      <c r="DT14">
        <f>(KTGT_3-AVERAGE(KTGT_3))/STDEV(KTGT_3)</f>
        <v>-0.76189920929035693</v>
      </c>
      <c r="DU14">
        <f>(KTGT_4-AVERAGE(KTGT_4))/STDEV(KTGT_4)</f>
        <v>-0.59269558477019968</v>
      </c>
      <c r="DV14">
        <f>(KTGT_5-AVERAGE(KTGT_5))/STDEV(KTGT_5)</f>
        <v>1.6763934480665554</v>
      </c>
      <c r="DW14">
        <f>(KTGT_6-AVERAGE(KTGT_6))/STDEV(KTGT_6)</f>
        <v>0.38583261226781074</v>
      </c>
      <c r="DX14">
        <f>(KTGT_7-AVERAGE(KTGT_7))/STDEV(KTGT_7)</f>
        <v>-0.59269558477019968</v>
      </c>
      <c r="DY14">
        <f>(KTGT_8-AVERAGE(KTGT_8))/STDEV(KTGT_8)</f>
        <v>1.6763934480665554</v>
      </c>
      <c r="DZ14">
        <f>(KTGT_9-AVERAGE(KTGT_9))/STDEV(KTGT_9)</f>
        <v>0.38583261226781074</v>
      </c>
      <c r="EA14">
        <f>KTGT_0_std * KTGT_0_loading+KTGT_1_std * KTGT_1_loading+KTGT_2_std * KTGT_2_loading+KTGT_3_std * KTGT_3_loading+KTGT_4_std * KTGT_4_loading+KTGT_5_std * KTGT_5_loading+KTGT_6_std * KTGT_6_loading+KTGT_7_std * KTGT_7_loading+KTGT_8_std * KTGT_8_loading+KTGT_9_std * KTGT_9_loading</f>
        <v>2.0292909790070381</v>
      </c>
      <c r="EB14">
        <f>(KTGT_I_STD-MIN(KTGT_I_STD_ALL))/(MAX(KTGT_I_STD_ALL)-MIN(KTGT_I_STD_ALL))*100</f>
        <v>76.148929862714127</v>
      </c>
      <c r="EC14" s="138" t="s">
        <v>77</v>
      </c>
      <c r="ED14" s="138">
        <v>75.4867889064125</v>
      </c>
      <c r="EE14" s="139">
        <v>27.991413576433988</v>
      </c>
      <c r="EF14" t="s">
        <v>78</v>
      </c>
      <c r="EG14">
        <v>40.093755528038209</v>
      </c>
      <c r="EH14">
        <v>1974.4720582395764</v>
      </c>
      <c r="EI14">
        <v>30.212304696698894</v>
      </c>
      <c r="EJ14">
        <v>6.3109806952401755</v>
      </c>
      <c r="EK14">
        <v>1</v>
      </c>
      <c r="EL14">
        <v>0</v>
      </c>
      <c r="EM14">
        <v>41</v>
      </c>
      <c r="EN14">
        <v>260.43854490464588</v>
      </c>
      <c r="EO14">
        <v>0</v>
      </c>
      <c r="EP14">
        <v>41</v>
      </c>
      <c r="EQ14">
        <v>260.43854490464588</v>
      </c>
      <c r="ER14">
        <f>(SA_0-AVERAGE(SA_0))/STDEV(SA_0)</f>
        <v>-0.16936225368753641</v>
      </c>
      <c r="ES14">
        <f>(SA_1-AVERAGE(SA_1))/STDEV(SA_1)</f>
        <v>0.80130650803279868</v>
      </c>
      <c r="ET14">
        <f>(SA_2-AVERAGE(SA_2))/STDEV(SA_2)</f>
        <v>-0.37873724294675598</v>
      </c>
      <c r="EU14">
        <f>(SA_3-AVERAGE(SA_3))/STDEV(SA_3)</f>
        <v>-0.76189920929035693</v>
      </c>
      <c r="EV14">
        <f>(SA_4-AVERAGE(SA_4))/STDEV(SA_4)</f>
        <v>-0.59269558477019968</v>
      </c>
      <c r="EW14">
        <f>(SA_5-AVERAGE(SA_5))/STDEV(SA_5)</f>
        <v>1.6763934480665554</v>
      </c>
      <c r="EX14">
        <f>(SA_6-AVERAGE(SA_6))/STDEV(SA_6)</f>
        <v>0.38583261226781074</v>
      </c>
      <c r="EY14">
        <f>(SA_7-AVERAGE(SA_7))/STDEV(SA_7)</f>
        <v>-0.59269558477019968</v>
      </c>
      <c r="EZ14">
        <f>(SA_8-AVERAGE(SA_8))/STDEV(SA_8)</f>
        <v>1.6763934480665554</v>
      </c>
      <c r="FA14">
        <f>(SA_9-AVERAGE(SA_9))/STDEV(SA_9)</f>
        <v>0.38583261226781074</v>
      </c>
      <c r="FB14">
        <f>SA_0_std * SA_0_loading+SA_1_std * SA_1_loading+SA_2_std * SA_2_loading+SA_3_std * SA_3_loading+SA_4_std * SA_4_loading+SA_5_std * SA_5_loading+SA_6_std * SA_6_loading+SA_7_std * SA_7_loading+SA_8_std * SA_8_loading+SA_9_std * SA_9_loading</f>
        <v>0.76855008143310033</v>
      </c>
      <c r="FC14">
        <f>(SA_I_STD-MIN(SA_I_STD_ALL))/(MAX(SA_I_STD_ALL)-MIN(SA_I_STD_ALL))*100</f>
        <v>67.489688126766339</v>
      </c>
      <c r="FD14" s="138" t="s">
        <v>76</v>
      </c>
      <c r="FE14" s="138">
        <v>13.182567719439019</v>
      </c>
      <c r="FF14" s="139">
        <v>43.191719781575614</v>
      </c>
    </row>
    <row r="15" spans="1:162" x14ac:dyDescent="0.25">
      <c r="A15" t="s">
        <v>82</v>
      </c>
      <c r="B15">
        <v>19.785132701190538</v>
      </c>
      <c r="C15">
        <v>1562.6885332004651</v>
      </c>
      <c r="D15">
        <v>24.210097917168731</v>
      </c>
      <c r="E15">
        <v>8.08</v>
      </c>
      <c r="F15">
        <v>2</v>
      </c>
      <c r="G15">
        <v>3</v>
      </c>
      <c r="H15">
        <v>33.599999999999994</v>
      </c>
      <c r="I15">
        <v>520.23121387283231</v>
      </c>
      <c r="J15">
        <v>3</v>
      </c>
      <c r="K15">
        <v>33.599999999999994</v>
      </c>
      <c r="L15">
        <v>520.23121387283231</v>
      </c>
      <c r="M15">
        <f>(CS1_0-AVERAGE(CS1_0))/STDEV(CS1_0)</f>
        <v>-0.19367542301961685</v>
      </c>
      <c r="N15">
        <f>(CS1_1-AVERAGE(CS1_1))/STDEV(CS1_1)</f>
        <v>0.26816518714119408</v>
      </c>
      <c r="O15">
        <f>(CS1_2-AVERAGE(CS1_2))/STDEV(CS1_2)</f>
        <v>7.0366005263547249E-2</v>
      </c>
      <c r="P15">
        <f>(CS1_3-AVERAGE(CS1_3))/STDEV(CS1_3)</f>
        <v>0.2077906934428245</v>
      </c>
      <c r="Q15">
        <f>(CS1_4-AVERAGE(CS1_4))/STDEV(CS1_4)</f>
        <v>-0.17780867543105991</v>
      </c>
      <c r="R15">
        <f>(CS1_5-AVERAGE(CS1_5))/STDEV(CS1_5)</f>
        <v>1.1524254147296973</v>
      </c>
      <c r="S15">
        <f>(CS1_6-AVERAGE(CS1_6))/STDEV(CS1_6)</f>
        <v>2.2762314380660418</v>
      </c>
      <c r="T15">
        <f>(CS1_7-AVERAGE(CS1_7))/STDEV(CS1_7)</f>
        <v>-0.17780867543105991</v>
      </c>
      <c r="U15">
        <f>(CS1_8-AVERAGE(CS1_8))/STDEV(CS1_8)</f>
        <v>1.1524254147296973</v>
      </c>
      <c r="V15">
        <f>(CS1_9-AVERAGE(CS1_9))/STDEV(CS1_9)</f>
        <v>2.2762314380660418</v>
      </c>
      <c r="W15">
        <f>CS1_0_std * CS1_0_loading+CS1_1_std * CS1_1_loading+CS1_2_std * CS1_2_loading+CS1_3_std * CS1_3_loading+CS1_4_std * CS1_4_loading+CS1_5_std * CS1_5_loading+CS1_6_std * CS1_6_loading+CS1_7_std * CS1_7_loading+CS1_8_std * CS1_8_loading+CS1_9_std * CS1_9_loading</f>
        <v>3.4292815508680086</v>
      </c>
      <c r="X15">
        <f>(CS1_I_STD-MIN(CS1_I_STD_ALL))/(MAX(CS1_I_STD_ALL)-MIN(CS1_I_STD_ALL))*100</f>
        <v>100</v>
      </c>
      <c r="Y15" s="138" t="s">
        <v>63</v>
      </c>
      <c r="Z15" s="138">
        <v>158.91826997347314</v>
      </c>
      <c r="AA15" s="139">
        <v>28.889978158016245</v>
      </c>
      <c r="AB15" t="s">
        <v>82</v>
      </c>
      <c r="AC15">
        <v>19.785132701190538</v>
      </c>
      <c r="AD15">
        <v>1562.6885332004651</v>
      </c>
      <c r="AE15">
        <v>24.210097917168731</v>
      </c>
      <c r="AF15">
        <v>8.08</v>
      </c>
      <c r="AG15">
        <v>2</v>
      </c>
      <c r="AH15">
        <v>3</v>
      </c>
      <c r="AI15">
        <v>33.599999999999994</v>
      </c>
      <c r="AJ15">
        <v>520.23121387283231</v>
      </c>
      <c r="AK15">
        <v>3</v>
      </c>
      <c r="AL15">
        <v>33.599999999999994</v>
      </c>
      <c r="AM15">
        <v>520.23121387283231</v>
      </c>
      <c r="AN15">
        <f>(CS2_0-AVERAGE(CS2_0))/STDEV(CS2_0)</f>
        <v>-0.19367542301961685</v>
      </c>
      <c r="AO15">
        <f>(CS2_1-AVERAGE(CS2_1))/STDEV(CS2_1)</f>
        <v>0.26816518714119408</v>
      </c>
      <c r="AP15">
        <f>(CS2_2-AVERAGE(CS2_2))/STDEV(CS2_2)</f>
        <v>7.0366005263547249E-2</v>
      </c>
      <c r="AQ15">
        <f>(CS2_3-AVERAGE(CS2_3))/STDEV(CS2_3)</f>
        <v>0.2077906934428245</v>
      </c>
      <c r="AR15">
        <f>(CS2_4-AVERAGE(CS2_4))/STDEV(CS2_4)</f>
        <v>-0.17780867543105991</v>
      </c>
      <c r="AS15">
        <f>(CS2_5-AVERAGE(CS2_5))/STDEV(CS2_5)</f>
        <v>1.1524254147296973</v>
      </c>
      <c r="AT15">
        <f>(CS2_6-AVERAGE(CS2_6))/STDEV(CS2_6)</f>
        <v>2.2762314380660418</v>
      </c>
      <c r="AU15">
        <f>(CS2_7-AVERAGE(CS2_7))/STDEV(CS2_7)</f>
        <v>-0.17780867543105991</v>
      </c>
      <c r="AV15">
        <f>(CS2_8-AVERAGE(CS2_8))/STDEV(CS2_8)</f>
        <v>1.1524254147296973</v>
      </c>
      <c r="AW15">
        <f>(CS2_9-AVERAGE(CS2_9))/STDEV(CS2_9)</f>
        <v>2.2762314380660418</v>
      </c>
      <c r="AX15">
        <f>CS2_0_std * CS2_0_loading+CS2_1_std * CS2_1_loading+CS2_2_std * CS2_2_loading+CS2_3_std * CS2_3_loading+CS2_4_std * CS2_4_loading+CS2_5_std * CS2_5_loading+CS2_6_std * CS2_6_loading+CS2_7_std * CS2_7_loading+CS2_8_std * CS2_8_loading+CS2_9_std * CS2_9_loading</f>
        <v>3.2632415283320046</v>
      </c>
      <c r="AY15">
        <f>(CS2_I_STD-MIN(CS2_I_STD_ALL))/(MAX(CS2_I_STD_ALL)-MIN(CS2_I_STD_ALL))*100</f>
        <v>95.103901756386549</v>
      </c>
      <c r="AZ15" s="138" t="s">
        <v>75</v>
      </c>
      <c r="BA15" s="138">
        <v>109.01309275271484</v>
      </c>
      <c r="BB15" s="139">
        <v>31.982849913823213</v>
      </c>
      <c r="BC15" t="s">
        <v>82</v>
      </c>
      <c r="BD15">
        <v>19.785132701190538</v>
      </c>
      <c r="BE15">
        <v>1562.6885332004651</v>
      </c>
      <c r="BF15">
        <v>24.210097917168731</v>
      </c>
      <c r="BG15">
        <v>8.08</v>
      </c>
      <c r="BH15">
        <v>2</v>
      </c>
      <c r="BI15">
        <v>3</v>
      </c>
      <c r="BJ15">
        <v>33.599999999999994</v>
      </c>
      <c r="BK15">
        <v>520.23121387283231</v>
      </c>
      <c r="BL15">
        <v>3</v>
      </c>
      <c r="BM15">
        <v>33.599999999999994</v>
      </c>
      <c r="BN15">
        <v>520.23121387283231</v>
      </c>
      <c r="BO15">
        <f>(PCA_0-AVERAGE(PCA_0))/STDEV(PCA_0)</f>
        <v>-0.19367542301961685</v>
      </c>
      <c r="BP15">
        <f>(PCA_1-AVERAGE(PCA_1))/STDEV(PCA_1)</f>
        <v>0.26816518714119408</v>
      </c>
      <c r="BQ15">
        <f>(PCA_2-AVERAGE(PCA_2))/STDEV(PCA_2)</f>
        <v>7.0366005263547249E-2</v>
      </c>
      <c r="BR15">
        <f>(PCA_3-AVERAGE(PCA_3))/STDEV(PCA_3)</f>
        <v>0.2077906934428245</v>
      </c>
      <c r="BS15">
        <f>(PCA_4-AVERAGE(PCA_4))/STDEV(PCA_4)</f>
        <v>-0.17780867543105991</v>
      </c>
      <c r="BT15">
        <f>(PCA_5-AVERAGE(PCA_5))/STDEV(PCA_5)</f>
        <v>1.1524254147296973</v>
      </c>
      <c r="BU15">
        <f>(PCA_6-AVERAGE(PCA_6))/STDEV(PCA_6)</f>
        <v>2.2762314380660418</v>
      </c>
      <c r="BV15">
        <f>(PCA_7-AVERAGE(PCA_7))/STDEV(PCA_7)</f>
        <v>-0.17780867543105991</v>
      </c>
      <c r="BW15">
        <f>(PCA_8-AVERAGE(PCA_8))/STDEV(PCA_8)</f>
        <v>1.1524254147296973</v>
      </c>
      <c r="BX15">
        <f>(PCA_9-AVERAGE(PCA_9))/STDEV(PCA_9)</f>
        <v>2.2762314380660418</v>
      </c>
      <c r="BY15">
        <f>PCA_0_std * PCA_0_loading+PCA_1_std * PCA_1_loading+PCA_2_std * PCA_2_loading+PCA_3_std * PCA_3_loading+PCA_4_std * PCA_4_loading+PCA_5_std * PCA_5_loading+PCA_6_std * PCA_6_loading+PCA_7_std * PCA_7_loading+PCA_8_std * PCA_8_loading+PCA_9_std * PCA_9_loading</f>
        <v>0.98944901298885723</v>
      </c>
      <c r="BZ15">
        <f>(PCA_I_STD-MIN(PCA_I_STD_ALL))/(MAX(PCA_I_STD_ALL)-MIN(PCA_I_STD_ALL))*100</f>
        <v>68.496078119934623</v>
      </c>
      <c r="CA15" s="138" t="s">
        <v>57</v>
      </c>
      <c r="CB15" s="138">
        <v>92.255436220636625</v>
      </c>
      <c r="CC15" s="139">
        <v>48.180211925274733</v>
      </c>
      <c r="CD15" t="s">
        <v>82</v>
      </c>
      <c r="CE15">
        <v>19.785132701190538</v>
      </c>
      <c r="CF15">
        <v>1562.6885332004651</v>
      </c>
      <c r="CG15">
        <v>24.210097917168731</v>
      </c>
      <c r="CH15">
        <v>8.08</v>
      </c>
      <c r="CI15">
        <v>2</v>
      </c>
      <c r="CJ15">
        <v>3</v>
      </c>
      <c r="CK15">
        <v>33.599999999999994</v>
      </c>
      <c r="CL15">
        <v>520.23121387283231</v>
      </c>
      <c r="CM15">
        <v>3</v>
      </c>
      <c r="CN15">
        <v>33.599999999999994</v>
      </c>
      <c r="CO15">
        <v>520.23121387283231</v>
      </c>
      <c r="CP15">
        <f>(KTGET_0-AVERAGE(KTGET_0))/STDEV(KTGET_0)</f>
        <v>-0.19367542301961685</v>
      </c>
      <c r="CQ15">
        <f>(KTGET_1-AVERAGE(KTGET_1))/STDEV(KTGET_1)</f>
        <v>0.26816518714119408</v>
      </c>
      <c r="CR15">
        <f>(KTGET_2-AVERAGE(KTGET_2))/STDEV(KTGET_2)</f>
        <v>7.0366005263547249E-2</v>
      </c>
      <c r="CS15">
        <f>(KTGET_3-AVERAGE(KTGET_3))/STDEV(KTGET_3)</f>
        <v>0.2077906934428245</v>
      </c>
      <c r="CT15">
        <f>(KTGET_4-AVERAGE(KTGET_4))/STDEV(KTGET_4)</f>
        <v>-0.17780867543105991</v>
      </c>
      <c r="CU15">
        <f>(KTGET_5-AVERAGE(KTGET_5))/STDEV(KTGET_5)</f>
        <v>1.1524254147296973</v>
      </c>
      <c r="CV15">
        <f>(KTGET_6-AVERAGE(KTGET_6))/STDEV(KTGET_6)</f>
        <v>2.2762314380660418</v>
      </c>
      <c r="CW15">
        <f>(KTGET_7-AVERAGE(KTGET_7))/STDEV(KTGET_7)</f>
        <v>-0.17780867543105991</v>
      </c>
      <c r="CX15">
        <f>(KTGET_8-AVERAGE(KTGET_8))/STDEV(KTGET_8)</f>
        <v>1.1524254147296973</v>
      </c>
      <c r="CY15">
        <f>(KTGET_9-AVERAGE(KTGET_9))/STDEV(KTGET_9)</f>
        <v>2.2762314380660418</v>
      </c>
      <c r="CZ15">
        <f>KTGET_0_std * KTGET_0_loading+KTGET_1_std * KTGET_1_loading+KTGET_2_std * KTGET_2_loading+KTGET_3_std * KTGET_3_loading+KTGET_4_std * KTGET_4_loading+KTGET_5_std * KTGET_5_loading+KTGET_6_std * KTGET_6_loading+KTGET_7_std * KTGET_7_loading+KTGET_8_std * KTGET_8_loading+KTGET_9_std * KTGET_9_loading</f>
        <v>3.4292821318557061</v>
      </c>
      <c r="DA15">
        <f>(KTGET_I_STD-MIN(KTGET_I_STD_ALL))/(MAX(KTGET_I_STD_ALL)-MIN(KTGET_I_STD_ALL))*100</f>
        <v>100</v>
      </c>
      <c r="DB15" s="138" t="s">
        <v>63</v>
      </c>
      <c r="DC15" s="138">
        <v>158.91826997347314</v>
      </c>
      <c r="DD15" s="139">
        <v>28.889976514752497</v>
      </c>
      <c r="DE15" t="s">
        <v>82</v>
      </c>
      <c r="DF15">
        <v>19.785132701190538</v>
      </c>
      <c r="DG15">
        <v>1562.6885332004651</v>
      </c>
      <c r="DH15">
        <v>24.210097917168731</v>
      </c>
      <c r="DI15">
        <v>8.08</v>
      </c>
      <c r="DJ15">
        <v>2</v>
      </c>
      <c r="DK15">
        <v>3</v>
      </c>
      <c r="DL15">
        <v>33.599999999999994</v>
      </c>
      <c r="DM15">
        <v>520.23121387283231</v>
      </c>
      <c r="DN15">
        <v>3</v>
      </c>
      <c r="DO15">
        <v>33.599999999999994</v>
      </c>
      <c r="DP15">
        <v>520.23121387283231</v>
      </c>
      <c r="DQ15">
        <f>(KTGT_0-AVERAGE(KTGT_0))/STDEV(KTGT_0)</f>
        <v>-0.19367542301961685</v>
      </c>
      <c r="DR15">
        <f>(KTGT_1-AVERAGE(KTGT_1))/STDEV(KTGT_1)</f>
        <v>0.26816518714119408</v>
      </c>
      <c r="DS15">
        <f>(KTGT_2-AVERAGE(KTGT_2))/STDEV(KTGT_2)</f>
        <v>7.0366005263547249E-2</v>
      </c>
      <c r="DT15">
        <f>(KTGT_3-AVERAGE(KTGT_3))/STDEV(KTGT_3)</f>
        <v>0.2077906934428245</v>
      </c>
      <c r="DU15">
        <f>(KTGT_4-AVERAGE(KTGT_4))/STDEV(KTGT_4)</f>
        <v>-0.17780867543105991</v>
      </c>
      <c r="DV15">
        <f>(KTGT_5-AVERAGE(KTGT_5))/STDEV(KTGT_5)</f>
        <v>1.1524254147296973</v>
      </c>
      <c r="DW15">
        <f>(KTGT_6-AVERAGE(KTGT_6))/STDEV(KTGT_6)</f>
        <v>2.2762314380660418</v>
      </c>
      <c r="DX15">
        <f>(KTGT_7-AVERAGE(KTGT_7))/STDEV(KTGT_7)</f>
        <v>-0.17780867543105991</v>
      </c>
      <c r="DY15">
        <f>(KTGT_8-AVERAGE(KTGT_8))/STDEV(KTGT_8)</f>
        <v>1.1524254147296973</v>
      </c>
      <c r="DZ15">
        <f>(KTGT_9-AVERAGE(KTGT_9))/STDEV(KTGT_9)</f>
        <v>2.2762314380660418</v>
      </c>
      <c r="EA15">
        <f>KTGT_0_std * KTGT_0_loading+KTGT_1_std * KTGT_1_loading+KTGT_2_std * KTGT_2_loading+KTGT_3_std * KTGT_3_loading+KTGT_4_std * KTGT_4_loading+KTGT_5_std * KTGT_5_loading+KTGT_6_std * KTGT_6_loading+KTGT_7_std * KTGT_7_loading+KTGT_8_std * KTGT_8_loading+KTGT_9_std * KTGT_9_loading</f>
        <v>3.4321331539869204</v>
      </c>
      <c r="EB15">
        <f>(KTGT_I_STD-MIN(KTGT_I_STD_ALL))/(MAX(KTGT_I_STD_ALL)-MIN(KTGT_I_STD_ALL))*100</f>
        <v>100</v>
      </c>
      <c r="EC15" s="138" t="s">
        <v>63</v>
      </c>
      <c r="ED15" s="138">
        <v>158.91826997347314</v>
      </c>
      <c r="EE15" s="139">
        <v>28.933294281613222</v>
      </c>
      <c r="EF15" t="s">
        <v>82</v>
      </c>
      <c r="EG15">
        <v>19.785132701190538</v>
      </c>
      <c r="EH15">
        <v>1562.6885332004651</v>
      </c>
      <c r="EI15">
        <v>24.210097917168731</v>
      </c>
      <c r="EJ15">
        <v>8.08</v>
      </c>
      <c r="EK15">
        <v>2</v>
      </c>
      <c r="EL15">
        <v>3</v>
      </c>
      <c r="EM15">
        <v>33.599999999999994</v>
      </c>
      <c r="EN15">
        <v>520.23121387283231</v>
      </c>
      <c r="EO15">
        <v>3</v>
      </c>
      <c r="EP15">
        <v>33.599999999999994</v>
      </c>
      <c r="EQ15">
        <v>520.23121387283231</v>
      </c>
      <c r="ER15">
        <f>(SA_0-AVERAGE(SA_0))/STDEV(SA_0)</f>
        <v>-0.19367542301961685</v>
      </c>
      <c r="ES15">
        <f>(SA_1-AVERAGE(SA_1))/STDEV(SA_1)</f>
        <v>0.26816518714119408</v>
      </c>
      <c r="ET15">
        <f>(SA_2-AVERAGE(SA_2))/STDEV(SA_2)</f>
        <v>7.0366005263547249E-2</v>
      </c>
      <c r="EU15">
        <f>(SA_3-AVERAGE(SA_3))/STDEV(SA_3)</f>
        <v>0.2077906934428245</v>
      </c>
      <c r="EV15">
        <f>(SA_4-AVERAGE(SA_4))/STDEV(SA_4)</f>
        <v>-0.17780867543105991</v>
      </c>
      <c r="EW15">
        <f>(SA_5-AVERAGE(SA_5))/STDEV(SA_5)</f>
        <v>1.1524254147296973</v>
      </c>
      <c r="EX15">
        <f>(SA_6-AVERAGE(SA_6))/STDEV(SA_6)</f>
        <v>2.2762314380660418</v>
      </c>
      <c r="EY15">
        <f>(SA_7-AVERAGE(SA_7))/STDEV(SA_7)</f>
        <v>-0.17780867543105991</v>
      </c>
      <c r="EZ15">
        <f>(SA_8-AVERAGE(SA_8))/STDEV(SA_8)</f>
        <v>1.1524254147296973</v>
      </c>
      <c r="FA15">
        <f>(SA_9-AVERAGE(SA_9))/STDEV(SA_9)</f>
        <v>2.2762314380660418</v>
      </c>
      <c r="FB15">
        <f>SA_0_std * SA_0_loading+SA_1_std * SA_1_loading+SA_2_std * SA_2_loading+SA_3_std * SA_3_loading+SA_4_std * SA_4_loading+SA_5_std * SA_5_loading+SA_6_std * SA_6_loading+SA_7_std * SA_7_loading+SA_8_std * SA_8_loading+SA_9_std * SA_9_loading</f>
        <v>2.1675335167097054</v>
      </c>
      <c r="FC15">
        <f>(SA_I_STD-MIN(SA_I_STD_ALL))/(MAX(SA_I_STD_ALL)-MIN(SA_I_STD_ALL))*100</f>
        <v>93.392228041078425</v>
      </c>
      <c r="FD15" s="138" t="s">
        <v>80</v>
      </c>
      <c r="FE15" s="138">
        <v>14.043552326179778</v>
      </c>
      <c r="FF15" s="139">
        <v>43.324783205243754</v>
      </c>
    </row>
    <row r="16" spans="1:162" x14ac:dyDescent="0.25">
      <c r="A16" t="s">
        <v>77</v>
      </c>
      <c r="B16">
        <v>75.4867889064125</v>
      </c>
      <c r="C16">
        <v>2093.8718892986167</v>
      </c>
      <c r="D16">
        <v>13.605029633374135</v>
      </c>
      <c r="E16">
        <v>18.644303485698345</v>
      </c>
      <c r="F16">
        <v>3</v>
      </c>
      <c r="G16">
        <v>0</v>
      </c>
      <c r="H16">
        <v>4.1095812065157276</v>
      </c>
      <c r="I16">
        <v>196.26896545088945</v>
      </c>
      <c r="J16">
        <v>0</v>
      </c>
      <c r="K16">
        <v>4.1095812065157276</v>
      </c>
      <c r="L16">
        <v>196.26896545088945</v>
      </c>
      <c r="M16">
        <f>(CS1_0-AVERAGE(CS1_0))/STDEV(CS1_0)</f>
        <v>-0.16231246141990135</v>
      </c>
      <c r="N16">
        <f>(CS1_1-AVERAGE(CS1_1))/STDEV(CS1_1)</f>
        <v>-0.67382170545474784</v>
      </c>
      <c r="O16">
        <f>(CS1_2-AVERAGE(CS1_2))/STDEV(CS1_2)</f>
        <v>2.7523395697921149</v>
      </c>
      <c r="P16">
        <f>(CS1_3-AVERAGE(CS1_3))/STDEV(CS1_3)</f>
        <v>1.177480596176006</v>
      </c>
      <c r="Q16">
        <f>(CS1_4-AVERAGE(CS1_4))/STDEV(CS1_4)</f>
        <v>-0.59269558477019968</v>
      </c>
      <c r="R16">
        <f>(CS1_5-AVERAGE(CS1_5))/STDEV(CS1_5)</f>
        <v>-0.93568765790574349</v>
      </c>
      <c r="S16">
        <f>(CS1_6-AVERAGE(CS1_6))/STDEV(CS1_6)</f>
        <v>-8.1101647783238931E-2</v>
      </c>
      <c r="T16">
        <f>(CS1_7-AVERAGE(CS1_7))/STDEV(CS1_7)</f>
        <v>-0.59269558477019968</v>
      </c>
      <c r="U16">
        <f>(CS1_8-AVERAGE(CS1_8))/STDEV(CS1_8)</f>
        <v>-0.93568765790574349</v>
      </c>
      <c r="V16">
        <f>(CS1_9-AVERAGE(CS1_9))/STDEV(CS1_9)</f>
        <v>-8.1101647783238931E-2</v>
      </c>
      <c r="W16">
        <f>CS1_0_std * CS1_0_loading+CS1_1_std * CS1_1_loading+CS1_2_std * CS1_2_loading+CS1_3_std * CS1_3_loading+CS1_4_std * CS1_4_loading+CS1_5_std * CS1_5_loading+CS1_6_std * CS1_6_loading+CS1_7_std * CS1_7_loading+CS1_8_std * CS1_8_loading+CS1_9_std * CS1_9_loading</f>
        <v>-0.79844416988866762</v>
      </c>
      <c r="X16">
        <f>(CS1_I_STD-MIN(CS1_I_STD_ALL))/(MAX(CS1_I_STD_ALL)-MIN(CS1_I_STD_ALL))*100</f>
        <v>28.081556129259429</v>
      </c>
      <c r="Y16" s="138" t="s">
        <v>75</v>
      </c>
      <c r="Z16" s="138">
        <v>109.01309275271484</v>
      </c>
      <c r="AA16" s="139">
        <v>29.039388056623633</v>
      </c>
      <c r="AB16" t="s">
        <v>77</v>
      </c>
      <c r="AC16">
        <v>75.4867889064125</v>
      </c>
      <c r="AD16">
        <v>2093.8718892986167</v>
      </c>
      <c r="AE16">
        <v>13.605029633374135</v>
      </c>
      <c r="AF16">
        <v>18.644303485698345</v>
      </c>
      <c r="AG16">
        <v>3</v>
      </c>
      <c r="AH16">
        <v>0</v>
      </c>
      <c r="AI16">
        <v>4.1095812065157276</v>
      </c>
      <c r="AJ16">
        <v>196.26896545088945</v>
      </c>
      <c r="AK16">
        <v>0</v>
      </c>
      <c r="AL16">
        <v>4.1095812065157276</v>
      </c>
      <c r="AM16">
        <v>196.26896545088945</v>
      </c>
      <c r="AN16">
        <f>(CS2_0-AVERAGE(CS2_0))/STDEV(CS2_0)</f>
        <v>-0.16231246141990135</v>
      </c>
      <c r="AO16">
        <f>(CS2_1-AVERAGE(CS2_1))/STDEV(CS2_1)</f>
        <v>-0.67382170545474784</v>
      </c>
      <c r="AP16">
        <f>(CS2_2-AVERAGE(CS2_2))/STDEV(CS2_2)</f>
        <v>2.7523395697921149</v>
      </c>
      <c r="AQ16">
        <f>(CS2_3-AVERAGE(CS2_3))/STDEV(CS2_3)</f>
        <v>1.177480596176006</v>
      </c>
      <c r="AR16">
        <f>(CS2_4-AVERAGE(CS2_4))/STDEV(CS2_4)</f>
        <v>-0.59269558477019968</v>
      </c>
      <c r="AS16">
        <f>(CS2_5-AVERAGE(CS2_5))/STDEV(CS2_5)</f>
        <v>-0.93568765790574349</v>
      </c>
      <c r="AT16">
        <f>(CS2_6-AVERAGE(CS2_6))/STDEV(CS2_6)</f>
        <v>-8.1101647783238931E-2</v>
      </c>
      <c r="AU16">
        <f>(CS2_7-AVERAGE(CS2_7))/STDEV(CS2_7)</f>
        <v>-0.59269558477019968</v>
      </c>
      <c r="AV16">
        <f>(CS2_8-AVERAGE(CS2_8))/STDEV(CS2_8)</f>
        <v>-0.93568765790574349</v>
      </c>
      <c r="AW16">
        <f>(CS2_9-AVERAGE(CS2_9))/STDEV(CS2_9)</f>
        <v>-8.1101647783238931E-2</v>
      </c>
      <c r="AX16">
        <f>CS2_0_std * CS2_0_loading+CS2_1_std * CS2_1_loading+CS2_2_std * CS2_2_loading+CS2_3_std * CS2_3_loading+CS2_4_std * CS2_4_loading+CS2_5_std * CS2_5_loading+CS2_6_std * CS2_6_loading+CS2_7_std * CS2_7_loading+CS2_8_std * CS2_8_loading+CS2_9_std * CS2_9_loading</f>
        <v>-0.45858198456228771</v>
      </c>
      <c r="AY16">
        <f>(CS2_I_STD-MIN(CS2_I_STD_ALL))/(MAX(CS2_I_STD_ALL)-MIN(CS2_I_STD_ALL))*100</f>
        <v>34.189962457309868</v>
      </c>
      <c r="AZ16" s="138" t="s">
        <v>76</v>
      </c>
      <c r="BA16" s="138">
        <v>13.182567719439019</v>
      </c>
      <c r="BB16" s="139">
        <v>31.985499270627326</v>
      </c>
      <c r="BC16" t="s">
        <v>77</v>
      </c>
      <c r="BD16">
        <v>75.4867889064125</v>
      </c>
      <c r="BE16">
        <v>2093.8718892986167</v>
      </c>
      <c r="BF16">
        <v>13.605029633374135</v>
      </c>
      <c r="BG16">
        <v>18.644303485698345</v>
      </c>
      <c r="BH16">
        <v>3</v>
      </c>
      <c r="BI16">
        <v>0</v>
      </c>
      <c r="BJ16">
        <v>4.1095812065157276</v>
      </c>
      <c r="BK16">
        <v>196.26896545088945</v>
      </c>
      <c r="BL16">
        <v>0</v>
      </c>
      <c r="BM16">
        <v>4.1095812065157276</v>
      </c>
      <c r="BN16">
        <v>196.26896545088945</v>
      </c>
      <c r="BO16">
        <f>(PCA_0-AVERAGE(PCA_0))/STDEV(PCA_0)</f>
        <v>-0.16231246141990135</v>
      </c>
      <c r="BP16">
        <f>(PCA_1-AVERAGE(PCA_1))/STDEV(PCA_1)</f>
        <v>-0.67382170545474784</v>
      </c>
      <c r="BQ16">
        <f>(PCA_2-AVERAGE(PCA_2))/STDEV(PCA_2)</f>
        <v>2.7523395697921149</v>
      </c>
      <c r="BR16">
        <f>(PCA_3-AVERAGE(PCA_3))/STDEV(PCA_3)</f>
        <v>1.177480596176006</v>
      </c>
      <c r="BS16">
        <f>(PCA_4-AVERAGE(PCA_4))/STDEV(PCA_4)</f>
        <v>-0.59269558477019968</v>
      </c>
      <c r="BT16">
        <f>(PCA_5-AVERAGE(PCA_5))/STDEV(PCA_5)</f>
        <v>-0.93568765790574349</v>
      </c>
      <c r="BU16">
        <f>(PCA_6-AVERAGE(PCA_6))/STDEV(PCA_6)</f>
        <v>-8.1101647783238931E-2</v>
      </c>
      <c r="BV16">
        <f>(PCA_7-AVERAGE(PCA_7))/STDEV(PCA_7)</f>
        <v>-0.59269558477019968</v>
      </c>
      <c r="BW16">
        <f>(PCA_8-AVERAGE(PCA_8))/STDEV(PCA_8)</f>
        <v>-0.93568765790574349</v>
      </c>
      <c r="BX16">
        <f>(PCA_9-AVERAGE(PCA_9))/STDEV(PCA_9)</f>
        <v>-8.1101647783238931E-2</v>
      </c>
      <c r="BY16">
        <f>PCA_0_std * PCA_0_loading+PCA_1_std * PCA_1_loading+PCA_2_std * PCA_2_loading+PCA_3_std * PCA_3_loading+PCA_4_std * PCA_4_loading+PCA_5_std * PCA_5_loading+PCA_6_std * PCA_6_loading+PCA_7_std * PCA_7_loading+PCA_8_std * PCA_8_loading+PCA_9_std * PCA_9_loading</f>
        <v>0.16224490715404602</v>
      </c>
      <c r="BZ16">
        <f>(PCA_I_STD-MIN(PCA_I_STD_ALL))/(MAX(PCA_I_STD_ALL)-MIN(PCA_I_STD_ALL))*100</f>
        <v>56.962720210730978</v>
      </c>
      <c r="CA16" s="138" t="s">
        <v>73</v>
      </c>
      <c r="CB16" s="138">
        <v>97.801123064581716</v>
      </c>
      <c r="CC16" s="139">
        <v>49.116308040446654</v>
      </c>
      <c r="CD16" t="s">
        <v>77</v>
      </c>
      <c r="CE16">
        <v>75.4867889064125</v>
      </c>
      <c r="CF16">
        <v>2093.8718892986167</v>
      </c>
      <c r="CG16">
        <v>13.605029633374135</v>
      </c>
      <c r="CH16">
        <v>18.644303485698345</v>
      </c>
      <c r="CI16">
        <v>3</v>
      </c>
      <c r="CJ16">
        <v>0</v>
      </c>
      <c r="CK16">
        <v>4.1095812065157276</v>
      </c>
      <c r="CL16">
        <v>196.26896545088945</v>
      </c>
      <c r="CM16">
        <v>0</v>
      </c>
      <c r="CN16">
        <v>4.1095812065157276</v>
      </c>
      <c r="CO16">
        <v>196.26896545088945</v>
      </c>
      <c r="CP16">
        <f>(KTGET_0-AVERAGE(KTGET_0))/STDEV(KTGET_0)</f>
        <v>-0.16231246141990135</v>
      </c>
      <c r="CQ16">
        <f>(KTGET_1-AVERAGE(KTGET_1))/STDEV(KTGET_1)</f>
        <v>-0.67382170545474784</v>
      </c>
      <c r="CR16">
        <f>(KTGET_2-AVERAGE(KTGET_2))/STDEV(KTGET_2)</f>
        <v>2.7523395697921149</v>
      </c>
      <c r="CS16">
        <f>(KTGET_3-AVERAGE(KTGET_3))/STDEV(KTGET_3)</f>
        <v>1.177480596176006</v>
      </c>
      <c r="CT16">
        <f>(KTGET_4-AVERAGE(KTGET_4))/STDEV(KTGET_4)</f>
        <v>-0.59269558477019968</v>
      </c>
      <c r="CU16">
        <f>(KTGET_5-AVERAGE(KTGET_5))/STDEV(KTGET_5)</f>
        <v>-0.93568765790574349</v>
      </c>
      <c r="CV16">
        <f>(KTGET_6-AVERAGE(KTGET_6))/STDEV(KTGET_6)</f>
        <v>-8.1101647783238931E-2</v>
      </c>
      <c r="CW16">
        <f>(KTGET_7-AVERAGE(KTGET_7))/STDEV(KTGET_7)</f>
        <v>-0.59269558477019968</v>
      </c>
      <c r="CX16">
        <f>(KTGET_8-AVERAGE(KTGET_8))/STDEV(KTGET_8)</f>
        <v>-0.93568765790574349</v>
      </c>
      <c r="CY16">
        <f>(KTGET_9-AVERAGE(KTGET_9))/STDEV(KTGET_9)</f>
        <v>-8.1101647783238931E-2</v>
      </c>
      <c r="CZ16">
        <f>KTGET_0_std * KTGET_0_loading+KTGET_1_std * KTGET_1_loading+KTGET_2_std * KTGET_2_loading+KTGET_3_std * KTGET_3_loading+KTGET_4_std * KTGET_4_loading+KTGET_5_std * KTGET_5_loading+KTGET_6_std * KTGET_6_loading+KTGET_7_std * KTGET_7_loading+KTGET_8_std * KTGET_8_loading+KTGET_9_std * KTGET_9_loading</f>
        <v>-0.79844890376745459</v>
      </c>
      <c r="DA16">
        <f>(KTGET_I_STD-MIN(KTGET_I_STD_ALL))/(MAX(KTGET_I_STD_ALL)-MIN(KTGET_I_STD_ALL))*100</f>
        <v>28.081512469557879</v>
      </c>
      <c r="DB16" s="138" t="s">
        <v>75</v>
      </c>
      <c r="DC16" s="138">
        <v>109.01309275271484</v>
      </c>
      <c r="DD16" s="139">
        <v>29.039289688595964</v>
      </c>
      <c r="DE16" t="s">
        <v>77</v>
      </c>
      <c r="DF16">
        <v>75.4867889064125</v>
      </c>
      <c r="DG16">
        <v>2093.8718892986167</v>
      </c>
      <c r="DH16">
        <v>13.605029633374135</v>
      </c>
      <c r="DI16">
        <v>18.644303485698345</v>
      </c>
      <c r="DJ16">
        <v>3</v>
      </c>
      <c r="DK16">
        <v>0</v>
      </c>
      <c r="DL16">
        <v>4.1095812065157276</v>
      </c>
      <c r="DM16">
        <v>196.26896545088945</v>
      </c>
      <c r="DN16">
        <v>0</v>
      </c>
      <c r="DO16">
        <v>4.1095812065157276</v>
      </c>
      <c r="DP16">
        <v>196.26896545088945</v>
      </c>
      <c r="DQ16">
        <f>(KTGT_0-AVERAGE(KTGT_0))/STDEV(KTGT_0)</f>
        <v>-0.16231246141990135</v>
      </c>
      <c r="DR16">
        <f>(KTGT_1-AVERAGE(KTGT_1))/STDEV(KTGT_1)</f>
        <v>-0.67382170545474784</v>
      </c>
      <c r="DS16">
        <f>(KTGT_2-AVERAGE(KTGT_2))/STDEV(KTGT_2)</f>
        <v>2.7523395697921149</v>
      </c>
      <c r="DT16">
        <f>(KTGT_3-AVERAGE(KTGT_3))/STDEV(KTGT_3)</f>
        <v>1.177480596176006</v>
      </c>
      <c r="DU16">
        <f>(KTGT_4-AVERAGE(KTGT_4))/STDEV(KTGT_4)</f>
        <v>-0.59269558477019968</v>
      </c>
      <c r="DV16">
        <f>(KTGT_5-AVERAGE(KTGT_5))/STDEV(KTGT_5)</f>
        <v>-0.93568765790574349</v>
      </c>
      <c r="DW16">
        <f>(KTGT_6-AVERAGE(KTGT_6))/STDEV(KTGT_6)</f>
        <v>-8.1101647783238931E-2</v>
      </c>
      <c r="DX16">
        <f>(KTGT_7-AVERAGE(KTGT_7))/STDEV(KTGT_7)</f>
        <v>-0.59269558477019968</v>
      </c>
      <c r="DY16">
        <f>(KTGT_8-AVERAGE(KTGT_8))/STDEV(KTGT_8)</f>
        <v>-0.93568765790574349</v>
      </c>
      <c r="DZ16">
        <f>(KTGT_9-AVERAGE(KTGT_9))/STDEV(KTGT_9)</f>
        <v>-8.1101647783238931E-2</v>
      </c>
      <c r="EA16">
        <f>KTGT_0_std * KTGT_0_loading+KTGT_1_std * KTGT_1_loading+KTGT_2_std * KTGT_2_loading+KTGT_3_std * KTGT_3_loading+KTGT_4_std * KTGT_4_loading+KTGT_5_std * KTGT_5_loading+KTGT_6_std * KTGT_6_loading+KTGT_7_std * KTGT_7_loading+KTGT_8_std * KTGT_8_loading+KTGT_9_std * KTGT_9_loading</f>
        <v>-0.80317710313000967</v>
      </c>
      <c r="EB16">
        <f>(KTGT_I_STD-MIN(KTGT_I_STD_ALL))/(MAX(KTGT_I_STD_ALL)-MIN(KTGT_I_STD_ALL))*100</f>
        <v>27.991413576433988</v>
      </c>
      <c r="EC16" s="138" t="s">
        <v>75</v>
      </c>
      <c r="ED16" s="138">
        <v>109.01309275271484</v>
      </c>
      <c r="EE16" s="139">
        <v>29.017364797632311</v>
      </c>
      <c r="EF16" t="s">
        <v>77</v>
      </c>
      <c r="EG16">
        <v>75.4867889064125</v>
      </c>
      <c r="EH16">
        <v>2093.8718892986167</v>
      </c>
      <c r="EI16">
        <v>13.605029633374135</v>
      </c>
      <c r="EJ16">
        <v>18.644303485698345</v>
      </c>
      <c r="EK16">
        <v>3</v>
      </c>
      <c r="EL16">
        <v>0</v>
      </c>
      <c r="EM16">
        <v>4.1095812065157276</v>
      </c>
      <c r="EN16">
        <v>196.26896545088945</v>
      </c>
      <c r="EO16">
        <v>0</v>
      </c>
      <c r="EP16">
        <v>4.1095812065157276</v>
      </c>
      <c r="EQ16">
        <v>196.26896545088945</v>
      </c>
      <c r="ER16">
        <f>(SA_0-AVERAGE(SA_0))/STDEV(SA_0)</f>
        <v>-0.16231246141990135</v>
      </c>
      <c r="ES16">
        <f>(SA_1-AVERAGE(SA_1))/STDEV(SA_1)</f>
        <v>-0.67382170545474784</v>
      </c>
      <c r="ET16">
        <f>(SA_2-AVERAGE(SA_2))/STDEV(SA_2)</f>
        <v>2.7523395697921149</v>
      </c>
      <c r="EU16">
        <f>(SA_3-AVERAGE(SA_3))/STDEV(SA_3)</f>
        <v>1.177480596176006</v>
      </c>
      <c r="EV16">
        <f>(SA_4-AVERAGE(SA_4))/STDEV(SA_4)</f>
        <v>-0.59269558477019968</v>
      </c>
      <c r="EW16">
        <f>(SA_5-AVERAGE(SA_5))/STDEV(SA_5)</f>
        <v>-0.93568765790574349</v>
      </c>
      <c r="EX16">
        <f>(SA_6-AVERAGE(SA_6))/STDEV(SA_6)</f>
        <v>-8.1101647783238931E-2</v>
      </c>
      <c r="EY16">
        <f>(SA_7-AVERAGE(SA_7))/STDEV(SA_7)</f>
        <v>-0.59269558477019968</v>
      </c>
      <c r="EZ16">
        <f>(SA_8-AVERAGE(SA_8))/STDEV(SA_8)</f>
        <v>-0.93568765790574349</v>
      </c>
      <c r="FA16">
        <f>(SA_9-AVERAGE(SA_9))/STDEV(SA_9)</f>
        <v>-8.1101647783238931E-2</v>
      </c>
      <c r="FB16">
        <f>SA_0_std * SA_0_loading+SA_1_std * SA_1_loading+SA_2_std * SA_2_loading+SA_3_std * SA_3_loading+SA_4_std * SA_4_loading+SA_5_std * SA_5_loading+SA_6_std * SA_6_loading+SA_7_std * SA_7_loading+SA_8_std * SA_8_loading+SA_9_std * SA_9_loading</f>
        <v>-3.9618210444626656E-2</v>
      </c>
      <c r="FC16">
        <f>(SA_I_STD-MIN(SA_I_STD_ALL))/(MAX(SA_I_STD_ALL)-MIN(SA_I_STD_ALL))*100</f>
        <v>52.526243306774425</v>
      </c>
      <c r="FD16" s="138" t="s">
        <v>62</v>
      </c>
      <c r="FE16" s="138">
        <v>44.85863586555007</v>
      </c>
      <c r="FF16" s="139">
        <v>46.943172198478123</v>
      </c>
    </row>
    <row r="17" spans="1:162" x14ac:dyDescent="0.25">
      <c r="A17" t="s">
        <v>57</v>
      </c>
      <c r="B17">
        <v>92.255436220636625</v>
      </c>
      <c r="C17">
        <v>780.24670359640379</v>
      </c>
      <c r="D17">
        <v>16.616906957479468</v>
      </c>
      <c r="E17">
        <v>5.2986097279967943</v>
      </c>
      <c r="F17">
        <v>1</v>
      </c>
      <c r="G17">
        <v>2</v>
      </c>
      <c r="H17">
        <v>2.9015409226997235</v>
      </c>
      <c r="I17">
        <v>45.584331012372886</v>
      </c>
      <c r="J17">
        <v>2</v>
      </c>
      <c r="K17">
        <v>2.9015409226997235</v>
      </c>
      <c r="L17">
        <v>45.584331012372886</v>
      </c>
      <c r="M17">
        <f>(CS1_0-AVERAGE(CS1_0))/STDEV(CS1_0)</f>
        <v>-0.23987358185528052</v>
      </c>
      <c r="N17">
        <f>(CS1_1-AVERAGE(CS1_1))/STDEV(CS1_1)</f>
        <v>-0.40629405872101049</v>
      </c>
      <c r="O17">
        <f>(CS1_2-AVERAGE(CS1_2))/STDEV(CS1_2)</f>
        <v>-0.63574918654707568</v>
      </c>
      <c r="P17">
        <f>(CS1_3-AVERAGE(CS1_3))/STDEV(CS1_3)</f>
        <v>-0.76189920929035693</v>
      </c>
      <c r="Q17">
        <f>(CS1_4-AVERAGE(CS1_4))/STDEV(CS1_4)</f>
        <v>-0.31610431187743987</v>
      </c>
      <c r="R17">
        <f>(CS1_5-AVERAGE(CS1_5))/STDEV(CS1_5)</f>
        <v>-1.0212247513790911</v>
      </c>
      <c r="S17">
        <f>(CS1_6-AVERAGE(CS1_6))/STDEV(CS1_6)</f>
        <v>-1.1775685232334077</v>
      </c>
      <c r="T17">
        <f>(CS1_7-AVERAGE(CS1_7))/STDEV(CS1_7)</f>
        <v>-0.31610431187743987</v>
      </c>
      <c r="U17">
        <f>(CS1_8-AVERAGE(CS1_8))/STDEV(CS1_8)</f>
        <v>-1.0212247513790911</v>
      </c>
      <c r="V17">
        <f>(CS1_9-AVERAGE(CS1_9))/STDEV(CS1_9)</f>
        <v>-1.1775685232334077</v>
      </c>
      <c r="W17">
        <f>CS1_0_std * CS1_0_loading+CS1_1_std * CS1_1_loading+CS1_2_std * CS1_2_loading+CS1_3_std * CS1_3_loading+CS1_4_std * CS1_4_loading+CS1_5_std * CS1_5_loading+CS1_6_std * CS1_6_loading+CS1_7_std * CS1_7_loading+CS1_8_std * CS1_8_loading+CS1_9_std * CS1_9_loading</f>
        <v>-2.2588263882950619</v>
      </c>
      <c r="X17">
        <f>(CS1_I_STD-MIN(CS1_I_STD_ALL))/(MAX(CS1_I_STD_ALL)-MIN(CS1_I_STD_ALL))*100</f>
        <v>3.2387863893412083</v>
      </c>
      <c r="Y17" s="138" t="s">
        <v>67</v>
      </c>
      <c r="Z17" s="138">
        <v>101.50560235661756</v>
      </c>
      <c r="AA17" s="139">
        <v>31.76537584839496</v>
      </c>
      <c r="AB17" t="s">
        <v>57</v>
      </c>
      <c r="AC17">
        <v>92.255436220636625</v>
      </c>
      <c r="AD17">
        <v>780.24670359640379</v>
      </c>
      <c r="AE17">
        <v>16.616906957479468</v>
      </c>
      <c r="AF17">
        <v>5.2986097279967943</v>
      </c>
      <c r="AG17">
        <v>1</v>
      </c>
      <c r="AH17">
        <v>2</v>
      </c>
      <c r="AI17">
        <v>2.9015409226997235</v>
      </c>
      <c r="AJ17">
        <v>45.584331012372886</v>
      </c>
      <c r="AK17">
        <v>2</v>
      </c>
      <c r="AL17">
        <v>2.9015409226997235</v>
      </c>
      <c r="AM17">
        <v>45.584331012372886</v>
      </c>
      <c r="AN17">
        <f>(CS2_0-AVERAGE(CS2_0))/STDEV(CS2_0)</f>
        <v>-0.23987358185528052</v>
      </c>
      <c r="AO17">
        <f>(CS2_1-AVERAGE(CS2_1))/STDEV(CS2_1)</f>
        <v>-0.40629405872101049</v>
      </c>
      <c r="AP17">
        <f>(CS2_2-AVERAGE(CS2_2))/STDEV(CS2_2)</f>
        <v>-0.63574918654707568</v>
      </c>
      <c r="AQ17">
        <f>(CS2_3-AVERAGE(CS2_3))/STDEV(CS2_3)</f>
        <v>-0.76189920929035693</v>
      </c>
      <c r="AR17">
        <f>(CS2_4-AVERAGE(CS2_4))/STDEV(CS2_4)</f>
        <v>-0.31610431187743987</v>
      </c>
      <c r="AS17">
        <f>(CS2_5-AVERAGE(CS2_5))/STDEV(CS2_5)</f>
        <v>-1.0212247513790911</v>
      </c>
      <c r="AT17">
        <f>(CS2_6-AVERAGE(CS2_6))/STDEV(CS2_6)</f>
        <v>-1.1775685232334077</v>
      </c>
      <c r="AU17">
        <f>(CS2_7-AVERAGE(CS2_7))/STDEV(CS2_7)</f>
        <v>-0.31610431187743987</v>
      </c>
      <c r="AV17">
        <f>(CS2_8-AVERAGE(CS2_8))/STDEV(CS2_8)</f>
        <v>-1.0212247513790911</v>
      </c>
      <c r="AW17">
        <f>(CS2_9-AVERAGE(CS2_9))/STDEV(CS2_9)</f>
        <v>-1.1775685232334077</v>
      </c>
      <c r="AX17">
        <f>CS2_0_std * CS2_0_loading+CS2_1_std * CS2_1_loading+CS2_2_std * CS2_2_loading+CS2_3_std * CS2_3_loading+CS2_4_std * CS2_4_loading+CS2_5_std * CS2_5_loading+CS2_6_std * CS2_6_loading+CS2_7_std * CS2_7_loading+CS2_8_std * CS2_8_loading+CS2_9_std * CS2_9_loading</f>
        <v>-2.3528119724040635</v>
      </c>
      <c r="AY17">
        <f>(CS2_I_STD-MIN(CS2_I_STD_ALL))/(MAX(CS2_I_STD_ALL)-MIN(CS2_I_STD_ALL))*100</f>
        <v>3.1876835748931631</v>
      </c>
      <c r="AZ17" s="138" t="s">
        <v>77</v>
      </c>
      <c r="BA17" s="138">
        <v>75.4867889064125</v>
      </c>
      <c r="BB17" s="139">
        <v>34.189962457309868</v>
      </c>
      <c r="BC17" t="s">
        <v>57</v>
      </c>
      <c r="BD17">
        <v>92.255436220636625</v>
      </c>
      <c r="BE17">
        <v>780.24670359640379</v>
      </c>
      <c r="BF17">
        <v>16.616906957479468</v>
      </c>
      <c r="BG17">
        <v>5.2986097279967943</v>
      </c>
      <c r="BH17">
        <v>1</v>
      </c>
      <c r="BI17">
        <v>2</v>
      </c>
      <c r="BJ17">
        <v>2.9015409226997235</v>
      </c>
      <c r="BK17">
        <v>45.584331012372886</v>
      </c>
      <c r="BL17">
        <v>2</v>
      </c>
      <c r="BM17">
        <v>2.9015409226997235</v>
      </c>
      <c r="BN17">
        <v>45.584331012372886</v>
      </c>
      <c r="BO17">
        <f>(PCA_0-AVERAGE(PCA_0))/STDEV(PCA_0)</f>
        <v>-0.23987358185528052</v>
      </c>
      <c r="BP17">
        <f>(PCA_1-AVERAGE(PCA_1))/STDEV(PCA_1)</f>
        <v>-0.40629405872101049</v>
      </c>
      <c r="BQ17">
        <f>(PCA_2-AVERAGE(PCA_2))/STDEV(PCA_2)</f>
        <v>-0.63574918654707568</v>
      </c>
      <c r="BR17">
        <f>(PCA_3-AVERAGE(PCA_3))/STDEV(PCA_3)</f>
        <v>-0.76189920929035693</v>
      </c>
      <c r="BS17">
        <f>(PCA_4-AVERAGE(PCA_4))/STDEV(PCA_4)</f>
        <v>-0.31610431187743987</v>
      </c>
      <c r="BT17">
        <f>(PCA_5-AVERAGE(PCA_5))/STDEV(PCA_5)</f>
        <v>-1.0212247513790911</v>
      </c>
      <c r="BU17">
        <f>(PCA_6-AVERAGE(PCA_6))/STDEV(PCA_6)</f>
        <v>-1.1775685232334077</v>
      </c>
      <c r="BV17">
        <f>(PCA_7-AVERAGE(PCA_7))/STDEV(PCA_7)</f>
        <v>-0.31610431187743987</v>
      </c>
      <c r="BW17">
        <f>(PCA_8-AVERAGE(PCA_8))/STDEV(PCA_8)</f>
        <v>-1.0212247513790911</v>
      </c>
      <c r="BX17">
        <f>(PCA_9-AVERAGE(PCA_9))/STDEV(PCA_9)</f>
        <v>-1.1775685232334077</v>
      </c>
      <c r="BY17">
        <f>PCA_0_std * PCA_0_loading+PCA_1_std * PCA_1_loading+PCA_2_std * PCA_2_loading+PCA_3_std * PCA_3_loading+PCA_4_std * PCA_4_loading+PCA_5_std * PCA_5_loading+PCA_6_std * PCA_6_loading+PCA_7_std * PCA_7_loading+PCA_8_std * PCA_8_loading+PCA_9_std * PCA_9_loading</f>
        <v>-0.46766070840482088</v>
      </c>
      <c r="BZ17">
        <f>(PCA_I_STD-MIN(PCA_I_STD_ALL))/(MAX(PCA_I_STD_ALL)-MIN(PCA_I_STD_ALL))*100</f>
        <v>48.180211925274733</v>
      </c>
      <c r="CA17" s="138" t="s">
        <v>59</v>
      </c>
      <c r="CB17" s="138">
        <v>112.06602026518708</v>
      </c>
      <c r="CC17" s="139">
        <v>51.664438057519178</v>
      </c>
      <c r="CD17" t="s">
        <v>57</v>
      </c>
      <c r="CE17">
        <v>92.255436220636625</v>
      </c>
      <c r="CF17">
        <v>780.24670359640379</v>
      </c>
      <c r="CG17">
        <v>16.616906957479468</v>
      </c>
      <c r="CH17">
        <v>5.2986097279967943</v>
      </c>
      <c r="CI17">
        <v>1</v>
      </c>
      <c r="CJ17">
        <v>2</v>
      </c>
      <c r="CK17">
        <v>2.9015409226997235</v>
      </c>
      <c r="CL17">
        <v>45.584331012372886</v>
      </c>
      <c r="CM17">
        <v>2</v>
      </c>
      <c r="CN17">
        <v>2.9015409226997235</v>
      </c>
      <c r="CO17">
        <v>45.584331012372886</v>
      </c>
      <c r="CP17">
        <f>(KTGET_0-AVERAGE(KTGET_0))/STDEV(KTGET_0)</f>
        <v>-0.23987358185528052</v>
      </c>
      <c r="CQ17">
        <f>(KTGET_1-AVERAGE(KTGET_1))/STDEV(KTGET_1)</f>
        <v>-0.40629405872101049</v>
      </c>
      <c r="CR17">
        <f>(KTGET_2-AVERAGE(KTGET_2))/STDEV(KTGET_2)</f>
        <v>-0.63574918654707568</v>
      </c>
      <c r="CS17">
        <f>(KTGET_3-AVERAGE(KTGET_3))/STDEV(KTGET_3)</f>
        <v>-0.76189920929035693</v>
      </c>
      <c r="CT17">
        <f>(KTGET_4-AVERAGE(KTGET_4))/STDEV(KTGET_4)</f>
        <v>-0.31610431187743987</v>
      </c>
      <c r="CU17">
        <f>(KTGET_5-AVERAGE(KTGET_5))/STDEV(KTGET_5)</f>
        <v>-1.0212247513790911</v>
      </c>
      <c r="CV17">
        <f>(KTGET_6-AVERAGE(KTGET_6))/STDEV(KTGET_6)</f>
        <v>-1.1775685232334077</v>
      </c>
      <c r="CW17">
        <f>(KTGET_7-AVERAGE(KTGET_7))/STDEV(KTGET_7)</f>
        <v>-0.31610431187743987</v>
      </c>
      <c r="CX17">
        <f>(KTGET_8-AVERAGE(KTGET_8))/STDEV(KTGET_8)</f>
        <v>-1.0212247513790911</v>
      </c>
      <c r="CY17">
        <f>(KTGET_9-AVERAGE(KTGET_9))/STDEV(KTGET_9)</f>
        <v>-1.1775685232334077</v>
      </c>
      <c r="CZ17">
        <f>KTGET_0_std * KTGET_0_loading+KTGET_1_std * KTGET_1_loading+KTGET_2_std * KTGET_2_loading+KTGET_3_std * KTGET_3_loading+KTGET_4_std * KTGET_4_loading+KTGET_5_std * KTGET_5_loading+KTGET_6_std * KTGET_6_loading+KTGET_7_std * KTGET_7_loading+KTGET_8_std * KTGET_8_loading+KTGET_9_std * KTGET_9_loading</f>
        <v>-2.2588289767976319</v>
      </c>
      <c r="DA17">
        <f>(KTGET_I_STD-MIN(KTGET_I_STD_ALL))/(MAX(KTGET_I_STD_ALL)-MIN(KTGET_I_STD_ALL))*100</f>
        <v>3.238795374513074</v>
      </c>
      <c r="DB17" s="138" t="s">
        <v>67</v>
      </c>
      <c r="DC17" s="138">
        <v>101.50560235661756</v>
      </c>
      <c r="DD17" s="139">
        <v>31.765479210312563</v>
      </c>
      <c r="DE17" t="s">
        <v>57</v>
      </c>
      <c r="DF17">
        <v>92.255436220636625</v>
      </c>
      <c r="DG17">
        <v>780.24670359640379</v>
      </c>
      <c r="DH17">
        <v>16.616906957479468</v>
      </c>
      <c r="DI17">
        <v>5.2986097279967943</v>
      </c>
      <c r="DJ17">
        <v>1</v>
      </c>
      <c r="DK17">
        <v>2</v>
      </c>
      <c r="DL17">
        <v>2.9015409226997235</v>
      </c>
      <c r="DM17">
        <v>45.584331012372886</v>
      </c>
      <c r="DN17">
        <v>2</v>
      </c>
      <c r="DO17">
        <v>2.9015409226997235</v>
      </c>
      <c r="DP17">
        <v>45.584331012372886</v>
      </c>
      <c r="DQ17">
        <f>(KTGT_0-AVERAGE(KTGT_0))/STDEV(KTGT_0)</f>
        <v>-0.23987358185528052</v>
      </c>
      <c r="DR17">
        <f>(KTGT_1-AVERAGE(KTGT_1))/STDEV(KTGT_1)</f>
        <v>-0.40629405872101049</v>
      </c>
      <c r="DS17">
        <f>(KTGT_2-AVERAGE(KTGT_2))/STDEV(KTGT_2)</f>
        <v>-0.63574918654707568</v>
      </c>
      <c r="DT17">
        <f>(KTGT_3-AVERAGE(KTGT_3))/STDEV(KTGT_3)</f>
        <v>-0.76189920929035693</v>
      </c>
      <c r="DU17">
        <f>(KTGT_4-AVERAGE(KTGT_4))/STDEV(KTGT_4)</f>
        <v>-0.31610431187743987</v>
      </c>
      <c r="DV17">
        <f>(KTGT_5-AVERAGE(KTGT_5))/STDEV(KTGT_5)</f>
        <v>-1.0212247513790911</v>
      </c>
      <c r="DW17">
        <f>(KTGT_6-AVERAGE(KTGT_6))/STDEV(KTGT_6)</f>
        <v>-1.1775685232334077</v>
      </c>
      <c r="DX17">
        <f>(KTGT_7-AVERAGE(KTGT_7))/STDEV(KTGT_7)</f>
        <v>-0.31610431187743987</v>
      </c>
      <c r="DY17">
        <f>(KTGT_8-AVERAGE(KTGT_8))/STDEV(KTGT_8)</f>
        <v>-1.0212247513790911</v>
      </c>
      <c r="DZ17">
        <f>(KTGT_9-AVERAGE(KTGT_9))/STDEV(KTGT_9)</f>
        <v>-1.1775685232334077</v>
      </c>
      <c r="EA17">
        <f>KTGT_0_std * KTGT_0_loading+KTGT_1_std * KTGT_1_loading+KTGT_2_std * KTGT_2_loading+KTGT_3_std * KTGT_3_loading+KTGT_4_std * KTGT_4_loading+KTGT_5_std * KTGT_5_loading+KTGT_6_std * KTGT_6_loading+KTGT_7_std * KTGT_7_loading+KTGT_8_std * KTGT_8_loading+KTGT_9_std * KTGT_9_loading</f>
        <v>-2.2585547682677172</v>
      </c>
      <c r="EB17">
        <f>(KTGT_I_STD-MIN(KTGT_I_STD_ALL))/(MAX(KTGT_I_STD_ALL)-MIN(KTGT_I_STD_ALL))*100</f>
        <v>3.2471370023877197</v>
      </c>
      <c r="EC17" s="138" t="s">
        <v>67</v>
      </c>
      <c r="ED17" s="138">
        <v>101.50560235661756</v>
      </c>
      <c r="EE17" s="139">
        <v>31.675145777350849</v>
      </c>
      <c r="EF17" t="s">
        <v>57</v>
      </c>
      <c r="EG17">
        <v>92.255436220636625</v>
      </c>
      <c r="EH17">
        <v>780.24670359640379</v>
      </c>
      <c r="EI17">
        <v>16.616906957479468</v>
      </c>
      <c r="EJ17">
        <v>5.2986097279967943</v>
      </c>
      <c r="EK17">
        <v>1</v>
      </c>
      <c r="EL17">
        <v>2</v>
      </c>
      <c r="EM17">
        <v>2.9015409226997235</v>
      </c>
      <c r="EN17">
        <v>45.584331012372886</v>
      </c>
      <c r="EO17">
        <v>2</v>
      </c>
      <c r="EP17">
        <v>2.9015409226997235</v>
      </c>
      <c r="EQ17">
        <v>45.584331012372886</v>
      </c>
      <c r="ER17">
        <f>(SA_0-AVERAGE(SA_0))/STDEV(SA_0)</f>
        <v>-0.23987358185528052</v>
      </c>
      <c r="ES17">
        <f>(SA_1-AVERAGE(SA_1))/STDEV(SA_1)</f>
        <v>-0.40629405872101049</v>
      </c>
      <c r="ET17">
        <f>(SA_2-AVERAGE(SA_2))/STDEV(SA_2)</f>
        <v>-0.63574918654707568</v>
      </c>
      <c r="EU17">
        <f>(SA_3-AVERAGE(SA_3))/STDEV(SA_3)</f>
        <v>-0.76189920929035693</v>
      </c>
      <c r="EV17">
        <f>(SA_4-AVERAGE(SA_4))/STDEV(SA_4)</f>
        <v>-0.31610431187743987</v>
      </c>
      <c r="EW17">
        <f>(SA_5-AVERAGE(SA_5))/STDEV(SA_5)</f>
        <v>-1.0212247513790911</v>
      </c>
      <c r="EX17">
        <f>(SA_6-AVERAGE(SA_6))/STDEV(SA_6)</f>
        <v>-1.1775685232334077</v>
      </c>
      <c r="EY17">
        <f>(SA_7-AVERAGE(SA_7))/STDEV(SA_7)</f>
        <v>-0.31610431187743987</v>
      </c>
      <c r="EZ17">
        <f>(SA_8-AVERAGE(SA_8))/STDEV(SA_8)</f>
        <v>-1.0212247513790911</v>
      </c>
      <c r="FA17">
        <f>(SA_9-AVERAGE(SA_9))/STDEV(SA_9)</f>
        <v>-1.1775685232334077</v>
      </c>
      <c r="FB17">
        <f>SA_0_std * SA_0_loading+SA_1_std * SA_1_loading+SA_2_std * SA_2_loading+SA_3_std * SA_3_loading+SA_4_std * SA_4_loading+SA_5_std * SA_5_loading+SA_6_std * SA_6_loading+SA_7_std * SA_7_loading+SA_8_std * SA_8_loading+SA_9_std * SA_9_loading</f>
        <v>-2.2368722704182016</v>
      </c>
      <c r="FC17">
        <f>(SA_I_STD-MIN(SA_I_STD_ALL))/(MAX(SA_I_STD_ALL)-MIN(SA_I_STD_ALL))*100</f>
        <v>11.843516438677721</v>
      </c>
      <c r="FD17" s="138" t="s">
        <v>72</v>
      </c>
      <c r="FE17" s="138">
        <v>110.80232603285897</v>
      </c>
      <c r="FF17" s="139">
        <v>52.355249566951215</v>
      </c>
    </row>
    <row r="18" spans="1:162" x14ac:dyDescent="0.25">
      <c r="A18" t="s">
        <v>58</v>
      </c>
      <c r="B18">
        <v>67.207208002483483</v>
      </c>
      <c r="C18">
        <v>3655.8727449430826</v>
      </c>
      <c r="D18">
        <v>11.219172152417203</v>
      </c>
      <c r="E18">
        <v>8.5</v>
      </c>
      <c r="F18">
        <v>1</v>
      </c>
      <c r="G18">
        <v>4</v>
      </c>
      <c r="H18">
        <v>7.1741462978422419</v>
      </c>
      <c r="I18">
        <v>67.186391565292794</v>
      </c>
      <c r="J18">
        <v>4</v>
      </c>
      <c r="K18">
        <v>7.1741462978422419</v>
      </c>
      <c r="L18">
        <v>67.186391565292794</v>
      </c>
      <c r="M18">
        <f>(CS1_0-AVERAGE(CS1_0))/STDEV(CS1_0)</f>
        <v>-7.008635476220712E-2</v>
      </c>
      <c r="N18">
        <f>(CS1_1-AVERAGE(CS1_1))/STDEV(CS1_1)</f>
        <v>-0.88574362943685769</v>
      </c>
      <c r="O18">
        <f>(CS1_2-AVERAGE(CS1_2))/STDEV(CS1_2)</f>
        <v>0.17699195543876947</v>
      </c>
      <c r="P18">
        <f>(CS1_3-AVERAGE(CS1_3))/STDEV(CS1_3)</f>
        <v>-0.76189920929035693</v>
      </c>
      <c r="Q18">
        <f>(CS1_4-AVERAGE(CS1_4))/STDEV(CS1_4)</f>
        <v>-3.9513038984679963E-2</v>
      </c>
      <c r="R18">
        <f>(CS1_5-AVERAGE(CS1_5))/STDEV(CS1_5)</f>
        <v>-0.71869655737396765</v>
      </c>
      <c r="S18">
        <f>(CS1_6-AVERAGE(CS1_6))/STDEV(CS1_6)</f>
        <v>-1.0203796769651443</v>
      </c>
      <c r="T18">
        <f>(CS1_7-AVERAGE(CS1_7))/STDEV(CS1_7)</f>
        <v>-3.9513038984679963E-2</v>
      </c>
      <c r="U18">
        <f>(CS1_8-AVERAGE(CS1_8))/STDEV(CS1_8)</f>
        <v>-0.71869655737396765</v>
      </c>
      <c r="V18">
        <f>(CS1_9-AVERAGE(CS1_9))/STDEV(CS1_9)</f>
        <v>-1.0203796769651443</v>
      </c>
      <c r="W18">
        <f>CS1_0_std * CS1_0_loading+CS1_1_std * CS1_1_loading+CS1_2_std * CS1_2_loading+CS1_3_std * CS1_3_loading+CS1_4_std * CS1_4_loading+CS1_5_std * CS1_5_loading+CS1_6_std * CS1_6_loading+CS1_7_std * CS1_7_loading+CS1_8_std * CS1_8_loading+CS1_9_std * CS1_9_loading</f>
        <v>-1.7468174872707221</v>
      </c>
      <c r="X18">
        <f>(CS1_I_STD-MIN(CS1_I_STD_ALL))/(MAX(CS1_I_STD_ALL)-MIN(CS1_I_STD_ALL))*100</f>
        <v>11.948642667115069</v>
      </c>
      <c r="Y18" s="138" t="s">
        <v>66</v>
      </c>
      <c r="Z18" s="138">
        <v>80.861343707957317</v>
      </c>
      <c r="AA18" s="139">
        <v>34.431884877158168</v>
      </c>
      <c r="AB18" t="s">
        <v>58</v>
      </c>
      <c r="AC18">
        <v>67.207208002483483</v>
      </c>
      <c r="AD18">
        <v>3655.8727449430826</v>
      </c>
      <c r="AE18">
        <v>11.219172152417203</v>
      </c>
      <c r="AF18">
        <v>8.5</v>
      </c>
      <c r="AG18">
        <v>1</v>
      </c>
      <c r="AH18">
        <v>4</v>
      </c>
      <c r="AI18">
        <v>7.1741462978422419</v>
      </c>
      <c r="AJ18">
        <v>67.186391565292794</v>
      </c>
      <c r="AK18">
        <v>4</v>
      </c>
      <c r="AL18">
        <v>7.1741462978422419</v>
      </c>
      <c r="AM18">
        <v>67.186391565292794</v>
      </c>
      <c r="AN18">
        <f>(CS2_0-AVERAGE(CS2_0))/STDEV(CS2_0)</f>
        <v>-7.008635476220712E-2</v>
      </c>
      <c r="AO18">
        <f>(CS2_1-AVERAGE(CS2_1))/STDEV(CS2_1)</f>
        <v>-0.88574362943685769</v>
      </c>
      <c r="AP18">
        <f>(CS2_2-AVERAGE(CS2_2))/STDEV(CS2_2)</f>
        <v>0.17699195543876947</v>
      </c>
      <c r="AQ18">
        <f>(CS2_3-AVERAGE(CS2_3))/STDEV(CS2_3)</f>
        <v>-0.76189920929035693</v>
      </c>
      <c r="AR18">
        <f>(CS2_4-AVERAGE(CS2_4))/STDEV(CS2_4)</f>
        <v>-3.9513038984679963E-2</v>
      </c>
      <c r="AS18">
        <f>(CS2_5-AVERAGE(CS2_5))/STDEV(CS2_5)</f>
        <v>-0.71869655737396765</v>
      </c>
      <c r="AT18">
        <f>(CS2_6-AVERAGE(CS2_6))/STDEV(CS2_6)</f>
        <v>-1.0203796769651443</v>
      </c>
      <c r="AU18">
        <f>(CS2_7-AVERAGE(CS2_7))/STDEV(CS2_7)</f>
        <v>-3.9513038984679963E-2</v>
      </c>
      <c r="AV18">
        <f>(CS2_8-AVERAGE(CS2_8))/STDEV(CS2_8)</f>
        <v>-0.71869655737396765</v>
      </c>
      <c r="AW18">
        <f>(CS2_9-AVERAGE(CS2_9))/STDEV(CS2_9)</f>
        <v>-1.0203796769651443</v>
      </c>
      <c r="AX18">
        <f>CS2_0_std * CS2_0_loading+CS2_1_std * CS2_1_loading+CS2_2_std * CS2_2_loading+CS2_3_std * CS2_3_loading+CS2_4_std * CS2_4_loading+CS2_5_std * CS2_5_loading+CS2_6_std * CS2_6_loading+CS2_7_std * CS2_7_loading+CS2_8_std * CS2_8_loading+CS2_9_std * CS2_9_loading</f>
        <v>-1.8032908964053198</v>
      </c>
      <c r="AY18">
        <f>(CS2_I_STD-MIN(CS2_I_STD_ALL))/(MAX(CS2_I_STD_ALL)-MIN(CS2_I_STD_ALL))*100</f>
        <v>12.181525800614383</v>
      </c>
      <c r="AZ18" s="138" t="s">
        <v>79</v>
      </c>
      <c r="BA18" s="138">
        <v>94.234282592006622</v>
      </c>
      <c r="BB18" s="139">
        <v>36.026342818999169</v>
      </c>
      <c r="BC18" t="s">
        <v>58</v>
      </c>
      <c r="BD18">
        <v>67.207208002483483</v>
      </c>
      <c r="BE18">
        <v>3655.8727449430826</v>
      </c>
      <c r="BF18">
        <v>11.219172152417203</v>
      </c>
      <c r="BG18">
        <v>8.5</v>
      </c>
      <c r="BH18">
        <v>1</v>
      </c>
      <c r="BI18">
        <v>4</v>
      </c>
      <c r="BJ18">
        <v>7.1741462978422419</v>
      </c>
      <c r="BK18">
        <v>67.186391565292794</v>
      </c>
      <c r="BL18">
        <v>4</v>
      </c>
      <c r="BM18">
        <v>7.1741462978422419</v>
      </c>
      <c r="BN18">
        <v>67.186391565292794</v>
      </c>
      <c r="BO18">
        <f>(PCA_0-AVERAGE(PCA_0))/STDEV(PCA_0)</f>
        <v>-7.008635476220712E-2</v>
      </c>
      <c r="BP18">
        <f>(PCA_1-AVERAGE(PCA_1))/STDEV(PCA_1)</f>
        <v>-0.88574362943685769</v>
      </c>
      <c r="BQ18">
        <f>(PCA_2-AVERAGE(PCA_2))/STDEV(PCA_2)</f>
        <v>0.17699195543876947</v>
      </c>
      <c r="BR18">
        <f>(PCA_3-AVERAGE(PCA_3))/STDEV(PCA_3)</f>
        <v>-0.76189920929035693</v>
      </c>
      <c r="BS18">
        <f>(PCA_4-AVERAGE(PCA_4))/STDEV(PCA_4)</f>
        <v>-3.9513038984679963E-2</v>
      </c>
      <c r="BT18">
        <f>(PCA_5-AVERAGE(PCA_5))/STDEV(PCA_5)</f>
        <v>-0.71869655737396765</v>
      </c>
      <c r="BU18">
        <f>(PCA_6-AVERAGE(PCA_6))/STDEV(PCA_6)</f>
        <v>-1.0203796769651443</v>
      </c>
      <c r="BV18">
        <f>(PCA_7-AVERAGE(PCA_7))/STDEV(PCA_7)</f>
        <v>-3.9513038984679963E-2</v>
      </c>
      <c r="BW18">
        <f>(PCA_8-AVERAGE(PCA_8))/STDEV(PCA_8)</f>
        <v>-0.71869655737396765</v>
      </c>
      <c r="BX18">
        <f>(PCA_9-AVERAGE(PCA_9))/STDEV(PCA_9)</f>
        <v>-1.0203796769651443</v>
      </c>
      <c r="BY18">
        <f>PCA_0_std * PCA_0_loading+PCA_1_std * PCA_1_loading+PCA_2_std * PCA_2_loading+PCA_3_std * PCA_3_loading+PCA_4_std * PCA_4_loading+PCA_5_std * PCA_5_loading+PCA_6_std * PCA_6_loading+PCA_7_std * PCA_7_loading+PCA_8_std * PCA_8_loading+PCA_9_std * PCA_9_loading</f>
        <v>-9.9597411053497509E-3</v>
      </c>
      <c r="BZ18">
        <f>(PCA_I_STD-MIN(PCA_I_STD_ALL))/(MAX(PCA_I_STD_ALL)-MIN(PCA_I_STD_ALL))*100</f>
        <v>54.561743440916977</v>
      </c>
      <c r="CA18" s="138" t="s">
        <v>58</v>
      </c>
      <c r="CB18" s="138">
        <v>67.207208002483483</v>
      </c>
      <c r="CC18" s="139">
        <v>54.561743440916977</v>
      </c>
      <c r="CD18" t="s">
        <v>58</v>
      </c>
      <c r="CE18">
        <v>67.207208002483483</v>
      </c>
      <c r="CF18">
        <v>3655.8727449430826</v>
      </c>
      <c r="CG18">
        <v>11.219172152417203</v>
      </c>
      <c r="CH18">
        <v>8.5</v>
      </c>
      <c r="CI18">
        <v>1</v>
      </c>
      <c r="CJ18">
        <v>4</v>
      </c>
      <c r="CK18">
        <v>7.1741462978422419</v>
      </c>
      <c r="CL18">
        <v>67.186391565292794</v>
      </c>
      <c r="CM18">
        <v>4</v>
      </c>
      <c r="CN18">
        <v>7.1741462978422419</v>
      </c>
      <c r="CO18">
        <v>67.186391565292794</v>
      </c>
      <c r="CP18">
        <f>(KTGET_0-AVERAGE(KTGET_0))/STDEV(KTGET_0)</f>
        <v>-7.008635476220712E-2</v>
      </c>
      <c r="CQ18">
        <f>(KTGET_1-AVERAGE(KTGET_1))/STDEV(KTGET_1)</f>
        <v>-0.88574362943685769</v>
      </c>
      <c r="CR18">
        <f>(KTGET_2-AVERAGE(KTGET_2))/STDEV(KTGET_2)</f>
        <v>0.17699195543876947</v>
      </c>
      <c r="CS18">
        <f>(KTGET_3-AVERAGE(KTGET_3))/STDEV(KTGET_3)</f>
        <v>-0.76189920929035693</v>
      </c>
      <c r="CT18">
        <f>(KTGET_4-AVERAGE(KTGET_4))/STDEV(KTGET_4)</f>
        <v>-3.9513038984679963E-2</v>
      </c>
      <c r="CU18">
        <f>(KTGET_5-AVERAGE(KTGET_5))/STDEV(KTGET_5)</f>
        <v>-0.71869655737396765</v>
      </c>
      <c r="CV18">
        <f>(KTGET_6-AVERAGE(KTGET_6))/STDEV(KTGET_6)</f>
        <v>-1.0203796769651443</v>
      </c>
      <c r="CW18">
        <f>(KTGET_7-AVERAGE(KTGET_7))/STDEV(KTGET_7)</f>
        <v>-3.9513038984679963E-2</v>
      </c>
      <c r="CX18">
        <f>(KTGET_8-AVERAGE(KTGET_8))/STDEV(KTGET_8)</f>
        <v>-0.71869655737396765</v>
      </c>
      <c r="CY18">
        <f>(KTGET_9-AVERAGE(KTGET_9))/STDEV(KTGET_9)</f>
        <v>-1.0203796769651443</v>
      </c>
      <c r="CZ18">
        <f>KTGET_0_std * KTGET_0_loading+KTGET_1_std * KTGET_1_loading+KTGET_2_std * KTGET_2_loading+KTGET_3_std * KTGET_3_loading+KTGET_4_std * KTGET_4_loading+KTGET_5_std * KTGET_5_loading+KTGET_6_std * KTGET_6_loading+KTGET_7_std * KTGET_7_loading+KTGET_8_std * KTGET_8_loading+KTGET_9_std * KTGET_9_loading</f>
        <v>-1.7468232013459266</v>
      </c>
      <c r="DA18">
        <f>(KTGET_I_STD-MIN(KTGET_I_STD_ALL))/(MAX(KTGET_I_STD_ALL)-MIN(KTGET_I_STD_ALL))*100</f>
        <v>11.948592820724128</v>
      </c>
      <c r="DB18" s="138" t="s">
        <v>66</v>
      </c>
      <c r="DC18" s="138">
        <v>80.861343707957317</v>
      </c>
      <c r="DD18" s="139">
        <v>34.43184947588697</v>
      </c>
      <c r="DE18" t="s">
        <v>58</v>
      </c>
      <c r="DF18">
        <v>67.207208002483483</v>
      </c>
      <c r="DG18">
        <v>3655.8727449430826</v>
      </c>
      <c r="DH18">
        <v>11.219172152417203</v>
      </c>
      <c r="DI18">
        <v>8.5</v>
      </c>
      <c r="DJ18">
        <v>1</v>
      </c>
      <c r="DK18">
        <v>4</v>
      </c>
      <c r="DL18">
        <v>7.1741462978422419</v>
      </c>
      <c r="DM18">
        <v>67.186391565292794</v>
      </c>
      <c r="DN18">
        <v>4</v>
      </c>
      <c r="DO18">
        <v>7.1741462978422419</v>
      </c>
      <c r="DP18">
        <v>67.186391565292794</v>
      </c>
      <c r="DQ18">
        <f>(KTGT_0-AVERAGE(KTGT_0))/STDEV(KTGT_0)</f>
        <v>-7.008635476220712E-2</v>
      </c>
      <c r="DR18">
        <f>(KTGT_1-AVERAGE(KTGT_1))/STDEV(KTGT_1)</f>
        <v>-0.88574362943685769</v>
      </c>
      <c r="DS18">
        <f>(KTGT_2-AVERAGE(KTGT_2))/STDEV(KTGT_2)</f>
        <v>0.17699195543876947</v>
      </c>
      <c r="DT18">
        <f>(KTGT_3-AVERAGE(KTGT_3))/STDEV(KTGT_3)</f>
        <v>-0.76189920929035693</v>
      </c>
      <c r="DU18">
        <f>(KTGT_4-AVERAGE(KTGT_4))/STDEV(KTGT_4)</f>
        <v>-3.9513038984679963E-2</v>
      </c>
      <c r="DV18">
        <f>(KTGT_5-AVERAGE(KTGT_5))/STDEV(KTGT_5)</f>
        <v>-0.71869655737396765</v>
      </c>
      <c r="DW18">
        <f>(KTGT_6-AVERAGE(KTGT_6))/STDEV(KTGT_6)</f>
        <v>-1.0203796769651443</v>
      </c>
      <c r="DX18">
        <f>(KTGT_7-AVERAGE(KTGT_7))/STDEV(KTGT_7)</f>
        <v>-3.9513038984679963E-2</v>
      </c>
      <c r="DY18">
        <f>(KTGT_8-AVERAGE(KTGT_8))/STDEV(KTGT_8)</f>
        <v>-0.71869655737396765</v>
      </c>
      <c r="DZ18">
        <f>(KTGT_9-AVERAGE(KTGT_9))/STDEV(KTGT_9)</f>
        <v>-1.0203796769651443</v>
      </c>
      <c r="EA18">
        <f>KTGT_0_std * KTGT_0_loading+KTGT_1_std * KTGT_1_loading+KTGT_2_std * KTGT_2_loading+KTGT_3_std * KTGT_3_loading+KTGT_4_std * KTGT_4_loading+KTGT_5_std * KTGT_5_loading+KTGT_6_std * KTGT_6_loading+KTGT_7_std * KTGT_7_loading+KTGT_8_std * KTGT_8_loading+KTGT_9_std * KTGT_9_loading</f>
        <v>-1.7459226229334068</v>
      </c>
      <c r="EB18">
        <f>(KTGT_I_STD-MIN(KTGT_I_STD_ALL))/(MAX(KTGT_I_STD_ALL)-MIN(KTGT_I_STD_ALL))*100</f>
        <v>11.962889544665902</v>
      </c>
      <c r="EC18" s="138" t="s">
        <v>66</v>
      </c>
      <c r="ED18" s="138">
        <v>80.861343707957317</v>
      </c>
      <c r="EE18" s="139">
        <v>34.734040904460969</v>
      </c>
      <c r="EF18" t="s">
        <v>58</v>
      </c>
      <c r="EG18">
        <v>67.207208002483483</v>
      </c>
      <c r="EH18">
        <v>3655.8727449430826</v>
      </c>
      <c r="EI18">
        <v>11.219172152417203</v>
      </c>
      <c r="EJ18">
        <v>8.5</v>
      </c>
      <c r="EK18">
        <v>1</v>
      </c>
      <c r="EL18">
        <v>4</v>
      </c>
      <c r="EM18">
        <v>7.1741462978422419</v>
      </c>
      <c r="EN18">
        <v>67.186391565292794</v>
      </c>
      <c r="EO18">
        <v>4</v>
      </c>
      <c r="EP18">
        <v>7.1741462978422419</v>
      </c>
      <c r="EQ18">
        <v>67.186391565292794</v>
      </c>
      <c r="ER18">
        <f>(SA_0-AVERAGE(SA_0))/STDEV(SA_0)</f>
        <v>-7.008635476220712E-2</v>
      </c>
      <c r="ES18">
        <f>(SA_1-AVERAGE(SA_1))/STDEV(SA_1)</f>
        <v>-0.88574362943685769</v>
      </c>
      <c r="ET18">
        <f>(SA_2-AVERAGE(SA_2))/STDEV(SA_2)</f>
        <v>0.17699195543876947</v>
      </c>
      <c r="EU18">
        <f>(SA_3-AVERAGE(SA_3))/STDEV(SA_3)</f>
        <v>-0.76189920929035693</v>
      </c>
      <c r="EV18">
        <f>(SA_4-AVERAGE(SA_4))/STDEV(SA_4)</f>
        <v>-3.9513038984679963E-2</v>
      </c>
      <c r="EW18">
        <f>(SA_5-AVERAGE(SA_5))/STDEV(SA_5)</f>
        <v>-0.71869655737396765</v>
      </c>
      <c r="EX18">
        <f>(SA_6-AVERAGE(SA_6))/STDEV(SA_6)</f>
        <v>-1.0203796769651443</v>
      </c>
      <c r="EY18">
        <f>(SA_7-AVERAGE(SA_7))/STDEV(SA_7)</f>
        <v>-3.9513038984679963E-2</v>
      </c>
      <c r="EZ18">
        <f>(SA_8-AVERAGE(SA_8))/STDEV(SA_8)</f>
        <v>-0.71869655737396765</v>
      </c>
      <c r="FA18">
        <f>(SA_9-AVERAGE(SA_9))/STDEV(SA_9)</f>
        <v>-1.0203796769651443</v>
      </c>
      <c r="FB18">
        <f>SA_0_std * SA_0_loading+SA_1_std * SA_1_loading+SA_2_std * SA_2_loading+SA_3_std * SA_3_loading+SA_4_std * SA_4_loading+SA_5_std * SA_5_loading+SA_6_std * SA_6_loading+SA_7_std * SA_7_loading+SA_8_std * SA_8_loading+SA_9_std * SA_9_loading</f>
        <v>-1.6121025199370986</v>
      </c>
      <c r="FC18">
        <f>(SA_I_STD-MIN(SA_I_STD_ALL))/(MAX(SA_I_STD_ALL)-MIN(SA_I_STD_ALL))*100</f>
        <v>23.411289859734602</v>
      </c>
      <c r="FD18" s="138" t="s">
        <v>77</v>
      </c>
      <c r="FE18" s="138">
        <v>75.4867889064125</v>
      </c>
      <c r="FF18" s="139">
        <v>52.526243306774425</v>
      </c>
    </row>
    <row r="19" spans="1:162" x14ac:dyDescent="0.25">
      <c r="A19" t="s">
        <v>72</v>
      </c>
      <c r="B19">
        <v>110.80232603285897</v>
      </c>
      <c r="C19">
        <v>725.51897490094382</v>
      </c>
      <c r="D19">
        <v>16.497452321814929</v>
      </c>
      <c r="E19">
        <v>9.2142911835689851</v>
      </c>
      <c r="F19">
        <v>2</v>
      </c>
      <c r="G19">
        <v>4</v>
      </c>
      <c r="H19">
        <v>26.899810515503376</v>
      </c>
      <c r="I19">
        <v>115.50373707382002</v>
      </c>
      <c r="J19">
        <v>4</v>
      </c>
      <c r="K19">
        <v>26.899810515503376</v>
      </c>
      <c r="L19">
        <v>115.50373707382002</v>
      </c>
      <c r="M19">
        <f>(CS1_0-AVERAGE(CS1_0))/STDEV(CS1_0)</f>
        <v>-0.24310490232835305</v>
      </c>
      <c r="N19">
        <f>(CS1_1-AVERAGE(CS1_1))/STDEV(CS1_1)</f>
        <v>-0.41690452326915167</v>
      </c>
      <c r="O19">
        <f>(CS1_2-AVERAGE(CS1_2))/STDEV(CS1_2)</f>
        <v>0.35832999389073883</v>
      </c>
      <c r="P19">
        <f>(CS1_3-AVERAGE(CS1_3))/STDEV(CS1_3)</f>
        <v>0.2077906934428245</v>
      </c>
      <c r="Q19">
        <f>(CS1_4-AVERAGE(CS1_4))/STDEV(CS1_4)</f>
        <v>-3.9513038984679963E-2</v>
      </c>
      <c r="R19">
        <f>(CS1_5-AVERAGE(CS1_5))/STDEV(CS1_5)</f>
        <v>0.67800850835456372</v>
      </c>
      <c r="S19">
        <f>(CS1_6-AVERAGE(CS1_6))/STDEV(CS1_6)</f>
        <v>-0.66879526321791716</v>
      </c>
      <c r="T19">
        <f>(CS1_7-AVERAGE(CS1_7))/STDEV(CS1_7)</f>
        <v>-3.9513038984679963E-2</v>
      </c>
      <c r="U19">
        <f>(CS1_8-AVERAGE(CS1_8))/STDEV(CS1_8)</f>
        <v>0.67800850835456372</v>
      </c>
      <c r="V19">
        <f>(CS1_9-AVERAGE(CS1_9))/STDEV(CS1_9)</f>
        <v>-0.66879526321791716</v>
      </c>
      <c r="W19">
        <f>CS1_0_std * CS1_0_loading+CS1_1_std * CS1_1_loading+CS1_2_std * CS1_2_loading+CS1_3_std * CS1_3_loading+CS1_4_std * CS1_4_loading+CS1_5_std * CS1_5_loading+CS1_6_std * CS1_6_loading+CS1_7_std * CS1_7_loading+CS1_8_std * CS1_8_loading+CS1_9_std * CS1_9_loading</f>
        <v>3.2629939516005624E-2</v>
      </c>
      <c r="X19">
        <f>(CS1_I_STD-MIN(CS1_I_STD_ALL))/(MAX(CS1_I_STD_ALL)-MIN(CS1_I_STD_ALL))*100</f>
        <v>42.219076072002579</v>
      </c>
      <c r="Y19" s="138" t="s">
        <v>72</v>
      </c>
      <c r="Z19" s="138">
        <v>110.80232603285897</v>
      </c>
      <c r="AA19" s="139">
        <v>42.219076072002579</v>
      </c>
      <c r="AB19" t="s">
        <v>72</v>
      </c>
      <c r="AC19">
        <v>110.80232603285897</v>
      </c>
      <c r="AD19">
        <v>725.51897490094382</v>
      </c>
      <c r="AE19">
        <v>16.497452321814929</v>
      </c>
      <c r="AF19">
        <v>9.2142911835689851</v>
      </c>
      <c r="AG19">
        <v>2</v>
      </c>
      <c r="AH19">
        <v>4</v>
      </c>
      <c r="AI19">
        <v>26.899810515503376</v>
      </c>
      <c r="AJ19">
        <v>115.50373707382002</v>
      </c>
      <c r="AK19">
        <v>4</v>
      </c>
      <c r="AL19">
        <v>26.899810515503376</v>
      </c>
      <c r="AM19">
        <v>115.50373707382002</v>
      </c>
      <c r="AN19">
        <f>(CS2_0-AVERAGE(CS2_0))/STDEV(CS2_0)</f>
        <v>-0.24310490232835305</v>
      </c>
      <c r="AO19">
        <f>(CS2_1-AVERAGE(CS2_1))/STDEV(CS2_1)</f>
        <v>-0.41690452326915167</v>
      </c>
      <c r="AP19">
        <f>(CS2_2-AVERAGE(CS2_2))/STDEV(CS2_2)</f>
        <v>0.35832999389073883</v>
      </c>
      <c r="AQ19">
        <f>(CS2_3-AVERAGE(CS2_3))/STDEV(CS2_3)</f>
        <v>0.2077906934428245</v>
      </c>
      <c r="AR19">
        <f>(CS2_4-AVERAGE(CS2_4))/STDEV(CS2_4)</f>
        <v>-3.9513038984679963E-2</v>
      </c>
      <c r="AS19">
        <f>(CS2_5-AVERAGE(CS2_5))/STDEV(CS2_5)</f>
        <v>0.67800850835456372</v>
      </c>
      <c r="AT19">
        <f>(CS2_6-AVERAGE(CS2_6))/STDEV(CS2_6)</f>
        <v>-0.66879526321791716</v>
      </c>
      <c r="AU19">
        <f>(CS2_7-AVERAGE(CS2_7))/STDEV(CS2_7)</f>
        <v>-3.9513038984679963E-2</v>
      </c>
      <c r="AV19">
        <f>(CS2_8-AVERAGE(CS2_8))/STDEV(CS2_8)</f>
        <v>0.67800850835456372</v>
      </c>
      <c r="AW19">
        <f>(CS2_9-AVERAGE(CS2_9))/STDEV(CS2_9)</f>
        <v>-0.66879526321791716</v>
      </c>
      <c r="AX19">
        <f>CS2_0_std * CS2_0_loading+CS2_1_std * CS2_1_loading+CS2_2_std * CS2_2_loading+CS2_3_std * CS2_3_loading+CS2_4_std * CS2_4_loading+CS2_5_std * CS2_5_loading+CS2_6_std * CS2_6_loading+CS2_7_std * CS2_7_loading+CS2_8_std * CS2_8_loading+CS2_9_std * CS2_9_loading</f>
        <v>0.21038033452452309</v>
      </c>
      <c r="AY19">
        <f>(CS2_I_STD-MIN(CS2_I_STD_ALL))/(MAX(CS2_I_STD_ALL)-MIN(CS2_I_STD_ALL))*100</f>
        <v>45.138662726693354</v>
      </c>
      <c r="AZ19" s="138" t="s">
        <v>65</v>
      </c>
      <c r="BA19" s="138">
        <v>57.291403378967317</v>
      </c>
      <c r="BB19" s="139">
        <v>39.687562307851735</v>
      </c>
      <c r="BC19" t="s">
        <v>72</v>
      </c>
      <c r="BD19">
        <v>110.80232603285897</v>
      </c>
      <c r="BE19">
        <v>725.51897490094382</v>
      </c>
      <c r="BF19">
        <v>16.497452321814929</v>
      </c>
      <c r="BG19">
        <v>9.2142911835689851</v>
      </c>
      <c r="BH19">
        <v>2</v>
      </c>
      <c r="BI19">
        <v>4</v>
      </c>
      <c r="BJ19">
        <v>26.899810515503376</v>
      </c>
      <c r="BK19">
        <v>115.50373707382002</v>
      </c>
      <c r="BL19">
        <v>4</v>
      </c>
      <c r="BM19">
        <v>26.899810515503376</v>
      </c>
      <c r="BN19">
        <v>115.50373707382002</v>
      </c>
      <c r="BO19">
        <f>(PCA_0-AVERAGE(PCA_0))/STDEV(PCA_0)</f>
        <v>-0.24310490232835305</v>
      </c>
      <c r="BP19">
        <f>(PCA_1-AVERAGE(PCA_1))/STDEV(PCA_1)</f>
        <v>-0.41690452326915167</v>
      </c>
      <c r="BQ19">
        <f>(PCA_2-AVERAGE(PCA_2))/STDEV(PCA_2)</f>
        <v>0.35832999389073883</v>
      </c>
      <c r="BR19">
        <f>(PCA_3-AVERAGE(PCA_3))/STDEV(PCA_3)</f>
        <v>0.2077906934428245</v>
      </c>
      <c r="BS19">
        <f>(PCA_4-AVERAGE(PCA_4))/STDEV(PCA_4)</f>
        <v>-3.9513038984679963E-2</v>
      </c>
      <c r="BT19">
        <f>(PCA_5-AVERAGE(PCA_5))/STDEV(PCA_5)</f>
        <v>0.67800850835456372</v>
      </c>
      <c r="BU19">
        <f>(PCA_6-AVERAGE(PCA_6))/STDEV(PCA_6)</f>
        <v>-0.66879526321791716</v>
      </c>
      <c r="BV19">
        <f>(PCA_7-AVERAGE(PCA_7))/STDEV(PCA_7)</f>
        <v>-3.9513038984679963E-2</v>
      </c>
      <c r="BW19">
        <f>(PCA_8-AVERAGE(PCA_8))/STDEV(PCA_8)</f>
        <v>0.67800850835456372</v>
      </c>
      <c r="BX19">
        <f>(PCA_9-AVERAGE(PCA_9))/STDEV(PCA_9)</f>
        <v>-0.66879526321791716</v>
      </c>
      <c r="BY19">
        <f>PCA_0_std * PCA_0_loading+PCA_1_std * PCA_1_loading+PCA_2_std * PCA_2_loading+PCA_3_std * PCA_3_loading+PCA_4_std * PCA_4_loading+PCA_5_std * PCA_5_loading+PCA_6_std * PCA_6_loading+PCA_7_std * PCA_7_loading+PCA_8_std * PCA_8_loading+PCA_9_std * PCA_9_loading</f>
        <v>-0.4706510921876943</v>
      </c>
      <c r="BZ19">
        <f>(PCA_I_STD-MIN(PCA_I_STD_ALL))/(MAX(PCA_I_STD_ALL)-MIN(PCA_I_STD_ALL))*100</f>
        <v>48.138518265619908</v>
      </c>
      <c r="CA19" s="138" t="s">
        <v>77</v>
      </c>
      <c r="CB19" s="138">
        <v>75.4867889064125</v>
      </c>
      <c r="CC19" s="139">
        <v>56.962720210730978</v>
      </c>
      <c r="CD19" t="s">
        <v>72</v>
      </c>
      <c r="CE19">
        <v>110.80232603285897</v>
      </c>
      <c r="CF19">
        <v>725.51897490094382</v>
      </c>
      <c r="CG19">
        <v>16.497452321814929</v>
      </c>
      <c r="CH19">
        <v>9.2142911835689851</v>
      </c>
      <c r="CI19">
        <v>2</v>
      </c>
      <c r="CJ19">
        <v>4</v>
      </c>
      <c r="CK19">
        <v>26.899810515503376</v>
      </c>
      <c r="CL19">
        <v>115.50373707382002</v>
      </c>
      <c r="CM19">
        <v>4</v>
      </c>
      <c r="CN19">
        <v>26.899810515503376</v>
      </c>
      <c r="CO19">
        <v>115.50373707382002</v>
      </c>
      <c r="CP19">
        <f>(KTGET_0-AVERAGE(KTGET_0))/STDEV(KTGET_0)</f>
        <v>-0.24310490232835305</v>
      </c>
      <c r="CQ19">
        <f>(KTGET_1-AVERAGE(KTGET_1))/STDEV(KTGET_1)</f>
        <v>-0.41690452326915167</v>
      </c>
      <c r="CR19">
        <f>(KTGET_2-AVERAGE(KTGET_2))/STDEV(KTGET_2)</f>
        <v>0.35832999389073883</v>
      </c>
      <c r="CS19">
        <f>(KTGET_3-AVERAGE(KTGET_3))/STDEV(KTGET_3)</f>
        <v>0.2077906934428245</v>
      </c>
      <c r="CT19">
        <f>(KTGET_4-AVERAGE(KTGET_4))/STDEV(KTGET_4)</f>
        <v>-3.9513038984679963E-2</v>
      </c>
      <c r="CU19">
        <f>(KTGET_5-AVERAGE(KTGET_5))/STDEV(KTGET_5)</f>
        <v>0.67800850835456372</v>
      </c>
      <c r="CV19">
        <f>(KTGET_6-AVERAGE(KTGET_6))/STDEV(KTGET_6)</f>
        <v>-0.66879526321791716</v>
      </c>
      <c r="CW19">
        <f>(KTGET_7-AVERAGE(KTGET_7))/STDEV(KTGET_7)</f>
        <v>-3.9513038984679963E-2</v>
      </c>
      <c r="CX19">
        <f>(KTGET_8-AVERAGE(KTGET_8))/STDEV(KTGET_8)</f>
        <v>0.67800850835456372</v>
      </c>
      <c r="CY19">
        <f>(KTGET_9-AVERAGE(KTGET_9))/STDEV(KTGET_9)</f>
        <v>-0.66879526321791716</v>
      </c>
      <c r="CZ19">
        <f>KTGET_0_std * KTGET_0_loading+KTGET_1_std * KTGET_1_loading+KTGET_2_std * KTGET_2_loading+KTGET_3_std * KTGET_3_loading+KTGET_4_std * KTGET_4_loading+KTGET_5_std * KTGET_5_loading+KTGET_6_std * KTGET_6_loading+KTGET_7_std * KTGET_7_loading+KTGET_8_std * KTGET_8_loading+KTGET_9_std * KTGET_9_loading</f>
        <v>3.262952966437932E-2</v>
      </c>
      <c r="DA19">
        <f>(KTGET_I_STD-MIN(KTGET_I_STD_ALL))/(MAX(KTGET_I_STD_ALL)-MIN(KTGET_I_STD_ALL))*100</f>
        <v>42.219096778484186</v>
      </c>
      <c r="DB19" s="138" t="s">
        <v>72</v>
      </c>
      <c r="DC19" s="138">
        <v>110.80232603285897</v>
      </c>
      <c r="DD19" s="139">
        <v>42.219096778484186</v>
      </c>
      <c r="DE19" t="s">
        <v>72</v>
      </c>
      <c r="DF19">
        <v>110.80232603285897</v>
      </c>
      <c r="DG19">
        <v>725.51897490094382</v>
      </c>
      <c r="DH19">
        <v>16.497452321814929</v>
      </c>
      <c r="DI19">
        <v>9.2142911835689851</v>
      </c>
      <c r="DJ19">
        <v>2</v>
      </c>
      <c r="DK19">
        <v>4</v>
      </c>
      <c r="DL19">
        <v>26.899810515503376</v>
      </c>
      <c r="DM19">
        <v>115.50373707382002</v>
      </c>
      <c r="DN19">
        <v>4</v>
      </c>
      <c r="DO19">
        <v>26.899810515503376</v>
      </c>
      <c r="DP19">
        <v>115.50373707382002</v>
      </c>
      <c r="DQ19">
        <f>(KTGT_0-AVERAGE(KTGT_0))/STDEV(KTGT_0)</f>
        <v>-0.24310490232835305</v>
      </c>
      <c r="DR19">
        <f>(KTGT_1-AVERAGE(KTGT_1))/STDEV(KTGT_1)</f>
        <v>-0.41690452326915167</v>
      </c>
      <c r="DS19">
        <f>(KTGT_2-AVERAGE(KTGT_2))/STDEV(KTGT_2)</f>
        <v>0.35832999389073883</v>
      </c>
      <c r="DT19">
        <f>(KTGT_3-AVERAGE(KTGT_3))/STDEV(KTGT_3)</f>
        <v>0.2077906934428245</v>
      </c>
      <c r="DU19">
        <f>(KTGT_4-AVERAGE(KTGT_4))/STDEV(KTGT_4)</f>
        <v>-3.9513038984679963E-2</v>
      </c>
      <c r="DV19">
        <f>(KTGT_5-AVERAGE(KTGT_5))/STDEV(KTGT_5)</f>
        <v>0.67800850835456372</v>
      </c>
      <c r="DW19">
        <f>(KTGT_6-AVERAGE(KTGT_6))/STDEV(KTGT_6)</f>
        <v>-0.66879526321791716</v>
      </c>
      <c r="DX19">
        <f>(KTGT_7-AVERAGE(KTGT_7))/STDEV(KTGT_7)</f>
        <v>-3.9513038984679963E-2</v>
      </c>
      <c r="DY19">
        <f>(KTGT_8-AVERAGE(KTGT_8))/STDEV(KTGT_8)</f>
        <v>0.67800850835456372</v>
      </c>
      <c r="DZ19">
        <f>(KTGT_9-AVERAGE(KTGT_9))/STDEV(KTGT_9)</f>
        <v>-0.66879526321791716</v>
      </c>
      <c r="EA19">
        <f>KTGT_0_std * KTGT_0_loading+KTGT_1_std * KTGT_1_loading+KTGT_2_std * KTGT_2_loading+KTGT_3_std * KTGT_3_loading+KTGT_4_std * KTGT_4_loading+KTGT_5_std * KTGT_5_loading+KTGT_6_std * KTGT_6_loading+KTGT_7_std * KTGT_7_loading+KTGT_8_std * KTGT_8_loading+KTGT_9_std * KTGT_9_loading</f>
        <v>2.6008553645737786E-2</v>
      </c>
      <c r="EB19">
        <f>(KTGT_I_STD-MIN(KTGT_I_STD_ALL))/(MAX(KTGT_I_STD_ALL)-MIN(KTGT_I_STD_ALL))*100</f>
        <v>42.089197068631478</v>
      </c>
      <c r="EC19" s="138" t="s">
        <v>72</v>
      </c>
      <c r="ED19" s="138">
        <v>110.80232603285897</v>
      </c>
      <c r="EE19" s="139">
        <v>42.089197068631478</v>
      </c>
      <c r="EF19" t="s">
        <v>72</v>
      </c>
      <c r="EG19">
        <v>110.80232603285897</v>
      </c>
      <c r="EH19">
        <v>725.51897490094382</v>
      </c>
      <c r="EI19">
        <v>16.497452321814929</v>
      </c>
      <c r="EJ19">
        <v>9.2142911835689851</v>
      </c>
      <c r="EK19">
        <v>2</v>
      </c>
      <c r="EL19">
        <v>4</v>
      </c>
      <c r="EM19">
        <v>26.899810515503376</v>
      </c>
      <c r="EN19">
        <v>115.50373707382002</v>
      </c>
      <c r="EO19">
        <v>4</v>
      </c>
      <c r="EP19">
        <v>26.899810515503376</v>
      </c>
      <c r="EQ19">
        <v>115.50373707382002</v>
      </c>
      <c r="ER19">
        <f>(SA_0-AVERAGE(SA_0))/STDEV(SA_0)</f>
        <v>-0.24310490232835305</v>
      </c>
      <c r="ES19">
        <f>(SA_1-AVERAGE(SA_1))/STDEV(SA_1)</f>
        <v>-0.41690452326915167</v>
      </c>
      <c r="ET19">
        <f>(SA_2-AVERAGE(SA_2))/STDEV(SA_2)</f>
        <v>0.35832999389073883</v>
      </c>
      <c r="EU19">
        <f>(SA_3-AVERAGE(SA_3))/STDEV(SA_3)</f>
        <v>0.2077906934428245</v>
      </c>
      <c r="EV19">
        <f>(SA_4-AVERAGE(SA_4))/STDEV(SA_4)</f>
        <v>-3.9513038984679963E-2</v>
      </c>
      <c r="EW19">
        <f>(SA_5-AVERAGE(SA_5))/STDEV(SA_5)</f>
        <v>0.67800850835456372</v>
      </c>
      <c r="EX19">
        <f>(SA_6-AVERAGE(SA_6))/STDEV(SA_6)</f>
        <v>-0.66879526321791716</v>
      </c>
      <c r="EY19">
        <f>(SA_7-AVERAGE(SA_7))/STDEV(SA_7)</f>
        <v>-3.9513038984679963E-2</v>
      </c>
      <c r="EZ19">
        <f>(SA_8-AVERAGE(SA_8))/STDEV(SA_8)</f>
        <v>0.67800850835456372</v>
      </c>
      <c r="FA19">
        <f>(SA_9-AVERAGE(SA_9))/STDEV(SA_9)</f>
        <v>-0.66879526321791716</v>
      </c>
      <c r="FB19">
        <f>SA_0_std * SA_0_loading+SA_1_std * SA_1_loading+SA_2_std * SA_2_loading+SA_3_std * SA_3_loading+SA_4_std * SA_4_loading+SA_5_std * SA_5_loading+SA_6_std * SA_6_loading+SA_7_std * SA_7_loading+SA_8_std * SA_8_loading+SA_9_std * SA_9_loading</f>
        <v>-4.8853498194014439E-2</v>
      </c>
      <c r="FC19">
        <f>(SA_I_STD-MIN(SA_I_STD_ALL))/(MAX(SA_I_STD_ALL)-MIN(SA_I_STD_ALL))*100</f>
        <v>52.355249566951215</v>
      </c>
      <c r="FD19" s="138" t="s">
        <v>70</v>
      </c>
      <c r="FE19" s="138">
        <v>91.141772084442891</v>
      </c>
      <c r="FF19" s="139">
        <v>52.608861370085769</v>
      </c>
    </row>
    <row r="20" spans="1:162" x14ac:dyDescent="0.25">
      <c r="A20" t="s">
        <v>65</v>
      </c>
      <c r="B20">
        <v>57.291403378967317</v>
      </c>
      <c r="C20">
        <v>671.35726708556149</v>
      </c>
      <c r="D20">
        <v>17.698990427807487</v>
      </c>
      <c r="E20">
        <v>6.09</v>
      </c>
      <c r="F20">
        <v>1</v>
      </c>
      <c r="G20">
        <v>14</v>
      </c>
      <c r="H20">
        <v>8.2000000000000028</v>
      </c>
      <c r="I20">
        <v>329.06611868595706</v>
      </c>
      <c r="J20">
        <v>14</v>
      </c>
      <c r="K20">
        <v>8.2000000000000028</v>
      </c>
      <c r="L20">
        <v>329.06611868595706</v>
      </c>
      <c r="M20">
        <f>(CS1_0-AVERAGE(CS1_0))/STDEV(CS1_0)</f>
        <v>-0.24630280290804471</v>
      </c>
      <c r="N20">
        <f>(CS1_1-AVERAGE(CS1_1))/STDEV(CS1_1)</f>
        <v>-0.31017884112252408</v>
      </c>
      <c r="O20">
        <f>(CS1_2-AVERAGE(CS1_2))/STDEV(CS1_2)</f>
        <v>-0.43483790151905344</v>
      </c>
      <c r="P20">
        <f>(CS1_3-AVERAGE(CS1_3))/STDEV(CS1_3)</f>
        <v>-0.76189920929035693</v>
      </c>
      <c r="Q20">
        <f>(CS1_4-AVERAGE(CS1_4))/STDEV(CS1_4)</f>
        <v>1.3434433254791196</v>
      </c>
      <c r="R20">
        <f>(CS1_5-AVERAGE(CS1_5))/STDEV(CS1_5)</f>
        <v>-0.64605945645357077</v>
      </c>
      <c r="S20">
        <f>(CS1_6-AVERAGE(CS1_6))/STDEV(CS1_6)</f>
        <v>0.88520576782617233</v>
      </c>
      <c r="T20">
        <f>(CS1_7-AVERAGE(CS1_7))/STDEV(CS1_7)</f>
        <v>1.3434433254791196</v>
      </c>
      <c r="U20">
        <f>(CS1_8-AVERAGE(CS1_8))/STDEV(CS1_8)</f>
        <v>-0.64605945645357077</v>
      </c>
      <c r="V20">
        <f>(CS1_9-AVERAGE(CS1_9))/STDEV(CS1_9)</f>
        <v>0.88520576782617233</v>
      </c>
      <c r="W20">
        <f>CS1_0_std * CS1_0_loading+CS1_1_std * CS1_1_loading+CS1_2_std * CS1_2_loading+CS1_3_std * CS1_3_loading+CS1_4_std * CS1_4_loading+CS1_5_std * CS1_5_loading+CS1_6_std * CS1_6_loading+CS1_7_std * CS1_7_loading+CS1_8_std * CS1_8_loading+CS1_9_std * CS1_9_loading</f>
        <v>0.18651121438999707</v>
      </c>
      <c r="X20">
        <f>(CS1_I_STD-MIN(CS1_I_STD_ALL))/(MAX(CS1_I_STD_ALL)-MIN(CS1_I_STD_ALL))*100</f>
        <v>44.836772337266076</v>
      </c>
      <c r="Y20" s="138" t="s">
        <v>64</v>
      </c>
      <c r="Z20" s="138">
        <v>358.81422113562593</v>
      </c>
      <c r="AA20" s="139">
        <v>42.910084412802604</v>
      </c>
      <c r="AB20" t="s">
        <v>65</v>
      </c>
      <c r="AC20">
        <v>57.291403378967317</v>
      </c>
      <c r="AD20">
        <v>671.35726708556149</v>
      </c>
      <c r="AE20">
        <v>17.698990427807487</v>
      </c>
      <c r="AF20">
        <v>6.09</v>
      </c>
      <c r="AG20">
        <v>1</v>
      </c>
      <c r="AH20">
        <v>14</v>
      </c>
      <c r="AI20">
        <v>8.2000000000000028</v>
      </c>
      <c r="AJ20">
        <v>329.06611868595706</v>
      </c>
      <c r="AK20">
        <v>14</v>
      </c>
      <c r="AL20">
        <v>8.2000000000000028</v>
      </c>
      <c r="AM20">
        <v>329.06611868595706</v>
      </c>
      <c r="AN20">
        <f>(CS2_0-AVERAGE(CS2_0))/STDEV(CS2_0)</f>
        <v>-0.24630280290804471</v>
      </c>
      <c r="AO20">
        <f>(CS2_1-AVERAGE(CS2_1))/STDEV(CS2_1)</f>
        <v>-0.31017884112252408</v>
      </c>
      <c r="AP20">
        <f>(CS2_2-AVERAGE(CS2_2))/STDEV(CS2_2)</f>
        <v>-0.43483790151905344</v>
      </c>
      <c r="AQ20">
        <f>(CS2_3-AVERAGE(CS2_3))/STDEV(CS2_3)</f>
        <v>-0.76189920929035693</v>
      </c>
      <c r="AR20">
        <f>(CS2_4-AVERAGE(CS2_4))/STDEV(CS2_4)</f>
        <v>1.3434433254791196</v>
      </c>
      <c r="AS20">
        <f>(CS2_5-AVERAGE(CS2_5))/STDEV(CS2_5)</f>
        <v>-0.64605945645357077</v>
      </c>
      <c r="AT20">
        <f>(CS2_6-AVERAGE(CS2_6))/STDEV(CS2_6)</f>
        <v>0.88520576782617233</v>
      </c>
      <c r="AU20">
        <f>(CS2_7-AVERAGE(CS2_7))/STDEV(CS2_7)</f>
        <v>1.3434433254791196</v>
      </c>
      <c r="AV20">
        <f>(CS2_8-AVERAGE(CS2_8))/STDEV(CS2_8)</f>
        <v>-0.64605945645357077</v>
      </c>
      <c r="AW20">
        <f>(CS2_9-AVERAGE(CS2_9))/STDEV(CS2_9)</f>
        <v>0.88520576782617233</v>
      </c>
      <c r="AX20">
        <f>CS2_0_std * CS2_0_loading+CS2_1_std * CS2_1_loading+CS2_2_std * CS2_2_loading+CS2_3_std * CS2_3_loading+CS2_4_std * CS2_4_loading+CS2_5_std * CS2_5_loading+CS2_6_std * CS2_6_loading+CS2_7_std * CS2_7_loading+CS2_8_std * CS2_8_loading+CS2_9_std * CS2_9_loading</f>
        <v>-0.12268027431875073</v>
      </c>
      <c r="AY20">
        <f>(CS2_I_STD-MIN(CS2_I_STD_ALL))/(MAX(CS2_I_STD_ALL)-MIN(CS2_I_STD_ALL))*100</f>
        <v>39.687562307851735</v>
      </c>
      <c r="AZ20" s="138" t="s">
        <v>61</v>
      </c>
      <c r="BA20" s="138">
        <v>94.719790963219936</v>
      </c>
      <c r="BB20" s="139">
        <v>40.270775932950322</v>
      </c>
      <c r="BC20" t="s">
        <v>65</v>
      </c>
      <c r="BD20">
        <v>57.291403378967317</v>
      </c>
      <c r="BE20">
        <v>671.35726708556149</v>
      </c>
      <c r="BF20">
        <v>17.698990427807487</v>
      </c>
      <c r="BG20">
        <v>6.09</v>
      </c>
      <c r="BH20">
        <v>1</v>
      </c>
      <c r="BI20">
        <v>14</v>
      </c>
      <c r="BJ20">
        <v>8.2000000000000028</v>
      </c>
      <c r="BK20">
        <v>329.06611868595706</v>
      </c>
      <c r="BL20">
        <v>14</v>
      </c>
      <c r="BM20">
        <v>8.2000000000000028</v>
      </c>
      <c r="BN20">
        <v>329.06611868595706</v>
      </c>
      <c r="BO20">
        <f>(PCA_0-AVERAGE(PCA_0))/STDEV(PCA_0)</f>
        <v>-0.24630280290804471</v>
      </c>
      <c r="BP20">
        <f>(PCA_1-AVERAGE(PCA_1))/STDEV(PCA_1)</f>
        <v>-0.31017884112252408</v>
      </c>
      <c r="BQ20">
        <f>(PCA_2-AVERAGE(PCA_2))/STDEV(PCA_2)</f>
        <v>-0.43483790151905344</v>
      </c>
      <c r="BR20">
        <f>(PCA_3-AVERAGE(PCA_3))/STDEV(PCA_3)</f>
        <v>-0.76189920929035693</v>
      </c>
      <c r="BS20">
        <f>(PCA_4-AVERAGE(PCA_4))/STDEV(PCA_4)</f>
        <v>1.3434433254791196</v>
      </c>
      <c r="BT20">
        <f>(PCA_5-AVERAGE(PCA_5))/STDEV(PCA_5)</f>
        <v>-0.64605945645357077</v>
      </c>
      <c r="BU20">
        <f>(PCA_6-AVERAGE(PCA_6))/STDEV(PCA_6)</f>
        <v>0.88520576782617233</v>
      </c>
      <c r="BV20">
        <f>(PCA_7-AVERAGE(PCA_7))/STDEV(PCA_7)</f>
        <v>1.3434433254791196</v>
      </c>
      <c r="BW20">
        <f>(PCA_8-AVERAGE(PCA_8))/STDEV(PCA_8)</f>
        <v>-0.64605945645357077</v>
      </c>
      <c r="BX20">
        <f>(PCA_9-AVERAGE(PCA_9))/STDEV(PCA_9)</f>
        <v>0.88520576782617233</v>
      </c>
      <c r="BY20">
        <f>PCA_0_std * PCA_0_loading+PCA_1_std * PCA_1_loading+PCA_2_std * PCA_2_loading+PCA_3_std * PCA_3_loading+PCA_4_std * PCA_4_loading+PCA_5_std * PCA_5_loading+PCA_6_std * PCA_6_loading+PCA_7_std * PCA_7_loading+PCA_8_std * PCA_8_loading+PCA_9_std * PCA_9_loading</f>
        <v>2.2779153344714009</v>
      </c>
      <c r="BZ20">
        <f>(PCA_I_STD-MIN(PCA_I_STD_ALL))/(MAX(PCA_I_STD_ALL)-MIN(PCA_I_STD_ALL))*100</f>
        <v>86.460620528263476</v>
      </c>
      <c r="CA20" s="138" t="s">
        <v>63</v>
      </c>
      <c r="CB20" s="138">
        <v>158.91826997347314</v>
      </c>
      <c r="CC20" s="139">
        <v>61.683457592194642</v>
      </c>
      <c r="CD20" t="s">
        <v>65</v>
      </c>
      <c r="CE20">
        <v>57.291403378967317</v>
      </c>
      <c r="CF20">
        <v>671.35726708556149</v>
      </c>
      <c r="CG20">
        <v>17.698990427807487</v>
      </c>
      <c r="CH20">
        <v>6.09</v>
      </c>
      <c r="CI20">
        <v>1</v>
      </c>
      <c r="CJ20">
        <v>14</v>
      </c>
      <c r="CK20">
        <v>8.2000000000000028</v>
      </c>
      <c r="CL20">
        <v>329.06611868595706</v>
      </c>
      <c r="CM20">
        <v>14</v>
      </c>
      <c r="CN20">
        <v>8.2000000000000028</v>
      </c>
      <c r="CO20">
        <v>329.06611868595706</v>
      </c>
      <c r="CP20">
        <f>(KTGET_0-AVERAGE(KTGET_0))/STDEV(KTGET_0)</f>
        <v>-0.24630280290804471</v>
      </c>
      <c r="CQ20">
        <f>(KTGET_1-AVERAGE(KTGET_1))/STDEV(KTGET_1)</f>
        <v>-0.31017884112252408</v>
      </c>
      <c r="CR20">
        <f>(KTGET_2-AVERAGE(KTGET_2))/STDEV(KTGET_2)</f>
        <v>-0.43483790151905344</v>
      </c>
      <c r="CS20">
        <f>(KTGET_3-AVERAGE(KTGET_3))/STDEV(KTGET_3)</f>
        <v>-0.76189920929035693</v>
      </c>
      <c r="CT20">
        <f>(KTGET_4-AVERAGE(KTGET_4))/STDEV(KTGET_4)</f>
        <v>1.3434433254791196</v>
      </c>
      <c r="CU20">
        <f>(KTGET_5-AVERAGE(KTGET_5))/STDEV(KTGET_5)</f>
        <v>-0.64605945645357077</v>
      </c>
      <c r="CV20">
        <f>(KTGET_6-AVERAGE(KTGET_6))/STDEV(KTGET_6)</f>
        <v>0.88520576782617233</v>
      </c>
      <c r="CW20">
        <f>(KTGET_7-AVERAGE(KTGET_7))/STDEV(KTGET_7)</f>
        <v>1.3434433254791196</v>
      </c>
      <c r="CX20">
        <f>(KTGET_8-AVERAGE(KTGET_8))/STDEV(KTGET_8)</f>
        <v>-0.64605945645357077</v>
      </c>
      <c r="CY20">
        <f>(KTGET_9-AVERAGE(KTGET_9))/STDEV(KTGET_9)</f>
        <v>0.88520576782617233</v>
      </c>
      <c r="CZ20">
        <f>KTGET_0_std * KTGET_0_loading+KTGET_1_std * KTGET_1_loading+KTGET_2_std * KTGET_2_loading+KTGET_3_std * KTGET_3_loading+KTGET_4_std * KTGET_4_loading+KTGET_5_std * KTGET_5_loading+KTGET_6_std * KTGET_6_loading+KTGET_7_std * KTGET_7_loading+KTGET_8_std * KTGET_8_loading+KTGET_9_std * KTGET_9_loading</f>
        <v>0.18650718192262161</v>
      </c>
      <c r="DA20">
        <f>(KTGET_I_STD-MIN(KTGET_I_STD_ALL))/(MAX(KTGET_I_STD_ALL)-MIN(KTGET_I_STD_ALL))*100</f>
        <v>44.836729717263808</v>
      </c>
      <c r="DB20" s="138" t="s">
        <v>64</v>
      </c>
      <c r="DC20" s="138">
        <v>358.81422113562593</v>
      </c>
      <c r="DD20" s="139">
        <v>42.910092429667571</v>
      </c>
      <c r="DE20" t="s">
        <v>65</v>
      </c>
      <c r="DF20">
        <v>57.291403378967317</v>
      </c>
      <c r="DG20">
        <v>671.35726708556149</v>
      </c>
      <c r="DH20">
        <v>17.698990427807487</v>
      </c>
      <c r="DI20">
        <v>6.09</v>
      </c>
      <c r="DJ20">
        <v>1</v>
      </c>
      <c r="DK20">
        <v>14</v>
      </c>
      <c r="DL20">
        <v>8.2000000000000028</v>
      </c>
      <c r="DM20">
        <v>329.06611868595706</v>
      </c>
      <c r="DN20">
        <v>14</v>
      </c>
      <c r="DO20">
        <v>8.2000000000000028</v>
      </c>
      <c r="DP20">
        <v>329.06611868595706</v>
      </c>
      <c r="DQ20">
        <f>(KTGT_0-AVERAGE(KTGT_0))/STDEV(KTGT_0)</f>
        <v>-0.24630280290804471</v>
      </c>
      <c r="DR20">
        <f>(KTGT_1-AVERAGE(KTGT_1))/STDEV(KTGT_1)</f>
        <v>-0.31017884112252408</v>
      </c>
      <c r="DS20">
        <f>(KTGT_2-AVERAGE(KTGT_2))/STDEV(KTGT_2)</f>
        <v>-0.43483790151905344</v>
      </c>
      <c r="DT20">
        <f>(KTGT_3-AVERAGE(KTGT_3))/STDEV(KTGT_3)</f>
        <v>-0.76189920929035693</v>
      </c>
      <c r="DU20">
        <f>(KTGT_4-AVERAGE(KTGT_4))/STDEV(KTGT_4)</f>
        <v>1.3434433254791196</v>
      </c>
      <c r="DV20">
        <f>(KTGT_5-AVERAGE(KTGT_5))/STDEV(KTGT_5)</f>
        <v>-0.64605945645357077</v>
      </c>
      <c r="DW20">
        <f>(KTGT_6-AVERAGE(KTGT_6))/STDEV(KTGT_6)</f>
        <v>0.88520576782617233</v>
      </c>
      <c r="DX20">
        <f>(KTGT_7-AVERAGE(KTGT_7))/STDEV(KTGT_7)</f>
        <v>1.3434433254791196</v>
      </c>
      <c r="DY20">
        <f>(KTGT_8-AVERAGE(KTGT_8))/STDEV(KTGT_8)</f>
        <v>-0.64605945645357077</v>
      </c>
      <c r="DZ20">
        <f>(KTGT_9-AVERAGE(KTGT_9))/STDEV(KTGT_9)</f>
        <v>0.88520576782617233</v>
      </c>
      <c r="EA20">
        <f>KTGT_0_std * KTGT_0_loading+KTGT_1_std * KTGT_1_loading+KTGT_2_std * KTGT_2_loading+KTGT_3_std * KTGT_3_loading+KTGT_4_std * KTGT_4_loading+KTGT_5_std * KTGT_5_loading+KTGT_6_std * KTGT_6_loading+KTGT_7_std * KTGT_7_loading+KTGT_8_std * KTGT_8_loading+KTGT_9_std * KTGT_9_loading</f>
        <v>0.200495893897712</v>
      </c>
      <c r="EB20">
        <f>(KTGT_I_STD-MIN(KTGT_I_STD_ALL))/(MAX(KTGT_I_STD_ALL)-MIN(KTGT_I_STD_ALL))*100</f>
        <v>45.055824294875215</v>
      </c>
      <c r="EC20" s="138" t="s">
        <v>64</v>
      </c>
      <c r="ED20" s="138">
        <v>358.81422113562593</v>
      </c>
      <c r="EE20" s="139">
        <v>42.844306058435606</v>
      </c>
      <c r="EF20" t="s">
        <v>65</v>
      </c>
      <c r="EG20">
        <v>57.291403378967317</v>
      </c>
      <c r="EH20">
        <v>671.35726708556149</v>
      </c>
      <c r="EI20">
        <v>17.698990427807487</v>
      </c>
      <c r="EJ20">
        <v>6.09</v>
      </c>
      <c r="EK20">
        <v>1</v>
      </c>
      <c r="EL20">
        <v>14</v>
      </c>
      <c r="EM20">
        <v>8.2000000000000028</v>
      </c>
      <c r="EN20">
        <v>329.06611868595706</v>
      </c>
      <c r="EO20">
        <v>14</v>
      </c>
      <c r="EP20">
        <v>8.2000000000000028</v>
      </c>
      <c r="EQ20">
        <v>329.06611868595706</v>
      </c>
      <c r="ER20">
        <f>(SA_0-AVERAGE(SA_0))/STDEV(SA_0)</f>
        <v>-0.24630280290804471</v>
      </c>
      <c r="ES20">
        <f>(SA_1-AVERAGE(SA_1))/STDEV(SA_1)</f>
        <v>-0.31017884112252408</v>
      </c>
      <c r="ET20">
        <f>(SA_2-AVERAGE(SA_2))/STDEV(SA_2)</f>
        <v>-0.43483790151905344</v>
      </c>
      <c r="EU20">
        <f>(SA_3-AVERAGE(SA_3))/STDEV(SA_3)</f>
        <v>-0.76189920929035693</v>
      </c>
      <c r="EV20">
        <f>(SA_4-AVERAGE(SA_4))/STDEV(SA_4)</f>
        <v>1.3434433254791196</v>
      </c>
      <c r="EW20">
        <f>(SA_5-AVERAGE(SA_5))/STDEV(SA_5)</f>
        <v>-0.64605945645357077</v>
      </c>
      <c r="EX20">
        <f>(SA_6-AVERAGE(SA_6))/STDEV(SA_6)</f>
        <v>0.88520576782617233</v>
      </c>
      <c r="EY20">
        <f>(SA_7-AVERAGE(SA_7))/STDEV(SA_7)</f>
        <v>1.3434433254791196</v>
      </c>
      <c r="EZ20">
        <f>(SA_8-AVERAGE(SA_8))/STDEV(SA_8)</f>
        <v>-0.64605945645357077</v>
      </c>
      <c r="FA20">
        <f>(SA_9-AVERAGE(SA_9))/STDEV(SA_9)</f>
        <v>0.88520576782617233</v>
      </c>
      <c r="FB20">
        <f>SA_0_std * SA_0_loading+SA_1_std * SA_1_loading+SA_2_std * SA_2_loading+SA_3_std * SA_3_loading+SA_4_std * SA_4_loading+SA_5_std * SA_5_loading+SA_6_std * SA_6_loading+SA_7_std * SA_7_loading+SA_8_std * SA_8_loading+SA_9_std * SA_9_loading</f>
        <v>0.44650112058416824</v>
      </c>
      <c r="FC20">
        <f>(SA_I_STD-MIN(SA_I_STD_ALL))/(MAX(SA_I_STD_ALL)-MIN(SA_I_STD_ALL))*100</f>
        <v>61.5268683732195</v>
      </c>
      <c r="FD20" s="138" t="s">
        <v>68</v>
      </c>
      <c r="FE20" s="138">
        <v>357.45486313337216</v>
      </c>
      <c r="FF20" s="139">
        <v>54.127309156501013</v>
      </c>
    </row>
    <row r="21" spans="1:162" x14ac:dyDescent="0.25">
      <c r="A21" t="s">
        <v>61</v>
      </c>
      <c r="B21">
        <v>94.719790963219936</v>
      </c>
      <c r="C21">
        <v>622.08752152842499</v>
      </c>
      <c r="D21">
        <v>15.033816961789377</v>
      </c>
      <c r="E21">
        <v>6</v>
      </c>
      <c r="F21">
        <v>1</v>
      </c>
      <c r="G21">
        <v>3</v>
      </c>
      <c r="H21">
        <v>8.7999999999999972</v>
      </c>
      <c r="I21">
        <v>328.10791104629965</v>
      </c>
      <c r="J21">
        <v>3</v>
      </c>
      <c r="K21">
        <v>8.7999999999999972</v>
      </c>
      <c r="L21">
        <v>328.10791104629965</v>
      </c>
      <c r="M21">
        <f>(CS1_0-AVERAGE(CS1_0))/STDEV(CS1_0)</f>
        <v>-0.24921186457233885</v>
      </c>
      <c r="N21">
        <f>(CS1_1-AVERAGE(CS1_1))/STDEV(CS1_1)</f>
        <v>-0.54691078893278888</v>
      </c>
      <c r="O21">
        <f>(CS1_2-AVERAGE(CS1_2))/STDEV(CS1_2)</f>
        <v>-0.45768631941374388</v>
      </c>
      <c r="P21">
        <f>(CS1_3-AVERAGE(CS1_3))/STDEV(CS1_3)</f>
        <v>-0.76189920929035693</v>
      </c>
      <c r="Q21">
        <f>(CS1_4-AVERAGE(CS1_4))/STDEV(CS1_4)</f>
        <v>-0.17780867543105991</v>
      </c>
      <c r="R21">
        <f>(CS1_5-AVERAGE(CS1_5))/STDEV(CS1_5)</f>
        <v>-0.60357556185869077</v>
      </c>
      <c r="S21">
        <f>(CS1_6-AVERAGE(CS1_6))/STDEV(CS1_6)</f>
        <v>0.87823330550045109</v>
      </c>
      <c r="T21">
        <f>(CS1_7-AVERAGE(CS1_7))/STDEV(CS1_7)</f>
        <v>-0.17780867543105991</v>
      </c>
      <c r="U21">
        <f>(CS1_8-AVERAGE(CS1_8))/STDEV(CS1_8)</f>
        <v>-0.60357556185869077</v>
      </c>
      <c r="V21">
        <f>(CS1_9-AVERAGE(CS1_9))/STDEV(CS1_9)</f>
        <v>0.87823330550045109</v>
      </c>
      <c r="W21">
        <f>CS1_0_std * CS1_0_loading+CS1_1_std * CS1_1_loading+CS1_2_std * CS1_2_loading+CS1_3_std * CS1_3_loading+CS1_4_std * CS1_4_loading+CS1_5_std * CS1_5_loading+CS1_6_std * CS1_6_loading+CS1_7_std * CS1_7_loading+CS1_8_std * CS1_8_loading+CS1_9_std * CS1_9_loading</f>
        <v>0.21509615670547</v>
      </c>
      <c r="X21">
        <f>(CS1_I_STD-MIN(CS1_I_STD_ALL))/(MAX(CS1_I_STD_ALL)-MIN(CS1_I_STD_ALL))*100</f>
        <v>45.323034858831868</v>
      </c>
      <c r="Y21" s="138" t="s">
        <v>65</v>
      </c>
      <c r="Z21" s="138">
        <v>57.291403378967317</v>
      </c>
      <c r="AA21" s="139">
        <v>44.836772337266076</v>
      </c>
      <c r="AB21" t="s">
        <v>61</v>
      </c>
      <c r="AC21">
        <v>94.719790963219936</v>
      </c>
      <c r="AD21">
        <v>622.08752152842499</v>
      </c>
      <c r="AE21">
        <v>15.033816961789377</v>
      </c>
      <c r="AF21">
        <v>6</v>
      </c>
      <c r="AG21">
        <v>1</v>
      </c>
      <c r="AH21">
        <v>3</v>
      </c>
      <c r="AI21">
        <v>8.7999999999999972</v>
      </c>
      <c r="AJ21">
        <v>328.10791104629965</v>
      </c>
      <c r="AK21">
        <v>3</v>
      </c>
      <c r="AL21">
        <v>8.7999999999999972</v>
      </c>
      <c r="AM21">
        <v>328.10791104629965</v>
      </c>
      <c r="AN21">
        <f>(CS2_0-AVERAGE(CS2_0))/STDEV(CS2_0)</f>
        <v>-0.24921186457233885</v>
      </c>
      <c r="AO21">
        <f>(CS2_1-AVERAGE(CS2_1))/STDEV(CS2_1)</f>
        <v>-0.54691078893278888</v>
      </c>
      <c r="AP21">
        <f>(CS2_2-AVERAGE(CS2_2))/STDEV(CS2_2)</f>
        <v>-0.45768631941374388</v>
      </c>
      <c r="AQ21">
        <f>(CS2_3-AVERAGE(CS2_3))/STDEV(CS2_3)</f>
        <v>-0.76189920929035693</v>
      </c>
      <c r="AR21">
        <f>(CS2_4-AVERAGE(CS2_4))/STDEV(CS2_4)</f>
        <v>-0.17780867543105991</v>
      </c>
      <c r="AS21">
        <f>(CS2_5-AVERAGE(CS2_5))/STDEV(CS2_5)</f>
        <v>-0.60357556185869077</v>
      </c>
      <c r="AT21">
        <f>(CS2_6-AVERAGE(CS2_6))/STDEV(CS2_6)</f>
        <v>0.87823330550045109</v>
      </c>
      <c r="AU21">
        <f>(CS2_7-AVERAGE(CS2_7))/STDEV(CS2_7)</f>
        <v>-0.17780867543105991</v>
      </c>
      <c r="AV21">
        <f>(CS2_8-AVERAGE(CS2_8))/STDEV(CS2_8)</f>
        <v>-0.60357556185869077</v>
      </c>
      <c r="AW21">
        <f>(CS2_9-AVERAGE(CS2_9))/STDEV(CS2_9)</f>
        <v>0.87823330550045109</v>
      </c>
      <c r="AX21">
        <f>CS2_0_std * CS2_0_loading+CS2_1_std * CS2_1_loading+CS2_2_std * CS2_2_loading+CS2_3_std * CS2_3_loading+CS2_4_std * CS2_4_loading+CS2_5_std * CS2_5_loading+CS2_6_std * CS2_6_loading+CS2_7_std * CS2_7_loading+CS2_8_std * CS2_8_loading+CS2_9_std * CS2_9_loading</f>
        <v>-8.704609587110701E-2</v>
      </c>
      <c r="AY21">
        <f>(CS2_I_STD-MIN(CS2_I_STD_ALL))/(MAX(CS2_I_STD_ALL)-MIN(CS2_I_STD_ALL))*100</f>
        <v>40.270775932950322</v>
      </c>
      <c r="AZ21" s="138" t="s">
        <v>64</v>
      </c>
      <c r="BA21" s="138">
        <v>358.81422113562593</v>
      </c>
      <c r="BB21" s="139">
        <v>40.642035587311589</v>
      </c>
      <c r="BC21" t="s">
        <v>61</v>
      </c>
      <c r="BD21">
        <v>94.719790963219936</v>
      </c>
      <c r="BE21">
        <v>622.08752152842499</v>
      </c>
      <c r="BF21">
        <v>15.033816961789377</v>
      </c>
      <c r="BG21">
        <v>6</v>
      </c>
      <c r="BH21">
        <v>1</v>
      </c>
      <c r="BI21">
        <v>3</v>
      </c>
      <c r="BJ21">
        <v>8.7999999999999972</v>
      </c>
      <c r="BK21">
        <v>328.10791104629965</v>
      </c>
      <c r="BL21">
        <v>3</v>
      </c>
      <c r="BM21">
        <v>8.7999999999999972</v>
      </c>
      <c r="BN21">
        <v>328.10791104629965</v>
      </c>
      <c r="BO21">
        <f>(PCA_0-AVERAGE(PCA_0))/STDEV(PCA_0)</f>
        <v>-0.24921186457233885</v>
      </c>
      <c r="BP21">
        <f>(PCA_1-AVERAGE(PCA_1))/STDEV(PCA_1)</f>
        <v>-0.54691078893278888</v>
      </c>
      <c r="BQ21">
        <f>(PCA_2-AVERAGE(PCA_2))/STDEV(PCA_2)</f>
        <v>-0.45768631941374388</v>
      </c>
      <c r="BR21">
        <f>(PCA_3-AVERAGE(PCA_3))/STDEV(PCA_3)</f>
        <v>-0.76189920929035693</v>
      </c>
      <c r="BS21">
        <f>(PCA_4-AVERAGE(PCA_4))/STDEV(PCA_4)</f>
        <v>-0.17780867543105991</v>
      </c>
      <c r="BT21">
        <f>(PCA_5-AVERAGE(PCA_5))/STDEV(PCA_5)</f>
        <v>-0.60357556185869077</v>
      </c>
      <c r="BU21">
        <f>(PCA_6-AVERAGE(PCA_6))/STDEV(PCA_6)</f>
        <v>0.87823330550045109</v>
      </c>
      <c r="BV21">
        <f>(PCA_7-AVERAGE(PCA_7))/STDEV(PCA_7)</f>
        <v>-0.17780867543105991</v>
      </c>
      <c r="BW21">
        <f>(PCA_8-AVERAGE(PCA_8))/STDEV(PCA_8)</f>
        <v>-0.60357556185869077</v>
      </c>
      <c r="BX21">
        <f>(PCA_9-AVERAGE(PCA_9))/STDEV(PCA_9)</f>
        <v>0.87823330550045109</v>
      </c>
      <c r="BY21">
        <f>PCA_0_std * PCA_0_loading+PCA_1_std * PCA_1_loading+PCA_2_std * PCA_2_loading+PCA_3_std * PCA_3_loading+PCA_4_std * PCA_4_loading+PCA_5_std * PCA_5_loading+PCA_6_std * PCA_6_loading+PCA_7_std * PCA_7_loading+PCA_8_std * PCA_8_loading+PCA_9_std * PCA_9_loading</f>
        <v>1.036856886622004</v>
      </c>
      <c r="BZ21">
        <f>(PCA_I_STD-MIN(PCA_I_STD_ALL))/(MAX(PCA_I_STD_ALL)-MIN(PCA_I_STD_ALL))*100</f>
        <v>69.157066103998815</v>
      </c>
      <c r="CA21" s="138" t="s">
        <v>71</v>
      </c>
      <c r="CB21" s="138">
        <v>59.97365989925494</v>
      </c>
      <c r="CC21" s="139">
        <v>63.334858783558744</v>
      </c>
      <c r="CD21" t="s">
        <v>61</v>
      </c>
      <c r="CE21">
        <v>94.719790963219936</v>
      </c>
      <c r="CF21">
        <v>622.08752152842499</v>
      </c>
      <c r="CG21">
        <v>15.033816961789377</v>
      </c>
      <c r="CH21">
        <v>6</v>
      </c>
      <c r="CI21">
        <v>1</v>
      </c>
      <c r="CJ21">
        <v>3</v>
      </c>
      <c r="CK21">
        <v>8.7999999999999972</v>
      </c>
      <c r="CL21">
        <v>328.10791104629965</v>
      </c>
      <c r="CM21">
        <v>3</v>
      </c>
      <c r="CN21">
        <v>8.7999999999999972</v>
      </c>
      <c r="CO21">
        <v>328.10791104629965</v>
      </c>
      <c r="CP21">
        <f>(KTGET_0-AVERAGE(KTGET_0))/STDEV(KTGET_0)</f>
        <v>-0.24921186457233885</v>
      </c>
      <c r="CQ21">
        <f>(KTGET_1-AVERAGE(KTGET_1))/STDEV(KTGET_1)</f>
        <v>-0.54691078893278888</v>
      </c>
      <c r="CR21">
        <f>(KTGET_2-AVERAGE(KTGET_2))/STDEV(KTGET_2)</f>
        <v>-0.45768631941374388</v>
      </c>
      <c r="CS21">
        <f>(KTGET_3-AVERAGE(KTGET_3))/STDEV(KTGET_3)</f>
        <v>-0.76189920929035693</v>
      </c>
      <c r="CT21">
        <f>(KTGET_4-AVERAGE(KTGET_4))/STDEV(KTGET_4)</f>
        <v>-0.17780867543105991</v>
      </c>
      <c r="CU21">
        <f>(KTGET_5-AVERAGE(KTGET_5))/STDEV(KTGET_5)</f>
        <v>-0.60357556185869077</v>
      </c>
      <c r="CV21">
        <f>(KTGET_6-AVERAGE(KTGET_6))/STDEV(KTGET_6)</f>
        <v>0.87823330550045109</v>
      </c>
      <c r="CW21">
        <f>(KTGET_7-AVERAGE(KTGET_7))/STDEV(KTGET_7)</f>
        <v>-0.17780867543105991</v>
      </c>
      <c r="CX21">
        <f>(KTGET_8-AVERAGE(KTGET_8))/STDEV(KTGET_8)</f>
        <v>-0.60357556185869077</v>
      </c>
      <c r="CY21">
        <f>(KTGET_9-AVERAGE(KTGET_9))/STDEV(KTGET_9)</f>
        <v>0.87823330550045109</v>
      </c>
      <c r="CZ21">
        <f>KTGET_0_std * KTGET_0_loading+KTGET_1_std * KTGET_1_loading+KTGET_2_std * KTGET_2_loading+KTGET_3_std * KTGET_3_loading+KTGET_4_std * KTGET_4_loading+KTGET_5_std * KTGET_5_loading+KTGET_6_std * KTGET_6_loading+KTGET_7_std * KTGET_7_loading+KTGET_8_std * KTGET_8_loading+KTGET_9_std * KTGET_9_loading</f>
        <v>0.21509130295440287</v>
      </c>
      <c r="DA21">
        <f>(KTGET_I_STD-MIN(KTGET_I_STD_ALL))/(MAX(KTGET_I_STD_ALL)-MIN(KTGET_I_STD_ALL))*100</f>
        <v>45.322977951759128</v>
      </c>
      <c r="DB21" s="138" t="s">
        <v>65</v>
      </c>
      <c r="DC21" s="138">
        <v>57.291403378967317</v>
      </c>
      <c r="DD21" s="139">
        <v>44.836729717263808</v>
      </c>
      <c r="DE21" t="s">
        <v>61</v>
      </c>
      <c r="DF21">
        <v>94.719790963219936</v>
      </c>
      <c r="DG21">
        <v>622.08752152842499</v>
      </c>
      <c r="DH21">
        <v>15.033816961789377</v>
      </c>
      <c r="DI21">
        <v>6</v>
      </c>
      <c r="DJ21">
        <v>1</v>
      </c>
      <c r="DK21">
        <v>3</v>
      </c>
      <c r="DL21">
        <v>8.7999999999999972</v>
      </c>
      <c r="DM21">
        <v>328.10791104629965</v>
      </c>
      <c r="DN21">
        <v>3</v>
      </c>
      <c r="DO21">
        <v>8.7999999999999972</v>
      </c>
      <c r="DP21">
        <v>328.10791104629965</v>
      </c>
      <c r="DQ21">
        <f>(KTGT_0-AVERAGE(KTGT_0))/STDEV(KTGT_0)</f>
        <v>-0.24921186457233885</v>
      </c>
      <c r="DR21">
        <f>(KTGT_1-AVERAGE(KTGT_1))/STDEV(KTGT_1)</f>
        <v>-0.54691078893278888</v>
      </c>
      <c r="DS21">
        <f>(KTGT_2-AVERAGE(KTGT_2))/STDEV(KTGT_2)</f>
        <v>-0.45768631941374388</v>
      </c>
      <c r="DT21">
        <f>(KTGT_3-AVERAGE(KTGT_3))/STDEV(KTGT_3)</f>
        <v>-0.76189920929035693</v>
      </c>
      <c r="DU21">
        <f>(KTGT_4-AVERAGE(KTGT_4))/STDEV(KTGT_4)</f>
        <v>-0.17780867543105991</v>
      </c>
      <c r="DV21">
        <f>(KTGT_5-AVERAGE(KTGT_5))/STDEV(KTGT_5)</f>
        <v>-0.60357556185869077</v>
      </c>
      <c r="DW21">
        <f>(KTGT_6-AVERAGE(KTGT_6))/STDEV(KTGT_6)</f>
        <v>0.87823330550045109</v>
      </c>
      <c r="DX21">
        <f>(KTGT_7-AVERAGE(KTGT_7))/STDEV(KTGT_7)</f>
        <v>-0.17780867543105991</v>
      </c>
      <c r="DY21">
        <f>(KTGT_8-AVERAGE(KTGT_8))/STDEV(KTGT_8)</f>
        <v>-0.60357556185869077</v>
      </c>
      <c r="DZ21">
        <f>(KTGT_9-AVERAGE(KTGT_9))/STDEV(KTGT_9)</f>
        <v>0.87823330550045109</v>
      </c>
      <c r="EA21">
        <f>KTGT_0_std * KTGT_0_loading+KTGT_1_std * KTGT_1_loading+KTGT_2_std * KTGT_2_loading+KTGT_3_std * KTGT_3_loading+KTGT_4_std * KTGT_4_loading+KTGT_5_std * KTGT_5_loading+KTGT_6_std * KTGT_6_loading+KTGT_7_std * KTGT_7_loading+KTGT_8_std * KTGT_8_loading+KTGT_9_std * KTGT_9_loading</f>
        <v>0.22267128621792953</v>
      </c>
      <c r="EB21">
        <f>(KTGT_I_STD-MIN(KTGT_I_STD_ALL))/(MAX(KTGT_I_STD_ALL)-MIN(KTGT_I_STD_ALL))*100</f>
        <v>45.432849484867752</v>
      </c>
      <c r="EC21" s="138" t="s">
        <v>65</v>
      </c>
      <c r="ED21" s="138">
        <v>57.291403378967317</v>
      </c>
      <c r="EE21" s="139">
        <v>45.055824294875215</v>
      </c>
      <c r="EF21" t="s">
        <v>61</v>
      </c>
      <c r="EG21">
        <v>94.719790963219936</v>
      </c>
      <c r="EH21">
        <v>622.08752152842499</v>
      </c>
      <c r="EI21">
        <v>15.033816961789377</v>
      </c>
      <c r="EJ21">
        <v>6</v>
      </c>
      <c r="EK21">
        <v>1</v>
      </c>
      <c r="EL21">
        <v>3</v>
      </c>
      <c r="EM21">
        <v>8.7999999999999972</v>
      </c>
      <c r="EN21">
        <v>328.10791104629965</v>
      </c>
      <c r="EO21">
        <v>3</v>
      </c>
      <c r="EP21">
        <v>8.7999999999999972</v>
      </c>
      <c r="EQ21">
        <v>328.10791104629965</v>
      </c>
      <c r="ER21">
        <f>(SA_0-AVERAGE(SA_0))/STDEV(SA_0)</f>
        <v>-0.24921186457233885</v>
      </c>
      <c r="ES21">
        <f>(SA_1-AVERAGE(SA_1))/STDEV(SA_1)</f>
        <v>-0.54691078893278888</v>
      </c>
      <c r="ET21">
        <f>(SA_2-AVERAGE(SA_2))/STDEV(SA_2)</f>
        <v>-0.45768631941374388</v>
      </c>
      <c r="EU21">
        <f>(SA_3-AVERAGE(SA_3))/STDEV(SA_3)</f>
        <v>-0.76189920929035693</v>
      </c>
      <c r="EV21">
        <f>(SA_4-AVERAGE(SA_4))/STDEV(SA_4)</f>
        <v>-0.17780867543105991</v>
      </c>
      <c r="EW21">
        <f>(SA_5-AVERAGE(SA_5))/STDEV(SA_5)</f>
        <v>-0.60357556185869077</v>
      </c>
      <c r="EX21">
        <f>(SA_6-AVERAGE(SA_6))/STDEV(SA_6)</f>
        <v>0.87823330550045109</v>
      </c>
      <c r="EY21">
        <f>(SA_7-AVERAGE(SA_7))/STDEV(SA_7)</f>
        <v>-0.17780867543105991</v>
      </c>
      <c r="EZ21">
        <f>(SA_8-AVERAGE(SA_8))/STDEV(SA_8)</f>
        <v>-0.60357556185869077</v>
      </c>
      <c r="FA21">
        <f>(SA_9-AVERAGE(SA_9))/STDEV(SA_9)</f>
        <v>0.87823330550045109</v>
      </c>
      <c r="FB21">
        <f>SA_0_std * SA_0_loading+SA_1_std * SA_1_loading+SA_2_std * SA_2_loading+SA_3_std * SA_3_loading+SA_4_std * SA_4_loading+SA_5_std * SA_5_loading+SA_6_std * SA_6_loading+SA_7_std * SA_7_loading+SA_8_std * SA_8_loading+SA_9_std * SA_9_loading</f>
        <v>-0.5761701664397213</v>
      </c>
      <c r="FC21">
        <f>(SA_I_STD-MIN(SA_I_STD_ALL))/(MAX(SA_I_STD_ALL)-MIN(SA_I_STD_ALL))*100</f>
        <v>42.591845153219985</v>
      </c>
      <c r="FD21" s="138" t="s">
        <v>75</v>
      </c>
      <c r="FE21" s="138">
        <v>109.01309275271484</v>
      </c>
      <c r="FF21" s="139">
        <v>58.86236331813506</v>
      </c>
    </row>
    <row r="22" spans="1:162" x14ac:dyDescent="0.25">
      <c r="A22" t="s">
        <v>76</v>
      </c>
      <c r="B22">
        <v>13.182567719439019</v>
      </c>
      <c r="C22">
        <v>1077.4835602820212</v>
      </c>
      <c r="D22">
        <v>27.651959454536268</v>
      </c>
      <c r="E22">
        <v>6.53</v>
      </c>
      <c r="F22">
        <v>3</v>
      </c>
      <c r="G22">
        <v>0</v>
      </c>
      <c r="H22">
        <v>12.189999999999998</v>
      </c>
      <c r="I22">
        <v>137.80827423846574</v>
      </c>
      <c r="J22">
        <v>0</v>
      </c>
      <c r="K22">
        <v>12.189999999999998</v>
      </c>
      <c r="L22">
        <v>137.80827423846574</v>
      </c>
      <c r="M22">
        <f>(CS1_0-AVERAGE(CS1_0))/STDEV(CS1_0)</f>
        <v>-0.22232365673953836</v>
      </c>
      <c r="N22">
        <f>(CS1_1-AVERAGE(CS1_1))/STDEV(CS1_1)</f>
        <v>0.5738858451858635</v>
      </c>
      <c r="O22">
        <f>(CS1_2-AVERAGE(CS1_2))/STDEV(CS1_2)</f>
        <v>-0.32313452514501095</v>
      </c>
      <c r="P22">
        <f>(CS1_3-AVERAGE(CS1_3))/STDEV(CS1_3)</f>
        <v>1.177480596176006</v>
      </c>
      <c r="Q22">
        <f>(CS1_4-AVERAGE(CS1_4))/STDEV(CS1_4)</f>
        <v>-0.59269558477019968</v>
      </c>
      <c r="R22">
        <f>(CS1_5-AVERAGE(CS1_5))/STDEV(CS1_5)</f>
        <v>-0.36354155739761673</v>
      </c>
      <c r="S22">
        <f>(CS1_6-AVERAGE(CS1_6))/STDEV(CS1_6)</f>
        <v>-0.50649479864559832</v>
      </c>
      <c r="T22">
        <f>(CS1_7-AVERAGE(CS1_7))/STDEV(CS1_7)</f>
        <v>-0.59269558477019968</v>
      </c>
      <c r="U22">
        <f>(CS1_8-AVERAGE(CS1_8))/STDEV(CS1_8)</f>
        <v>-0.36354155739761673</v>
      </c>
      <c r="V22">
        <f>(CS1_9-AVERAGE(CS1_9))/STDEV(CS1_9)</f>
        <v>-0.50649479864559832</v>
      </c>
      <c r="W22">
        <f>CS1_0_std * CS1_0_loading+CS1_1_std * CS1_1_loading+CS1_2_std * CS1_2_loading+CS1_3_std * CS1_3_loading+CS1_4_std * CS1_4_loading+CS1_5_std * CS1_5_loading+CS1_6_std * CS1_6_loading+CS1_7_std * CS1_7_loading+CS1_8_std * CS1_8_loading+CS1_9_std * CS1_9_loading</f>
        <v>-0.86612408155637566</v>
      </c>
      <c r="X22">
        <f>(CS1_I_STD-MIN(CS1_I_STD_ALL))/(MAX(CS1_I_STD_ALL)-MIN(CS1_I_STD_ALL))*100</f>
        <v>26.930243520555102</v>
      </c>
      <c r="Y22" s="138" t="s">
        <v>61</v>
      </c>
      <c r="Z22" s="138">
        <v>94.719790963219936</v>
      </c>
      <c r="AA22" s="139">
        <v>45.323034858831868</v>
      </c>
      <c r="AB22" t="s">
        <v>76</v>
      </c>
      <c r="AC22">
        <v>13.182567719439019</v>
      </c>
      <c r="AD22">
        <v>1077.4835602820212</v>
      </c>
      <c r="AE22">
        <v>27.651959454536268</v>
      </c>
      <c r="AF22">
        <v>6.53</v>
      </c>
      <c r="AG22">
        <v>3</v>
      </c>
      <c r="AH22">
        <v>0</v>
      </c>
      <c r="AI22">
        <v>12.189999999999998</v>
      </c>
      <c r="AJ22">
        <v>137.80827423846574</v>
      </c>
      <c r="AK22">
        <v>0</v>
      </c>
      <c r="AL22">
        <v>12.189999999999998</v>
      </c>
      <c r="AM22">
        <v>137.80827423846574</v>
      </c>
      <c r="AN22">
        <f>(CS2_0-AVERAGE(CS2_0))/STDEV(CS2_0)</f>
        <v>-0.22232365673953836</v>
      </c>
      <c r="AO22">
        <f>(CS2_1-AVERAGE(CS2_1))/STDEV(CS2_1)</f>
        <v>0.5738858451858635</v>
      </c>
      <c r="AP22">
        <f>(CS2_2-AVERAGE(CS2_2))/STDEV(CS2_2)</f>
        <v>-0.32313452514501095</v>
      </c>
      <c r="AQ22">
        <f>(CS2_3-AVERAGE(CS2_3))/STDEV(CS2_3)</f>
        <v>1.177480596176006</v>
      </c>
      <c r="AR22">
        <f>(CS2_4-AVERAGE(CS2_4))/STDEV(CS2_4)</f>
        <v>-0.59269558477019968</v>
      </c>
      <c r="AS22">
        <f>(CS2_5-AVERAGE(CS2_5))/STDEV(CS2_5)</f>
        <v>-0.36354155739761673</v>
      </c>
      <c r="AT22">
        <f>(CS2_6-AVERAGE(CS2_6))/STDEV(CS2_6)</f>
        <v>-0.50649479864559832</v>
      </c>
      <c r="AU22">
        <f>(CS2_7-AVERAGE(CS2_7))/STDEV(CS2_7)</f>
        <v>-0.59269558477019968</v>
      </c>
      <c r="AV22">
        <f>(CS2_8-AVERAGE(CS2_8))/STDEV(CS2_8)</f>
        <v>-0.36354155739761673</v>
      </c>
      <c r="AW22">
        <f>(CS2_9-AVERAGE(CS2_9))/STDEV(CS2_9)</f>
        <v>-0.50649479864559832</v>
      </c>
      <c r="AX22">
        <f>CS2_0_std * CS2_0_loading+CS2_1_std * CS2_1_loading+CS2_2_std * CS2_2_loading+CS2_3_std * CS2_3_loading+CS2_4_std * CS2_4_loading+CS2_5_std * CS2_5_loading+CS2_6_std * CS2_6_loading+CS2_7_std * CS2_7_loading+CS2_8_std * CS2_8_loading+CS2_9_std * CS2_9_loading</f>
        <v>-0.5932740274003272</v>
      </c>
      <c r="AY22">
        <f>(CS2_I_STD-MIN(CS2_I_STD_ALL))/(MAX(CS2_I_STD_ALL)-MIN(CS2_I_STD_ALL))*100</f>
        <v>31.985499270627326</v>
      </c>
      <c r="AZ22" s="138" t="s">
        <v>72</v>
      </c>
      <c r="BA22" s="138">
        <v>110.80232603285897</v>
      </c>
      <c r="BB22" s="139">
        <v>45.138662726693354</v>
      </c>
      <c r="BC22" t="s">
        <v>76</v>
      </c>
      <c r="BD22">
        <v>13.182567719439019</v>
      </c>
      <c r="BE22">
        <v>1077.4835602820212</v>
      </c>
      <c r="BF22">
        <v>27.651959454536268</v>
      </c>
      <c r="BG22">
        <v>6.53</v>
      </c>
      <c r="BH22">
        <v>3</v>
      </c>
      <c r="BI22">
        <v>0</v>
      </c>
      <c r="BJ22">
        <v>12.189999999999998</v>
      </c>
      <c r="BK22">
        <v>137.80827423846574</v>
      </c>
      <c r="BL22">
        <v>0</v>
      </c>
      <c r="BM22">
        <v>12.189999999999998</v>
      </c>
      <c r="BN22">
        <v>137.80827423846574</v>
      </c>
      <c r="BO22">
        <f>(PCA_0-AVERAGE(PCA_0))/STDEV(PCA_0)</f>
        <v>-0.22232365673953836</v>
      </c>
      <c r="BP22">
        <f>(PCA_1-AVERAGE(PCA_1))/STDEV(PCA_1)</f>
        <v>0.5738858451858635</v>
      </c>
      <c r="BQ22">
        <f>(PCA_2-AVERAGE(PCA_2))/STDEV(PCA_2)</f>
        <v>-0.32313452514501095</v>
      </c>
      <c r="BR22">
        <f>(PCA_3-AVERAGE(PCA_3))/STDEV(PCA_3)</f>
        <v>1.177480596176006</v>
      </c>
      <c r="BS22">
        <f>(PCA_4-AVERAGE(PCA_4))/STDEV(PCA_4)</f>
        <v>-0.59269558477019968</v>
      </c>
      <c r="BT22">
        <f>(PCA_5-AVERAGE(PCA_5))/STDEV(PCA_5)</f>
        <v>-0.36354155739761673</v>
      </c>
      <c r="BU22">
        <f>(PCA_6-AVERAGE(PCA_6))/STDEV(PCA_6)</f>
        <v>-0.50649479864559832</v>
      </c>
      <c r="BV22">
        <f>(PCA_7-AVERAGE(PCA_7))/STDEV(PCA_7)</f>
        <v>-0.59269558477019968</v>
      </c>
      <c r="BW22">
        <f>(PCA_8-AVERAGE(PCA_8))/STDEV(PCA_8)</f>
        <v>-0.36354155739761673</v>
      </c>
      <c r="BX22">
        <f>(PCA_9-AVERAGE(PCA_9))/STDEV(PCA_9)</f>
        <v>-0.50649479864559832</v>
      </c>
      <c r="BY22">
        <f>PCA_0_std * PCA_0_loading+PCA_1_std * PCA_1_loading+PCA_2_std * PCA_2_loading+PCA_3_std * PCA_3_loading+PCA_4_std * PCA_4_loading+PCA_5_std * PCA_5_loading+PCA_6_std * PCA_6_loading+PCA_7_std * PCA_7_loading+PCA_8_std * PCA_8_loading+PCA_9_std * PCA_9_loading</f>
        <v>-1.0693431548109658</v>
      </c>
      <c r="BZ22">
        <f>(PCA_I_STD-MIN(PCA_I_STD_ALL))/(MAX(PCA_I_STD_ALL)-MIN(PCA_I_STD_ALL))*100</f>
        <v>39.791207381971518</v>
      </c>
      <c r="CA22" s="138" t="s">
        <v>75</v>
      </c>
      <c r="CB22" s="138">
        <v>109.01309275271484</v>
      </c>
      <c r="CC22" s="139">
        <v>64.860199588421708</v>
      </c>
      <c r="CD22" t="s">
        <v>76</v>
      </c>
      <c r="CE22">
        <v>13.182567719439019</v>
      </c>
      <c r="CF22">
        <v>1077.4835602820212</v>
      </c>
      <c r="CG22">
        <v>27.651959454536268</v>
      </c>
      <c r="CH22">
        <v>6.53</v>
      </c>
      <c r="CI22">
        <v>3</v>
      </c>
      <c r="CJ22">
        <v>0</v>
      </c>
      <c r="CK22">
        <v>12.189999999999998</v>
      </c>
      <c r="CL22">
        <v>137.80827423846574</v>
      </c>
      <c r="CM22">
        <v>0</v>
      </c>
      <c r="CN22">
        <v>12.189999999999998</v>
      </c>
      <c r="CO22">
        <v>137.80827423846574</v>
      </c>
      <c r="CP22">
        <f>(KTGET_0-AVERAGE(KTGET_0))/STDEV(KTGET_0)</f>
        <v>-0.22232365673953836</v>
      </c>
      <c r="CQ22">
        <f>(KTGET_1-AVERAGE(KTGET_1))/STDEV(KTGET_1)</f>
        <v>0.5738858451858635</v>
      </c>
      <c r="CR22">
        <f>(KTGET_2-AVERAGE(KTGET_2))/STDEV(KTGET_2)</f>
        <v>-0.32313452514501095</v>
      </c>
      <c r="CS22">
        <f>(KTGET_3-AVERAGE(KTGET_3))/STDEV(KTGET_3)</f>
        <v>1.177480596176006</v>
      </c>
      <c r="CT22">
        <f>(KTGET_4-AVERAGE(KTGET_4))/STDEV(KTGET_4)</f>
        <v>-0.59269558477019968</v>
      </c>
      <c r="CU22">
        <f>(KTGET_5-AVERAGE(KTGET_5))/STDEV(KTGET_5)</f>
        <v>-0.36354155739761673</v>
      </c>
      <c r="CV22">
        <f>(KTGET_6-AVERAGE(KTGET_6))/STDEV(KTGET_6)</f>
        <v>-0.50649479864559832</v>
      </c>
      <c r="CW22">
        <f>(KTGET_7-AVERAGE(KTGET_7))/STDEV(KTGET_7)</f>
        <v>-0.59269558477019968</v>
      </c>
      <c r="CX22">
        <f>(KTGET_8-AVERAGE(KTGET_8))/STDEV(KTGET_8)</f>
        <v>-0.36354155739761673</v>
      </c>
      <c r="CY22">
        <f>(KTGET_9-AVERAGE(KTGET_9))/STDEV(KTGET_9)</f>
        <v>-0.50649479864559832</v>
      </c>
      <c r="CZ22">
        <f>KTGET_0_std * KTGET_0_loading+KTGET_1_std * KTGET_1_loading+KTGET_2_std * KTGET_2_loading+KTGET_3_std * KTGET_3_loading+KTGET_4_std * KTGET_4_loading+KTGET_5_std * KTGET_5_loading+KTGET_6_std * KTGET_6_loading+KTGET_7_std * KTGET_7_loading+KTGET_8_std * KTGET_8_loading+KTGET_9_std * KTGET_9_loading</f>
        <v>-0.86611773548940363</v>
      </c>
      <c r="DA22">
        <f>(KTGET_I_STD-MIN(KTGET_I_STD_ALL))/(MAX(KTGET_I_STD_ALL)-MIN(KTGET_I_STD_ALL))*100</f>
        <v>26.930389091701549</v>
      </c>
      <c r="DB22" s="138" t="s">
        <v>61</v>
      </c>
      <c r="DC22" s="138">
        <v>94.719790963219936</v>
      </c>
      <c r="DD22" s="139">
        <v>45.322977951759128</v>
      </c>
      <c r="DE22" t="s">
        <v>76</v>
      </c>
      <c r="DF22">
        <v>13.182567719439019</v>
      </c>
      <c r="DG22">
        <v>1077.4835602820212</v>
      </c>
      <c r="DH22">
        <v>27.651959454536268</v>
      </c>
      <c r="DI22">
        <v>6.53</v>
      </c>
      <c r="DJ22">
        <v>3</v>
      </c>
      <c r="DK22">
        <v>0</v>
      </c>
      <c r="DL22">
        <v>12.189999999999998</v>
      </c>
      <c r="DM22">
        <v>137.80827423846574</v>
      </c>
      <c r="DN22">
        <v>0</v>
      </c>
      <c r="DO22">
        <v>12.189999999999998</v>
      </c>
      <c r="DP22">
        <v>137.80827423846574</v>
      </c>
      <c r="DQ22">
        <f>(KTGT_0-AVERAGE(KTGT_0))/STDEV(KTGT_0)</f>
        <v>-0.22232365673953836</v>
      </c>
      <c r="DR22">
        <f>(KTGT_1-AVERAGE(KTGT_1))/STDEV(KTGT_1)</f>
        <v>0.5738858451858635</v>
      </c>
      <c r="DS22">
        <f>(KTGT_2-AVERAGE(KTGT_2))/STDEV(KTGT_2)</f>
        <v>-0.32313452514501095</v>
      </c>
      <c r="DT22">
        <f>(KTGT_3-AVERAGE(KTGT_3))/STDEV(KTGT_3)</f>
        <v>1.177480596176006</v>
      </c>
      <c r="DU22">
        <f>(KTGT_4-AVERAGE(KTGT_4))/STDEV(KTGT_4)</f>
        <v>-0.59269558477019968</v>
      </c>
      <c r="DV22">
        <f>(KTGT_5-AVERAGE(KTGT_5))/STDEV(KTGT_5)</f>
        <v>-0.36354155739761673</v>
      </c>
      <c r="DW22">
        <f>(KTGT_6-AVERAGE(KTGT_6))/STDEV(KTGT_6)</f>
        <v>-0.50649479864559832</v>
      </c>
      <c r="DX22">
        <f>(KTGT_7-AVERAGE(KTGT_7))/STDEV(KTGT_7)</f>
        <v>-0.59269558477019968</v>
      </c>
      <c r="DY22">
        <f>(KTGT_8-AVERAGE(KTGT_8))/STDEV(KTGT_8)</f>
        <v>-0.36354155739761673</v>
      </c>
      <c r="DZ22">
        <f>(KTGT_9-AVERAGE(KTGT_9))/STDEV(KTGT_9)</f>
        <v>-0.50649479864559832</v>
      </c>
      <c r="EA22">
        <f>KTGT_0_std * KTGT_0_loading+KTGT_1_std * KTGT_1_loading+KTGT_2_std * KTGT_2_loading+KTGT_3_std * KTGT_3_loading+KTGT_4_std * KTGT_4_loading+KTGT_5_std * KTGT_5_loading+KTGT_6_std * KTGT_6_loading+KTGT_7_std * KTGT_7_loading+KTGT_8_std * KTGT_8_loading+KTGT_9_std * KTGT_9_loading</f>
        <v>-0.87311449649963191</v>
      </c>
      <c r="EB22">
        <f>(KTGT_I_STD-MIN(KTGT_I_STD_ALL))/(MAX(KTGT_I_STD_ALL)-MIN(KTGT_I_STD_ALL))*100</f>
        <v>26.802340632785338</v>
      </c>
      <c r="EC22" s="138" t="s">
        <v>61</v>
      </c>
      <c r="ED22" s="138">
        <v>94.719790963219936</v>
      </c>
      <c r="EE22" s="139">
        <v>45.432849484867752</v>
      </c>
      <c r="EF22" t="s">
        <v>76</v>
      </c>
      <c r="EG22">
        <v>13.182567719439019</v>
      </c>
      <c r="EH22">
        <v>1077.4835602820212</v>
      </c>
      <c r="EI22">
        <v>27.651959454536268</v>
      </c>
      <c r="EJ22">
        <v>6.53</v>
      </c>
      <c r="EK22">
        <v>3</v>
      </c>
      <c r="EL22">
        <v>0</v>
      </c>
      <c r="EM22">
        <v>12.189999999999998</v>
      </c>
      <c r="EN22">
        <v>137.80827423846574</v>
      </c>
      <c r="EO22">
        <v>0</v>
      </c>
      <c r="EP22">
        <v>12.189999999999998</v>
      </c>
      <c r="EQ22">
        <v>137.80827423846574</v>
      </c>
      <c r="ER22">
        <f>(SA_0-AVERAGE(SA_0))/STDEV(SA_0)</f>
        <v>-0.22232365673953836</v>
      </c>
      <c r="ES22">
        <f>(SA_1-AVERAGE(SA_1))/STDEV(SA_1)</f>
        <v>0.5738858451858635</v>
      </c>
      <c r="ET22">
        <f>(SA_2-AVERAGE(SA_2))/STDEV(SA_2)</f>
        <v>-0.32313452514501095</v>
      </c>
      <c r="EU22">
        <f>(SA_3-AVERAGE(SA_3))/STDEV(SA_3)</f>
        <v>1.177480596176006</v>
      </c>
      <c r="EV22">
        <f>(SA_4-AVERAGE(SA_4))/STDEV(SA_4)</f>
        <v>-0.59269558477019968</v>
      </c>
      <c r="EW22">
        <f>(SA_5-AVERAGE(SA_5))/STDEV(SA_5)</f>
        <v>-0.36354155739761673</v>
      </c>
      <c r="EX22">
        <f>(SA_6-AVERAGE(SA_6))/STDEV(SA_6)</f>
        <v>-0.50649479864559832</v>
      </c>
      <c r="EY22">
        <f>(SA_7-AVERAGE(SA_7))/STDEV(SA_7)</f>
        <v>-0.59269558477019968</v>
      </c>
      <c r="EZ22">
        <f>(SA_8-AVERAGE(SA_8))/STDEV(SA_8)</f>
        <v>-0.36354155739761673</v>
      </c>
      <c r="FA22">
        <f>(SA_9-AVERAGE(SA_9))/STDEV(SA_9)</f>
        <v>-0.50649479864559832</v>
      </c>
      <c r="FB22">
        <f>SA_0_std * SA_0_loading+SA_1_std * SA_1_loading+SA_2_std * SA_2_loading+SA_3_std * SA_3_loading+SA_4_std * SA_4_loading+SA_5_std * SA_5_loading+SA_6_std * SA_6_loading+SA_7_std * SA_7_loading+SA_8_std * SA_8_loading+SA_9_std * SA_9_loading</f>
        <v>-0.54377123293403318</v>
      </c>
      <c r="FC22">
        <f>(SA_I_STD-MIN(SA_I_STD_ALL))/(MAX(SA_I_STD_ALL)-MIN(SA_I_STD_ALL))*100</f>
        <v>43.191719781575614</v>
      </c>
      <c r="FD22" s="142" t="s">
        <v>65</v>
      </c>
      <c r="FE22" s="142">
        <v>57.291403378967317</v>
      </c>
      <c r="FF22" s="143">
        <v>61.5268683732195</v>
      </c>
    </row>
    <row r="23" spans="1:162" x14ac:dyDescent="0.25">
      <c r="A23" t="s">
        <v>68</v>
      </c>
      <c r="B23">
        <v>357.45486313337216</v>
      </c>
      <c r="C23">
        <v>646.77536619144598</v>
      </c>
      <c r="D23">
        <v>11.626642769857433</v>
      </c>
      <c r="E23">
        <v>6.65</v>
      </c>
      <c r="F23">
        <v>2</v>
      </c>
      <c r="G23">
        <v>5</v>
      </c>
      <c r="H23">
        <v>17</v>
      </c>
      <c r="I23">
        <v>288.40813853688093</v>
      </c>
      <c r="J23">
        <v>5</v>
      </c>
      <c r="K23">
        <v>17</v>
      </c>
      <c r="L23">
        <v>288.40813853688093</v>
      </c>
      <c r="M23">
        <f>(CS1_0-AVERAGE(CS1_0))/STDEV(CS1_0)</f>
        <v>-0.24775420609103097</v>
      </c>
      <c r="N23">
        <f>(CS1_1-AVERAGE(CS1_1))/STDEV(CS1_1)</f>
        <v>-0.84955037065952399</v>
      </c>
      <c r="O23">
        <f>(CS1_2-AVERAGE(CS1_2))/STDEV(CS1_2)</f>
        <v>-0.29266996795209033</v>
      </c>
      <c r="P23">
        <f>(CS1_3-AVERAGE(CS1_3))/STDEV(CS1_3)</f>
        <v>0.2077906934428245</v>
      </c>
      <c r="Q23">
        <f>(CS1_4-AVERAGE(CS1_4))/STDEV(CS1_4)</f>
        <v>9.878259746169997E-2</v>
      </c>
      <c r="R23">
        <f>(CS1_5-AVERAGE(CS1_5))/STDEV(CS1_5)</f>
        <v>-2.2962335728658998E-2</v>
      </c>
      <c r="S23">
        <f>(CS1_6-AVERAGE(CS1_6))/STDEV(CS1_6)</f>
        <v>0.58935524117965887</v>
      </c>
      <c r="T23">
        <f>(CS1_7-AVERAGE(CS1_7))/STDEV(CS1_7)</f>
        <v>9.878259746169997E-2</v>
      </c>
      <c r="U23">
        <f>(CS1_8-AVERAGE(CS1_8))/STDEV(CS1_8)</f>
        <v>-2.2962335728658998E-2</v>
      </c>
      <c r="V23">
        <f>(CS1_9-AVERAGE(CS1_9))/STDEV(CS1_9)</f>
        <v>0.58935524117965887</v>
      </c>
      <c r="W23">
        <f>CS1_0_std * CS1_0_loading+CS1_1_std * CS1_1_loading+CS1_2_std * CS1_2_loading+CS1_3_std * CS1_3_loading+CS1_4_std * CS1_4_loading+CS1_5_std * CS1_5_loading+CS1_6_std * CS1_6_loading+CS1_7_std * CS1_7_loading+CS1_8_std * CS1_8_loading+CS1_9_std * CS1_9_loading</f>
        <v>0.52490241348927014</v>
      </c>
      <c r="X23">
        <f>(CS1_I_STD-MIN(CS1_I_STD_ALL))/(MAX(CS1_I_STD_ALL)-MIN(CS1_I_STD_ALL))*100</f>
        <v>50.593193180578943</v>
      </c>
      <c r="Y23" s="142" t="s">
        <v>68</v>
      </c>
      <c r="Z23" s="142">
        <v>357.45486313337216</v>
      </c>
      <c r="AA23" s="143">
        <v>50.593193180578943</v>
      </c>
      <c r="AB23" t="s">
        <v>68</v>
      </c>
      <c r="AC23">
        <v>357.45486313337216</v>
      </c>
      <c r="AD23">
        <v>646.77536619144598</v>
      </c>
      <c r="AE23">
        <v>11.626642769857433</v>
      </c>
      <c r="AF23">
        <v>6.65</v>
      </c>
      <c r="AG23">
        <v>2</v>
      </c>
      <c r="AH23">
        <v>5</v>
      </c>
      <c r="AI23">
        <v>17</v>
      </c>
      <c r="AJ23">
        <v>288.40813853688093</v>
      </c>
      <c r="AK23">
        <v>5</v>
      </c>
      <c r="AL23">
        <v>17</v>
      </c>
      <c r="AM23">
        <v>288.40813853688093</v>
      </c>
      <c r="AN23">
        <f>(CS2_0-AVERAGE(CS2_0))/STDEV(CS2_0)</f>
        <v>-0.24775420609103097</v>
      </c>
      <c r="AO23">
        <f>(CS2_1-AVERAGE(CS2_1))/STDEV(CS2_1)</f>
        <v>-0.84955037065952399</v>
      </c>
      <c r="AP23">
        <f>(CS2_2-AVERAGE(CS2_2))/STDEV(CS2_2)</f>
        <v>-0.29266996795209033</v>
      </c>
      <c r="AQ23">
        <f>(CS2_3-AVERAGE(CS2_3))/STDEV(CS2_3)</f>
        <v>0.2077906934428245</v>
      </c>
      <c r="AR23">
        <f>(CS2_4-AVERAGE(CS2_4))/STDEV(CS2_4)</f>
        <v>9.878259746169997E-2</v>
      </c>
      <c r="AS23">
        <f>(CS2_5-AVERAGE(CS2_5))/STDEV(CS2_5)</f>
        <v>-2.2962335728658998E-2</v>
      </c>
      <c r="AT23">
        <f>(CS2_6-AVERAGE(CS2_6))/STDEV(CS2_6)</f>
        <v>0.58935524117965887</v>
      </c>
      <c r="AU23">
        <f>(CS2_7-AVERAGE(CS2_7))/STDEV(CS2_7)</f>
        <v>9.878259746169997E-2</v>
      </c>
      <c r="AV23">
        <f>(CS2_8-AVERAGE(CS2_8))/STDEV(CS2_8)</f>
        <v>-2.2962335728658998E-2</v>
      </c>
      <c r="AW23">
        <f>(CS2_9-AVERAGE(CS2_9))/STDEV(CS2_9)</f>
        <v>0.58935524117965887</v>
      </c>
      <c r="AX23">
        <f>CS2_0_std * CS2_0_loading+CS2_1_std * CS2_1_loading+CS2_2_std * CS2_2_loading+CS2_3_std * CS2_3_loading+CS2_4_std * CS2_4_loading+CS2_5_std * CS2_5_loading+CS2_6_std * CS2_6_loading+CS2_7_std * CS2_7_loading+CS2_8_std * CS2_8_loading+CS2_9_std * CS2_9_loading</f>
        <v>0.50786363226031739</v>
      </c>
      <c r="AY23">
        <f>(CS2_I_STD-MIN(CS2_I_STD_ALL))/(MAX(CS2_I_STD_ALL)-MIN(CS2_I_STD_ALL))*100</f>
        <v>50.007480250680558</v>
      </c>
      <c r="AZ23" s="142" t="s">
        <v>68</v>
      </c>
      <c r="BA23" s="142">
        <v>357.45486313337216</v>
      </c>
      <c r="BB23" s="143">
        <v>50.007480250680558</v>
      </c>
      <c r="BC23" t="s">
        <v>68</v>
      </c>
      <c r="BD23">
        <v>357.45486313337216</v>
      </c>
      <c r="BE23">
        <v>646.77536619144598</v>
      </c>
      <c r="BF23">
        <v>11.626642769857433</v>
      </c>
      <c r="BG23">
        <v>6.65</v>
      </c>
      <c r="BH23">
        <v>2</v>
      </c>
      <c r="BI23">
        <v>5</v>
      </c>
      <c r="BJ23">
        <v>17</v>
      </c>
      <c r="BK23">
        <v>288.40813853688093</v>
      </c>
      <c r="BL23">
        <v>5</v>
      </c>
      <c r="BM23">
        <v>17</v>
      </c>
      <c r="BN23">
        <v>288.40813853688093</v>
      </c>
      <c r="BO23">
        <f>(PCA_0-AVERAGE(PCA_0))/STDEV(PCA_0)</f>
        <v>-0.24775420609103097</v>
      </c>
      <c r="BP23">
        <f>(PCA_1-AVERAGE(PCA_1))/STDEV(PCA_1)</f>
        <v>-0.84955037065952399</v>
      </c>
      <c r="BQ23">
        <f>(PCA_2-AVERAGE(PCA_2))/STDEV(PCA_2)</f>
        <v>-0.29266996795209033</v>
      </c>
      <c r="BR23">
        <f>(PCA_3-AVERAGE(PCA_3))/STDEV(PCA_3)</f>
        <v>0.2077906934428245</v>
      </c>
      <c r="BS23">
        <f>(PCA_4-AVERAGE(PCA_4))/STDEV(PCA_4)</f>
        <v>9.878259746169997E-2</v>
      </c>
      <c r="BT23">
        <f>(PCA_5-AVERAGE(PCA_5))/STDEV(PCA_5)</f>
        <v>-2.2962335728658998E-2</v>
      </c>
      <c r="BU23">
        <f>(PCA_6-AVERAGE(PCA_6))/STDEV(PCA_6)</f>
        <v>0.58935524117965887</v>
      </c>
      <c r="BV23">
        <f>(PCA_7-AVERAGE(PCA_7))/STDEV(PCA_7)</f>
        <v>9.878259746169997E-2</v>
      </c>
      <c r="BW23">
        <f>(PCA_8-AVERAGE(PCA_8))/STDEV(PCA_8)</f>
        <v>-2.2962335728658998E-2</v>
      </c>
      <c r="BX23">
        <f>(PCA_9-AVERAGE(PCA_9))/STDEV(PCA_9)</f>
        <v>0.58935524117965887</v>
      </c>
      <c r="BY23">
        <f>PCA_0_std * PCA_0_loading+PCA_1_std * PCA_1_loading+PCA_2_std * PCA_2_loading+PCA_3_std * PCA_3_loading+PCA_4_std * PCA_4_loading+PCA_5_std * PCA_5_loading+PCA_6_std * PCA_6_loading+PCA_7_std * PCA_7_loading+PCA_8_std * PCA_8_loading+PCA_9_std * PCA_9_loading</f>
        <v>0.91940283686410984</v>
      </c>
      <c r="BZ23">
        <f>(PCA_I_STD-MIN(PCA_I_STD_ALL))/(MAX(PCA_I_STD_ALL)-MIN(PCA_I_STD_ALL))*100</f>
        <v>67.519453833716241</v>
      </c>
      <c r="CA23" s="138" t="s">
        <v>74</v>
      </c>
      <c r="CB23" s="138">
        <v>134.10032848477772</v>
      </c>
      <c r="CC23" s="139">
        <v>65.299902120053133</v>
      </c>
      <c r="CD23" t="s">
        <v>68</v>
      </c>
      <c r="CE23">
        <v>357.45486313337216</v>
      </c>
      <c r="CF23">
        <v>646.77536619144598</v>
      </c>
      <c r="CG23">
        <v>11.626642769857433</v>
      </c>
      <c r="CH23">
        <v>6.65</v>
      </c>
      <c r="CI23">
        <v>2</v>
      </c>
      <c r="CJ23">
        <v>5</v>
      </c>
      <c r="CK23">
        <v>17</v>
      </c>
      <c r="CL23">
        <v>288.40813853688093</v>
      </c>
      <c r="CM23">
        <v>5</v>
      </c>
      <c r="CN23">
        <v>17</v>
      </c>
      <c r="CO23">
        <v>288.40813853688093</v>
      </c>
      <c r="CP23">
        <f>(KTGET_0-AVERAGE(KTGET_0))/STDEV(KTGET_0)</f>
        <v>-0.24775420609103097</v>
      </c>
      <c r="CQ23">
        <f>(KTGET_1-AVERAGE(KTGET_1))/STDEV(KTGET_1)</f>
        <v>-0.84955037065952399</v>
      </c>
      <c r="CR23">
        <f>(KTGET_2-AVERAGE(KTGET_2))/STDEV(KTGET_2)</f>
        <v>-0.29266996795209033</v>
      </c>
      <c r="CS23">
        <f>(KTGET_3-AVERAGE(KTGET_3))/STDEV(KTGET_3)</f>
        <v>0.2077906934428245</v>
      </c>
      <c r="CT23">
        <f>(KTGET_4-AVERAGE(KTGET_4))/STDEV(KTGET_4)</f>
        <v>9.878259746169997E-2</v>
      </c>
      <c r="CU23">
        <f>(KTGET_5-AVERAGE(KTGET_5))/STDEV(KTGET_5)</f>
        <v>-2.2962335728658998E-2</v>
      </c>
      <c r="CV23">
        <f>(KTGET_6-AVERAGE(KTGET_6))/STDEV(KTGET_6)</f>
        <v>0.58935524117965887</v>
      </c>
      <c r="CW23">
        <f>(KTGET_7-AVERAGE(KTGET_7))/STDEV(KTGET_7)</f>
        <v>9.878259746169997E-2</v>
      </c>
      <c r="CX23">
        <f>(KTGET_8-AVERAGE(KTGET_8))/STDEV(KTGET_8)</f>
        <v>-2.2962335728658998E-2</v>
      </c>
      <c r="CY23">
        <f>(KTGET_9-AVERAGE(KTGET_9))/STDEV(KTGET_9)</f>
        <v>0.58935524117965887</v>
      </c>
      <c r="CZ23">
        <f>KTGET_0_std * KTGET_0_loading+KTGET_1_std * KTGET_1_loading+KTGET_2_std * KTGET_2_loading+KTGET_3_std * KTGET_3_loading+KTGET_4_std * KTGET_4_loading+KTGET_5_std * KTGET_5_loading+KTGET_6_std * KTGET_6_loading+KTGET_7_std * KTGET_7_loading+KTGET_8_std * KTGET_8_loading+KTGET_9_std * KTGET_9_loading</f>
        <v>0.52489975209594941</v>
      </c>
      <c r="DA23">
        <f>(KTGET_I_STD-MIN(KTGET_I_STD_ALL))/(MAX(KTGET_I_STD_ALL)-MIN(KTGET_I_STD_ALL))*100</f>
        <v>50.593170142007516</v>
      </c>
      <c r="DB23" s="142" t="s">
        <v>68</v>
      </c>
      <c r="DC23" s="142">
        <v>357.45486313337216</v>
      </c>
      <c r="DD23" s="143">
        <v>50.593170142007516</v>
      </c>
      <c r="DE23" t="s">
        <v>68</v>
      </c>
      <c r="DF23">
        <v>357.45486313337216</v>
      </c>
      <c r="DG23">
        <v>646.77536619144598</v>
      </c>
      <c r="DH23">
        <v>11.626642769857433</v>
      </c>
      <c r="DI23">
        <v>6.65</v>
      </c>
      <c r="DJ23">
        <v>2</v>
      </c>
      <c r="DK23">
        <v>5</v>
      </c>
      <c r="DL23">
        <v>17</v>
      </c>
      <c r="DM23">
        <v>288.40813853688093</v>
      </c>
      <c r="DN23">
        <v>5</v>
      </c>
      <c r="DO23">
        <v>17</v>
      </c>
      <c r="DP23">
        <v>288.40813853688093</v>
      </c>
      <c r="DQ23">
        <f>(KTGT_0-AVERAGE(KTGT_0))/STDEV(KTGT_0)</f>
        <v>-0.24775420609103097</v>
      </c>
      <c r="DR23">
        <f>(KTGT_1-AVERAGE(KTGT_1))/STDEV(KTGT_1)</f>
        <v>-0.84955037065952399</v>
      </c>
      <c r="DS23">
        <f>(KTGT_2-AVERAGE(KTGT_2))/STDEV(KTGT_2)</f>
        <v>-0.29266996795209033</v>
      </c>
      <c r="DT23">
        <f>(KTGT_3-AVERAGE(KTGT_3))/STDEV(KTGT_3)</f>
        <v>0.2077906934428245</v>
      </c>
      <c r="DU23">
        <f>(KTGT_4-AVERAGE(KTGT_4))/STDEV(KTGT_4)</f>
        <v>9.878259746169997E-2</v>
      </c>
      <c r="DV23">
        <f>(KTGT_5-AVERAGE(KTGT_5))/STDEV(KTGT_5)</f>
        <v>-2.2962335728658998E-2</v>
      </c>
      <c r="DW23">
        <f>(KTGT_6-AVERAGE(KTGT_6))/STDEV(KTGT_6)</f>
        <v>0.58935524117965887</v>
      </c>
      <c r="DX23">
        <f>(KTGT_7-AVERAGE(KTGT_7))/STDEV(KTGT_7)</f>
        <v>9.878259746169997E-2</v>
      </c>
      <c r="DY23">
        <f>(KTGT_8-AVERAGE(KTGT_8))/STDEV(KTGT_8)</f>
        <v>-2.2962335728658998E-2</v>
      </c>
      <c r="DZ23">
        <f>(KTGT_9-AVERAGE(KTGT_9))/STDEV(KTGT_9)</f>
        <v>0.58935524117965887</v>
      </c>
      <c r="EA23">
        <f>KTGT_0_std * KTGT_0_loading+KTGT_1_std * KTGT_1_loading+KTGT_2_std * KTGT_2_loading+KTGT_3_std * KTGT_3_loading+KTGT_4_std * KTGT_4_loading+KTGT_5_std * KTGT_5_loading+KTGT_6_std * KTGT_6_loading+KTGT_7_std * KTGT_7_loading+KTGT_8_std * KTGT_8_loading+KTGT_9_std * KTGT_9_loading</f>
        <v>0.52764345672898516</v>
      </c>
      <c r="EB23">
        <f>(KTGT_I_STD-MIN(KTGT_I_STD_ALL))/(MAX(KTGT_I_STD_ALL)-MIN(KTGT_I_STD_ALL))*100</f>
        <v>50.617974909888439</v>
      </c>
      <c r="EC23" s="142" t="s">
        <v>68</v>
      </c>
      <c r="ED23" s="142">
        <v>357.45486313337216</v>
      </c>
      <c r="EE23" s="143">
        <v>50.617974909888439</v>
      </c>
      <c r="EF23" t="s">
        <v>68</v>
      </c>
      <c r="EG23">
        <v>357.45486313337216</v>
      </c>
      <c r="EH23">
        <v>646.77536619144598</v>
      </c>
      <c r="EI23">
        <v>11.626642769857433</v>
      </c>
      <c r="EJ23">
        <v>6.65</v>
      </c>
      <c r="EK23">
        <v>2</v>
      </c>
      <c r="EL23">
        <v>5</v>
      </c>
      <c r="EM23">
        <v>17</v>
      </c>
      <c r="EN23">
        <v>288.40813853688093</v>
      </c>
      <c r="EO23">
        <v>5</v>
      </c>
      <c r="EP23">
        <v>17</v>
      </c>
      <c r="EQ23">
        <v>288.40813853688093</v>
      </c>
      <c r="ER23">
        <f>(SA_0-AVERAGE(SA_0))/STDEV(SA_0)</f>
        <v>-0.24775420609103097</v>
      </c>
      <c r="ES23">
        <f>(SA_1-AVERAGE(SA_1))/STDEV(SA_1)</f>
        <v>-0.84955037065952399</v>
      </c>
      <c r="ET23">
        <f>(SA_2-AVERAGE(SA_2))/STDEV(SA_2)</f>
        <v>-0.29266996795209033</v>
      </c>
      <c r="EU23">
        <f>(SA_3-AVERAGE(SA_3))/STDEV(SA_3)</f>
        <v>0.2077906934428245</v>
      </c>
      <c r="EV23">
        <f>(SA_4-AVERAGE(SA_4))/STDEV(SA_4)</f>
        <v>9.878259746169997E-2</v>
      </c>
      <c r="EW23">
        <f>(SA_5-AVERAGE(SA_5))/STDEV(SA_5)</f>
        <v>-2.2962335728658998E-2</v>
      </c>
      <c r="EX23">
        <f>(SA_6-AVERAGE(SA_6))/STDEV(SA_6)</f>
        <v>0.58935524117965887</v>
      </c>
      <c r="EY23">
        <f>(SA_7-AVERAGE(SA_7))/STDEV(SA_7)</f>
        <v>9.878259746169997E-2</v>
      </c>
      <c r="EZ23">
        <f>(SA_8-AVERAGE(SA_8))/STDEV(SA_8)</f>
        <v>-2.2962335728658998E-2</v>
      </c>
      <c r="FA23">
        <f>(SA_9-AVERAGE(SA_9))/STDEV(SA_9)</f>
        <v>0.58935524117965887</v>
      </c>
      <c r="FB23">
        <f>SA_0_std * SA_0_loading+SA_1_std * SA_1_loading+SA_2_std * SA_2_loading+SA_3_std * SA_3_loading+SA_4_std * SA_4_loading+SA_5_std * SA_5_loading+SA_6_std * SA_6_loading+SA_7_std * SA_7_loading+SA_8_std * SA_8_loading+SA_9_std * SA_9_loading</f>
        <v>4.6854568285344567E-2</v>
      </c>
      <c r="FC23">
        <f>(SA_I_STD-MIN(SA_I_STD_ALL))/(MAX(SA_I_STD_ALL)-MIN(SA_I_STD_ALL))*100</f>
        <v>54.127309156501013</v>
      </c>
      <c r="FD23" s="140" t="s">
        <v>74</v>
      </c>
      <c r="FE23" s="140">
        <v>134.10032848477772</v>
      </c>
      <c r="FF23" s="141">
        <v>63.849870167666701</v>
      </c>
    </row>
    <row r="24" spans="1:162" x14ac:dyDescent="0.25">
      <c r="A24" t="s">
        <v>84</v>
      </c>
      <c r="B24">
        <v>101.91738416424882</v>
      </c>
      <c r="C24">
        <v>809.68797106301031</v>
      </c>
      <c r="D24">
        <v>29.186833804827199</v>
      </c>
      <c r="E24">
        <v>10.986572714770977</v>
      </c>
      <c r="F24">
        <v>4</v>
      </c>
      <c r="G24">
        <v>0</v>
      </c>
      <c r="H24">
        <v>61.41</v>
      </c>
      <c r="I24">
        <v>162.20218855416729</v>
      </c>
      <c r="J24">
        <v>0</v>
      </c>
      <c r="K24">
        <v>61.41</v>
      </c>
      <c r="L24">
        <v>162.20218855416729</v>
      </c>
      <c r="M24">
        <f>(CS1_0-AVERAGE(CS1_0))/STDEV(CS1_0)</f>
        <v>-0.23813526432254609</v>
      </c>
      <c r="N24">
        <f>(CS1_1-AVERAGE(CS1_1))/STDEV(CS1_1)</f>
        <v>0.71021985842037683</v>
      </c>
      <c r="O24">
        <f>(CS1_2-AVERAGE(CS1_2))/STDEV(CS1_2)</f>
        <v>0.80826142780123933</v>
      </c>
      <c r="P24">
        <f>(CS1_3-AVERAGE(CS1_3))/STDEV(CS1_3)</f>
        <v>2.1471704989091878</v>
      </c>
      <c r="Q24">
        <f>(CS1_4-AVERAGE(CS1_4))/STDEV(CS1_4)</f>
        <v>-0.59269558477019968</v>
      </c>
      <c r="R24">
        <f>(CS1_5-AVERAGE(CS1_5))/STDEV(CS1_5)</f>
        <v>3.1215539292024017</v>
      </c>
      <c r="S24">
        <f>(CS1_6-AVERAGE(CS1_6))/STDEV(CS1_6)</f>
        <v>-0.3289908407310973</v>
      </c>
      <c r="T24">
        <f>(CS1_7-AVERAGE(CS1_7))/STDEV(CS1_7)</f>
        <v>-0.59269558477019968</v>
      </c>
      <c r="U24">
        <f>(CS1_8-AVERAGE(CS1_8))/STDEV(CS1_8)</f>
        <v>3.1215539292024017</v>
      </c>
      <c r="V24">
        <f>(CS1_9-AVERAGE(CS1_9))/STDEV(CS1_9)</f>
        <v>-0.3289908407310973</v>
      </c>
      <c r="W24">
        <f>CS1_0_std * CS1_0_loading+CS1_1_std * CS1_1_loading+CS1_2_std * CS1_2_loading+CS1_3_std * CS1_3_loading+CS1_4_std * CS1_4_loading+CS1_5_std * CS1_5_loading+CS1_6_std * CS1_6_loading+CS1_7_std * CS1_7_loading+CS1_8_std * CS1_8_loading+CS1_9_std * CS1_9_loading</f>
        <v>2.8916618077340988</v>
      </c>
      <c r="X24">
        <f>(CS1_I_STD-MIN(CS1_I_STD_ALL))/(MAX(CS1_I_STD_ALL)-MIN(CS1_I_STD_ALL))*100</f>
        <v>90.854474042498239</v>
      </c>
      <c r="Y24" s="140" t="s">
        <v>74</v>
      </c>
      <c r="Z24" s="140">
        <v>134.10032848477772</v>
      </c>
      <c r="AA24" s="141">
        <v>54.045133192771956</v>
      </c>
      <c r="AB24" t="s">
        <v>84</v>
      </c>
      <c r="AC24">
        <v>101.91738416424882</v>
      </c>
      <c r="AD24">
        <v>809.68797106301031</v>
      </c>
      <c r="AE24">
        <v>29.186833804827199</v>
      </c>
      <c r="AF24">
        <v>10.986572714770977</v>
      </c>
      <c r="AG24">
        <v>4</v>
      </c>
      <c r="AH24">
        <v>0</v>
      </c>
      <c r="AI24">
        <v>61.41</v>
      </c>
      <c r="AJ24">
        <v>162.20218855416729</v>
      </c>
      <c r="AK24">
        <v>0</v>
      </c>
      <c r="AL24">
        <v>61.41</v>
      </c>
      <c r="AM24">
        <v>162.20218855416729</v>
      </c>
      <c r="AN24">
        <f>(CS2_0-AVERAGE(CS2_0))/STDEV(CS2_0)</f>
        <v>-0.23813526432254609</v>
      </c>
      <c r="AO24">
        <f>(CS2_1-AVERAGE(CS2_1))/STDEV(CS2_1)</f>
        <v>0.71021985842037683</v>
      </c>
      <c r="AP24">
        <f>(CS2_2-AVERAGE(CS2_2))/STDEV(CS2_2)</f>
        <v>0.80826142780123933</v>
      </c>
      <c r="AQ24">
        <f>(CS2_3-AVERAGE(CS2_3))/STDEV(CS2_3)</f>
        <v>2.1471704989091878</v>
      </c>
      <c r="AR24">
        <f>(CS2_4-AVERAGE(CS2_4))/STDEV(CS2_4)</f>
        <v>-0.59269558477019968</v>
      </c>
      <c r="AS24">
        <f>(CS2_5-AVERAGE(CS2_5))/STDEV(CS2_5)</f>
        <v>3.1215539292024017</v>
      </c>
      <c r="AT24">
        <f>(CS2_6-AVERAGE(CS2_6))/STDEV(CS2_6)</f>
        <v>-0.3289908407310973</v>
      </c>
      <c r="AU24">
        <f>(CS2_7-AVERAGE(CS2_7))/STDEV(CS2_7)</f>
        <v>-0.59269558477019968</v>
      </c>
      <c r="AV24">
        <f>(CS2_8-AVERAGE(CS2_8))/STDEV(CS2_8)</f>
        <v>3.1215539292024017</v>
      </c>
      <c r="AW24">
        <f>(CS2_9-AVERAGE(CS2_9))/STDEV(CS2_9)</f>
        <v>-0.3289908407310973</v>
      </c>
      <c r="AX24">
        <f>CS2_0_std * CS2_0_loading+CS2_1_std * CS2_1_loading+CS2_2_std * CS2_2_loading+CS2_3_std * CS2_3_loading+CS2_4_std * CS2_4_loading+CS2_5_std * CS2_5_loading+CS2_6_std * CS2_6_loading+CS2_7_std * CS2_7_loading+CS2_8_std * CS2_8_loading+CS2_9_std * CS2_9_loading</f>
        <v>3.5623916698956979</v>
      </c>
      <c r="AY24">
        <f>(CS2_I_STD-MIN(CS2_I_STD_ALL))/(MAX(CS2_I_STD_ALL)-MIN(CS2_I_STD_ALL))*100</f>
        <v>100</v>
      </c>
      <c r="AZ24" s="140" t="s">
        <v>74</v>
      </c>
      <c r="BA24" s="140">
        <v>134.10032848477772</v>
      </c>
      <c r="BB24" s="141">
        <v>54.323693927348906</v>
      </c>
      <c r="BC24" t="s">
        <v>84</v>
      </c>
      <c r="BD24">
        <v>101.91738416424882</v>
      </c>
      <c r="BE24">
        <v>809.68797106301031</v>
      </c>
      <c r="BF24">
        <v>29.186833804827199</v>
      </c>
      <c r="BG24">
        <v>10.986572714770977</v>
      </c>
      <c r="BH24">
        <v>4</v>
      </c>
      <c r="BI24">
        <v>0</v>
      </c>
      <c r="BJ24">
        <v>61.41</v>
      </c>
      <c r="BK24">
        <v>162.20218855416729</v>
      </c>
      <c r="BL24">
        <v>0</v>
      </c>
      <c r="BM24">
        <v>61.41</v>
      </c>
      <c r="BN24">
        <v>162.20218855416729</v>
      </c>
      <c r="BO24">
        <f>(PCA_0-AVERAGE(PCA_0))/STDEV(PCA_0)</f>
        <v>-0.23813526432254609</v>
      </c>
      <c r="BP24">
        <f>(PCA_1-AVERAGE(PCA_1))/STDEV(PCA_1)</f>
        <v>0.71021985842037683</v>
      </c>
      <c r="BQ24">
        <f>(PCA_2-AVERAGE(PCA_2))/STDEV(PCA_2)</f>
        <v>0.80826142780123933</v>
      </c>
      <c r="BR24">
        <f>(PCA_3-AVERAGE(PCA_3))/STDEV(PCA_3)</f>
        <v>2.1471704989091878</v>
      </c>
      <c r="BS24">
        <f>(PCA_4-AVERAGE(PCA_4))/STDEV(PCA_4)</f>
        <v>-0.59269558477019968</v>
      </c>
      <c r="BT24">
        <f>(PCA_5-AVERAGE(PCA_5))/STDEV(PCA_5)</f>
        <v>3.1215539292024017</v>
      </c>
      <c r="BU24">
        <f>(PCA_6-AVERAGE(PCA_6))/STDEV(PCA_6)</f>
        <v>-0.3289908407310973</v>
      </c>
      <c r="BV24">
        <f>(PCA_7-AVERAGE(PCA_7))/STDEV(PCA_7)</f>
        <v>-0.59269558477019968</v>
      </c>
      <c r="BW24">
        <f>(PCA_8-AVERAGE(PCA_8))/STDEV(PCA_8)</f>
        <v>3.1215539292024017</v>
      </c>
      <c r="BX24">
        <f>(PCA_9-AVERAGE(PCA_9))/STDEV(PCA_9)</f>
        <v>-0.3289908407310973</v>
      </c>
      <c r="BY24">
        <f>PCA_0_std * PCA_0_loading+PCA_1_std * PCA_1_loading+PCA_2_std * PCA_2_loading+PCA_3_std * PCA_3_loading+PCA_4_std * PCA_4_loading+PCA_5_std * PCA_5_loading+PCA_6_std * PCA_6_loading+PCA_7_std * PCA_7_loading+PCA_8_std * PCA_8_loading+PCA_9_std * PCA_9_loading</f>
        <v>-2.2036482298265976</v>
      </c>
      <c r="BZ24">
        <f>(PCA_I_STD-MIN(PCA_I_STD_ALL))/(MAX(PCA_I_STD_ALL)-MIN(PCA_I_STD_ALL))*100</f>
        <v>23.976070203489165</v>
      </c>
      <c r="CA24" s="142" t="s">
        <v>68</v>
      </c>
      <c r="CB24" s="142">
        <v>357.45486313337216</v>
      </c>
      <c r="CC24" s="143">
        <v>67.519453833716241</v>
      </c>
      <c r="CD24" t="s">
        <v>84</v>
      </c>
      <c r="CE24">
        <v>101.91738416424882</v>
      </c>
      <c r="CF24">
        <v>809.68797106301031</v>
      </c>
      <c r="CG24">
        <v>29.186833804827199</v>
      </c>
      <c r="CH24">
        <v>10.986572714770977</v>
      </c>
      <c r="CI24">
        <v>4</v>
      </c>
      <c r="CJ24">
        <v>0</v>
      </c>
      <c r="CK24">
        <v>61.41</v>
      </c>
      <c r="CL24">
        <v>162.20218855416729</v>
      </c>
      <c r="CM24">
        <v>0</v>
      </c>
      <c r="CN24">
        <v>61.41</v>
      </c>
      <c r="CO24">
        <v>162.20218855416729</v>
      </c>
      <c r="CP24">
        <f>(KTGET_0-AVERAGE(KTGET_0))/STDEV(KTGET_0)</f>
        <v>-0.23813526432254609</v>
      </c>
      <c r="CQ24">
        <f>(KTGET_1-AVERAGE(KTGET_1))/STDEV(KTGET_1)</f>
        <v>0.71021985842037683</v>
      </c>
      <c r="CR24">
        <f>(KTGET_2-AVERAGE(KTGET_2))/STDEV(KTGET_2)</f>
        <v>0.80826142780123933</v>
      </c>
      <c r="CS24">
        <f>(KTGET_3-AVERAGE(KTGET_3))/STDEV(KTGET_3)</f>
        <v>2.1471704989091878</v>
      </c>
      <c r="CT24">
        <f>(KTGET_4-AVERAGE(KTGET_4))/STDEV(KTGET_4)</f>
        <v>-0.59269558477019968</v>
      </c>
      <c r="CU24">
        <f>(KTGET_5-AVERAGE(KTGET_5))/STDEV(KTGET_5)</f>
        <v>3.1215539292024017</v>
      </c>
      <c r="CV24">
        <f>(KTGET_6-AVERAGE(KTGET_6))/STDEV(KTGET_6)</f>
        <v>-0.3289908407310973</v>
      </c>
      <c r="CW24">
        <f>(KTGET_7-AVERAGE(KTGET_7))/STDEV(KTGET_7)</f>
        <v>-0.59269558477019968</v>
      </c>
      <c r="CX24">
        <f>(KTGET_8-AVERAGE(KTGET_8))/STDEV(KTGET_8)</f>
        <v>3.1215539292024017</v>
      </c>
      <c r="CY24">
        <f>(KTGET_9-AVERAGE(KTGET_9))/STDEV(KTGET_9)</f>
        <v>-0.3289908407310973</v>
      </c>
      <c r="CZ24">
        <f>KTGET_0_std * KTGET_0_loading+KTGET_1_std * KTGET_1_loading+KTGET_2_std * KTGET_2_loading+KTGET_3_std * KTGET_3_loading+KTGET_4_std * KTGET_4_loading+KTGET_5_std * KTGET_5_loading+KTGET_6_std * KTGET_6_loading+KTGET_7_std * KTGET_7_loading+KTGET_8_std * KTGET_8_loading+KTGET_9_std * KTGET_9_loading</f>
        <v>2.891672575737271</v>
      </c>
      <c r="DA24">
        <f>(KTGET_I_STD-MIN(KTGET_I_STD_ALL))/(MAX(KTGET_I_STD_ALL)-MIN(KTGET_I_STD_ALL))*100</f>
        <v>90.854653280408797</v>
      </c>
      <c r="DB24" s="140" t="s">
        <v>74</v>
      </c>
      <c r="DC24" s="140">
        <v>134.10032848477772</v>
      </c>
      <c r="DD24" s="141">
        <v>54.045121412693518</v>
      </c>
      <c r="DE24" t="s">
        <v>84</v>
      </c>
      <c r="DF24">
        <v>101.91738416424882</v>
      </c>
      <c r="DG24">
        <v>809.68797106301031</v>
      </c>
      <c r="DH24">
        <v>29.186833804827199</v>
      </c>
      <c r="DI24">
        <v>10.986572714770977</v>
      </c>
      <c r="DJ24">
        <v>4</v>
      </c>
      <c r="DK24">
        <v>0</v>
      </c>
      <c r="DL24">
        <v>61.41</v>
      </c>
      <c r="DM24">
        <v>162.20218855416729</v>
      </c>
      <c r="DN24">
        <v>0</v>
      </c>
      <c r="DO24">
        <v>61.41</v>
      </c>
      <c r="DP24">
        <v>162.20218855416729</v>
      </c>
      <c r="DQ24">
        <f>(KTGT_0-AVERAGE(KTGT_0))/STDEV(KTGT_0)</f>
        <v>-0.23813526432254609</v>
      </c>
      <c r="DR24">
        <f>(KTGT_1-AVERAGE(KTGT_1))/STDEV(KTGT_1)</f>
        <v>0.71021985842037683</v>
      </c>
      <c r="DS24">
        <f>(KTGT_2-AVERAGE(KTGT_2))/STDEV(KTGT_2)</f>
        <v>0.80826142780123933</v>
      </c>
      <c r="DT24">
        <f>(KTGT_3-AVERAGE(KTGT_3))/STDEV(KTGT_3)</f>
        <v>2.1471704989091878</v>
      </c>
      <c r="DU24">
        <f>(KTGT_4-AVERAGE(KTGT_4))/STDEV(KTGT_4)</f>
        <v>-0.59269558477019968</v>
      </c>
      <c r="DV24">
        <f>(KTGT_5-AVERAGE(KTGT_5))/STDEV(KTGT_5)</f>
        <v>3.1215539292024017</v>
      </c>
      <c r="DW24">
        <f>(KTGT_6-AVERAGE(KTGT_6))/STDEV(KTGT_6)</f>
        <v>-0.3289908407310973</v>
      </c>
      <c r="DX24">
        <f>(KTGT_7-AVERAGE(KTGT_7))/STDEV(KTGT_7)</f>
        <v>-0.59269558477019968</v>
      </c>
      <c r="DY24">
        <f>(KTGT_8-AVERAGE(KTGT_8))/STDEV(KTGT_8)</f>
        <v>3.1215539292024017</v>
      </c>
      <c r="DZ24">
        <f>(KTGT_9-AVERAGE(KTGT_9))/STDEV(KTGT_9)</f>
        <v>-0.3289908407310973</v>
      </c>
      <c r="EA24">
        <f>KTGT_0_std * KTGT_0_loading+KTGT_1_std * KTGT_1_loading+KTGT_2_std * KTGT_2_loading+KTGT_3_std * KTGT_3_loading+KTGT_4_std * KTGT_4_loading+KTGT_5_std * KTGT_5_loading+KTGT_6_std * KTGT_6_loading+KTGT_7_std * KTGT_7_loading+KTGT_8_std * KTGT_8_loading+KTGT_9_std * KTGT_9_loading</f>
        <v>2.8680631694029257</v>
      </c>
      <c r="EB24">
        <f>(KTGT_I_STD-MIN(KTGT_I_STD_ALL))/(MAX(KTGT_I_STD_ALL)-MIN(KTGT_I_STD_ALL))*100</f>
        <v>90.40970324060612</v>
      </c>
      <c r="EC24" s="140" t="s">
        <v>74</v>
      </c>
      <c r="ED24" s="140">
        <v>134.10032848477772</v>
      </c>
      <c r="EE24" s="141">
        <v>54.032776817425301</v>
      </c>
      <c r="EF24" t="s">
        <v>84</v>
      </c>
      <c r="EG24">
        <v>101.91738416424882</v>
      </c>
      <c r="EH24">
        <v>809.68797106301031</v>
      </c>
      <c r="EI24">
        <v>29.186833804827199</v>
      </c>
      <c r="EJ24">
        <v>10.986572714770977</v>
      </c>
      <c r="EK24">
        <v>4</v>
      </c>
      <c r="EL24">
        <v>0</v>
      </c>
      <c r="EM24">
        <v>61.41</v>
      </c>
      <c r="EN24">
        <v>162.20218855416729</v>
      </c>
      <c r="EO24">
        <v>0</v>
      </c>
      <c r="EP24">
        <v>61.41</v>
      </c>
      <c r="EQ24">
        <v>162.20218855416729</v>
      </c>
      <c r="ER24">
        <f>(SA_0-AVERAGE(SA_0))/STDEV(SA_0)</f>
        <v>-0.23813526432254609</v>
      </c>
      <c r="ES24">
        <f>(SA_1-AVERAGE(SA_1))/STDEV(SA_1)</f>
        <v>0.71021985842037683</v>
      </c>
      <c r="ET24">
        <f>(SA_2-AVERAGE(SA_2))/STDEV(SA_2)</f>
        <v>0.80826142780123933</v>
      </c>
      <c r="EU24">
        <f>(SA_3-AVERAGE(SA_3))/STDEV(SA_3)</f>
        <v>2.1471704989091878</v>
      </c>
      <c r="EV24">
        <f>(SA_4-AVERAGE(SA_4))/STDEV(SA_4)</f>
        <v>-0.59269558477019968</v>
      </c>
      <c r="EW24">
        <f>(SA_5-AVERAGE(SA_5))/STDEV(SA_5)</f>
        <v>3.1215539292024017</v>
      </c>
      <c r="EX24">
        <f>(SA_6-AVERAGE(SA_6))/STDEV(SA_6)</f>
        <v>-0.3289908407310973</v>
      </c>
      <c r="EY24">
        <f>(SA_7-AVERAGE(SA_7))/STDEV(SA_7)</f>
        <v>-0.59269558477019968</v>
      </c>
      <c r="EZ24">
        <f>(SA_8-AVERAGE(SA_8))/STDEV(SA_8)</f>
        <v>3.1215539292024017</v>
      </c>
      <c r="FA24">
        <f>(SA_9-AVERAGE(SA_9))/STDEV(SA_9)</f>
        <v>-0.3289908407310973</v>
      </c>
      <c r="FB24">
        <f>SA_0_std * SA_0_loading+SA_1_std * SA_1_loading+SA_2_std * SA_2_loading+SA_3_std * SA_3_loading+SA_4_std * SA_4_loading+SA_5_std * SA_5_loading+SA_6_std * SA_6_loading+SA_7_std * SA_7_loading+SA_8_std * SA_8_loading+SA_9_std * SA_9_loading</f>
        <v>2.4751942648178766</v>
      </c>
      <c r="FC24">
        <f>(SA_I_STD-MIN(SA_I_STD_ALL))/(MAX(SA_I_STD_ALL)-MIN(SA_I_STD_ALL))*100</f>
        <v>99.088646316655328</v>
      </c>
      <c r="FD24" s="140" t="s">
        <v>78</v>
      </c>
      <c r="FE24" s="140">
        <v>40.093755528038209</v>
      </c>
      <c r="FF24" s="141">
        <v>67.489688126766339</v>
      </c>
    </row>
    <row r="25" spans="1:162" x14ac:dyDescent="0.25">
      <c r="A25" t="s">
        <v>73</v>
      </c>
      <c r="B25">
        <v>97.801123064581716</v>
      </c>
      <c r="C25">
        <v>1255.6113483370784</v>
      </c>
      <c r="D25">
        <v>12.699240674157302</v>
      </c>
      <c r="E25">
        <v>7.3700908535654293</v>
      </c>
      <c r="F25">
        <v>4</v>
      </c>
      <c r="G25">
        <v>0</v>
      </c>
      <c r="H25">
        <v>4</v>
      </c>
      <c r="I25">
        <v>134.37165979538861</v>
      </c>
      <c r="J25">
        <v>0</v>
      </c>
      <c r="K25">
        <v>4</v>
      </c>
      <c r="L25">
        <v>134.37165979538861</v>
      </c>
      <c r="M25">
        <f>(CS1_0-AVERAGE(CS1_0))/STDEV(CS1_0)</f>
        <v>-0.21180635623966967</v>
      </c>
      <c r="N25">
        <f>(CS1_1-AVERAGE(CS1_1))/STDEV(CS1_1)</f>
        <v>-0.75427770104170688</v>
      </c>
      <c r="O25">
        <f>(CS1_2-AVERAGE(CS1_2))/STDEV(CS1_2)</f>
        <v>-0.10985955968089822</v>
      </c>
      <c r="P25">
        <f>(CS1_3-AVERAGE(CS1_3))/STDEV(CS1_3)</f>
        <v>2.1471704989091878</v>
      </c>
      <c r="Q25">
        <f>(CS1_4-AVERAGE(CS1_4))/STDEV(CS1_4)</f>
        <v>-0.59269558477019968</v>
      </c>
      <c r="R25">
        <f>(CS1_5-AVERAGE(CS1_5))/STDEV(CS1_5)</f>
        <v>-0.94344671861773355</v>
      </c>
      <c r="S25">
        <f>(CS1_6-AVERAGE(CS1_6))/STDEV(CS1_6)</f>
        <v>-0.53150155473966587</v>
      </c>
      <c r="T25">
        <f>(CS1_7-AVERAGE(CS1_7))/STDEV(CS1_7)</f>
        <v>-0.59269558477019968</v>
      </c>
      <c r="U25">
        <f>(CS1_8-AVERAGE(CS1_8))/STDEV(CS1_8)</f>
        <v>-0.94344671861773355</v>
      </c>
      <c r="V25">
        <f>(CS1_9-AVERAGE(CS1_9))/STDEV(CS1_9)</f>
        <v>-0.53150155473966587</v>
      </c>
      <c r="W25">
        <f>CS1_0_std * CS1_0_loading+CS1_1_std * CS1_1_loading+CS1_2_std * CS1_2_loading+CS1_3_std * CS1_3_loading+CS1_4_std * CS1_4_loading+CS1_5_std * CS1_5_loading+CS1_6_std * CS1_6_loading+CS1_7_std * CS1_7_loading+CS1_8_std * CS1_8_loading+CS1_9_std * CS1_9_loading</f>
        <v>-1.4699291370216403</v>
      </c>
      <c r="X25">
        <f>(CS1_I_STD-MIN(CS1_I_STD_ALL))/(MAX(CS1_I_STD_ALL)-MIN(CS1_I_STD_ALL))*100</f>
        <v>16.65882979635165</v>
      </c>
      <c r="Y25" s="140" t="s">
        <v>70</v>
      </c>
      <c r="Z25" s="140">
        <v>91.141772084442891</v>
      </c>
      <c r="AA25" s="141">
        <v>59.798972157359472</v>
      </c>
      <c r="AB25" t="s">
        <v>73</v>
      </c>
      <c r="AC25">
        <v>97.801123064581716</v>
      </c>
      <c r="AD25">
        <v>1255.6113483370784</v>
      </c>
      <c r="AE25">
        <v>12.699240674157302</v>
      </c>
      <c r="AF25">
        <v>7.3700908535654293</v>
      </c>
      <c r="AG25">
        <v>4</v>
      </c>
      <c r="AH25">
        <v>0</v>
      </c>
      <c r="AI25">
        <v>4</v>
      </c>
      <c r="AJ25">
        <v>134.37165979538861</v>
      </c>
      <c r="AK25">
        <v>0</v>
      </c>
      <c r="AL25">
        <v>4</v>
      </c>
      <c r="AM25">
        <v>134.37165979538861</v>
      </c>
      <c r="AN25">
        <f>(CS2_0-AVERAGE(CS2_0))/STDEV(CS2_0)</f>
        <v>-0.21180635623966967</v>
      </c>
      <c r="AO25">
        <f>(CS2_1-AVERAGE(CS2_1))/STDEV(CS2_1)</f>
        <v>-0.75427770104170688</v>
      </c>
      <c r="AP25">
        <f>(CS2_2-AVERAGE(CS2_2))/STDEV(CS2_2)</f>
        <v>-0.10985955968089822</v>
      </c>
      <c r="AQ25">
        <f>(CS2_3-AVERAGE(CS2_3))/STDEV(CS2_3)</f>
        <v>2.1471704989091878</v>
      </c>
      <c r="AR25">
        <f>(CS2_4-AVERAGE(CS2_4))/STDEV(CS2_4)</f>
        <v>-0.59269558477019968</v>
      </c>
      <c r="AS25">
        <f>(CS2_5-AVERAGE(CS2_5))/STDEV(CS2_5)</f>
        <v>-0.94344671861773355</v>
      </c>
      <c r="AT25">
        <f>(CS2_6-AVERAGE(CS2_6))/STDEV(CS2_6)</f>
        <v>-0.53150155473966587</v>
      </c>
      <c r="AU25">
        <f>(CS2_7-AVERAGE(CS2_7))/STDEV(CS2_7)</f>
        <v>-0.59269558477019968</v>
      </c>
      <c r="AV25">
        <f>(CS2_8-AVERAGE(CS2_8))/STDEV(CS2_8)</f>
        <v>-0.94344671861773355</v>
      </c>
      <c r="AW25">
        <f>(CS2_9-AVERAGE(CS2_9))/STDEV(CS2_9)</f>
        <v>-0.53150155473966587</v>
      </c>
      <c r="AX25">
        <f>CS2_0_std * CS2_0_loading+CS2_1_std * CS2_1_loading+CS2_2_std * CS2_2_loading+CS2_3_std * CS2_3_loading+CS2_4_std * CS2_4_loading+CS2_5_std * CS2_5_loading+CS2_6_std * CS2_6_loading+CS2_7_std * CS2_7_loading+CS2_8_std * CS2_8_loading+CS2_9_std * CS2_9_loading</f>
        <v>-0.97441851230928733</v>
      </c>
      <c r="AY25">
        <f>(CS2_I_STD-MIN(CS2_I_STD_ALL))/(MAX(CS2_I_STD_ALL)-MIN(CS2_I_STD_ALL))*100</f>
        <v>25.74742485966004</v>
      </c>
      <c r="AZ25" s="140" t="s">
        <v>70</v>
      </c>
      <c r="BA25" s="140">
        <v>91.141772084442891</v>
      </c>
      <c r="BB25" s="141">
        <v>58.623232210413178</v>
      </c>
      <c r="BC25" t="s">
        <v>73</v>
      </c>
      <c r="BD25">
        <v>97.801123064581716</v>
      </c>
      <c r="BE25">
        <v>1255.6113483370784</v>
      </c>
      <c r="BF25">
        <v>12.699240674157302</v>
      </c>
      <c r="BG25">
        <v>7.3700908535654293</v>
      </c>
      <c r="BH25">
        <v>4</v>
      </c>
      <c r="BI25">
        <v>0</v>
      </c>
      <c r="BJ25">
        <v>4</v>
      </c>
      <c r="BK25">
        <v>134.37165979538861</v>
      </c>
      <c r="BL25">
        <v>0</v>
      </c>
      <c r="BM25">
        <v>4</v>
      </c>
      <c r="BN25">
        <v>134.37165979538861</v>
      </c>
      <c r="BO25">
        <f>(PCA_0-AVERAGE(PCA_0))/STDEV(PCA_0)</f>
        <v>-0.21180635623966967</v>
      </c>
      <c r="BP25">
        <f>(PCA_1-AVERAGE(PCA_1))/STDEV(PCA_1)</f>
        <v>-0.75427770104170688</v>
      </c>
      <c r="BQ25">
        <f>(PCA_2-AVERAGE(PCA_2))/STDEV(PCA_2)</f>
        <v>-0.10985955968089822</v>
      </c>
      <c r="BR25">
        <f>(PCA_3-AVERAGE(PCA_3))/STDEV(PCA_3)</f>
        <v>2.1471704989091878</v>
      </c>
      <c r="BS25">
        <f>(PCA_4-AVERAGE(PCA_4))/STDEV(PCA_4)</f>
        <v>-0.59269558477019968</v>
      </c>
      <c r="BT25">
        <f>(PCA_5-AVERAGE(PCA_5))/STDEV(PCA_5)</f>
        <v>-0.94344671861773355</v>
      </c>
      <c r="BU25">
        <f>(PCA_6-AVERAGE(PCA_6))/STDEV(PCA_6)</f>
        <v>-0.53150155473966587</v>
      </c>
      <c r="BV25">
        <f>(PCA_7-AVERAGE(PCA_7))/STDEV(PCA_7)</f>
        <v>-0.59269558477019968</v>
      </c>
      <c r="BW25">
        <f>(PCA_8-AVERAGE(PCA_8))/STDEV(PCA_8)</f>
        <v>-0.94344671861773355</v>
      </c>
      <c r="BX25">
        <f>(PCA_9-AVERAGE(PCA_9))/STDEV(PCA_9)</f>
        <v>-0.53150155473966587</v>
      </c>
      <c r="BY25">
        <f>PCA_0_std * PCA_0_loading+PCA_1_std * PCA_1_loading+PCA_2_std * PCA_2_loading+PCA_3_std * PCA_3_loading+PCA_4_std * PCA_4_loading+PCA_5_std * PCA_5_loading+PCA_6_std * PCA_6_loading+PCA_7_std * PCA_7_loading+PCA_8_std * PCA_8_loading+PCA_9_std * PCA_9_loading</f>
        <v>-0.40052132401891694</v>
      </c>
      <c r="BZ25">
        <f>(PCA_I_STD-MIN(PCA_I_STD_ALL))/(MAX(PCA_I_STD_ALL)-MIN(PCA_I_STD_ALL))*100</f>
        <v>49.116308040446654</v>
      </c>
      <c r="CA25" s="140" t="s">
        <v>82</v>
      </c>
      <c r="CB25" s="140">
        <v>19.785132701190538</v>
      </c>
      <c r="CC25" s="141">
        <v>68.496078119934623</v>
      </c>
      <c r="CD25" t="s">
        <v>73</v>
      </c>
      <c r="CE25">
        <v>97.801123064581716</v>
      </c>
      <c r="CF25">
        <v>1255.6113483370784</v>
      </c>
      <c r="CG25">
        <v>12.699240674157302</v>
      </c>
      <c r="CH25">
        <v>7.3700908535654293</v>
      </c>
      <c r="CI25">
        <v>4</v>
      </c>
      <c r="CJ25">
        <v>0</v>
      </c>
      <c r="CK25">
        <v>4</v>
      </c>
      <c r="CL25">
        <v>134.37165979538861</v>
      </c>
      <c r="CM25">
        <v>0</v>
      </c>
      <c r="CN25">
        <v>4</v>
      </c>
      <c r="CO25">
        <v>134.37165979538861</v>
      </c>
      <c r="CP25">
        <f>(KTGET_0-AVERAGE(KTGET_0))/STDEV(KTGET_0)</f>
        <v>-0.21180635623966967</v>
      </c>
      <c r="CQ25">
        <f>(KTGET_1-AVERAGE(KTGET_1))/STDEV(KTGET_1)</f>
        <v>-0.75427770104170688</v>
      </c>
      <c r="CR25">
        <f>(KTGET_2-AVERAGE(KTGET_2))/STDEV(KTGET_2)</f>
        <v>-0.10985955968089822</v>
      </c>
      <c r="CS25">
        <f>(KTGET_3-AVERAGE(KTGET_3))/STDEV(KTGET_3)</f>
        <v>2.1471704989091878</v>
      </c>
      <c r="CT25">
        <f>(KTGET_4-AVERAGE(KTGET_4))/STDEV(KTGET_4)</f>
        <v>-0.59269558477019968</v>
      </c>
      <c r="CU25">
        <f>(KTGET_5-AVERAGE(KTGET_5))/STDEV(KTGET_5)</f>
        <v>-0.94344671861773355</v>
      </c>
      <c r="CV25">
        <f>(KTGET_6-AVERAGE(KTGET_6))/STDEV(KTGET_6)</f>
        <v>-0.53150155473966587</v>
      </c>
      <c r="CW25">
        <f>(KTGET_7-AVERAGE(KTGET_7))/STDEV(KTGET_7)</f>
        <v>-0.59269558477019968</v>
      </c>
      <c r="CX25">
        <f>(KTGET_8-AVERAGE(KTGET_8))/STDEV(KTGET_8)</f>
        <v>-0.94344671861773355</v>
      </c>
      <c r="CY25">
        <f>(KTGET_9-AVERAGE(KTGET_9))/STDEV(KTGET_9)</f>
        <v>-0.53150155473966587</v>
      </c>
      <c r="CZ25">
        <f>KTGET_0_std * KTGET_0_loading+KTGET_1_std * KTGET_1_loading+KTGET_2_std * KTGET_2_loading+KTGET_3_std * KTGET_3_loading+KTGET_4_std * KTGET_4_loading+KTGET_5_std * KTGET_5_loading+KTGET_6_std * KTGET_6_loading+KTGET_7_std * KTGET_7_loading+KTGET_8_std * KTGET_8_loading+KTGET_9_std * KTGET_9_loading</f>
        <v>-1.4699259014829096</v>
      </c>
      <c r="DA25">
        <f>(KTGET_I_STD-MIN(KTGET_I_STD_ALL))/(MAX(KTGET_I_STD_ALL)-MIN(KTGET_I_STD_ALL))*100</f>
        <v>16.658929131055704</v>
      </c>
      <c r="DB25" s="140" t="s">
        <v>70</v>
      </c>
      <c r="DC25" s="140">
        <v>91.141772084442891</v>
      </c>
      <c r="DD25" s="141">
        <v>59.799003851571676</v>
      </c>
      <c r="DE25" t="s">
        <v>73</v>
      </c>
      <c r="DF25">
        <v>97.801123064581716</v>
      </c>
      <c r="DG25">
        <v>1255.6113483370784</v>
      </c>
      <c r="DH25">
        <v>12.699240674157302</v>
      </c>
      <c r="DI25">
        <v>7.3700908535654293</v>
      </c>
      <c r="DJ25">
        <v>4</v>
      </c>
      <c r="DK25">
        <v>0</v>
      </c>
      <c r="DL25">
        <v>4</v>
      </c>
      <c r="DM25">
        <v>134.37165979538861</v>
      </c>
      <c r="DN25">
        <v>0</v>
      </c>
      <c r="DO25">
        <v>4</v>
      </c>
      <c r="DP25">
        <v>134.37165979538861</v>
      </c>
      <c r="DQ25">
        <f>(KTGT_0-AVERAGE(KTGT_0))/STDEV(KTGT_0)</f>
        <v>-0.21180635623966967</v>
      </c>
      <c r="DR25">
        <f>(KTGT_1-AVERAGE(KTGT_1))/STDEV(KTGT_1)</f>
        <v>-0.75427770104170688</v>
      </c>
      <c r="DS25">
        <f>(KTGT_2-AVERAGE(KTGT_2))/STDEV(KTGT_2)</f>
        <v>-0.10985955968089822</v>
      </c>
      <c r="DT25">
        <f>(KTGT_3-AVERAGE(KTGT_3))/STDEV(KTGT_3)</f>
        <v>2.1471704989091878</v>
      </c>
      <c r="DU25">
        <f>(KTGT_4-AVERAGE(KTGT_4))/STDEV(KTGT_4)</f>
        <v>-0.59269558477019968</v>
      </c>
      <c r="DV25">
        <f>(KTGT_5-AVERAGE(KTGT_5))/STDEV(KTGT_5)</f>
        <v>-0.94344671861773355</v>
      </c>
      <c r="DW25">
        <f>(KTGT_6-AVERAGE(KTGT_6))/STDEV(KTGT_6)</f>
        <v>-0.53150155473966587</v>
      </c>
      <c r="DX25">
        <f>(KTGT_7-AVERAGE(KTGT_7))/STDEV(KTGT_7)</f>
        <v>-0.59269558477019968</v>
      </c>
      <c r="DY25">
        <f>(KTGT_8-AVERAGE(KTGT_8))/STDEV(KTGT_8)</f>
        <v>-0.94344671861773355</v>
      </c>
      <c r="DZ25">
        <f>(KTGT_9-AVERAGE(KTGT_9))/STDEV(KTGT_9)</f>
        <v>-0.53150155473966587</v>
      </c>
      <c r="EA25">
        <f>KTGT_0_std * KTGT_0_loading+KTGT_1_std * KTGT_1_loading+KTGT_2_std * KTGT_2_loading+KTGT_3_std * KTGT_3_loading+KTGT_4_std * KTGT_4_loading+KTGT_5_std * KTGT_5_loading+KTGT_6_std * KTGT_6_loading+KTGT_7_std * KTGT_7_loading+KTGT_8_std * KTGT_8_loading+KTGT_9_std * KTGT_9_loading</f>
        <v>-1.4765776578891949</v>
      </c>
      <c r="EB25">
        <f>(KTGT_I_STD-MIN(KTGT_I_STD_ALL))/(MAX(KTGT_I_STD_ALL)-MIN(KTGT_I_STD_ALL))*100</f>
        <v>16.54228255620438</v>
      </c>
      <c r="EC25" s="140" t="s">
        <v>70</v>
      </c>
      <c r="ED25" s="140">
        <v>91.141772084442891</v>
      </c>
      <c r="EE25" s="141">
        <v>59.607194600434219</v>
      </c>
      <c r="EF25" t="s">
        <v>73</v>
      </c>
      <c r="EG25">
        <v>97.801123064581716</v>
      </c>
      <c r="EH25">
        <v>1255.6113483370784</v>
      </c>
      <c r="EI25">
        <v>12.699240674157302</v>
      </c>
      <c r="EJ25">
        <v>7.3700908535654293</v>
      </c>
      <c r="EK25">
        <v>4</v>
      </c>
      <c r="EL25">
        <v>0</v>
      </c>
      <c r="EM25">
        <v>4</v>
      </c>
      <c r="EN25">
        <v>134.37165979538861</v>
      </c>
      <c r="EO25">
        <v>0</v>
      </c>
      <c r="EP25">
        <v>4</v>
      </c>
      <c r="EQ25">
        <v>134.37165979538861</v>
      </c>
      <c r="ER25">
        <f>(SA_0-AVERAGE(SA_0))/STDEV(SA_0)</f>
        <v>-0.21180635623966967</v>
      </c>
      <c r="ES25">
        <f>(SA_1-AVERAGE(SA_1))/STDEV(SA_1)</f>
        <v>-0.75427770104170688</v>
      </c>
      <c r="ET25">
        <f>(SA_2-AVERAGE(SA_2))/STDEV(SA_2)</f>
        <v>-0.10985955968089822</v>
      </c>
      <c r="EU25">
        <f>(SA_3-AVERAGE(SA_3))/STDEV(SA_3)</f>
        <v>2.1471704989091878</v>
      </c>
      <c r="EV25">
        <f>(SA_4-AVERAGE(SA_4))/STDEV(SA_4)</f>
        <v>-0.59269558477019968</v>
      </c>
      <c r="EW25">
        <f>(SA_5-AVERAGE(SA_5))/STDEV(SA_5)</f>
        <v>-0.94344671861773355</v>
      </c>
      <c r="EX25">
        <f>(SA_6-AVERAGE(SA_6))/STDEV(SA_6)</f>
        <v>-0.53150155473966587</v>
      </c>
      <c r="EY25">
        <f>(SA_7-AVERAGE(SA_7))/STDEV(SA_7)</f>
        <v>-0.59269558477019968</v>
      </c>
      <c r="EZ25">
        <f>(SA_8-AVERAGE(SA_8))/STDEV(SA_8)</f>
        <v>-0.94344671861773355</v>
      </c>
      <c r="FA25">
        <f>(SA_9-AVERAGE(SA_9))/STDEV(SA_9)</f>
        <v>-0.53150155473966587</v>
      </c>
      <c r="FB25">
        <f>SA_0_std * SA_0_loading+SA_1_std * SA_1_loading+SA_2_std * SA_2_loading+SA_3_std * SA_3_loading+SA_4_std * SA_4_loading+SA_5_std * SA_5_loading+SA_6_std * SA_6_loading+SA_7_std * SA_7_loading+SA_8_std * SA_8_loading+SA_9_std * SA_9_loading</f>
        <v>-0.96894111257299731</v>
      </c>
      <c r="FC25">
        <f>(SA_I_STD-MIN(SA_I_STD_ALL))/(MAX(SA_I_STD_ALL)-MIN(SA_I_STD_ALL))*100</f>
        <v>35.319589561867865</v>
      </c>
      <c r="FD25" s="140" t="s">
        <v>71</v>
      </c>
      <c r="FE25" s="140">
        <v>59.97365989925494</v>
      </c>
      <c r="FF25" s="141">
        <v>69.090800818839753</v>
      </c>
    </row>
    <row r="26" spans="1:162" x14ac:dyDescent="0.25">
      <c r="A26" t="s">
        <v>75</v>
      </c>
      <c r="B26">
        <v>109.01309275271484</v>
      </c>
      <c r="C26">
        <v>505.92088167892575</v>
      </c>
      <c r="D26">
        <v>16.693681401888309</v>
      </c>
      <c r="E26">
        <v>21.640878258934642</v>
      </c>
      <c r="F26">
        <v>2</v>
      </c>
      <c r="G26">
        <v>4</v>
      </c>
      <c r="H26">
        <v>3.8553626919154027</v>
      </c>
      <c r="I26">
        <v>199.02834608680601</v>
      </c>
      <c r="J26">
        <v>4</v>
      </c>
      <c r="K26">
        <v>3.8553626919154027</v>
      </c>
      <c r="L26">
        <v>199.02834608680601</v>
      </c>
      <c r="M26">
        <f>(CS1_0-AVERAGE(CS1_0))/STDEV(CS1_0)</f>
        <v>-0.25607075768888937</v>
      </c>
      <c r="N26">
        <f>(CS1_1-AVERAGE(CS1_1))/STDEV(CS1_1)</f>
        <v>-0.39947462876694073</v>
      </c>
      <c r="O26">
        <f>(CS1_2-AVERAGE(CS1_2))/STDEV(CS1_2)</f>
        <v>3.5130839328097845</v>
      </c>
      <c r="P26">
        <f>(CS1_3-AVERAGE(CS1_3))/STDEV(CS1_3)</f>
        <v>0.2077906934428245</v>
      </c>
      <c r="Q26">
        <f>(CS1_4-AVERAGE(CS1_4))/STDEV(CS1_4)</f>
        <v>-3.9513038984679963E-2</v>
      </c>
      <c r="R26">
        <f>(CS1_5-AVERAGE(CS1_5))/STDEV(CS1_5)</f>
        <v>-0.95368797886965562</v>
      </c>
      <c r="S26">
        <f>(CS1_6-AVERAGE(CS1_6))/STDEV(CS1_6)</f>
        <v>-6.1022829028327057E-2</v>
      </c>
      <c r="T26">
        <f>(CS1_7-AVERAGE(CS1_7))/STDEV(CS1_7)</f>
        <v>-3.9513038984679963E-2</v>
      </c>
      <c r="U26">
        <f>(CS1_8-AVERAGE(CS1_8))/STDEV(CS1_8)</f>
        <v>-0.95368797886965562</v>
      </c>
      <c r="V26">
        <f>(CS1_9-AVERAGE(CS1_9))/STDEV(CS1_9)</f>
        <v>-6.1022829028327057E-2</v>
      </c>
      <c r="W26">
        <f>CS1_0_std * CS1_0_loading+CS1_1_std * CS1_1_loading+CS1_2_std * CS1_2_loading+CS1_3_std * CS1_3_loading+CS1_4_std * CS1_4_loading+CS1_5_std * CS1_5_loading+CS1_6_std * CS1_6_loading+CS1_7_std * CS1_7_loading+CS1_8_std * CS1_8_loading+CS1_9_std * CS1_9_loading</f>
        <v>-0.74213802006766061</v>
      </c>
      <c r="X26">
        <f>(CS1_I_STD-MIN(CS1_I_STD_ALL))/(MAX(CS1_I_STD_ALL)-MIN(CS1_I_STD_ALL))*100</f>
        <v>29.039388056623633</v>
      </c>
      <c r="Y26" s="140" t="s">
        <v>81</v>
      </c>
      <c r="Z26" s="140">
        <v>8.5835812635249962</v>
      </c>
      <c r="AA26" s="141">
        <v>60.828799761819262</v>
      </c>
      <c r="AB26" t="s">
        <v>75</v>
      </c>
      <c r="AC26">
        <v>109.01309275271484</v>
      </c>
      <c r="AD26">
        <v>505.92088167892575</v>
      </c>
      <c r="AE26">
        <v>16.693681401888309</v>
      </c>
      <c r="AF26">
        <v>21.640878258934642</v>
      </c>
      <c r="AG26">
        <v>2</v>
      </c>
      <c r="AH26">
        <v>4</v>
      </c>
      <c r="AI26">
        <v>3.8553626919154027</v>
      </c>
      <c r="AJ26">
        <v>199.02834608680601</v>
      </c>
      <c r="AK26">
        <v>4</v>
      </c>
      <c r="AL26">
        <v>3.8553626919154027</v>
      </c>
      <c r="AM26">
        <v>199.02834608680601</v>
      </c>
      <c r="AN26">
        <f>(CS2_0-AVERAGE(CS2_0))/STDEV(CS2_0)</f>
        <v>-0.25607075768888937</v>
      </c>
      <c r="AO26">
        <f>(CS2_1-AVERAGE(CS2_1))/STDEV(CS2_1)</f>
        <v>-0.39947462876694073</v>
      </c>
      <c r="AP26">
        <f>(CS2_2-AVERAGE(CS2_2))/STDEV(CS2_2)</f>
        <v>3.5130839328097845</v>
      </c>
      <c r="AQ26">
        <f>(CS2_3-AVERAGE(CS2_3))/STDEV(CS2_3)</f>
        <v>0.2077906934428245</v>
      </c>
      <c r="AR26">
        <f>(CS2_4-AVERAGE(CS2_4))/STDEV(CS2_4)</f>
        <v>-3.9513038984679963E-2</v>
      </c>
      <c r="AS26">
        <f>(CS2_5-AVERAGE(CS2_5))/STDEV(CS2_5)</f>
        <v>-0.95368797886965562</v>
      </c>
      <c r="AT26">
        <f>(CS2_6-AVERAGE(CS2_6))/STDEV(CS2_6)</f>
        <v>-6.1022829028327057E-2</v>
      </c>
      <c r="AU26">
        <f>(CS2_7-AVERAGE(CS2_7))/STDEV(CS2_7)</f>
        <v>-3.9513038984679963E-2</v>
      </c>
      <c r="AV26">
        <f>(CS2_8-AVERAGE(CS2_8))/STDEV(CS2_8)</f>
        <v>-0.95368797886965562</v>
      </c>
      <c r="AW26">
        <f>(CS2_9-AVERAGE(CS2_9))/STDEV(CS2_9)</f>
        <v>-6.1022829028327057E-2</v>
      </c>
      <c r="AX26">
        <f>CS2_0_std * CS2_0_loading+CS2_1_std * CS2_1_loading+CS2_2_std * CS2_2_loading+CS2_3_std * CS2_3_loading+CS2_4_std * CS2_4_loading+CS2_5_std * CS2_5_loading+CS2_6_std * CS2_6_loading+CS2_7_std * CS2_7_loading+CS2_8_std * CS2_8_loading+CS2_9_std * CS2_9_loading</f>
        <v>-0.59343590231042254</v>
      </c>
      <c r="AY26">
        <f>(CS2_I_STD-MIN(CS2_I_STD_ALL))/(MAX(CS2_I_STD_ALL)-MIN(CS2_I_STD_ALL))*100</f>
        <v>31.982849913823213</v>
      </c>
      <c r="AZ26" s="140" t="s">
        <v>81</v>
      </c>
      <c r="BA26" s="140">
        <v>8.5835812635249962</v>
      </c>
      <c r="BB26" s="141">
        <v>59.072644235894536</v>
      </c>
      <c r="BC26" t="s">
        <v>75</v>
      </c>
      <c r="BD26">
        <v>109.01309275271484</v>
      </c>
      <c r="BE26">
        <v>505.92088167892575</v>
      </c>
      <c r="BF26">
        <v>16.693681401888309</v>
      </c>
      <c r="BG26">
        <v>21.640878258934642</v>
      </c>
      <c r="BH26">
        <v>2</v>
      </c>
      <c r="BI26">
        <v>4</v>
      </c>
      <c r="BJ26">
        <v>3.8553626919154027</v>
      </c>
      <c r="BK26">
        <v>199.02834608680601</v>
      </c>
      <c r="BL26">
        <v>4</v>
      </c>
      <c r="BM26">
        <v>3.8553626919154027</v>
      </c>
      <c r="BN26">
        <v>199.02834608680601</v>
      </c>
      <c r="BO26">
        <f>(PCA_0-AVERAGE(PCA_0))/STDEV(PCA_0)</f>
        <v>-0.25607075768888937</v>
      </c>
      <c r="BP26">
        <f>(PCA_1-AVERAGE(PCA_1))/STDEV(PCA_1)</f>
        <v>-0.39947462876694073</v>
      </c>
      <c r="BQ26">
        <f>(PCA_2-AVERAGE(PCA_2))/STDEV(PCA_2)</f>
        <v>3.5130839328097845</v>
      </c>
      <c r="BR26">
        <f>(PCA_3-AVERAGE(PCA_3))/STDEV(PCA_3)</f>
        <v>0.2077906934428245</v>
      </c>
      <c r="BS26">
        <f>(PCA_4-AVERAGE(PCA_4))/STDEV(PCA_4)</f>
        <v>-3.9513038984679963E-2</v>
      </c>
      <c r="BT26">
        <f>(PCA_5-AVERAGE(PCA_5))/STDEV(PCA_5)</f>
        <v>-0.95368797886965562</v>
      </c>
      <c r="BU26">
        <f>(PCA_6-AVERAGE(PCA_6))/STDEV(PCA_6)</f>
        <v>-6.1022829028327057E-2</v>
      </c>
      <c r="BV26">
        <f>(PCA_7-AVERAGE(PCA_7))/STDEV(PCA_7)</f>
        <v>-3.9513038984679963E-2</v>
      </c>
      <c r="BW26">
        <f>(PCA_8-AVERAGE(PCA_8))/STDEV(PCA_8)</f>
        <v>-0.95368797886965562</v>
      </c>
      <c r="BX26">
        <f>(PCA_9-AVERAGE(PCA_9))/STDEV(PCA_9)</f>
        <v>-6.1022829028327057E-2</v>
      </c>
      <c r="BY26">
        <f>PCA_0_std * PCA_0_loading+PCA_1_std * PCA_1_loading+PCA_2_std * PCA_2_loading+PCA_3_std * PCA_3_loading+PCA_4_std * PCA_4_loading+PCA_5_std * PCA_5_loading+PCA_6_std * PCA_6_loading+PCA_7_std * PCA_7_loading+PCA_8_std * PCA_8_loading+PCA_9_std * PCA_9_loading</f>
        <v>0.72867381869925263</v>
      </c>
      <c r="BZ26">
        <f>(PCA_I_STD-MIN(PCA_I_STD_ALL))/(MAX(PCA_I_STD_ALL)-MIN(PCA_I_STD_ALL))*100</f>
        <v>64.860199588421708</v>
      </c>
      <c r="CA26" s="140" t="s">
        <v>61</v>
      </c>
      <c r="CB26" s="140">
        <v>94.719790963219936</v>
      </c>
      <c r="CC26" s="141">
        <v>69.157066103998815</v>
      </c>
      <c r="CD26" t="s">
        <v>75</v>
      </c>
      <c r="CE26">
        <v>109.01309275271484</v>
      </c>
      <c r="CF26">
        <v>505.92088167892575</v>
      </c>
      <c r="CG26">
        <v>16.693681401888309</v>
      </c>
      <c r="CH26">
        <v>21.640878258934642</v>
      </c>
      <c r="CI26">
        <v>2</v>
      </c>
      <c r="CJ26">
        <v>4</v>
      </c>
      <c r="CK26">
        <v>3.8553626919154027</v>
      </c>
      <c r="CL26">
        <v>199.02834608680601</v>
      </c>
      <c r="CM26">
        <v>4</v>
      </c>
      <c r="CN26">
        <v>3.8553626919154027</v>
      </c>
      <c r="CO26">
        <v>199.02834608680601</v>
      </c>
      <c r="CP26">
        <f>(KTGET_0-AVERAGE(KTGET_0))/STDEV(KTGET_0)</f>
        <v>-0.25607075768888937</v>
      </c>
      <c r="CQ26">
        <f>(KTGET_1-AVERAGE(KTGET_1))/STDEV(KTGET_1)</f>
        <v>-0.39947462876694073</v>
      </c>
      <c r="CR26">
        <f>(KTGET_2-AVERAGE(KTGET_2))/STDEV(KTGET_2)</f>
        <v>3.5130839328097845</v>
      </c>
      <c r="CS26">
        <f>(KTGET_3-AVERAGE(KTGET_3))/STDEV(KTGET_3)</f>
        <v>0.2077906934428245</v>
      </c>
      <c r="CT26">
        <f>(KTGET_4-AVERAGE(KTGET_4))/STDEV(KTGET_4)</f>
        <v>-3.9513038984679963E-2</v>
      </c>
      <c r="CU26">
        <f>(KTGET_5-AVERAGE(KTGET_5))/STDEV(KTGET_5)</f>
        <v>-0.95368797886965562</v>
      </c>
      <c r="CV26">
        <f>(KTGET_6-AVERAGE(KTGET_6))/STDEV(KTGET_6)</f>
        <v>-6.1022829028327057E-2</v>
      </c>
      <c r="CW26">
        <f>(KTGET_7-AVERAGE(KTGET_7))/STDEV(KTGET_7)</f>
        <v>-3.9513038984679963E-2</v>
      </c>
      <c r="CX26">
        <f>(KTGET_8-AVERAGE(KTGET_8))/STDEV(KTGET_8)</f>
        <v>-0.95368797886965562</v>
      </c>
      <c r="CY26">
        <f>(KTGET_9-AVERAGE(KTGET_9))/STDEV(KTGET_9)</f>
        <v>-6.1022829028327057E-2</v>
      </c>
      <c r="CZ26">
        <f>KTGET_0_std * KTGET_0_loading+KTGET_1_std * KTGET_1_loading+KTGET_2_std * KTGET_2_loading+KTGET_3_std * KTGET_3_loading+KTGET_4_std * KTGET_4_loading+KTGET_5_std * KTGET_5_loading+KTGET_6_std * KTGET_6_loading+KTGET_7_std * KTGET_7_loading+KTGET_8_std * KTGET_8_loading+KTGET_9_std * KTGET_9_loading</f>
        <v>-0.74214593337439461</v>
      </c>
      <c r="DA26">
        <f>(KTGET_I_STD-MIN(KTGET_I_STD_ALL))/(MAX(KTGET_I_STD_ALL)-MIN(KTGET_I_STD_ALL))*100</f>
        <v>29.039289688595964</v>
      </c>
      <c r="DB26" s="140" t="s">
        <v>81</v>
      </c>
      <c r="DC26" s="140">
        <v>8.5835812635249962</v>
      </c>
      <c r="DD26" s="141">
        <v>60.828826952702741</v>
      </c>
      <c r="DE26" t="s">
        <v>75</v>
      </c>
      <c r="DF26">
        <v>109.01309275271484</v>
      </c>
      <c r="DG26">
        <v>505.92088167892575</v>
      </c>
      <c r="DH26">
        <v>16.693681401888309</v>
      </c>
      <c r="DI26">
        <v>21.640878258934642</v>
      </c>
      <c r="DJ26">
        <v>2</v>
      </c>
      <c r="DK26">
        <v>4</v>
      </c>
      <c r="DL26">
        <v>3.8553626919154027</v>
      </c>
      <c r="DM26">
        <v>199.02834608680601</v>
      </c>
      <c r="DN26">
        <v>4</v>
      </c>
      <c r="DO26">
        <v>3.8553626919154027</v>
      </c>
      <c r="DP26">
        <v>199.02834608680601</v>
      </c>
      <c r="DQ26">
        <f>(KTGT_0-AVERAGE(KTGT_0))/STDEV(KTGT_0)</f>
        <v>-0.25607075768888937</v>
      </c>
      <c r="DR26">
        <f>(KTGT_1-AVERAGE(KTGT_1))/STDEV(KTGT_1)</f>
        <v>-0.39947462876694073</v>
      </c>
      <c r="DS26">
        <f>(KTGT_2-AVERAGE(KTGT_2))/STDEV(KTGT_2)</f>
        <v>3.5130839328097845</v>
      </c>
      <c r="DT26">
        <f>(KTGT_3-AVERAGE(KTGT_3))/STDEV(KTGT_3)</f>
        <v>0.2077906934428245</v>
      </c>
      <c r="DU26">
        <f>(KTGT_4-AVERAGE(KTGT_4))/STDEV(KTGT_4)</f>
        <v>-3.9513038984679963E-2</v>
      </c>
      <c r="DV26">
        <f>(KTGT_5-AVERAGE(KTGT_5))/STDEV(KTGT_5)</f>
        <v>-0.95368797886965562</v>
      </c>
      <c r="DW26">
        <f>(KTGT_6-AVERAGE(KTGT_6))/STDEV(KTGT_6)</f>
        <v>-6.1022829028327057E-2</v>
      </c>
      <c r="DX26">
        <f>(KTGT_7-AVERAGE(KTGT_7))/STDEV(KTGT_7)</f>
        <v>-3.9513038984679963E-2</v>
      </c>
      <c r="DY26">
        <f>(KTGT_8-AVERAGE(KTGT_8))/STDEV(KTGT_8)</f>
        <v>-0.95368797886965562</v>
      </c>
      <c r="DZ26">
        <f>(KTGT_9-AVERAGE(KTGT_9))/STDEV(KTGT_9)</f>
        <v>-6.1022829028327057E-2</v>
      </c>
      <c r="EA26">
        <f>KTGT_0_std * KTGT_0_loading+KTGT_1_std * KTGT_1_loading+KTGT_2_std * KTGT_2_loading+KTGT_3_std * KTGT_3_loading+KTGT_4_std * KTGT_4_loading+KTGT_5_std * KTGT_5_loading+KTGT_6_std * KTGT_6_loading+KTGT_7_std * KTGT_7_loading+KTGT_8_std * KTGT_8_loading+KTGT_9_std * KTGT_9_loading</f>
        <v>-0.74283399758862856</v>
      </c>
      <c r="EB26">
        <f>(KTGT_I_STD-MIN(KTGT_I_STD_ALL))/(MAX(KTGT_I_STD_ALL)-MIN(KTGT_I_STD_ALL))*100</f>
        <v>29.017364797632311</v>
      </c>
      <c r="EC26" s="140" t="s">
        <v>81</v>
      </c>
      <c r="ED26" s="140">
        <v>8.5835812635249962</v>
      </c>
      <c r="EE26" s="141">
        <v>61.045554751412389</v>
      </c>
      <c r="EF26" t="s">
        <v>75</v>
      </c>
      <c r="EG26">
        <v>109.01309275271484</v>
      </c>
      <c r="EH26">
        <v>505.92088167892575</v>
      </c>
      <c r="EI26">
        <v>16.693681401888309</v>
      </c>
      <c r="EJ26">
        <v>21.640878258934642</v>
      </c>
      <c r="EK26">
        <v>2</v>
      </c>
      <c r="EL26">
        <v>4</v>
      </c>
      <c r="EM26">
        <v>3.8553626919154027</v>
      </c>
      <c r="EN26">
        <v>199.02834608680601</v>
      </c>
      <c r="EO26">
        <v>4</v>
      </c>
      <c r="EP26">
        <v>3.8553626919154027</v>
      </c>
      <c r="EQ26">
        <v>199.02834608680601</v>
      </c>
      <c r="ER26">
        <f>(SA_0-AVERAGE(SA_0))/STDEV(SA_0)</f>
        <v>-0.25607075768888937</v>
      </c>
      <c r="ES26">
        <f>(SA_1-AVERAGE(SA_1))/STDEV(SA_1)</f>
        <v>-0.39947462876694073</v>
      </c>
      <c r="ET26">
        <f>(SA_2-AVERAGE(SA_2))/STDEV(SA_2)</f>
        <v>3.5130839328097845</v>
      </c>
      <c r="EU26">
        <f>(SA_3-AVERAGE(SA_3))/STDEV(SA_3)</f>
        <v>0.2077906934428245</v>
      </c>
      <c r="EV26">
        <f>(SA_4-AVERAGE(SA_4))/STDEV(SA_4)</f>
        <v>-3.9513038984679963E-2</v>
      </c>
      <c r="EW26">
        <f>(SA_5-AVERAGE(SA_5))/STDEV(SA_5)</f>
        <v>-0.95368797886965562</v>
      </c>
      <c r="EX26">
        <f>(SA_6-AVERAGE(SA_6))/STDEV(SA_6)</f>
        <v>-6.1022829028327057E-2</v>
      </c>
      <c r="EY26">
        <f>(SA_7-AVERAGE(SA_7))/STDEV(SA_7)</f>
        <v>-3.9513038984679963E-2</v>
      </c>
      <c r="EZ26">
        <f>(SA_8-AVERAGE(SA_8))/STDEV(SA_8)</f>
        <v>-0.95368797886965562</v>
      </c>
      <c r="FA26">
        <f>(SA_9-AVERAGE(SA_9))/STDEV(SA_9)</f>
        <v>-6.1022829028327057E-2</v>
      </c>
      <c r="FB26">
        <f>SA_0_std * SA_0_loading+SA_1_std * SA_1_loading+SA_2_std * SA_2_loading+SA_3_std * SA_3_loading+SA_4_std * SA_4_loading+SA_5_std * SA_5_loading+SA_6_std * SA_6_loading+SA_7_std * SA_7_loading+SA_8_std * SA_8_loading+SA_9_std * SA_9_loading</f>
        <v>0.30259251364426459</v>
      </c>
      <c r="FC26">
        <f>(SA_I_STD-MIN(SA_I_STD_ALL))/(MAX(SA_I_STD_ALL)-MIN(SA_I_STD_ALL))*100</f>
        <v>58.86236331813506</v>
      </c>
      <c r="FD26" s="140" t="s">
        <v>66</v>
      </c>
      <c r="FE26" s="140">
        <v>80.861343707957317</v>
      </c>
      <c r="FF26" s="141">
        <v>70.435352896454177</v>
      </c>
    </row>
    <row r="27" spans="1:162" x14ac:dyDescent="0.25">
      <c r="A27" t="s">
        <v>63</v>
      </c>
      <c r="B27">
        <v>158.91826997347314</v>
      </c>
      <c r="C27">
        <v>1677.2961349534789</v>
      </c>
      <c r="D27">
        <v>13.978073007792553</v>
      </c>
      <c r="E27">
        <v>6.3003736340857079</v>
      </c>
      <c r="F27">
        <v>2</v>
      </c>
      <c r="G27">
        <v>2</v>
      </c>
      <c r="H27">
        <v>4.0223309356109809</v>
      </c>
      <c r="I27">
        <v>239.20489085041291</v>
      </c>
      <c r="J27">
        <v>2</v>
      </c>
      <c r="K27">
        <v>4.0223309356109809</v>
      </c>
      <c r="L27">
        <v>239.20489085041291</v>
      </c>
      <c r="M27">
        <f>(CS1_0-AVERAGE(CS1_0))/STDEV(CS1_0)</f>
        <v>-0.18690858107784658</v>
      </c>
      <c r="N27">
        <f>(CS1_1-AVERAGE(CS1_1))/STDEV(CS1_1)</f>
        <v>-0.64068641960195616</v>
      </c>
      <c r="O27">
        <f>(CS1_2-AVERAGE(CS1_2))/STDEV(CS1_2)</f>
        <v>-0.38143007145666497</v>
      </c>
      <c r="P27">
        <f>(CS1_3-AVERAGE(CS1_3))/STDEV(CS1_3)</f>
        <v>0.2077906934428245</v>
      </c>
      <c r="Q27">
        <f>(CS1_4-AVERAGE(CS1_4))/STDEV(CS1_4)</f>
        <v>-0.31610431187743987</v>
      </c>
      <c r="R27">
        <f>(CS1_5-AVERAGE(CS1_5))/STDEV(CS1_5)</f>
        <v>-0.94186554342656359</v>
      </c>
      <c r="S27">
        <f>(CS1_6-AVERAGE(CS1_6))/STDEV(CS1_6)</f>
        <v>0.2313245006611537</v>
      </c>
      <c r="T27">
        <f>(CS1_7-AVERAGE(CS1_7))/STDEV(CS1_7)</f>
        <v>-0.31610431187743987</v>
      </c>
      <c r="U27">
        <f>(CS1_8-AVERAGE(CS1_8))/STDEV(CS1_8)</f>
        <v>-0.94186554342656359</v>
      </c>
      <c r="V27">
        <f>(CS1_9-AVERAGE(CS1_9))/STDEV(CS1_9)</f>
        <v>0.2313245006611537</v>
      </c>
      <c r="W27">
        <f>CS1_0_std * CS1_0_loading+CS1_1_std * CS1_1_loading+CS1_2_std * CS1_2_loading+CS1_3_std * CS1_3_loading+CS1_4_std * CS1_4_loading+CS1_5_std * CS1_5_loading+CS1_6_std * CS1_6_loading+CS1_7_std * CS1_7_loading+CS1_8_std * CS1_8_loading+CS1_9_std * CS1_9_loading</f>
        <v>-0.75092108095275689</v>
      </c>
      <c r="X27">
        <f>(CS1_I_STD-MIN(CS1_I_STD_ALL))/(MAX(CS1_I_STD_ALL)-MIN(CS1_I_STD_ALL))*100</f>
        <v>28.889978158016245</v>
      </c>
      <c r="Y27" s="140" t="s">
        <v>78</v>
      </c>
      <c r="Z27" s="140">
        <v>40.093755528038209</v>
      </c>
      <c r="AA27" s="141">
        <v>76.286098048809237</v>
      </c>
      <c r="AB27" t="s">
        <v>63</v>
      </c>
      <c r="AC27">
        <v>158.91826997347314</v>
      </c>
      <c r="AD27">
        <v>1677.2961349534789</v>
      </c>
      <c r="AE27">
        <v>13.978073007792553</v>
      </c>
      <c r="AF27">
        <v>6.3003736340857079</v>
      </c>
      <c r="AG27">
        <v>2</v>
      </c>
      <c r="AH27">
        <v>2</v>
      </c>
      <c r="AI27">
        <v>4.0223309356109809</v>
      </c>
      <c r="AJ27">
        <v>239.20489085041291</v>
      </c>
      <c r="AK27">
        <v>2</v>
      </c>
      <c r="AL27">
        <v>4.0223309356109809</v>
      </c>
      <c r="AM27">
        <v>239.20489085041291</v>
      </c>
      <c r="AN27">
        <f>(CS2_0-AVERAGE(CS2_0))/STDEV(CS2_0)</f>
        <v>-0.18690858107784658</v>
      </c>
      <c r="AO27">
        <f>(CS2_1-AVERAGE(CS2_1))/STDEV(CS2_1)</f>
        <v>-0.64068641960195616</v>
      </c>
      <c r="AP27">
        <f>(CS2_2-AVERAGE(CS2_2))/STDEV(CS2_2)</f>
        <v>-0.38143007145666497</v>
      </c>
      <c r="AQ27">
        <f>(CS2_3-AVERAGE(CS2_3))/STDEV(CS2_3)</f>
        <v>0.2077906934428245</v>
      </c>
      <c r="AR27">
        <f>(CS2_4-AVERAGE(CS2_4))/STDEV(CS2_4)</f>
        <v>-0.31610431187743987</v>
      </c>
      <c r="AS27">
        <f>(CS2_5-AVERAGE(CS2_5))/STDEV(CS2_5)</f>
        <v>-0.94186554342656359</v>
      </c>
      <c r="AT27">
        <f>(CS2_6-AVERAGE(CS2_6))/STDEV(CS2_6)</f>
        <v>0.2313245006611537</v>
      </c>
      <c r="AU27">
        <f>(CS2_7-AVERAGE(CS2_7))/STDEV(CS2_7)</f>
        <v>-0.31610431187743987</v>
      </c>
      <c r="AV27">
        <f>(CS2_8-AVERAGE(CS2_8))/STDEV(CS2_8)</f>
        <v>-0.94186554342656359</v>
      </c>
      <c r="AW27">
        <f>(CS2_9-AVERAGE(CS2_9))/STDEV(CS2_9)</f>
        <v>0.2313245006611537</v>
      </c>
      <c r="AX27">
        <f>CS2_0_std * CS2_0_loading+CS2_1_std * CS2_1_loading+CS2_2_std * CS2_2_loading+CS2_3_std * CS2_3_loading+CS2_4_std * CS2_4_loading+CS2_5_std * CS2_5_loading+CS2_6_std * CS2_6_loading+CS2_7_std * CS2_7_loading+CS2_8_std * CS2_8_loading+CS2_9_std * CS2_9_loading</f>
        <v>-0.77847014924956748</v>
      </c>
      <c r="AY27">
        <f>(CS2_I_STD-MIN(CS2_I_STD_ALL))/(MAX(CS2_I_STD_ALL)-MIN(CS2_I_STD_ALL))*100</f>
        <v>28.954451375511987</v>
      </c>
      <c r="AZ27" s="140" t="s">
        <v>78</v>
      </c>
      <c r="BA27" s="140">
        <v>40.093755528038209</v>
      </c>
      <c r="BB27" s="141">
        <v>72.361271775596904</v>
      </c>
      <c r="BC27" t="s">
        <v>63</v>
      </c>
      <c r="BD27">
        <v>158.91826997347314</v>
      </c>
      <c r="BE27">
        <v>1677.2961349534789</v>
      </c>
      <c r="BF27">
        <v>13.978073007792553</v>
      </c>
      <c r="BG27">
        <v>6.3003736340857079</v>
      </c>
      <c r="BH27">
        <v>2</v>
      </c>
      <c r="BI27">
        <v>2</v>
      </c>
      <c r="BJ27">
        <v>4.0223309356109809</v>
      </c>
      <c r="BK27">
        <v>239.20489085041291</v>
      </c>
      <c r="BL27">
        <v>2</v>
      </c>
      <c r="BM27">
        <v>4.0223309356109809</v>
      </c>
      <c r="BN27">
        <v>239.20489085041291</v>
      </c>
      <c r="BO27">
        <f>(PCA_0-AVERAGE(PCA_0))/STDEV(PCA_0)</f>
        <v>-0.18690858107784658</v>
      </c>
      <c r="BP27">
        <f>(PCA_1-AVERAGE(PCA_1))/STDEV(PCA_1)</f>
        <v>-0.64068641960195616</v>
      </c>
      <c r="BQ27">
        <f>(PCA_2-AVERAGE(PCA_2))/STDEV(PCA_2)</f>
        <v>-0.38143007145666497</v>
      </c>
      <c r="BR27">
        <f>(PCA_3-AVERAGE(PCA_3))/STDEV(PCA_3)</f>
        <v>0.2077906934428245</v>
      </c>
      <c r="BS27">
        <f>(PCA_4-AVERAGE(PCA_4))/STDEV(PCA_4)</f>
        <v>-0.31610431187743987</v>
      </c>
      <c r="BT27">
        <f>(PCA_5-AVERAGE(PCA_5))/STDEV(PCA_5)</f>
        <v>-0.94186554342656359</v>
      </c>
      <c r="BU27">
        <f>(PCA_6-AVERAGE(PCA_6))/STDEV(PCA_6)</f>
        <v>0.2313245006611537</v>
      </c>
      <c r="BV27">
        <f>(PCA_7-AVERAGE(PCA_7))/STDEV(PCA_7)</f>
        <v>-0.31610431187743987</v>
      </c>
      <c r="BW27">
        <f>(PCA_8-AVERAGE(PCA_8))/STDEV(PCA_8)</f>
        <v>-0.94186554342656359</v>
      </c>
      <c r="BX27">
        <f>(PCA_9-AVERAGE(PCA_9))/STDEV(PCA_9)</f>
        <v>0.2313245006611537</v>
      </c>
      <c r="BY27">
        <f>PCA_0_std * PCA_0_loading+PCA_1_std * PCA_1_loading+PCA_2_std * PCA_2_loading+PCA_3_std * PCA_3_loading+PCA_4_std * PCA_4_loading+PCA_5_std * PCA_5_loading+PCA_6_std * PCA_6_loading+PCA_7_std * PCA_7_loading+PCA_8_std * PCA_8_loading+PCA_9_std * PCA_9_loading</f>
        <v>0.50082915774757186</v>
      </c>
      <c r="BZ27">
        <f>(PCA_I_STD-MIN(PCA_I_STD_ALL))/(MAX(PCA_I_STD_ALL)-MIN(PCA_I_STD_ALL))*100</f>
        <v>61.683457592194642</v>
      </c>
      <c r="CA27" s="140" t="s">
        <v>62</v>
      </c>
      <c r="CB27" s="140">
        <v>44.85863586555007</v>
      </c>
      <c r="CC27" s="141">
        <v>76.869183886917313</v>
      </c>
      <c r="CD27" t="s">
        <v>63</v>
      </c>
      <c r="CE27">
        <v>158.91826997347314</v>
      </c>
      <c r="CF27">
        <v>1677.2961349534789</v>
      </c>
      <c r="CG27">
        <v>13.978073007792553</v>
      </c>
      <c r="CH27">
        <v>6.3003736340857079</v>
      </c>
      <c r="CI27">
        <v>2</v>
      </c>
      <c r="CJ27">
        <v>2</v>
      </c>
      <c r="CK27">
        <v>4.0223309356109809</v>
      </c>
      <c r="CL27">
        <v>239.20489085041291</v>
      </c>
      <c r="CM27">
        <v>2</v>
      </c>
      <c r="CN27">
        <v>4.0223309356109809</v>
      </c>
      <c r="CO27">
        <v>239.20489085041291</v>
      </c>
      <c r="CP27">
        <f>(KTGET_0-AVERAGE(KTGET_0))/STDEV(KTGET_0)</f>
        <v>-0.18690858107784658</v>
      </c>
      <c r="CQ27">
        <f>(KTGET_1-AVERAGE(KTGET_1))/STDEV(KTGET_1)</f>
        <v>-0.64068641960195616</v>
      </c>
      <c r="CR27">
        <f>(KTGET_2-AVERAGE(KTGET_2))/STDEV(KTGET_2)</f>
        <v>-0.38143007145666497</v>
      </c>
      <c r="CS27">
        <f>(KTGET_3-AVERAGE(KTGET_3))/STDEV(KTGET_3)</f>
        <v>0.2077906934428245</v>
      </c>
      <c r="CT27">
        <f>(KTGET_4-AVERAGE(KTGET_4))/STDEV(KTGET_4)</f>
        <v>-0.31610431187743987</v>
      </c>
      <c r="CU27">
        <f>(KTGET_5-AVERAGE(KTGET_5))/STDEV(KTGET_5)</f>
        <v>-0.94186554342656359</v>
      </c>
      <c r="CV27">
        <f>(KTGET_6-AVERAGE(KTGET_6))/STDEV(KTGET_6)</f>
        <v>0.2313245006611537</v>
      </c>
      <c r="CW27">
        <f>(KTGET_7-AVERAGE(KTGET_7))/STDEV(KTGET_7)</f>
        <v>-0.31610431187743987</v>
      </c>
      <c r="CX27">
        <f>(KTGET_8-AVERAGE(KTGET_8))/STDEV(KTGET_8)</f>
        <v>-0.94186554342656359</v>
      </c>
      <c r="CY27">
        <f>(KTGET_9-AVERAGE(KTGET_9))/STDEV(KTGET_9)</f>
        <v>0.2313245006611537</v>
      </c>
      <c r="CZ27">
        <f>KTGET_0_std * KTGET_0_loading+KTGET_1_std * KTGET_1_loading+KTGET_2_std * KTGET_2_loading+KTGET_3_std * KTGET_3_loading+KTGET_4_std * KTGET_4_loading+KTGET_5_std * KTGET_5_loading+KTGET_6_std * KTGET_6_loading+KTGET_7_std * KTGET_7_loading+KTGET_8_std * KTGET_8_loading+KTGET_9_std * KTGET_9_loading</f>
        <v>-0.75092331400017909</v>
      </c>
      <c r="DA27">
        <f>(KTGET_I_STD-MIN(KTGET_I_STD_ALL))/(MAX(KTGET_I_STD_ALL)-MIN(KTGET_I_STD_ALL))*100</f>
        <v>28.889976514752497</v>
      </c>
      <c r="DB27" s="140" t="s">
        <v>78</v>
      </c>
      <c r="DC27" s="140">
        <v>40.093755528038209</v>
      </c>
      <c r="DD27" s="141">
        <v>76.286149240396384</v>
      </c>
      <c r="DE27" t="s">
        <v>63</v>
      </c>
      <c r="DF27">
        <v>158.91826997347314</v>
      </c>
      <c r="DG27">
        <v>1677.2961349534789</v>
      </c>
      <c r="DH27">
        <v>13.978073007792553</v>
      </c>
      <c r="DI27">
        <v>6.3003736340857079</v>
      </c>
      <c r="DJ27">
        <v>2</v>
      </c>
      <c r="DK27">
        <v>2</v>
      </c>
      <c r="DL27">
        <v>4.0223309356109809</v>
      </c>
      <c r="DM27">
        <v>239.20489085041291</v>
      </c>
      <c r="DN27">
        <v>2</v>
      </c>
      <c r="DO27">
        <v>4.0223309356109809</v>
      </c>
      <c r="DP27">
        <v>239.20489085041291</v>
      </c>
      <c r="DQ27">
        <f>(KTGT_0-AVERAGE(KTGT_0))/STDEV(KTGT_0)</f>
        <v>-0.18690858107784658</v>
      </c>
      <c r="DR27">
        <f>(KTGT_1-AVERAGE(KTGT_1))/STDEV(KTGT_1)</f>
        <v>-0.64068641960195616</v>
      </c>
      <c r="DS27">
        <f>(KTGT_2-AVERAGE(KTGT_2))/STDEV(KTGT_2)</f>
        <v>-0.38143007145666497</v>
      </c>
      <c r="DT27">
        <f>(KTGT_3-AVERAGE(KTGT_3))/STDEV(KTGT_3)</f>
        <v>0.2077906934428245</v>
      </c>
      <c r="DU27">
        <f>(KTGT_4-AVERAGE(KTGT_4))/STDEV(KTGT_4)</f>
        <v>-0.31610431187743987</v>
      </c>
      <c r="DV27">
        <f>(KTGT_5-AVERAGE(KTGT_5))/STDEV(KTGT_5)</f>
        <v>-0.94186554342656359</v>
      </c>
      <c r="DW27">
        <f>(KTGT_6-AVERAGE(KTGT_6))/STDEV(KTGT_6)</f>
        <v>0.2313245006611537</v>
      </c>
      <c r="DX27">
        <f>(KTGT_7-AVERAGE(KTGT_7))/STDEV(KTGT_7)</f>
        <v>-0.31610431187743987</v>
      </c>
      <c r="DY27">
        <f>(KTGT_8-AVERAGE(KTGT_8))/STDEV(KTGT_8)</f>
        <v>-0.94186554342656359</v>
      </c>
      <c r="DZ27">
        <f>(KTGT_9-AVERAGE(KTGT_9))/STDEV(KTGT_9)</f>
        <v>0.2313245006611537</v>
      </c>
      <c r="EA27">
        <f>KTGT_0_std * KTGT_0_loading+KTGT_1_std * KTGT_1_loading+KTGT_2_std * KTGT_2_loading+KTGT_3_std * KTGT_3_loading+KTGT_4_std * KTGT_4_loading+KTGT_5_std * KTGT_5_loading+KTGT_6_std * KTGT_6_loading+KTGT_7_std * KTGT_7_loading+KTGT_8_std * KTGT_8_loading+KTGT_9_std * KTGT_9_loading</f>
        <v>-0.74777875121456916</v>
      </c>
      <c r="EB27">
        <f>(KTGT_I_STD-MIN(KTGT_I_STD_ALL))/(MAX(KTGT_I_STD_ALL)-MIN(KTGT_I_STD_ALL))*100</f>
        <v>28.933294281613222</v>
      </c>
      <c r="EC27" s="140" t="s">
        <v>78</v>
      </c>
      <c r="ED27" s="140">
        <v>40.093755528038209</v>
      </c>
      <c r="EE27" s="141">
        <v>76.148929862714127</v>
      </c>
      <c r="EF27" t="s">
        <v>63</v>
      </c>
      <c r="EG27">
        <v>158.91826997347314</v>
      </c>
      <c r="EH27">
        <v>1677.2961349534789</v>
      </c>
      <c r="EI27">
        <v>13.978073007792553</v>
      </c>
      <c r="EJ27">
        <v>6.3003736340857079</v>
      </c>
      <c r="EK27">
        <v>2</v>
      </c>
      <c r="EL27">
        <v>2</v>
      </c>
      <c r="EM27">
        <v>4.0223309356109809</v>
      </c>
      <c r="EN27">
        <v>239.20489085041291</v>
      </c>
      <c r="EO27">
        <v>2</v>
      </c>
      <c r="EP27">
        <v>4.0223309356109809</v>
      </c>
      <c r="EQ27">
        <v>239.20489085041291</v>
      </c>
      <c r="ER27">
        <f>(SA_0-AVERAGE(SA_0))/STDEV(SA_0)</f>
        <v>-0.18690858107784658</v>
      </c>
      <c r="ES27">
        <f>(SA_1-AVERAGE(SA_1))/STDEV(SA_1)</f>
        <v>-0.64068641960195616</v>
      </c>
      <c r="ET27">
        <f>(SA_2-AVERAGE(SA_2))/STDEV(SA_2)</f>
        <v>-0.38143007145666497</v>
      </c>
      <c r="EU27">
        <f>(SA_3-AVERAGE(SA_3))/STDEV(SA_3)</f>
        <v>0.2077906934428245</v>
      </c>
      <c r="EV27">
        <f>(SA_4-AVERAGE(SA_4))/STDEV(SA_4)</f>
        <v>-0.31610431187743987</v>
      </c>
      <c r="EW27">
        <f>(SA_5-AVERAGE(SA_5))/STDEV(SA_5)</f>
        <v>-0.94186554342656359</v>
      </c>
      <c r="EX27">
        <f>(SA_6-AVERAGE(SA_6))/STDEV(SA_6)</f>
        <v>0.2313245006611537</v>
      </c>
      <c r="EY27">
        <f>(SA_7-AVERAGE(SA_7))/STDEV(SA_7)</f>
        <v>-0.31610431187743987</v>
      </c>
      <c r="EZ27">
        <f>(SA_8-AVERAGE(SA_8))/STDEV(SA_8)</f>
        <v>-0.94186554342656359</v>
      </c>
      <c r="FA27">
        <f>(SA_9-AVERAGE(SA_9))/STDEV(SA_9)</f>
        <v>0.2313245006611537</v>
      </c>
      <c r="FB27">
        <f>SA_0_std * SA_0_loading+SA_1_std * SA_1_loading+SA_2_std * SA_2_loading+SA_3_std * SA_3_loading+SA_4_std * SA_4_loading+SA_5_std * SA_5_loading+SA_6_std * SA_6_loading+SA_7_std * SA_7_loading+SA_8_std * SA_8_loading+SA_9_std * SA_9_loading</f>
        <v>-0.96592564481409293</v>
      </c>
      <c r="FC27">
        <f>(SA_I_STD-MIN(SA_I_STD_ALL))/(MAX(SA_I_STD_ALL)-MIN(SA_I_STD_ALL))*100</f>
        <v>35.375421726864083</v>
      </c>
      <c r="FD27" s="140" t="s">
        <v>69</v>
      </c>
      <c r="FE27" s="140">
        <v>34.273958837549863</v>
      </c>
      <c r="FF27" s="141">
        <v>76.106473058665372</v>
      </c>
    </row>
    <row r="28" spans="1:162" x14ac:dyDescent="0.25">
      <c r="A28" t="s">
        <v>83</v>
      </c>
      <c r="B28">
        <v>3.105838831144009</v>
      </c>
      <c r="C28">
        <v>90824.416634682886</v>
      </c>
      <c r="D28">
        <v>66.97063540910942</v>
      </c>
      <c r="E28">
        <v>5.97</v>
      </c>
      <c r="F28">
        <v>1</v>
      </c>
      <c r="G28">
        <v>0</v>
      </c>
      <c r="H28">
        <v>8.2000000000000028</v>
      </c>
      <c r="I28">
        <v>164.70387438129373</v>
      </c>
      <c r="J28">
        <v>0</v>
      </c>
      <c r="K28">
        <v>8.2000000000000028</v>
      </c>
      <c r="L28">
        <v>164.70387438129373</v>
      </c>
      <c r="M28">
        <f>(CS1_0-AVERAGE(CS1_0))/STDEV(CS1_0)</f>
        <v>5.0766556568829433</v>
      </c>
      <c r="N28">
        <f>(CS1_1-AVERAGE(CS1_1))/STDEV(CS1_1)</f>
        <v>4.0663364727817006</v>
      </c>
      <c r="O28">
        <f>(CS1_2-AVERAGE(CS1_2))/STDEV(CS1_2)</f>
        <v>-0.46530245871197407</v>
      </c>
      <c r="P28">
        <f>(CS1_3-AVERAGE(CS1_3))/STDEV(CS1_3)</f>
        <v>-0.76189920929035693</v>
      </c>
      <c r="Q28">
        <f>(CS1_4-AVERAGE(CS1_4))/STDEV(CS1_4)</f>
        <v>-0.59269558477019968</v>
      </c>
      <c r="R28">
        <f>(CS1_5-AVERAGE(CS1_5))/STDEV(CS1_5)</f>
        <v>-0.64605945645357077</v>
      </c>
      <c r="S28">
        <f>(CS1_6-AVERAGE(CS1_6))/STDEV(CS1_6)</f>
        <v>-0.31078715558132503</v>
      </c>
      <c r="T28">
        <f>(CS1_7-AVERAGE(CS1_7))/STDEV(CS1_7)</f>
        <v>-0.59269558477019968</v>
      </c>
      <c r="U28">
        <f>(CS1_8-AVERAGE(CS1_8))/STDEV(CS1_8)</f>
        <v>-0.64605945645357077</v>
      </c>
      <c r="V28">
        <f>(CS1_9-AVERAGE(CS1_9))/STDEV(CS1_9)</f>
        <v>-0.31078715558132503</v>
      </c>
      <c r="W28">
        <f>CS1_0_std * CS1_0_loading+CS1_1_std * CS1_1_loading+CS1_2_std * CS1_2_loading+CS1_3_std * CS1_3_loading+CS1_4_std * CS1_4_loading+CS1_5_std * CS1_5_loading+CS1_6_std * CS1_6_loading+CS1_7_std * CS1_7_loading+CS1_8_std * CS1_8_loading+CS1_9_std * CS1_9_loading</f>
        <v>-0.91250095002931797</v>
      </c>
      <c r="X28">
        <f>(CS1_I_STD-MIN(CS1_I_STD_ALL))/(MAX(CS1_I_STD_ALL)-MIN(CS1_I_STD_ALL))*100</f>
        <v>26.141320011209025</v>
      </c>
      <c r="Y28" s="140" t="s">
        <v>71</v>
      </c>
      <c r="Z28" s="140">
        <v>59.97365989925494</v>
      </c>
      <c r="AA28" s="141">
        <v>79.123649940721393</v>
      </c>
      <c r="AB28" t="s">
        <v>83</v>
      </c>
      <c r="AC28">
        <v>3.105838831144009</v>
      </c>
      <c r="AD28">
        <v>90824.416634682886</v>
      </c>
      <c r="AE28">
        <v>66.97063540910942</v>
      </c>
      <c r="AF28">
        <v>5.97</v>
      </c>
      <c r="AG28">
        <v>1</v>
      </c>
      <c r="AH28">
        <v>0</v>
      </c>
      <c r="AI28">
        <v>8.2000000000000028</v>
      </c>
      <c r="AJ28">
        <v>164.70387438129373</v>
      </c>
      <c r="AK28">
        <v>0</v>
      </c>
      <c r="AL28">
        <v>8.2000000000000028</v>
      </c>
      <c r="AM28">
        <v>164.70387438129373</v>
      </c>
      <c r="AN28">
        <f>(CS2_0-AVERAGE(CS2_0))/STDEV(CS2_0)</f>
        <v>5.0766556568829433</v>
      </c>
      <c r="AO28">
        <f>(CS2_1-AVERAGE(CS2_1))/STDEV(CS2_1)</f>
        <v>4.0663364727817006</v>
      </c>
      <c r="AP28">
        <f>(CS2_2-AVERAGE(CS2_2))/STDEV(CS2_2)</f>
        <v>-0.46530245871197407</v>
      </c>
      <c r="AQ28">
        <f>(CS2_3-AVERAGE(CS2_3))/STDEV(CS2_3)</f>
        <v>-0.76189920929035693</v>
      </c>
      <c r="AR28">
        <f>(CS2_4-AVERAGE(CS2_4))/STDEV(CS2_4)</f>
        <v>-0.59269558477019968</v>
      </c>
      <c r="AS28">
        <f>(CS2_5-AVERAGE(CS2_5))/STDEV(CS2_5)</f>
        <v>-0.64605945645357077</v>
      </c>
      <c r="AT28">
        <f>(CS2_6-AVERAGE(CS2_6))/STDEV(CS2_6)</f>
        <v>-0.31078715558132503</v>
      </c>
      <c r="AU28">
        <f>(CS2_7-AVERAGE(CS2_7))/STDEV(CS2_7)</f>
        <v>-0.59269558477019968</v>
      </c>
      <c r="AV28">
        <f>(CS2_8-AVERAGE(CS2_8))/STDEV(CS2_8)</f>
        <v>-0.64605945645357077</v>
      </c>
      <c r="AW28">
        <f>(CS2_9-AVERAGE(CS2_9))/STDEV(CS2_9)</f>
        <v>-0.31078715558132503</v>
      </c>
      <c r="AX28">
        <f>CS2_0_std * CS2_0_loading+CS2_1_std * CS2_1_loading+CS2_2_std * CS2_2_loading+CS2_3_std * CS2_3_loading+CS2_4_std * CS2_4_loading+CS2_5_std * CS2_5_loading+CS2_6_std * CS2_6_loading+CS2_7_std * CS2_7_loading+CS2_8_std * CS2_8_loading+CS2_9_std * CS2_9_loading</f>
        <v>-1.1781649596563579</v>
      </c>
      <c r="AY28">
        <f>(CS2_I_STD-MIN(CS2_I_STD_ALL))/(MAX(CS2_I_STD_ALL)-MIN(CS2_I_STD_ALL))*100</f>
        <v>22.412769499699003</v>
      </c>
      <c r="AZ28" s="140" t="s">
        <v>71</v>
      </c>
      <c r="BA28" s="140">
        <v>59.97365989925494</v>
      </c>
      <c r="BB28" s="141">
        <v>72.56976898202592</v>
      </c>
      <c r="BC28" t="s">
        <v>83</v>
      </c>
      <c r="BD28">
        <v>3.105838831144009</v>
      </c>
      <c r="BE28">
        <v>90824.416634682886</v>
      </c>
      <c r="BF28">
        <v>66.97063540910942</v>
      </c>
      <c r="BG28">
        <v>5.97</v>
      </c>
      <c r="BH28">
        <v>1</v>
      </c>
      <c r="BI28">
        <v>0</v>
      </c>
      <c r="BJ28">
        <v>8.2000000000000028</v>
      </c>
      <c r="BK28">
        <v>164.70387438129373</v>
      </c>
      <c r="BL28">
        <v>0</v>
      </c>
      <c r="BM28">
        <v>8.2000000000000028</v>
      </c>
      <c r="BN28">
        <v>164.70387438129373</v>
      </c>
      <c r="BO28">
        <f>(PCA_0-AVERAGE(PCA_0))/STDEV(PCA_0)</f>
        <v>5.0766556568829433</v>
      </c>
      <c r="BP28">
        <f>(PCA_1-AVERAGE(PCA_1))/STDEV(PCA_1)</f>
        <v>4.0663364727817006</v>
      </c>
      <c r="BQ28">
        <f>(PCA_2-AVERAGE(PCA_2))/STDEV(PCA_2)</f>
        <v>-0.46530245871197407</v>
      </c>
      <c r="BR28">
        <f>(PCA_3-AVERAGE(PCA_3))/STDEV(PCA_3)</f>
        <v>-0.76189920929035693</v>
      </c>
      <c r="BS28">
        <f>(PCA_4-AVERAGE(PCA_4))/STDEV(PCA_4)</f>
        <v>-0.59269558477019968</v>
      </c>
      <c r="BT28">
        <f>(PCA_5-AVERAGE(PCA_5))/STDEV(PCA_5)</f>
        <v>-0.64605945645357077</v>
      </c>
      <c r="BU28">
        <f>(PCA_6-AVERAGE(PCA_6))/STDEV(PCA_6)</f>
        <v>-0.31078715558132503</v>
      </c>
      <c r="BV28">
        <f>(PCA_7-AVERAGE(PCA_7))/STDEV(PCA_7)</f>
        <v>-0.59269558477019968</v>
      </c>
      <c r="BW28">
        <f>(PCA_8-AVERAGE(PCA_8))/STDEV(PCA_8)</f>
        <v>-0.64605945645357077</v>
      </c>
      <c r="BX28">
        <f>(PCA_9-AVERAGE(PCA_9))/STDEV(PCA_9)</f>
        <v>-0.31078715558132503</v>
      </c>
      <c r="BY28">
        <f>PCA_0_std * PCA_0_loading+PCA_1_std * PCA_1_loading+PCA_2_std * PCA_2_loading+PCA_3_std * PCA_3_loading+PCA_4_std * PCA_4_loading+PCA_5_std * PCA_5_loading+PCA_6_std * PCA_6_loading+PCA_7_std * PCA_7_loading+PCA_8_std * PCA_8_loading+PCA_9_std * PCA_9_loading</f>
        <v>-3.9232778355533959</v>
      </c>
      <c r="BZ28">
        <f>(PCA_I_STD-MIN(PCA_I_STD_ALL))/(MAX(PCA_I_STD_ALL)-MIN(PCA_I_STD_ALL))*100</f>
        <v>0</v>
      </c>
      <c r="CA28" s="140" t="s">
        <v>69</v>
      </c>
      <c r="CB28" s="140">
        <v>34.273958837549863</v>
      </c>
      <c r="CC28" s="141">
        <v>77.554213400008919</v>
      </c>
      <c r="CD28" t="s">
        <v>83</v>
      </c>
      <c r="CE28">
        <v>3.105838831144009</v>
      </c>
      <c r="CF28">
        <v>90824.416634682886</v>
      </c>
      <c r="CG28">
        <v>66.97063540910942</v>
      </c>
      <c r="CH28">
        <v>5.97</v>
      </c>
      <c r="CI28">
        <v>1</v>
      </c>
      <c r="CJ28">
        <v>0</v>
      </c>
      <c r="CK28">
        <v>8.2000000000000028</v>
      </c>
      <c r="CL28">
        <v>164.70387438129373</v>
      </c>
      <c r="CM28">
        <v>0</v>
      </c>
      <c r="CN28">
        <v>8.2000000000000028</v>
      </c>
      <c r="CO28">
        <v>164.70387438129373</v>
      </c>
      <c r="CP28">
        <f>(KTGET_0-AVERAGE(KTGET_0))/STDEV(KTGET_0)</f>
        <v>5.0766556568829433</v>
      </c>
      <c r="CQ28">
        <f>(KTGET_1-AVERAGE(KTGET_1))/STDEV(KTGET_1)</f>
        <v>4.0663364727817006</v>
      </c>
      <c r="CR28">
        <f>(KTGET_2-AVERAGE(KTGET_2))/STDEV(KTGET_2)</f>
        <v>-0.46530245871197407</v>
      </c>
      <c r="CS28">
        <f>(KTGET_3-AVERAGE(KTGET_3))/STDEV(KTGET_3)</f>
        <v>-0.76189920929035693</v>
      </c>
      <c r="CT28">
        <f>(KTGET_4-AVERAGE(KTGET_4))/STDEV(KTGET_4)</f>
        <v>-0.59269558477019968</v>
      </c>
      <c r="CU28">
        <f>(KTGET_5-AVERAGE(KTGET_5))/STDEV(KTGET_5)</f>
        <v>-0.64605945645357077</v>
      </c>
      <c r="CV28">
        <f>(KTGET_6-AVERAGE(KTGET_6))/STDEV(KTGET_6)</f>
        <v>-0.31078715558132503</v>
      </c>
      <c r="CW28">
        <f>(KTGET_7-AVERAGE(KTGET_7))/STDEV(KTGET_7)</f>
        <v>-0.59269558477019968</v>
      </c>
      <c r="CX28">
        <f>(KTGET_8-AVERAGE(KTGET_8))/STDEV(KTGET_8)</f>
        <v>-0.64605945645357077</v>
      </c>
      <c r="CY28">
        <f>(KTGET_9-AVERAGE(KTGET_9))/STDEV(KTGET_9)</f>
        <v>-0.31078715558132503</v>
      </c>
      <c r="CZ28">
        <f>KTGET_0_std * KTGET_0_loading+KTGET_1_std * KTGET_1_loading+KTGET_2_std * KTGET_2_loading+KTGET_3_std * KTGET_3_loading+KTGET_4_std * KTGET_4_loading+KTGET_5_std * KTGET_5_loading+KTGET_6_std * KTGET_6_loading+KTGET_7_std * KTGET_7_loading+KTGET_8_std * KTGET_8_loading+KTGET_9_std * KTGET_9_loading</f>
        <v>-0.91248712760560247</v>
      </c>
      <c r="DA28">
        <f>(KTGET_I_STD-MIN(KTGET_I_STD_ALL))/(MAX(KTGET_I_STD_ALL)-MIN(KTGET_I_STD_ALL))*100</f>
        <v>26.141593276498632</v>
      </c>
      <c r="DB28" s="140" t="s">
        <v>71</v>
      </c>
      <c r="DC28" s="140">
        <v>59.97365989925494</v>
      </c>
      <c r="DD28" s="141">
        <v>79.123618646127596</v>
      </c>
      <c r="DE28" t="s">
        <v>83</v>
      </c>
      <c r="DF28">
        <v>3.105838831144009</v>
      </c>
      <c r="DG28">
        <v>90824.416634682886</v>
      </c>
      <c r="DH28">
        <v>66.97063540910942</v>
      </c>
      <c r="DI28">
        <v>5.97</v>
      </c>
      <c r="DJ28">
        <v>1</v>
      </c>
      <c r="DK28">
        <v>0</v>
      </c>
      <c r="DL28">
        <v>8.2000000000000028</v>
      </c>
      <c r="DM28">
        <v>164.70387438129373</v>
      </c>
      <c r="DN28">
        <v>0</v>
      </c>
      <c r="DO28">
        <v>8.2000000000000028</v>
      </c>
      <c r="DP28">
        <v>164.70387438129373</v>
      </c>
      <c r="DQ28">
        <f>(KTGT_0-AVERAGE(KTGT_0))/STDEV(KTGT_0)</f>
        <v>5.0766556568829433</v>
      </c>
      <c r="DR28">
        <f>(KTGT_1-AVERAGE(KTGT_1))/STDEV(KTGT_1)</f>
        <v>4.0663364727817006</v>
      </c>
      <c r="DS28">
        <f>(KTGT_2-AVERAGE(KTGT_2))/STDEV(KTGT_2)</f>
        <v>-0.46530245871197407</v>
      </c>
      <c r="DT28">
        <f>(KTGT_3-AVERAGE(KTGT_3))/STDEV(KTGT_3)</f>
        <v>-0.76189920929035693</v>
      </c>
      <c r="DU28">
        <f>(KTGT_4-AVERAGE(KTGT_4))/STDEV(KTGT_4)</f>
        <v>-0.59269558477019968</v>
      </c>
      <c r="DV28">
        <f>(KTGT_5-AVERAGE(KTGT_5))/STDEV(KTGT_5)</f>
        <v>-0.64605945645357077</v>
      </c>
      <c r="DW28">
        <f>(KTGT_6-AVERAGE(KTGT_6))/STDEV(KTGT_6)</f>
        <v>-0.31078715558132503</v>
      </c>
      <c r="DX28">
        <f>(KTGT_7-AVERAGE(KTGT_7))/STDEV(KTGT_7)</f>
        <v>-0.59269558477019968</v>
      </c>
      <c r="DY28">
        <f>(KTGT_8-AVERAGE(KTGT_8))/STDEV(KTGT_8)</f>
        <v>-0.64605945645357077</v>
      </c>
      <c r="DZ28">
        <f>(KTGT_9-AVERAGE(KTGT_9))/STDEV(KTGT_9)</f>
        <v>-0.31078715558132503</v>
      </c>
      <c r="EA28">
        <f>KTGT_0_std * KTGT_0_loading+KTGT_1_std * KTGT_1_loading+KTGT_2_std * KTGT_2_loading+KTGT_3_std * KTGT_3_loading+KTGT_4_std * KTGT_4_loading+KTGT_5_std * KTGT_5_loading+KTGT_6_std * KTGT_6_loading+KTGT_7_std * KTGT_7_loading+KTGT_8_std * KTGT_8_loading+KTGT_9_std * KTGT_9_loading</f>
        <v>-0.90366588809219284</v>
      </c>
      <c r="EB28">
        <f>(KTGT_I_STD-MIN(KTGT_I_STD_ALL))/(MAX(KTGT_I_STD_ALL)-MIN(KTGT_I_STD_ALL))*100</f>
        <v>26.282907016757711</v>
      </c>
      <c r="EC28" s="140" t="s">
        <v>71</v>
      </c>
      <c r="ED28" s="140">
        <v>59.97365989925494</v>
      </c>
      <c r="EE28" s="141">
        <v>79.149749145203728</v>
      </c>
      <c r="EF28" t="s">
        <v>83</v>
      </c>
      <c r="EG28">
        <v>3.105838831144009</v>
      </c>
      <c r="EH28">
        <v>90824.416634682886</v>
      </c>
      <c r="EI28">
        <v>66.97063540910942</v>
      </c>
      <c r="EJ28">
        <v>5.97</v>
      </c>
      <c r="EK28">
        <v>1</v>
      </c>
      <c r="EL28">
        <v>0</v>
      </c>
      <c r="EM28">
        <v>8.2000000000000028</v>
      </c>
      <c r="EN28">
        <v>164.70387438129373</v>
      </c>
      <c r="EO28">
        <v>0</v>
      </c>
      <c r="EP28">
        <v>8.2000000000000028</v>
      </c>
      <c r="EQ28">
        <v>164.70387438129373</v>
      </c>
      <c r="ER28">
        <f>(SA_0-AVERAGE(SA_0))/STDEV(SA_0)</f>
        <v>5.0766556568829433</v>
      </c>
      <c r="ES28">
        <f>(SA_1-AVERAGE(SA_1))/STDEV(SA_1)</f>
        <v>4.0663364727817006</v>
      </c>
      <c r="ET28">
        <f>(SA_2-AVERAGE(SA_2))/STDEV(SA_2)</f>
        <v>-0.46530245871197407</v>
      </c>
      <c r="EU28">
        <f>(SA_3-AVERAGE(SA_3))/STDEV(SA_3)</f>
        <v>-0.76189920929035693</v>
      </c>
      <c r="EV28">
        <f>(SA_4-AVERAGE(SA_4))/STDEV(SA_4)</f>
        <v>-0.59269558477019968</v>
      </c>
      <c r="EW28">
        <f>(SA_5-AVERAGE(SA_5))/STDEV(SA_5)</f>
        <v>-0.64605945645357077</v>
      </c>
      <c r="EX28">
        <f>(SA_6-AVERAGE(SA_6))/STDEV(SA_6)</f>
        <v>-0.31078715558132503</v>
      </c>
      <c r="EY28">
        <f>(SA_7-AVERAGE(SA_7))/STDEV(SA_7)</f>
        <v>-0.59269558477019968</v>
      </c>
      <c r="EZ28">
        <f>(SA_8-AVERAGE(SA_8))/STDEV(SA_8)</f>
        <v>-0.64605945645357077</v>
      </c>
      <c r="FA28">
        <f>(SA_9-AVERAGE(SA_9))/STDEV(SA_9)</f>
        <v>-0.31078715558132503</v>
      </c>
      <c r="FB28">
        <f>SA_0_std * SA_0_loading+SA_1_std * SA_1_loading+SA_2_std * SA_2_loading+SA_3_std * SA_3_loading+SA_4_std * SA_4_loading+SA_5_std * SA_5_loading+SA_6_std * SA_6_loading+SA_7_std * SA_7_loading+SA_8_std * SA_8_loading+SA_9_std * SA_9_loading</f>
        <v>1.5231761994598696</v>
      </c>
      <c r="FC28">
        <f>(SA_I_STD-MIN(SA_I_STD_ALL))/(MAX(SA_I_STD_ALL)-MIN(SA_I_STD_ALL))*100</f>
        <v>81.461785758291214</v>
      </c>
      <c r="FD28" s="140" t="s">
        <v>83</v>
      </c>
      <c r="FE28" s="140">
        <v>3.105838831144009</v>
      </c>
      <c r="FF28" s="141">
        <v>81.461785758291214</v>
      </c>
    </row>
    <row r="29" spans="1:162" x14ac:dyDescent="0.25">
      <c r="A29" t="s">
        <v>66</v>
      </c>
      <c r="B29">
        <v>80.861343707957317</v>
      </c>
      <c r="C29">
        <v>1914.6973436302685</v>
      </c>
      <c r="D29">
        <v>15.311573255870346</v>
      </c>
      <c r="E29">
        <v>5.3298746331906734</v>
      </c>
      <c r="F29">
        <v>1</v>
      </c>
      <c r="G29">
        <v>25</v>
      </c>
      <c r="H29">
        <v>8.0413320167775879</v>
      </c>
      <c r="I29">
        <v>248.88380657692275</v>
      </c>
      <c r="J29">
        <v>25</v>
      </c>
      <c r="K29">
        <v>8.0413320167775879</v>
      </c>
      <c r="L29">
        <v>248.88380657692275</v>
      </c>
      <c r="M29">
        <f>(CS1_0-AVERAGE(CS1_0))/STDEV(CS1_0)</f>
        <v>-0.17289156622604762</v>
      </c>
      <c r="N29">
        <f>(CS1_1-AVERAGE(CS1_1))/STDEV(CS1_1)</f>
        <v>-0.52223930343560365</v>
      </c>
      <c r="O29">
        <f>(CS1_2-AVERAGE(CS1_2))/STDEV(CS1_2)</f>
        <v>-0.62781192411032427</v>
      </c>
      <c r="P29">
        <f>(CS1_3-AVERAGE(CS1_3))/STDEV(CS1_3)</f>
        <v>-0.76189920929035693</v>
      </c>
      <c r="Q29">
        <f>(CS1_4-AVERAGE(CS1_4))/STDEV(CS1_4)</f>
        <v>2.8646953263892989</v>
      </c>
      <c r="R29">
        <f>(CS1_5-AVERAGE(CS1_5))/STDEV(CS1_5)</f>
        <v>-0.65729417957824299</v>
      </c>
      <c r="S29">
        <f>(CS1_6-AVERAGE(CS1_6))/STDEV(CS1_6)</f>
        <v>0.30175378181471407</v>
      </c>
      <c r="T29">
        <f>(CS1_7-AVERAGE(CS1_7))/STDEV(CS1_7)</f>
        <v>2.8646953263892989</v>
      </c>
      <c r="U29">
        <f>(CS1_8-AVERAGE(CS1_8))/STDEV(CS1_8)</f>
        <v>-0.65729417957824299</v>
      </c>
      <c r="V29">
        <f>(CS1_9-AVERAGE(CS1_9))/STDEV(CS1_9)</f>
        <v>0.30175378181471407</v>
      </c>
      <c r="W29">
        <f>CS1_0_std * CS1_0_loading+CS1_1_std * CS1_1_loading+CS1_2_std * CS1_2_loading+CS1_3_std * CS1_3_loading+CS1_4_std * CS1_4_loading+CS1_5_std * CS1_5_loading+CS1_6_std * CS1_6_loading+CS1_7_std * CS1_7_loading+CS1_8_std * CS1_8_loading+CS1_9_std * CS1_9_loading</f>
        <v>-0.42514009463635627</v>
      </c>
      <c r="X29">
        <f>(CS1_I_STD-MIN(CS1_I_STD_ALL))/(MAX(CS1_I_STD_ALL)-MIN(CS1_I_STD_ALL))*100</f>
        <v>34.431884877158168</v>
      </c>
      <c r="Y29" s="140" t="s">
        <v>84</v>
      </c>
      <c r="Z29" s="140">
        <v>101.91738416424882</v>
      </c>
      <c r="AA29" s="141">
        <v>90.854474042498239</v>
      </c>
      <c r="AB29" t="s">
        <v>66</v>
      </c>
      <c r="AC29">
        <v>80.861343707957317</v>
      </c>
      <c r="AD29">
        <v>1914.6973436302685</v>
      </c>
      <c r="AE29">
        <v>15.311573255870346</v>
      </c>
      <c r="AF29">
        <v>5.3298746331906734</v>
      </c>
      <c r="AG29">
        <v>1</v>
      </c>
      <c r="AH29">
        <v>25</v>
      </c>
      <c r="AI29">
        <v>8.0413320167775879</v>
      </c>
      <c r="AJ29">
        <v>248.88380657692275</v>
      </c>
      <c r="AK29">
        <v>25</v>
      </c>
      <c r="AL29">
        <v>8.0413320167775879</v>
      </c>
      <c r="AM29">
        <v>248.88380657692275</v>
      </c>
      <c r="AN29">
        <f>(CS2_0-AVERAGE(CS2_0))/STDEV(CS2_0)</f>
        <v>-0.17289156622604762</v>
      </c>
      <c r="AO29">
        <f>(CS2_1-AVERAGE(CS2_1))/STDEV(CS2_1)</f>
        <v>-0.52223930343560365</v>
      </c>
      <c r="AP29">
        <f>(CS2_2-AVERAGE(CS2_2))/STDEV(CS2_2)</f>
        <v>-0.62781192411032427</v>
      </c>
      <c r="AQ29">
        <f>(CS2_3-AVERAGE(CS2_3))/STDEV(CS2_3)</f>
        <v>-0.76189920929035693</v>
      </c>
      <c r="AR29">
        <f>(CS2_4-AVERAGE(CS2_4))/STDEV(CS2_4)</f>
        <v>2.8646953263892989</v>
      </c>
      <c r="AS29">
        <f>(CS2_5-AVERAGE(CS2_5))/STDEV(CS2_5)</f>
        <v>-0.65729417957824299</v>
      </c>
      <c r="AT29">
        <f>(CS2_6-AVERAGE(CS2_6))/STDEV(CS2_6)</f>
        <v>0.30175378181471407</v>
      </c>
      <c r="AU29">
        <f>(CS2_7-AVERAGE(CS2_7))/STDEV(CS2_7)</f>
        <v>2.8646953263892989</v>
      </c>
      <c r="AV29">
        <f>(CS2_8-AVERAGE(CS2_8))/STDEV(CS2_8)</f>
        <v>-0.65729417957824299</v>
      </c>
      <c r="AW29">
        <f>(CS2_9-AVERAGE(CS2_9))/STDEV(CS2_9)</f>
        <v>0.30175378181471407</v>
      </c>
      <c r="AX29">
        <f>CS2_0_std * CS2_0_loading+CS2_1_std * CS2_1_loading+CS2_2_std * CS2_2_loading+CS2_3_std * CS2_3_loading+CS2_4_std * CS2_4_loading+CS2_5_std * CS2_5_loading+CS2_6_std * CS2_6_loading+CS2_7_std * CS2_7_loading+CS2_8_std * CS2_8_loading+CS2_9_std * CS2_9_loading</f>
        <v>-0.67012474737160777</v>
      </c>
      <c r="AY29">
        <f>(CS2_I_STD-MIN(CS2_I_STD_ALL))/(MAX(CS2_I_STD_ALL)-MIN(CS2_I_STD_ALL))*100</f>
        <v>30.727707203055456</v>
      </c>
      <c r="AZ29" s="140" t="s">
        <v>69</v>
      </c>
      <c r="BA29" s="140">
        <v>34.273958837549863</v>
      </c>
      <c r="BB29" s="141">
        <v>84.076202764765185</v>
      </c>
      <c r="BC29" t="s">
        <v>66</v>
      </c>
      <c r="BD29">
        <v>80.861343707957317</v>
      </c>
      <c r="BE29">
        <v>1914.6973436302685</v>
      </c>
      <c r="BF29">
        <v>15.311573255870346</v>
      </c>
      <c r="BG29">
        <v>5.3298746331906734</v>
      </c>
      <c r="BH29">
        <v>1</v>
      </c>
      <c r="BI29">
        <v>25</v>
      </c>
      <c r="BJ29">
        <v>8.0413320167775879</v>
      </c>
      <c r="BK29">
        <v>248.88380657692275</v>
      </c>
      <c r="BL29">
        <v>25</v>
      </c>
      <c r="BM29">
        <v>8.0413320167775879</v>
      </c>
      <c r="BN29">
        <v>248.88380657692275</v>
      </c>
      <c r="BO29">
        <f>(PCA_0-AVERAGE(PCA_0))/STDEV(PCA_0)</f>
        <v>-0.17289156622604762</v>
      </c>
      <c r="BP29">
        <f>(PCA_1-AVERAGE(PCA_1))/STDEV(PCA_1)</f>
        <v>-0.52223930343560365</v>
      </c>
      <c r="BQ29">
        <f>(PCA_2-AVERAGE(PCA_2))/STDEV(PCA_2)</f>
        <v>-0.62781192411032427</v>
      </c>
      <c r="BR29">
        <f>(PCA_3-AVERAGE(PCA_3))/STDEV(PCA_3)</f>
        <v>-0.76189920929035693</v>
      </c>
      <c r="BS29">
        <f>(PCA_4-AVERAGE(PCA_4))/STDEV(PCA_4)</f>
        <v>2.8646953263892989</v>
      </c>
      <c r="BT29">
        <f>(PCA_5-AVERAGE(PCA_5))/STDEV(PCA_5)</f>
        <v>-0.65729417957824299</v>
      </c>
      <c r="BU29">
        <f>(PCA_6-AVERAGE(PCA_6))/STDEV(PCA_6)</f>
        <v>0.30175378181471407</v>
      </c>
      <c r="BV29">
        <f>(PCA_7-AVERAGE(PCA_7))/STDEV(PCA_7)</f>
        <v>2.8646953263892989</v>
      </c>
      <c r="BW29">
        <f>(PCA_8-AVERAGE(PCA_8))/STDEV(PCA_8)</f>
        <v>-0.65729417957824299</v>
      </c>
      <c r="BX29">
        <f>(PCA_9-AVERAGE(PCA_9))/STDEV(PCA_9)</f>
        <v>0.30175378181471407</v>
      </c>
      <c r="BY29">
        <f>PCA_0_std * PCA_0_loading+PCA_1_std * PCA_1_loading+PCA_2_std * PCA_2_loading+PCA_3_std * PCA_3_loading+PCA_4_std * PCA_4_loading+PCA_5_std * PCA_5_loading+PCA_6_std * PCA_6_loading+PCA_7_std * PCA_7_loading+PCA_8_std * PCA_8_loading+PCA_9_std * PCA_9_loading</f>
        <v>3.2489968163474225</v>
      </c>
      <c r="BZ29">
        <f>(PCA_I_STD-MIN(PCA_I_STD_ALL))/(MAX(PCA_I_STD_ALL)-MIN(PCA_I_STD_ALL))*100</f>
        <v>100</v>
      </c>
      <c r="CA29" s="140" t="s">
        <v>65</v>
      </c>
      <c r="CB29" s="140">
        <v>57.291403378967317</v>
      </c>
      <c r="CC29" s="141">
        <v>86.460620528263476</v>
      </c>
      <c r="CD29" t="s">
        <v>66</v>
      </c>
      <c r="CE29">
        <v>80.861343707957317</v>
      </c>
      <c r="CF29">
        <v>1914.6973436302685</v>
      </c>
      <c r="CG29">
        <v>15.311573255870346</v>
      </c>
      <c r="CH29">
        <v>5.3298746331906734</v>
      </c>
      <c r="CI29">
        <v>1</v>
      </c>
      <c r="CJ29">
        <v>25</v>
      </c>
      <c r="CK29">
        <v>8.0413320167775879</v>
      </c>
      <c r="CL29">
        <v>248.88380657692275</v>
      </c>
      <c r="CM29">
        <v>25</v>
      </c>
      <c r="CN29">
        <v>8.0413320167775879</v>
      </c>
      <c r="CO29">
        <v>248.88380657692275</v>
      </c>
      <c r="CP29">
        <f>(KTGET_0-AVERAGE(KTGET_0))/STDEV(KTGET_0)</f>
        <v>-0.17289156622604762</v>
      </c>
      <c r="CQ29">
        <f>(KTGET_1-AVERAGE(KTGET_1))/STDEV(KTGET_1)</f>
        <v>-0.52223930343560365</v>
      </c>
      <c r="CR29">
        <f>(KTGET_2-AVERAGE(KTGET_2))/STDEV(KTGET_2)</f>
        <v>-0.62781192411032427</v>
      </c>
      <c r="CS29">
        <f>(KTGET_3-AVERAGE(KTGET_3))/STDEV(KTGET_3)</f>
        <v>-0.76189920929035693</v>
      </c>
      <c r="CT29">
        <f>(KTGET_4-AVERAGE(KTGET_4))/STDEV(KTGET_4)</f>
        <v>2.8646953263892989</v>
      </c>
      <c r="CU29">
        <f>(KTGET_5-AVERAGE(KTGET_5))/STDEV(KTGET_5)</f>
        <v>-0.65729417957824299</v>
      </c>
      <c r="CV29">
        <f>(KTGET_6-AVERAGE(KTGET_6))/STDEV(KTGET_6)</f>
        <v>0.30175378181471407</v>
      </c>
      <c r="CW29">
        <f>(KTGET_7-AVERAGE(KTGET_7))/STDEV(KTGET_7)</f>
        <v>2.8646953263892989</v>
      </c>
      <c r="CX29">
        <f>(KTGET_8-AVERAGE(KTGET_8))/STDEV(KTGET_8)</f>
        <v>-0.65729417957824299</v>
      </c>
      <c r="CY29">
        <f>(KTGET_9-AVERAGE(KTGET_9))/STDEV(KTGET_9)</f>
        <v>0.30175378181471407</v>
      </c>
      <c r="CZ29">
        <f>KTGET_0_std * KTGET_0_loading+KTGET_1_std * KTGET_1_loading+KTGET_2_std * KTGET_2_loading+KTGET_3_std * KTGET_3_loading+KTGET_4_std * KTGET_4_loading+KTGET_5_std * KTGET_5_loading+KTGET_6_std * KTGET_6_loading+KTGET_7_std * KTGET_7_loading+KTGET_8_std * KTGET_8_loading+KTGET_9_std * KTGET_9_loading</f>
        <v>-0.42514410036819561</v>
      </c>
      <c r="DA29">
        <f>(KTGET_I_STD-MIN(KTGET_I_STD_ALL))/(MAX(KTGET_I_STD_ALL)-MIN(KTGET_I_STD_ALL))*100</f>
        <v>34.43184947588697</v>
      </c>
      <c r="DB29" s="140" t="s">
        <v>84</v>
      </c>
      <c r="DC29" s="140">
        <v>101.91738416424882</v>
      </c>
      <c r="DD29" s="141">
        <v>90.854653280408797</v>
      </c>
      <c r="DE29" t="s">
        <v>66</v>
      </c>
      <c r="DF29">
        <v>80.861343707957317</v>
      </c>
      <c r="DG29">
        <v>1914.6973436302685</v>
      </c>
      <c r="DH29">
        <v>15.311573255870346</v>
      </c>
      <c r="DI29">
        <v>5.3298746331906734</v>
      </c>
      <c r="DJ29">
        <v>1</v>
      </c>
      <c r="DK29">
        <v>25</v>
      </c>
      <c r="DL29">
        <v>8.0413320167775879</v>
      </c>
      <c r="DM29">
        <v>248.88380657692275</v>
      </c>
      <c r="DN29">
        <v>25</v>
      </c>
      <c r="DO29">
        <v>8.0413320167775879</v>
      </c>
      <c r="DP29">
        <v>248.88380657692275</v>
      </c>
      <c r="DQ29">
        <f>(KTGT_0-AVERAGE(KTGT_0))/STDEV(KTGT_0)</f>
        <v>-0.17289156622604762</v>
      </c>
      <c r="DR29">
        <f>(KTGT_1-AVERAGE(KTGT_1))/STDEV(KTGT_1)</f>
        <v>-0.52223930343560365</v>
      </c>
      <c r="DS29">
        <f>(KTGT_2-AVERAGE(KTGT_2))/STDEV(KTGT_2)</f>
        <v>-0.62781192411032427</v>
      </c>
      <c r="DT29">
        <f>(KTGT_3-AVERAGE(KTGT_3))/STDEV(KTGT_3)</f>
        <v>-0.76189920929035693</v>
      </c>
      <c r="DU29">
        <f>(KTGT_4-AVERAGE(KTGT_4))/STDEV(KTGT_4)</f>
        <v>2.8646953263892989</v>
      </c>
      <c r="DV29">
        <f>(KTGT_5-AVERAGE(KTGT_5))/STDEV(KTGT_5)</f>
        <v>-0.65729417957824299</v>
      </c>
      <c r="DW29">
        <f>(KTGT_6-AVERAGE(KTGT_6))/STDEV(KTGT_6)</f>
        <v>0.30175378181471407</v>
      </c>
      <c r="DX29">
        <f>(KTGT_7-AVERAGE(KTGT_7))/STDEV(KTGT_7)</f>
        <v>2.8646953263892989</v>
      </c>
      <c r="DY29">
        <f>(KTGT_8-AVERAGE(KTGT_8))/STDEV(KTGT_8)</f>
        <v>-0.65729417957824299</v>
      </c>
      <c r="DZ29">
        <f>(KTGT_9-AVERAGE(KTGT_9))/STDEV(KTGT_9)</f>
        <v>0.30175378181471407</v>
      </c>
      <c r="EA29">
        <f>KTGT_0_std * KTGT_0_loading+KTGT_1_std * KTGT_1_loading+KTGT_2_std * KTGT_2_loading+KTGT_3_std * KTGT_3_loading+KTGT_4_std * KTGT_4_loading+KTGT_5_std * KTGT_5_loading+KTGT_6_std * KTGT_6_loading+KTGT_7_std * KTGT_7_loading+KTGT_8_std * KTGT_8_loading+KTGT_9_std * KTGT_9_loading</f>
        <v>-0.40659774918557778</v>
      </c>
      <c r="EB29">
        <f>(KTGT_I_STD-MIN(KTGT_I_STD_ALL))/(MAX(KTGT_I_STD_ALL)-MIN(KTGT_I_STD_ALL))*100</f>
        <v>34.734040904460969</v>
      </c>
      <c r="EC29" s="140" t="s">
        <v>84</v>
      </c>
      <c r="ED29" s="140">
        <v>101.91738416424882</v>
      </c>
      <c r="EE29" s="141">
        <v>90.40970324060612</v>
      </c>
      <c r="EF29" t="s">
        <v>66</v>
      </c>
      <c r="EG29">
        <v>80.861343707957317</v>
      </c>
      <c r="EH29">
        <v>1914.6973436302685</v>
      </c>
      <c r="EI29">
        <v>15.311573255870346</v>
      </c>
      <c r="EJ29">
        <v>5.3298746331906734</v>
      </c>
      <c r="EK29">
        <v>1</v>
      </c>
      <c r="EL29">
        <v>25</v>
      </c>
      <c r="EM29">
        <v>8.0413320167775879</v>
      </c>
      <c r="EN29">
        <v>248.88380657692275</v>
      </c>
      <c r="EO29">
        <v>25</v>
      </c>
      <c r="EP29">
        <v>8.0413320167775879</v>
      </c>
      <c r="EQ29">
        <v>248.88380657692275</v>
      </c>
      <c r="ER29">
        <f>(SA_0-AVERAGE(SA_0))/STDEV(SA_0)</f>
        <v>-0.17289156622604762</v>
      </c>
      <c r="ES29">
        <f>(SA_1-AVERAGE(SA_1))/STDEV(SA_1)</f>
        <v>-0.52223930343560365</v>
      </c>
      <c r="ET29">
        <f>(SA_2-AVERAGE(SA_2))/STDEV(SA_2)</f>
        <v>-0.62781192411032427</v>
      </c>
      <c r="EU29">
        <f>(SA_3-AVERAGE(SA_3))/STDEV(SA_3)</f>
        <v>-0.76189920929035693</v>
      </c>
      <c r="EV29">
        <f>(SA_4-AVERAGE(SA_4))/STDEV(SA_4)</f>
        <v>2.8646953263892989</v>
      </c>
      <c r="EW29">
        <f>(SA_5-AVERAGE(SA_5))/STDEV(SA_5)</f>
        <v>-0.65729417957824299</v>
      </c>
      <c r="EX29">
        <f>(SA_6-AVERAGE(SA_6))/STDEV(SA_6)</f>
        <v>0.30175378181471407</v>
      </c>
      <c r="EY29">
        <f>(SA_7-AVERAGE(SA_7))/STDEV(SA_7)</f>
        <v>2.8646953263892989</v>
      </c>
      <c r="EZ29">
        <f>(SA_8-AVERAGE(SA_8))/STDEV(SA_8)</f>
        <v>-0.65729417957824299</v>
      </c>
      <c r="FA29">
        <f>(SA_9-AVERAGE(SA_9))/STDEV(SA_9)</f>
        <v>0.30175378181471407</v>
      </c>
      <c r="FB29">
        <f>SA_0_std * SA_0_loading+SA_1_std * SA_1_loading+SA_2_std * SA_2_loading+SA_3_std * SA_3_loading+SA_4_std * SA_4_loading+SA_5_std * SA_5_loading+SA_6_std * SA_6_loading+SA_7_std * SA_7_loading+SA_8_std * SA_8_loading+SA_9_std * SA_9_loading</f>
        <v>0.92764398621246036</v>
      </c>
      <c r="FC29">
        <f>(SA_I_STD-MIN(SA_I_STD_ALL))/(MAX(SA_I_STD_ALL)-MIN(SA_I_STD_ALL))*100</f>
        <v>70.435352896454177</v>
      </c>
      <c r="FD29" s="140" t="s">
        <v>82</v>
      </c>
      <c r="FE29" s="140">
        <v>19.785132701190538</v>
      </c>
      <c r="FF29" s="141">
        <v>93.392228041078425</v>
      </c>
    </row>
    <row r="30" spans="1:162" x14ac:dyDescent="0.25">
      <c r="A30" t="s">
        <v>80</v>
      </c>
      <c r="B30">
        <v>14.043552326179778</v>
      </c>
      <c r="C30">
        <v>7611.0372587671236</v>
      </c>
      <c r="D30">
        <v>31.544725273972603</v>
      </c>
      <c r="E30">
        <v>7.0291990230979389</v>
      </c>
      <c r="F30">
        <v>3</v>
      </c>
      <c r="G30">
        <v>0</v>
      </c>
      <c r="H30">
        <v>13.299999999999997</v>
      </c>
      <c r="I30">
        <v>69.593923338024666</v>
      </c>
      <c r="J30">
        <v>0</v>
      </c>
      <c r="K30">
        <v>13.299999999999997</v>
      </c>
      <c r="L30">
        <v>69.593923338024666</v>
      </c>
      <c r="M30">
        <f>(CS1_0-AVERAGE(CS1_0))/STDEV(CS1_0)</f>
        <v>0.16344067755824776</v>
      </c>
      <c r="N30">
        <f>(CS1_1-AVERAGE(CS1_1))/STDEV(CS1_1)</f>
        <v>0.91965772328474393</v>
      </c>
      <c r="O30">
        <f>(CS1_2-AVERAGE(CS1_2))/STDEV(CS1_2)</f>
        <v>-0.19640221522986712</v>
      </c>
      <c r="P30">
        <f>(CS1_3-AVERAGE(CS1_3))/STDEV(CS1_3)</f>
        <v>1.177480596176006</v>
      </c>
      <c r="Q30">
        <f>(CS1_4-AVERAGE(CS1_4))/STDEV(CS1_4)</f>
        <v>-0.59269558477019968</v>
      </c>
      <c r="R30">
        <f>(CS1_5-AVERAGE(CS1_5))/STDEV(CS1_5)</f>
        <v>-0.2849463523970881</v>
      </c>
      <c r="S30">
        <f>(CS1_6-AVERAGE(CS1_6))/STDEV(CS1_6)</f>
        <v>-1.0028611101236697</v>
      </c>
      <c r="T30">
        <f>(CS1_7-AVERAGE(CS1_7))/STDEV(CS1_7)</f>
        <v>-0.59269558477019968</v>
      </c>
      <c r="U30">
        <f>(CS1_8-AVERAGE(CS1_8))/STDEV(CS1_8)</f>
        <v>-0.2849463523970881</v>
      </c>
      <c r="V30">
        <f>(CS1_9-AVERAGE(CS1_9))/STDEV(CS1_9)</f>
        <v>-1.0028611101236697</v>
      </c>
      <c r="W30">
        <f>CS1_0_std * CS1_0_loading+CS1_1_std * CS1_1_loading+CS1_2_std * CS1_2_loading+CS1_3_std * CS1_3_loading+CS1_4_std * CS1_4_loading+CS1_5_std * CS1_5_loading+CS1_6_std * CS1_6_loading+CS1_7_std * CS1_7_loading+CS1_8_std * CS1_8_loading+CS1_9_std * CS1_9_loading</f>
        <v>-1.264354297823866</v>
      </c>
      <c r="X30">
        <f>(CS1_I_STD-MIN(CS1_I_STD_ALL))/(MAX(CS1_I_STD_ALL)-MIN(CS1_I_STD_ALL))*100</f>
        <v>20.155892640682882</v>
      </c>
      <c r="Y30" s="140" t="s">
        <v>69</v>
      </c>
      <c r="Z30" s="140">
        <v>34.273958837549863</v>
      </c>
      <c r="AA30" s="141">
        <v>92.800464241099306</v>
      </c>
      <c r="AB30" t="s">
        <v>80</v>
      </c>
      <c r="AC30">
        <v>14.043552326179778</v>
      </c>
      <c r="AD30">
        <v>7611.0372587671236</v>
      </c>
      <c r="AE30">
        <v>31.544725273972603</v>
      </c>
      <c r="AF30">
        <v>7.0291990230979389</v>
      </c>
      <c r="AG30">
        <v>3</v>
      </c>
      <c r="AH30">
        <v>0</v>
      </c>
      <c r="AI30">
        <v>13.299999999999997</v>
      </c>
      <c r="AJ30">
        <v>69.593923338024666</v>
      </c>
      <c r="AK30">
        <v>0</v>
      </c>
      <c r="AL30">
        <v>13.299999999999997</v>
      </c>
      <c r="AM30">
        <v>69.593923338024666</v>
      </c>
      <c r="AN30">
        <f>(CS2_0-AVERAGE(CS2_0))/STDEV(CS2_0)</f>
        <v>0.16344067755824776</v>
      </c>
      <c r="AO30">
        <f>(CS2_1-AVERAGE(CS2_1))/STDEV(CS2_1)</f>
        <v>0.91965772328474393</v>
      </c>
      <c r="AP30">
        <f>(CS2_2-AVERAGE(CS2_2))/STDEV(CS2_2)</f>
        <v>-0.19640221522986712</v>
      </c>
      <c r="AQ30">
        <f>(CS2_3-AVERAGE(CS2_3))/STDEV(CS2_3)</f>
        <v>1.177480596176006</v>
      </c>
      <c r="AR30">
        <f>(CS2_4-AVERAGE(CS2_4))/STDEV(CS2_4)</f>
        <v>-0.59269558477019968</v>
      </c>
      <c r="AS30">
        <f>(CS2_5-AVERAGE(CS2_5))/STDEV(CS2_5)</f>
        <v>-0.2849463523970881</v>
      </c>
      <c r="AT30">
        <f>(CS2_6-AVERAGE(CS2_6))/STDEV(CS2_6)</f>
        <v>-1.0028611101236697</v>
      </c>
      <c r="AU30">
        <f>(CS2_7-AVERAGE(CS2_7))/STDEV(CS2_7)</f>
        <v>-0.59269558477019968</v>
      </c>
      <c r="AV30">
        <f>(CS2_8-AVERAGE(CS2_8))/STDEV(CS2_8)</f>
        <v>-0.2849463523970881</v>
      </c>
      <c r="AW30">
        <f>(CS2_9-AVERAGE(CS2_9))/STDEV(CS2_9)</f>
        <v>-1.0028611101236697</v>
      </c>
      <c r="AX30">
        <f>CS2_0_std * CS2_0_loading+CS2_1_std * CS2_1_loading+CS2_2_std * CS2_2_loading+CS2_3_std * CS2_3_loading+CS2_4_std * CS2_4_loading+CS2_5_std * CS2_5_loading+CS2_6_std * CS2_6_loading+CS2_7_std * CS2_7_loading+CS2_8_std * CS2_8_loading+CS2_9_std * CS2_9_loading</f>
        <v>-0.93285748268615021</v>
      </c>
      <c r="AY30">
        <f>(CS2_I_STD-MIN(CS2_I_STD_ALL))/(MAX(CS2_I_STD_ALL)-MIN(CS2_I_STD_ALL))*100</f>
        <v>26.427641432772653</v>
      </c>
      <c r="AZ30" s="140" t="s">
        <v>82</v>
      </c>
      <c r="BA30" s="140">
        <v>19.785132701190538</v>
      </c>
      <c r="BB30" s="141">
        <v>95.103901756386549</v>
      </c>
      <c r="BC30" t="s">
        <v>80</v>
      </c>
      <c r="BD30">
        <v>14.043552326179778</v>
      </c>
      <c r="BE30">
        <v>7611.0372587671236</v>
      </c>
      <c r="BF30">
        <v>31.544725273972603</v>
      </c>
      <c r="BG30">
        <v>7.0291990230979389</v>
      </c>
      <c r="BH30">
        <v>3</v>
      </c>
      <c r="BI30">
        <v>0</v>
      </c>
      <c r="BJ30">
        <v>13.299999999999997</v>
      </c>
      <c r="BK30">
        <v>69.593923338024666</v>
      </c>
      <c r="BL30">
        <v>0</v>
      </c>
      <c r="BM30">
        <v>13.299999999999997</v>
      </c>
      <c r="BN30">
        <v>69.593923338024666</v>
      </c>
      <c r="BO30">
        <f>(PCA_0-AVERAGE(PCA_0))/STDEV(PCA_0)</f>
        <v>0.16344067755824776</v>
      </c>
      <c r="BP30">
        <f>(PCA_1-AVERAGE(PCA_1))/STDEV(PCA_1)</f>
        <v>0.91965772328474393</v>
      </c>
      <c r="BQ30">
        <f>(PCA_2-AVERAGE(PCA_2))/STDEV(PCA_2)</f>
        <v>-0.19640221522986712</v>
      </c>
      <c r="BR30">
        <f>(PCA_3-AVERAGE(PCA_3))/STDEV(PCA_3)</f>
        <v>1.177480596176006</v>
      </c>
      <c r="BS30">
        <f>(PCA_4-AVERAGE(PCA_4))/STDEV(PCA_4)</f>
        <v>-0.59269558477019968</v>
      </c>
      <c r="BT30">
        <f>(PCA_5-AVERAGE(PCA_5))/STDEV(PCA_5)</f>
        <v>-0.2849463523970881</v>
      </c>
      <c r="BU30">
        <f>(PCA_6-AVERAGE(PCA_6))/STDEV(PCA_6)</f>
        <v>-1.0028611101236697</v>
      </c>
      <c r="BV30">
        <f>(PCA_7-AVERAGE(PCA_7))/STDEV(PCA_7)</f>
        <v>-0.59269558477019968</v>
      </c>
      <c r="BW30">
        <f>(PCA_8-AVERAGE(PCA_8))/STDEV(PCA_8)</f>
        <v>-0.2849463523970881</v>
      </c>
      <c r="BX30">
        <f>(PCA_9-AVERAGE(PCA_9))/STDEV(PCA_9)</f>
        <v>-1.0028611101236697</v>
      </c>
      <c r="BY30">
        <f>PCA_0_std * PCA_0_loading+PCA_1_std * PCA_1_loading+PCA_2_std * PCA_2_loading+PCA_3_std * PCA_3_loading+PCA_4_std * PCA_4_loading+PCA_5_std * PCA_5_loading+PCA_6_std * PCA_6_loading+PCA_7_std * PCA_7_loading+PCA_8_std * PCA_8_loading+PCA_9_std * PCA_9_loading</f>
        <v>-1.7156304591304778</v>
      </c>
      <c r="BZ30">
        <f>(PCA_I_STD-MIN(PCA_I_STD_ALL))/(MAX(PCA_I_STD_ALL)-MIN(PCA_I_STD_ALL))*100</f>
        <v>30.780296120392443</v>
      </c>
      <c r="CA30" s="140" t="s">
        <v>81</v>
      </c>
      <c r="CB30" s="140">
        <v>8.5835812635249962</v>
      </c>
      <c r="CC30" s="141">
        <v>97.633297647745295</v>
      </c>
      <c r="CD30" t="s">
        <v>80</v>
      </c>
      <c r="CE30">
        <v>14.043552326179778</v>
      </c>
      <c r="CF30">
        <v>7611.0372587671236</v>
      </c>
      <c r="CG30">
        <v>31.544725273972603</v>
      </c>
      <c r="CH30">
        <v>7.0291990230979389</v>
      </c>
      <c r="CI30">
        <v>3</v>
      </c>
      <c r="CJ30">
        <v>0</v>
      </c>
      <c r="CK30">
        <v>13.299999999999997</v>
      </c>
      <c r="CL30">
        <v>69.593923338024666</v>
      </c>
      <c r="CM30">
        <v>0</v>
      </c>
      <c r="CN30">
        <v>13.299999999999997</v>
      </c>
      <c r="CO30">
        <v>69.593923338024666</v>
      </c>
      <c r="CP30">
        <f>(KTGET_0-AVERAGE(KTGET_0))/STDEV(KTGET_0)</f>
        <v>0.16344067755824776</v>
      </c>
      <c r="CQ30">
        <f>(KTGET_1-AVERAGE(KTGET_1))/STDEV(KTGET_1)</f>
        <v>0.91965772328474393</v>
      </c>
      <c r="CR30">
        <f>(KTGET_2-AVERAGE(KTGET_2))/STDEV(KTGET_2)</f>
        <v>-0.19640221522986712</v>
      </c>
      <c r="CS30">
        <f>(KTGET_3-AVERAGE(KTGET_3))/STDEV(KTGET_3)</f>
        <v>1.177480596176006</v>
      </c>
      <c r="CT30">
        <f>(KTGET_4-AVERAGE(KTGET_4))/STDEV(KTGET_4)</f>
        <v>-0.59269558477019968</v>
      </c>
      <c r="CU30">
        <f>(KTGET_5-AVERAGE(KTGET_5))/STDEV(KTGET_5)</f>
        <v>-0.2849463523970881</v>
      </c>
      <c r="CV30">
        <f>(KTGET_6-AVERAGE(KTGET_6))/STDEV(KTGET_6)</f>
        <v>-1.0028611101236697</v>
      </c>
      <c r="CW30">
        <f>(KTGET_7-AVERAGE(KTGET_7))/STDEV(KTGET_7)</f>
        <v>-0.59269558477019968</v>
      </c>
      <c r="CX30">
        <f>(KTGET_8-AVERAGE(KTGET_8))/STDEV(KTGET_8)</f>
        <v>-0.2849463523970881</v>
      </c>
      <c r="CY30">
        <f>(KTGET_9-AVERAGE(KTGET_9))/STDEV(KTGET_9)</f>
        <v>-1.0028611101236697</v>
      </c>
      <c r="CZ30">
        <f>KTGET_0_std * KTGET_0_loading+KTGET_1_std * KTGET_1_loading+KTGET_2_std * KTGET_2_loading+KTGET_3_std * KTGET_3_loading+KTGET_4_std * KTGET_4_loading+KTGET_5_std * KTGET_5_loading+KTGET_6_std * KTGET_6_loading+KTGET_7_std * KTGET_7_loading+KTGET_8_std * KTGET_8_loading+KTGET_9_std * KTGET_9_loading</f>
        <v>-1.2643463453277817</v>
      </c>
      <c r="DA30">
        <f>(KTGET_I_STD-MIN(KTGET_I_STD_ALL))/(MAX(KTGET_I_STD_ALL)-MIN(KTGET_I_STD_ALL))*100</f>
        <v>20.156069942823809</v>
      </c>
      <c r="DB30" s="140" t="s">
        <v>69</v>
      </c>
      <c r="DC30" s="140">
        <v>34.273958837549863</v>
      </c>
      <c r="DD30" s="141">
        <v>92.800332708459862</v>
      </c>
      <c r="DE30" t="s">
        <v>80</v>
      </c>
      <c r="DF30">
        <v>14.043552326179778</v>
      </c>
      <c r="DG30">
        <v>7611.0372587671236</v>
      </c>
      <c r="DH30">
        <v>31.544725273972603</v>
      </c>
      <c r="DI30">
        <v>7.0291990230979389</v>
      </c>
      <c r="DJ30">
        <v>3</v>
      </c>
      <c r="DK30">
        <v>0</v>
      </c>
      <c r="DL30">
        <v>13.299999999999997</v>
      </c>
      <c r="DM30">
        <v>69.593923338024666</v>
      </c>
      <c r="DN30">
        <v>0</v>
      </c>
      <c r="DO30">
        <v>13.299999999999997</v>
      </c>
      <c r="DP30">
        <v>69.593923338024666</v>
      </c>
      <c r="DQ30">
        <f>(KTGT_0-AVERAGE(KTGT_0))/STDEV(KTGT_0)</f>
        <v>0.16344067755824776</v>
      </c>
      <c r="DR30">
        <f>(KTGT_1-AVERAGE(KTGT_1))/STDEV(KTGT_1)</f>
        <v>0.91965772328474393</v>
      </c>
      <c r="DS30">
        <f>(KTGT_2-AVERAGE(KTGT_2))/STDEV(KTGT_2)</f>
        <v>-0.19640221522986712</v>
      </c>
      <c r="DT30">
        <f>(KTGT_3-AVERAGE(KTGT_3))/STDEV(KTGT_3)</f>
        <v>1.177480596176006</v>
      </c>
      <c r="DU30">
        <f>(KTGT_4-AVERAGE(KTGT_4))/STDEV(KTGT_4)</f>
        <v>-0.59269558477019968</v>
      </c>
      <c r="DV30">
        <f>(KTGT_5-AVERAGE(KTGT_5))/STDEV(KTGT_5)</f>
        <v>-0.2849463523970881</v>
      </c>
      <c r="DW30">
        <f>(KTGT_6-AVERAGE(KTGT_6))/STDEV(KTGT_6)</f>
        <v>-1.0028611101236697</v>
      </c>
      <c r="DX30">
        <f>(KTGT_7-AVERAGE(KTGT_7))/STDEV(KTGT_7)</f>
        <v>-0.59269558477019968</v>
      </c>
      <c r="DY30">
        <f>(KTGT_8-AVERAGE(KTGT_8))/STDEV(KTGT_8)</f>
        <v>-0.2849463523970881</v>
      </c>
      <c r="DZ30">
        <f>(KTGT_9-AVERAGE(KTGT_9))/STDEV(KTGT_9)</f>
        <v>-1.0028611101236697</v>
      </c>
      <c r="EA30">
        <f>KTGT_0_std * KTGT_0_loading+KTGT_1_std * KTGT_1_loading+KTGT_2_std * KTGT_2_loading+KTGT_3_std * KTGT_3_loading+KTGT_4_std * KTGT_4_loading+KTGT_5_std * KTGT_5_loading+KTGT_6_std * KTGT_6_loading+KTGT_7_std * KTGT_7_loading+KTGT_8_std * KTGT_8_loading+KTGT_9_std * KTGT_9_loading</f>
        <v>-1.2732470371353632</v>
      </c>
      <c r="EB30">
        <f>(KTGT_I_STD-MIN(KTGT_I_STD_ALL))/(MAX(KTGT_I_STD_ALL)-MIN(KTGT_I_STD_ALL))*100</f>
        <v>19.999302157662441</v>
      </c>
      <c r="EC30" s="140" t="s">
        <v>69</v>
      </c>
      <c r="ED30" s="140">
        <v>34.273958837549863</v>
      </c>
      <c r="EE30" s="141">
        <v>92.898007384921328</v>
      </c>
      <c r="EF30" t="s">
        <v>80</v>
      </c>
      <c r="EG30">
        <v>14.043552326179778</v>
      </c>
      <c r="EH30">
        <v>7611.0372587671236</v>
      </c>
      <c r="EI30">
        <v>31.544725273972603</v>
      </c>
      <c r="EJ30">
        <v>7.0291990230979389</v>
      </c>
      <c r="EK30">
        <v>3</v>
      </c>
      <c r="EL30">
        <v>0</v>
      </c>
      <c r="EM30">
        <v>13.299999999999997</v>
      </c>
      <c r="EN30">
        <v>69.593923338024666</v>
      </c>
      <c r="EO30">
        <v>0</v>
      </c>
      <c r="EP30">
        <v>13.299999999999997</v>
      </c>
      <c r="EQ30">
        <v>69.593923338024666</v>
      </c>
      <c r="ER30">
        <f>(SA_0-AVERAGE(SA_0))/STDEV(SA_0)</f>
        <v>0.16344067755824776</v>
      </c>
      <c r="ES30">
        <f>(SA_1-AVERAGE(SA_1))/STDEV(SA_1)</f>
        <v>0.91965772328474393</v>
      </c>
      <c r="ET30">
        <f>(SA_2-AVERAGE(SA_2))/STDEV(SA_2)</f>
        <v>-0.19640221522986712</v>
      </c>
      <c r="EU30">
        <f>(SA_3-AVERAGE(SA_3))/STDEV(SA_3)</f>
        <v>1.177480596176006</v>
      </c>
      <c r="EV30">
        <f>(SA_4-AVERAGE(SA_4))/STDEV(SA_4)</f>
        <v>-0.59269558477019968</v>
      </c>
      <c r="EW30">
        <f>(SA_5-AVERAGE(SA_5))/STDEV(SA_5)</f>
        <v>-0.2849463523970881</v>
      </c>
      <c r="EX30">
        <f>(SA_6-AVERAGE(SA_6))/STDEV(SA_6)</f>
        <v>-1.0028611101236697</v>
      </c>
      <c r="EY30">
        <f>(SA_7-AVERAGE(SA_7))/STDEV(SA_7)</f>
        <v>-0.59269558477019968</v>
      </c>
      <c r="EZ30">
        <f>(SA_8-AVERAGE(SA_8))/STDEV(SA_8)</f>
        <v>-0.2849463523970881</v>
      </c>
      <c r="FA30">
        <f>(SA_9-AVERAGE(SA_9))/STDEV(SA_9)</f>
        <v>-1.0028611101236697</v>
      </c>
      <c r="FB30">
        <f>SA_0_std * SA_0_loading+SA_1_std * SA_1_loading+SA_2_std * SA_2_loading+SA_3_std * SA_3_loading+SA_4_std * SA_4_loading+SA_5_std * SA_5_loading+SA_6_std * SA_6_loading+SA_7_std * SA_7_loading+SA_8_std * SA_8_loading+SA_9_std * SA_9_loading</f>
        <v>-0.53658454289634838</v>
      </c>
      <c r="FC30">
        <f>(SA_I_STD-MIN(SA_I_STD_ALL))/(MAX(SA_I_STD_ALL)-MIN(SA_I_STD_ALL))*100</f>
        <v>43.324783205243754</v>
      </c>
      <c r="FD30" s="140" t="s">
        <v>84</v>
      </c>
      <c r="FE30" s="140">
        <v>101.91738416424882</v>
      </c>
      <c r="FF30" s="141">
        <v>99.088646316655328</v>
      </c>
    </row>
    <row r="31" spans="1:162" x14ac:dyDescent="0.25">
      <c r="A31" t="s">
        <v>79</v>
      </c>
      <c r="B31">
        <v>94.234282592006622</v>
      </c>
      <c r="C31">
        <v>484.54977046615926</v>
      </c>
      <c r="D31">
        <v>13.584982208428547</v>
      </c>
      <c r="E31">
        <v>8.2799999999999994</v>
      </c>
      <c r="F31">
        <v>4</v>
      </c>
      <c r="G31">
        <v>0</v>
      </c>
      <c r="H31">
        <v>21</v>
      </c>
      <c r="I31">
        <v>31.580770367050047</v>
      </c>
      <c r="J31">
        <v>0</v>
      </c>
      <c r="K31">
        <v>21</v>
      </c>
      <c r="L31">
        <v>31.580770367050047</v>
      </c>
      <c r="M31">
        <f>(CS1_0-AVERAGE(CS1_0))/STDEV(CS1_0)</f>
        <v>-0.25733258438698609</v>
      </c>
      <c r="N31">
        <f>(CS1_1-AVERAGE(CS1_1))/STDEV(CS1_1)</f>
        <v>-0.67560240228985469</v>
      </c>
      <c r="O31">
        <f>(CS1_2-AVERAGE(CS1_2))/STDEV(CS1_2)</f>
        <v>0.12114026725174813</v>
      </c>
      <c r="P31">
        <f>(CS1_3-AVERAGE(CS1_3))/STDEV(CS1_3)</f>
        <v>2.1471704989091878</v>
      </c>
      <c r="Q31">
        <f>(CS1_4-AVERAGE(CS1_4))/STDEV(CS1_4)</f>
        <v>-0.59269558477019968</v>
      </c>
      <c r="R31">
        <f>(CS1_5-AVERAGE(CS1_5))/STDEV(CS1_5)</f>
        <v>0.26026362823721005</v>
      </c>
      <c r="S31">
        <f>(CS1_6-AVERAGE(CS1_6))/STDEV(CS1_6)</f>
        <v>-1.279466373954339</v>
      </c>
      <c r="T31">
        <f>(CS1_7-AVERAGE(CS1_7))/STDEV(CS1_7)</f>
        <v>-0.59269558477019968</v>
      </c>
      <c r="U31">
        <f>(CS1_8-AVERAGE(CS1_8))/STDEV(CS1_8)</f>
        <v>0.26026362823721005</v>
      </c>
      <c r="V31">
        <f>(CS1_9-AVERAGE(CS1_9))/STDEV(CS1_9)</f>
        <v>-1.279466373954339</v>
      </c>
      <c r="W31">
        <f>CS1_0_std * CS1_0_loading+CS1_1_std * CS1_1_loading+CS1_2_std * CS1_2_loading+CS1_3_std * CS1_3_loading+CS1_4_std * CS1_4_loading+CS1_5_std * CS1_5_loading+CS1_6_std * CS1_6_loading+CS1_7_std * CS1_7_loading+CS1_8_std * CS1_8_loading+CS1_9_std * CS1_9_loading</f>
        <v>-0.99335643275778651</v>
      </c>
      <c r="X31">
        <f>(CS1_I_STD-MIN(CS1_I_STD_ALL))/(MAX(CS1_I_STD_ALL)-MIN(CS1_I_STD_ALL))*100</f>
        <v>24.765875888214161</v>
      </c>
      <c r="Y31" s="140" t="s">
        <v>82</v>
      </c>
      <c r="Z31" s="140">
        <v>19.785132701190538</v>
      </c>
      <c r="AA31" s="141">
        <v>100</v>
      </c>
      <c r="AB31" t="s">
        <v>79</v>
      </c>
      <c r="AC31">
        <v>94.234282592006622</v>
      </c>
      <c r="AD31">
        <v>484.54977046615926</v>
      </c>
      <c r="AE31">
        <v>13.584982208428547</v>
      </c>
      <c r="AF31">
        <v>8.2799999999999994</v>
      </c>
      <c r="AG31">
        <v>4</v>
      </c>
      <c r="AH31">
        <v>0</v>
      </c>
      <c r="AI31">
        <v>21</v>
      </c>
      <c r="AJ31">
        <v>31.580770367050047</v>
      </c>
      <c r="AK31">
        <v>0</v>
      </c>
      <c r="AL31">
        <v>21</v>
      </c>
      <c r="AM31">
        <v>31.580770367050047</v>
      </c>
      <c r="AN31">
        <f>(CS2_0-AVERAGE(CS2_0))/STDEV(CS2_0)</f>
        <v>-0.25733258438698609</v>
      </c>
      <c r="AO31">
        <f>(CS2_1-AVERAGE(CS2_1))/STDEV(CS2_1)</f>
        <v>-0.67560240228985469</v>
      </c>
      <c r="AP31">
        <f>(CS2_2-AVERAGE(CS2_2))/STDEV(CS2_2)</f>
        <v>0.12114026725174813</v>
      </c>
      <c r="AQ31">
        <f>(CS2_3-AVERAGE(CS2_3))/STDEV(CS2_3)</f>
        <v>2.1471704989091878</v>
      </c>
      <c r="AR31">
        <f>(CS2_4-AVERAGE(CS2_4))/STDEV(CS2_4)</f>
        <v>-0.59269558477019968</v>
      </c>
      <c r="AS31">
        <f>(CS2_5-AVERAGE(CS2_5))/STDEV(CS2_5)</f>
        <v>0.26026362823721005</v>
      </c>
      <c r="AT31">
        <f>(CS2_6-AVERAGE(CS2_6))/STDEV(CS2_6)</f>
        <v>-1.279466373954339</v>
      </c>
      <c r="AU31">
        <f>(CS2_7-AVERAGE(CS2_7))/STDEV(CS2_7)</f>
        <v>-0.59269558477019968</v>
      </c>
      <c r="AV31">
        <f>(CS2_8-AVERAGE(CS2_8))/STDEV(CS2_8)</f>
        <v>0.26026362823721005</v>
      </c>
      <c r="AW31">
        <f>(CS2_9-AVERAGE(CS2_9))/STDEV(CS2_9)</f>
        <v>-1.279466373954339</v>
      </c>
      <c r="AX31">
        <f>CS2_0_std * CS2_0_loading+CS2_1_std * CS2_1_loading+CS2_2_std * CS2_2_loading+CS2_3_std * CS2_3_loading+CS2_4_std * CS2_4_loading+CS2_5_std * CS2_5_loading+CS2_6_std * CS2_6_loading+CS2_7_std * CS2_7_loading+CS2_8_std * CS2_8_loading+CS2_9_std * CS2_9_loading</f>
        <v>-0.34637969248599487</v>
      </c>
      <c r="AY31">
        <f>(CS2_I_STD-MIN(CS2_I_STD_ALL))/(MAX(CS2_I_STD_ALL)-MIN(CS2_I_STD_ALL))*100</f>
        <v>36.026342818999169</v>
      </c>
      <c r="AZ31" s="140" t="s">
        <v>84</v>
      </c>
      <c r="BA31" s="140">
        <v>101.91738416424882</v>
      </c>
      <c r="BB31" s="141">
        <v>100</v>
      </c>
      <c r="BC31" t="s">
        <v>79</v>
      </c>
      <c r="BD31">
        <v>94.234282592006622</v>
      </c>
      <c r="BE31">
        <v>484.54977046615926</v>
      </c>
      <c r="BF31">
        <v>13.584982208428547</v>
      </c>
      <c r="BG31">
        <v>8.2799999999999994</v>
      </c>
      <c r="BH31">
        <v>4</v>
      </c>
      <c r="BI31">
        <v>0</v>
      </c>
      <c r="BJ31">
        <v>21</v>
      </c>
      <c r="BK31">
        <v>31.580770367050047</v>
      </c>
      <c r="BL31">
        <v>0</v>
      </c>
      <c r="BM31">
        <v>21</v>
      </c>
      <c r="BN31">
        <v>31.580770367050047</v>
      </c>
      <c r="BO31">
        <f>(PCA_0-AVERAGE(PCA_0))/STDEV(PCA_0)</f>
        <v>-0.25733258438698609</v>
      </c>
      <c r="BP31">
        <f>(PCA_1-AVERAGE(PCA_1))/STDEV(PCA_1)</f>
        <v>-0.67560240228985469</v>
      </c>
      <c r="BQ31">
        <f>(PCA_2-AVERAGE(PCA_2))/STDEV(PCA_2)</f>
        <v>0.12114026725174813</v>
      </c>
      <c r="BR31">
        <f>(PCA_3-AVERAGE(PCA_3))/STDEV(PCA_3)</f>
        <v>2.1471704989091878</v>
      </c>
      <c r="BS31">
        <f>(PCA_4-AVERAGE(PCA_4))/STDEV(PCA_4)</f>
        <v>-0.59269558477019968</v>
      </c>
      <c r="BT31">
        <f>(PCA_5-AVERAGE(PCA_5))/STDEV(PCA_5)</f>
        <v>0.26026362823721005</v>
      </c>
      <c r="BU31">
        <f>(PCA_6-AVERAGE(PCA_6))/STDEV(PCA_6)</f>
        <v>-1.279466373954339</v>
      </c>
      <c r="BV31">
        <f>(PCA_7-AVERAGE(PCA_7))/STDEV(PCA_7)</f>
        <v>-0.59269558477019968</v>
      </c>
      <c r="BW31">
        <f>(PCA_8-AVERAGE(PCA_8))/STDEV(PCA_8)</f>
        <v>0.26026362823721005</v>
      </c>
      <c r="BX31">
        <f>(PCA_9-AVERAGE(PCA_9))/STDEV(PCA_9)</f>
        <v>-1.279466373954339</v>
      </c>
      <c r="BY31">
        <f>PCA_0_std * PCA_0_loading+PCA_1_std * PCA_1_loading+PCA_2_std * PCA_2_loading+PCA_3_std * PCA_3_loading+PCA_4_std * PCA_4_loading+PCA_5_std * PCA_5_loading+PCA_6_std * PCA_6_loading+PCA_7_std * PCA_7_loading+PCA_8_std * PCA_8_loading+PCA_9_std * PCA_9_loading</f>
        <v>-1.3398922497309456</v>
      </c>
      <c r="BZ31">
        <f>(PCA_I_STD-MIN(PCA_I_STD_ALL))/(MAX(PCA_I_STD_ALL)-MIN(PCA_I_STD_ALL))*100</f>
        <v>36.019055476881292</v>
      </c>
      <c r="CA31" s="140" t="s">
        <v>66</v>
      </c>
      <c r="CB31" s="140">
        <v>80.861343707957317</v>
      </c>
      <c r="CC31" s="141">
        <v>100</v>
      </c>
      <c r="CD31" t="s">
        <v>79</v>
      </c>
      <c r="CE31">
        <v>94.234282592006622</v>
      </c>
      <c r="CF31">
        <v>484.54977046615926</v>
      </c>
      <c r="CG31">
        <v>13.584982208428547</v>
      </c>
      <c r="CH31">
        <v>8.2799999999999994</v>
      </c>
      <c r="CI31">
        <v>4</v>
      </c>
      <c r="CJ31">
        <v>0</v>
      </c>
      <c r="CK31">
        <v>21</v>
      </c>
      <c r="CL31">
        <v>31.580770367050047</v>
      </c>
      <c r="CM31">
        <v>0</v>
      </c>
      <c r="CN31">
        <v>21</v>
      </c>
      <c r="CO31">
        <v>31.580770367050047</v>
      </c>
      <c r="CP31">
        <f>(KTGET_0-AVERAGE(KTGET_0))/STDEV(KTGET_0)</f>
        <v>-0.25733258438698609</v>
      </c>
      <c r="CQ31">
        <f>(KTGET_1-AVERAGE(KTGET_1))/STDEV(KTGET_1)</f>
        <v>-0.67560240228985469</v>
      </c>
      <c r="CR31">
        <f>(KTGET_2-AVERAGE(KTGET_2))/STDEV(KTGET_2)</f>
        <v>0.12114026725174813</v>
      </c>
      <c r="CS31">
        <f>(KTGET_3-AVERAGE(KTGET_3))/STDEV(KTGET_3)</f>
        <v>2.1471704989091878</v>
      </c>
      <c r="CT31">
        <f>(KTGET_4-AVERAGE(KTGET_4))/STDEV(KTGET_4)</f>
        <v>-0.59269558477019968</v>
      </c>
      <c r="CU31">
        <f>(KTGET_5-AVERAGE(KTGET_5))/STDEV(KTGET_5)</f>
        <v>0.26026362823721005</v>
      </c>
      <c r="CV31">
        <f>(KTGET_6-AVERAGE(KTGET_6))/STDEV(KTGET_6)</f>
        <v>-1.279466373954339</v>
      </c>
      <c r="CW31">
        <f>(KTGET_7-AVERAGE(KTGET_7))/STDEV(KTGET_7)</f>
        <v>-0.59269558477019968</v>
      </c>
      <c r="CX31">
        <f>(KTGET_8-AVERAGE(KTGET_8))/STDEV(KTGET_8)</f>
        <v>0.26026362823721005</v>
      </c>
      <c r="CY31">
        <f>(KTGET_9-AVERAGE(KTGET_9))/STDEV(KTGET_9)</f>
        <v>-1.279466373954339</v>
      </c>
      <c r="CZ31">
        <f>KTGET_0_std * KTGET_0_loading+KTGET_1_std * KTGET_1_loading+KTGET_2_std * KTGET_2_loading+KTGET_3_std * KTGET_3_loading+KTGET_4_std * KTGET_4_loading+KTGET_5_std * KTGET_5_loading+KTGET_6_std * KTGET_6_loading+KTGET_7_std * KTGET_7_loading+KTGET_8_std * KTGET_8_loading+KTGET_9_std * KTGET_9_loading</f>
        <v>-0.9933515483606068</v>
      </c>
      <c r="DA31">
        <f>(KTGET_I_STD-MIN(KTGET_I_STD_ALL))/(MAX(KTGET_I_STD_ALL)-MIN(KTGET_I_STD_ALL))*100</f>
        <v>24.765998001699423</v>
      </c>
      <c r="DB31" s="140" t="s">
        <v>82</v>
      </c>
      <c r="DC31" s="140">
        <v>19.785132701190538</v>
      </c>
      <c r="DD31" s="141">
        <v>100</v>
      </c>
      <c r="DE31" t="s">
        <v>79</v>
      </c>
      <c r="DF31">
        <v>94.234282592006622</v>
      </c>
      <c r="DG31">
        <v>484.54977046615926</v>
      </c>
      <c r="DH31">
        <v>13.584982208428547</v>
      </c>
      <c r="DI31">
        <v>8.2799999999999994</v>
      </c>
      <c r="DJ31">
        <v>4</v>
      </c>
      <c r="DK31">
        <v>0</v>
      </c>
      <c r="DL31">
        <v>21</v>
      </c>
      <c r="DM31">
        <v>31.580770367050047</v>
      </c>
      <c r="DN31">
        <v>0</v>
      </c>
      <c r="DO31">
        <v>21</v>
      </c>
      <c r="DP31">
        <v>31.580770367050047</v>
      </c>
      <c r="DQ31">
        <f>(KTGT_0-AVERAGE(KTGT_0))/STDEV(KTGT_0)</f>
        <v>-0.25733258438698609</v>
      </c>
      <c r="DR31">
        <f>(KTGT_1-AVERAGE(KTGT_1))/STDEV(KTGT_1)</f>
        <v>-0.67560240228985469</v>
      </c>
      <c r="DS31">
        <f>(KTGT_2-AVERAGE(KTGT_2))/STDEV(KTGT_2)</f>
        <v>0.12114026725174813</v>
      </c>
      <c r="DT31">
        <f>(KTGT_3-AVERAGE(KTGT_3))/STDEV(KTGT_3)</f>
        <v>2.1471704989091878</v>
      </c>
      <c r="DU31">
        <f>(KTGT_4-AVERAGE(KTGT_4))/STDEV(KTGT_4)</f>
        <v>-0.59269558477019968</v>
      </c>
      <c r="DV31">
        <f>(KTGT_5-AVERAGE(KTGT_5))/STDEV(KTGT_5)</f>
        <v>0.26026362823721005</v>
      </c>
      <c r="DW31">
        <f>(KTGT_6-AVERAGE(KTGT_6))/STDEV(KTGT_6)</f>
        <v>-1.279466373954339</v>
      </c>
      <c r="DX31">
        <f>(KTGT_7-AVERAGE(KTGT_7))/STDEV(KTGT_7)</f>
        <v>-0.59269558477019968</v>
      </c>
      <c r="DY31">
        <f>(KTGT_8-AVERAGE(KTGT_8))/STDEV(KTGT_8)</f>
        <v>0.26026362823721005</v>
      </c>
      <c r="DZ31">
        <f>(KTGT_9-AVERAGE(KTGT_9))/STDEV(KTGT_9)</f>
        <v>-1.279466373954339</v>
      </c>
      <c r="EA31">
        <f>KTGT_0_std * KTGT_0_loading+KTGT_1_std * KTGT_1_loading+KTGT_2_std * KTGT_2_loading+KTGT_3_std * KTGT_3_loading+KTGT_4_std * KTGT_4_loading+KTGT_5_std * KTGT_5_loading+KTGT_6_std * KTGT_6_loading+KTGT_7_std * KTGT_7_loading+KTGT_8_std * KTGT_8_loading+KTGT_9_std * KTGT_9_loading</f>
        <v>-1.0081029931974288</v>
      </c>
      <c r="EB31">
        <f>(KTGT_I_STD-MIN(KTGT_I_STD_ALL))/(MAX(KTGT_I_STD_ALL)-MIN(KTGT_I_STD_ALL))*100</f>
        <v>24.507271265832411</v>
      </c>
      <c r="EC31" s="140" t="s">
        <v>82</v>
      </c>
      <c r="ED31" s="140">
        <v>19.785132701190538</v>
      </c>
      <c r="EE31" s="141">
        <v>100</v>
      </c>
      <c r="EF31" t="s">
        <v>79</v>
      </c>
      <c r="EG31">
        <v>94.234282592006622</v>
      </c>
      <c r="EH31">
        <v>484.54977046615926</v>
      </c>
      <c r="EI31">
        <v>13.584982208428547</v>
      </c>
      <c r="EJ31">
        <v>8.2799999999999994</v>
      </c>
      <c r="EK31">
        <v>4</v>
      </c>
      <c r="EL31">
        <v>0</v>
      </c>
      <c r="EM31">
        <v>21</v>
      </c>
      <c r="EN31">
        <v>31.580770367050047</v>
      </c>
      <c r="EO31">
        <v>0</v>
      </c>
      <c r="EP31">
        <v>21</v>
      </c>
      <c r="EQ31">
        <v>31.580770367050047</v>
      </c>
      <c r="ER31">
        <f>(SA_0-AVERAGE(SA_0))/STDEV(SA_0)</f>
        <v>-0.25733258438698609</v>
      </c>
      <c r="ES31">
        <f>(SA_1-AVERAGE(SA_1))/STDEV(SA_1)</f>
        <v>-0.67560240228985469</v>
      </c>
      <c r="ET31">
        <f>(SA_2-AVERAGE(SA_2))/STDEV(SA_2)</f>
        <v>0.12114026725174813</v>
      </c>
      <c r="EU31">
        <f>(SA_3-AVERAGE(SA_3))/STDEV(SA_3)</f>
        <v>2.1471704989091878</v>
      </c>
      <c r="EV31">
        <f>(SA_4-AVERAGE(SA_4))/STDEV(SA_4)</f>
        <v>-0.59269558477019968</v>
      </c>
      <c r="EW31">
        <f>(SA_5-AVERAGE(SA_5))/STDEV(SA_5)</f>
        <v>0.26026362823721005</v>
      </c>
      <c r="EX31">
        <f>(SA_6-AVERAGE(SA_6))/STDEV(SA_6)</f>
        <v>-1.279466373954339</v>
      </c>
      <c r="EY31">
        <f>(SA_7-AVERAGE(SA_7))/STDEV(SA_7)</f>
        <v>-0.59269558477019968</v>
      </c>
      <c r="EZ31">
        <f>(SA_8-AVERAGE(SA_8))/STDEV(SA_8)</f>
        <v>0.26026362823721005</v>
      </c>
      <c r="FA31">
        <f>(SA_9-AVERAGE(SA_9))/STDEV(SA_9)</f>
        <v>-1.279466373954339</v>
      </c>
      <c r="FB31">
        <f>SA_0_std * SA_0_loading+SA_1_std * SA_1_loading+SA_2_std * SA_2_loading+SA_3_std * SA_3_loading+SA_4_std * SA_4_loading+SA_5_std * SA_5_loading+SA_6_std * SA_6_loading+SA_7_std * SA_7_loading+SA_8_std * SA_8_loading+SA_9_std * SA_9_loading</f>
        <v>-0.59717111665330824</v>
      </c>
      <c r="FC31">
        <f>(SA_I_STD-MIN(SA_I_STD_ALL))/(MAX(SA_I_STD_ALL)-MIN(SA_I_STD_ALL))*100</f>
        <v>42.203007131675889</v>
      </c>
      <c r="FD31" s="140" t="s">
        <v>81</v>
      </c>
      <c r="FE31" s="140">
        <v>8.5835812635249962</v>
      </c>
      <c r="FF31" s="141">
        <v>100</v>
      </c>
    </row>
    <row r="33" spans="3:147" x14ac:dyDescent="0.25">
      <c r="C33" s="104" t="s">
        <v>85</v>
      </c>
      <c r="D33" s="104" t="s">
        <v>86</v>
      </c>
      <c r="E33" s="104" t="s">
        <v>87</v>
      </c>
      <c r="F33" s="104" t="s">
        <v>88</v>
      </c>
      <c r="G33" s="104" t="s">
        <v>89</v>
      </c>
      <c r="H33" s="104" t="s">
        <v>90</v>
      </c>
      <c r="I33" s="104" t="s">
        <v>91</v>
      </c>
      <c r="J33" s="104" t="s">
        <v>104</v>
      </c>
      <c r="K33" s="104" t="s">
        <v>105</v>
      </c>
      <c r="L33" s="104" t="s">
        <v>106</v>
      </c>
      <c r="AD33" s="104" t="s">
        <v>85</v>
      </c>
      <c r="AE33" s="104" t="s">
        <v>86</v>
      </c>
      <c r="AF33" s="104" t="s">
        <v>87</v>
      </c>
      <c r="AG33" s="104" t="s">
        <v>88</v>
      </c>
      <c r="AH33" s="104" t="s">
        <v>89</v>
      </c>
      <c r="AI33" s="104" t="s">
        <v>90</v>
      </c>
      <c r="AJ33" s="104" t="s">
        <v>91</v>
      </c>
      <c r="AK33" s="104" t="s">
        <v>104</v>
      </c>
      <c r="AL33" s="104" t="s">
        <v>105</v>
      </c>
      <c r="AM33" s="104" t="s">
        <v>106</v>
      </c>
      <c r="BE33" s="104" t="s">
        <v>85</v>
      </c>
      <c r="BF33" s="104" t="s">
        <v>86</v>
      </c>
      <c r="BG33" s="104" t="s">
        <v>87</v>
      </c>
      <c r="BH33" s="104" t="s">
        <v>88</v>
      </c>
      <c r="BI33" s="104" t="s">
        <v>89</v>
      </c>
      <c r="BJ33" s="104" t="s">
        <v>90</v>
      </c>
      <c r="BK33" s="104" t="s">
        <v>91</v>
      </c>
      <c r="BL33" s="104" t="s">
        <v>104</v>
      </c>
      <c r="BM33" s="104" t="s">
        <v>105</v>
      </c>
      <c r="BN33" s="104" t="s">
        <v>106</v>
      </c>
      <c r="CF33" s="104" t="s">
        <v>85</v>
      </c>
      <c r="CG33" s="104" t="s">
        <v>86</v>
      </c>
      <c r="CH33" s="104" t="s">
        <v>87</v>
      </c>
      <c r="CI33" s="104" t="s">
        <v>88</v>
      </c>
      <c r="CJ33" s="104" t="s">
        <v>89</v>
      </c>
      <c r="CK33" s="104" t="s">
        <v>90</v>
      </c>
      <c r="CL33" s="104" t="s">
        <v>91</v>
      </c>
      <c r="CM33" s="104" t="s">
        <v>104</v>
      </c>
      <c r="CN33" s="104" t="s">
        <v>105</v>
      </c>
      <c r="CO33" s="104" t="s">
        <v>106</v>
      </c>
      <c r="DG33" s="104" t="s">
        <v>85</v>
      </c>
      <c r="DH33" s="104" t="s">
        <v>86</v>
      </c>
      <c r="DI33" s="104" t="s">
        <v>87</v>
      </c>
      <c r="DJ33" s="104" t="s">
        <v>88</v>
      </c>
      <c r="DK33" s="104" t="s">
        <v>89</v>
      </c>
      <c r="DL33" s="104" t="s">
        <v>90</v>
      </c>
      <c r="DM33" s="104" t="s">
        <v>91</v>
      </c>
      <c r="DN33" s="104" t="s">
        <v>104</v>
      </c>
      <c r="DO33" s="104" t="s">
        <v>105</v>
      </c>
      <c r="DP33" s="104" t="s">
        <v>106</v>
      </c>
      <c r="EH33" s="104" t="s">
        <v>85</v>
      </c>
      <c r="EI33" s="104" t="s">
        <v>86</v>
      </c>
      <c r="EJ33" s="104" t="s">
        <v>87</v>
      </c>
      <c r="EK33" s="104" t="s">
        <v>88</v>
      </c>
      <c r="EL33" s="104" t="s">
        <v>89</v>
      </c>
      <c r="EM33" s="104" t="s">
        <v>90</v>
      </c>
      <c r="EN33" s="104" t="s">
        <v>91</v>
      </c>
      <c r="EO33" s="104" t="s">
        <v>104</v>
      </c>
      <c r="EP33" s="104" t="s">
        <v>105</v>
      </c>
      <c r="EQ33" s="104" t="s">
        <v>106</v>
      </c>
    </row>
    <row r="34" spans="3:147" x14ac:dyDescent="0.25">
      <c r="C34">
        <v>0</v>
      </c>
      <c r="D34">
        <v>2.1425157515742786E-2</v>
      </c>
      <c r="E34">
        <v>7.867184234183619E-2</v>
      </c>
      <c r="F34">
        <v>1.1800927212696606E-2</v>
      </c>
      <c r="G34">
        <v>0</v>
      </c>
      <c r="H34">
        <v>0.49894616939259184</v>
      </c>
      <c r="I34">
        <v>0.49765469261052625</v>
      </c>
      <c r="J34">
        <v>0</v>
      </c>
      <c r="K34">
        <v>0.49894365147828407</v>
      </c>
      <c r="L34">
        <v>0.49765470115893196</v>
      </c>
      <c r="AD34">
        <v>0</v>
      </c>
      <c r="AE34">
        <v>0</v>
      </c>
      <c r="AF34">
        <v>0.11671076800832446</v>
      </c>
      <c r="AG34">
        <v>0.22942887225270456</v>
      </c>
      <c r="AH34">
        <v>0</v>
      </c>
      <c r="AI34">
        <v>0.5229448981222603</v>
      </c>
      <c r="AJ34">
        <v>0.43977231088974295</v>
      </c>
      <c r="AK34">
        <v>0</v>
      </c>
      <c r="AL34">
        <v>0.52294383243725795</v>
      </c>
      <c r="AM34">
        <v>0.43977231089074542</v>
      </c>
      <c r="BE34">
        <v>-0.33176725550913216</v>
      </c>
      <c r="BF34">
        <v>-0.43520336162408008</v>
      </c>
      <c r="BG34">
        <v>6.9641199233747605E-2</v>
      </c>
      <c r="BH34">
        <v>-0.1030998045528336</v>
      </c>
      <c r="BI34">
        <v>0.43520336162408008</v>
      </c>
      <c r="BJ34">
        <v>-0.16989156392668922</v>
      </c>
      <c r="BK34">
        <v>0.35250448876425966</v>
      </c>
      <c r="BL34">
        <v>0.43520336094605117</v>
      </c>
      <c r="BM34">
        <v>-0.16989156392668903</v>
      </c>
      <c r="BN34">
        <v>0.35250450059536559</v>
      </c>
      <c r="CF34">
        <v>0</v>
      </c>
      <c r="CG34">
        <v>2.1428986294134571E-2</v>
      </c>
      <c r="CH34">
        <v>7.8670083883427583E-2</v>
      </c>
      <c r="CI34">
        <v>1.1803874660013701E-2</v>
      </c>
      <c r="CJ34">
        <v>0</v>
      </c>
      <c r="CK34">
        <v>0.49894530177965613</v>
      </c>
      <c r="CL34">
        <v>0.49765422888555355</v>
      </c>
      <c r="CM34">
        <v>0</v>
      </c>
      <c r="CN34">
        <v>0.49894543337984121</v>
      </c>
      <c r="CO34">
        <v>0.49765429145635454</v>
      </c>
      <c r="DG34">
        <v>2.1072322642987583E-3</v>
      </c>
      <c r="DH34">
        <v>2.066232725161125E-2</v>
      </c>
      <c r="DI34">
        <v>7.7767117919458756E-2</v>
      </c>
      <c r="DJ34">
        <v>9.0694802447966998E-3</v>
      </c>
      <c r="DK34">
        <v>2.1072322642987583E-3</v>
      </c>
      <c r="DL34">
        <v>0.49700447509118761</v>
      </c>
      <c r="DM34">
        <v>0.49970130173151739</v>
      </c>
      <c r="DN34">
        <v>2.1072322642987583E-3</v>
      </c>
      <c r="DO34">
        <v>0.49700446948221677</v>
      </c>
      <c r="DP34">
        <v>0.49970139578507367</v>
      </c>
      <c r="EH34">
        <v>0.31622776601683789</v>
      </c>
      <c r="EI34">
        <v>0.31622776601683789</v>
      </c>
      <c r="EJ34">
        <v>0.31622776601683789</v>
      </c>
      <c r="EK34">
        <v>0.31622776601683789</v>
      </c>
      <c r="EL34">
        <v>0.31622776601683789</v>
      </c>
      <c r="EM34">
        <v>0.31622776601683789</v>
      </c>
      <c r="EN34">
        <v>0.31622776601683789</v>
      </c>
      <c r="EO34">
        <v>0.31622776601683789</v>
      </c>
      <c r="EP34">
        <v>0.31622776601683789</v>
      </c>
      <c r="EQ34">
        <v>0.31622776601683789</v>
      </c>
    </row>
  </sheetData>
  <mergeCells count="6">
    <mergeCell ref="Y1:AA1"/>
    <mergeCell ref="AZ1:BB1"/>
    <mergeCell ref="CA1:CC1"/>
    <mergeCell ref="DB1:DD1"/>
    <mergeCell ref="EC1:EE1"/>
    <mergeCell ref="FD1:FF1"/>
  </mergeCells>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Z34"/>
  <sheetViews>
    <sheetView showGridLines="0" topLeftCell="K1" zoomScale="75" zoomScaleNormal="75" workbookViewId="0">
      <selection activeCell="CA12" sqref="CA12"/>
    </sheetView>
  </sheetViews>
  <sheetFormatPr defaultRowHeight="15" outlineLevelCol="1" x14ac:dyDescent="0.25"/>
  <cols>
    <col min="1" max="2" width="9.28515625" hidden="1" customWidth="1" outlineLevel="1"/>
    <col min="3" max="3" width="9" hidden="1" customWidth="1" outlineLevel="1"/>
    <col min="4" max="4" width="8.7109375" hidden="1" customWidth="1" outlineLevel="1"/>
    <col min="5" max="5" width="9" hidden="1" customWidth="1" outlineLevel="1"/>
    <col min="6" max="7" width="9.42578125" hidden="1" customWidth="1" outlineLevel="1"/>
    <col min="8" max="8" width="9.5703125" hidden="1" customWidth="1" outlineLevel="1"/>
    <col min="9" max="9" width="9.42578125" hidden="1" customWidth="1" outlineLevel="1"/>
    <col min="10" max="10" width="8.28515625" hidden="1" customWidth="1" outlineLevel="1"/>
    <col min="11" max="11" width="21.42578125" style="17" customWidth="1" collapsed="1"/>
    <col min="12" max="12" width="9.28515625" style="17" hidden="1" customWidth="1" outlineLevel="1"/>
    <col min="13" max="13" width="9.140625" style="136" customWidth="1" collapsed="1"/>
    <col min="14" max="15" width="9.28515625" hidden="1" customWidth="1" outlineLevel="1"/>
    <col min="16" max="16" width="9" hidden="1" customWidth="1" outlineLevel="1"/>
    <col min="17" max="17" width="8.7109375" hidden="1" customWidth="1" outlineLevel="1"/>
    <col min="18" max="18" width="9" hidden="1" customWidth="1" outlineLevel="1"/>
    <col min="19" max="20" width="9.42578125" hidden="1" customWidth="1" outlineLevel="1"/>
    <col min="21" max="21" width="9.5703125" hidden="1" customWidth="1" outlineLevel="1"/>
    <col min="22" max="22" width="9.42578125" hidden="1" customWidth="1" outlineLevel="1"/>
    <col min="23" max="23" width="8.28515625" hidden="1" customWidth="1" outlineLevel="1"/>
    <col min="24" max="24" width="21.42578125" style="17" customWidth="1" collapsed="1"/>
    <col min="25" max="25" width="9.28515625" style="17" hidden="1" customWidth="1" outlineLevel="1"/>
    <col min="26" max="26" width="9.140625" style="136" customWidth="1" collapsed="1"/>
    <col min="27" max="28" width="9.28515625" hidden="1" customWidth="1" outlineLevel="1"/>
    <col min="29" max="29" width="9" hidden="1" customWidth="1" outlineLevel="1"/>
    <col min="30" max="30" width="8.7109375" hidden="1" customWidth="1" outlineLevel="1"/>
    <col min="31" max="31" width="9" hidden="1" customWidth="1" outlineLevel="1"/>
    <col min="32" max="33" width="9.42578125" hidden="1" customWidth="1" outlineLevel="1"/>
    <col min="34" max="34" width="9.5703125" hidden="1" customWidth="1" outlineLevel="1"/>
    <col min="35" max="35" width="9.42578125" hidden="1" customWidth="1" outlineLevel="1"/>
    <col min="36" max="36" width="8.28515625" hidden="1" customWidth="1" outlineLevel="1"/>
    <col min="37" max="37" width="9.28515625" style="17" customWidth="1" collapsed="1"/>
    <col min="38" max="38" width="9.28515625" style="17" hidden="1" customWidth="1" outlineLevel="1"/>
    <col min="39" max="39" width="8.28515625" style="136" customWidth="1" collapsed="1"/>
    <col min="40" max="41" width="9.28515625" hidden="1" customWidth="1" outlineLevel="1"/>
    <col min="42" max="42" width="9" hidden="1" customWidth="1" outlineLevel="1"/>
    <col min="43" max="43" width="8.7109375" hidden="1" customWidth="1" outlineLevel="1"/>
    <col min="44" max="44" width="9" hidden="1" customWidth="1" outlineLevel="1"/>
    <col min="45" max="46" width="9.42578125" hidden="1" customWidth="1" outlineLevel="1"/>
    <col min="47" max="47" width="9.5703125" hidden="1" customWidth="1" outlineLevel="1"/>
    <col min="48" max="48" width="9.42578125" hidden="1" customWidth="1" outlineLevel="1"/>
    <col min="49" max="49" width="8.28515625" hidden="1" customWidth="1" outlineLevel="1"/>
    <col min="50" max="50" width="9.42578125" style="17" customWidth="1" collapsed="1"/>
    <col min="51" max="51" width="9.28515625" style="17" hidden="1" customWidth="1" outlineLevel="1"/>
    <col min="52" max="52" width="8.28515625" style="136" customWidth="1" collapsed="1"/>
    <col min="53" max="54" width="9.28515625" hidden="1" customWidth="1" outlineLevel="1"/>
    <col min="55" max="55" width="9" hidden="1" customWidth="1" outlineLevel="1"/>
    <col min="56" max="56" width="8.7109375" hidden="1" customWidth="1" outlineLevel="1"/>
    <col min="57" max="57" width="9" hidden="1" customWidth="1" outlineLevel="1"/>
    <col min="58" max="59" width="9.42578125" hidden="1" customWidth="1" outlineLevel="1"/>
    <col min="60" max="60" width="9.5703125" hidden="1" customWidth="1" outlineLevel="1"/>
    <col min="61" max="61" width="9.42578125" hidden="1" customWidth="1" outlineLevel="1"/>
    <col min="62" max="62" width="8.28515625" hidden="1" customWidth="1" outlineLevel="1"/>
    <col min="63" max="63" width="9.28515625" style="17" customWidth="1" collapsed="1"/>
    <col min="64" max="64" width="9.28515625" style="17" hidden="1" customWidth="1" outlineLevel="1"/>
    <col min="65" max="65" width="8.28515625" style="136" customWidth="1" collapsed="1"/>
    <col min="66" max="67" width="9.28515625" hidden="1" customWidth="1" outlineLevel="1"/>
    <col min="68" max="68" width="9" hidden="1" customWidth="1" outlineLevel="1"/>
    <col min="69" max="69" width="8.7109375" hidden="1" customWidth="1" outlineLevel="1"/>
    <col min="70" max="70" width="9" hidden="1" customWidth="1" outlineLevel="1"/>
    <col min="71" max="72" width="9.42578125" hidden="1" customWidth="1" outlineLevel="1"/>
    <col min="73" max="73" width="9.5703125" hidden="1" customWidth="1" outlineLevel="1"/>
    <col min="74" max="74" width="9.42578125" hidden="1" customWidth="1" outlineLevel="1"/>
    <col min="75" max="75" width="8.28515625" hidden="1" customWidth="1" outlineLevel="1"/>
    <col min="76" max="76" width="15" style="17" customWidth="1" collapsed="1"/>
    <col min="77" max="77" width="9.28515625" style="17" hidden="1" customWidth="1" outlineLevel="1"/>
    <col min="78" max="78" width="8.85546875" style="136" customWidth="1" collapsed="1"/>
  </cols>
  <sheetData>
    <row r="1" spans="1:78" x14ac:dyDescent="0.25">
      <c r="K1" s="132" t="s">
        <v>151</v>
      </c>
      <c r="L1" s="132"/>
      <c r="M1" s="133"/>
      <c r="X1" s="132" t="s">
        <v>235</v>
      </c>
      <c r="Y1" s="132"/>
      <c r="Z1" s="133"/>
      <c r="AK1" s="132" t="s">
        <v>135</v>
      </c>
      <c r="AL1" s="132"/>
      <c r="AM1" s="133"/>
      <c r="AX1" s="132" t="s">
        <v>152</v>
      </c>
      <c r="AY1" s="132"/>
      <c r="AZ1" s="133"/>
      <c r="BK1" s="132" t="s">
        <v>153</v>
      </c>
      <c r="BL1" s="132"/>
      <c r="BM1" s="133"/>
      <c r="BX1" s="132" t="s">
        <v>154</v>
      </c>
      <c r="BY1" s="132"/>
      <c r="BZ1" s="133"/>
    </row>
    <row r="2" spans="1:78" x14ac:dyDescent="0.25">
      <c r="A2" s="104" t="s">
        <v>56</v>
      </c>
      <c r="B2" s="104" t="s">
        <v>221</v>
      </c>
      <c r="C2" s="104" t="s">
        <v>92</v>
      </c>
      <c r="D2" s="104" t="s">
        <v>93</v>
      </c>
      <c r="E2" s="104" t="s">
        <v>94</v>
      </c>
      <c r="F2" s="104" t="s">
        <v>236</v>
      </c>
      <c r="G2" s="104" t="s">
        <v>237</v>
      </c>
      <c r="H2" s="104" t="s">
        <v>238</v>
      </c>
      <c r="I2" s="104" t="s">
        <v>239</v>
      </c>
      <c r="J2" s="104" t="s">
        <v>240</v>
      </c>
      <c r="K2" s="104" t="s">
        <v>56</v>
      </c>
      <c r="L2" s="104" t="s">
        <v>221</v>
      </c>
      <c r="M2" s="134" t="s">
        <v>240</v>
      </c>
      <c r="N2" s="103" t="s">
        <v>56</v>
      </c>
      <c r="O2" s="104" t="s">
        <v>221</v>
      </c>
      <c r="P2" s="104" t="s">
        <v>92</v>
      </c>
      <c r="Q2" s="104" t="s">
        <v>93</v>
      </c>
      <c r="R2" s="104" t="s">
        <v>94</v>
      </c>
      <c r="S2" s="104" t="s">
        <v>236</v>
      </c>
      <c r="T2" s="104" t="s">
        <v>237</v>
      </c>
      <c r="U2" s="104" t="s">
        <v>238</v>
      </c>
      <c r="V2" s="104" t="s">
        <v>239</v>
      </c>
      <c r="W2" s="104" t="s">
        <v>240</v>
      </c>
      <c r="X2" s="104" t="s">
        <v>56</v>
      </c>
      <c r="Y2" s="104" t="s">
        <v>221</v>
      </c>
      <c r="Z2" s="134" t="s">
        <v>240</v>
      </c>
      <c r="AA2" s="103" t="s">
        <v>56</v>
      </c>
      <c r="AB2" s="104" t="s">
        <v>221</v>
      </c>
      <c r="AC2" s="104" t="s">
        <v>92</v>
      </c>
      <c r="AD2" s="104" t="s">
        <v>93</v>
      </c>
      <c r="AE2" s="104" t="s">
        <v>94</v>
      </c>
      <c r="AF2" s="104" t="s">
        <v>236</v>
      </c>
      <c r="AG2" s="104" t="s">
        <v>237</v>
      </c>
      <c r="AH2" s="104" t="s">
        <v>238</v>
      </c>
      <c r="AI2" s="104" t="s">
        <v>239</v>
      </c>
      <c r="AJ2" s="104" t="s">
        <v>240</v>
      </c>
      <c r="AK2" s="104" t="s">
        <v>56</v>
      </c>
      <c r="AL2" s="104" t="s">
        <v>221</v>
      </c>
      <c r="AM2" s="134" t="s">
        <v>240</v>
      </c>
      <c r="AN2" s="103" t="s">
        <v>56</v>
      </c>
      <c r="AO2" s="104" t="s">
        <v>221</v>
      </c>
      <c r="AP2" s="104" t="s">
        <v>92</v>
      </c>
      <c r="AQ2" s="104" t="s">
        <v>93</v>
      </c>
      <c r="AR2" s="104" t="s">
        <v>94</v>
      </c>
      <c r="AS2" s="104" t="s">
        <v>236</v>
      </c>
      <c r="AT2" s="104" t="s">
        <v>237</v>
      </c>
      <c r="AU2" s="104" t="s">
        <v>238</v>
      </c>
      <c r="AV2" s="104" t="s">
        <v>239</v>
      </c>
      <c r="AW2" s="104" t="s">
        <v>240</v>
      </c>
      <c r="AX2" s="104" t="s">
        <v>56</v>
      </c>
      <c r="AY2" s="104" t="s">
        <v>221</v>
      </c>
      <c r="AZ2" s="134" t="s">
        <v>240</v>
      </c>
      <c r="BA2" s="103" t="s">
        <v>56</v>
      </c>
      <c r="BB2" s="104" t="s">
        <v>221</v>
      </c>
      <c r="BC2" s="104" t="s">
        <v>92</v>
      </c>
      <c r="BD2" s="104" t="s">
        <v>93</v>
      </c>
      <c r="BE2" s="104" t="s">
        <v>94</v>
      </c>
      <c r="BF2" s="104" t="s">
        <v>236</v>
      </c>
      <c r="BG2" s="104" t="s">
        <v>237</v>
      </c>
      <c r="BH2" s="104" t="s">
        <v>238</v>
      </c>
      <c r="BI2" s="104" t="s">
        <v>239</v>
      </c>
      <c r="BJ2" s="104" t="s">
        <v>240</v>
      </c>
      <c r="BK2" s="104" t="s">
        <v>56</v>
      </c>
      <c r="BL2" s="104" t="s">
        <v>221</v>
      </c>
      <c r="BM2" s="134" t="s">
        <v>240</v>
      </c>
      <c r="BN2" s="103" t="s">
        <v>56</v>
      </c>
      <c r="BO2" s="104" t="s">
        <v>221</v>
      </c>
      <c r="BP2" s="104" t="s">
        <v>92</v>
      </c>
      <c r="BQ2" s="104" t="s">
        <v>93</v>
      </c>
      <c r="BR2" s="104" t="s">
        <v>94</v>
      </c>
      <c r="BS2" s="104" t="s">
        <v>236</v>
      </c>
      <c r="BT2" s="104" t="s">
        <v>237</v>
      </c>
      <c r="BU2" s="104" t="s">
        <v>238</v>
      </c>
      <c r="BV2" s="104" t="s">
        <v>239</v>
      </c>
      <c r="BW2" s="104" t="s">
        <v>240</v>
      </c>
      <c r="BX2" s="104" t="s">
        <v>56</v>
      </c>
      <c r="BY2" s="104" t="s">
        <v>221</v>
      </c>
      <c r="BZ2" s="134" t="s">
        <v>240</v>
      </c>
    </row>
    <row r="3" spans="1:78" x14ac:dyDescent="0.25">
      <c r="A3" t="s">
        <v>234</v>
      </c>
      <c r="C3">
        <f>MIN(CS1_0)</f>
        <v>11</v>
      </c>
      <c r="D3">
        <f>MIN(CS1_1)</f>
        <v>0</v>
      </c>
      <c r="E3">
        <f>MIN(CS1_2)</f>
        <v>0</v>
      </c>
      <c r="F3">
        <f>MIN(CS1_0_std)</f>
        <v>-1.3807740579563765</v>
      </c>
      <c r="G3">
        <f>MIN(CS1_1_std)</f>
        <v>-1.1505668105713331</v>
      </c>
      <c r="H3">
        <f>MIN(CS1_2_std)</f>
        <v>-1.7566201313073597</v>
      </c>
      <c r="I3">
        <f>CS1_MIN_0_std * CS1_0_loading+CS1_MIN_1_std * CS1_1_loading+CS1_MIN_2_std * CS1_2_loading</f>
        <v>-2.2998344184107298</v>
      </c>
      <c r="J3">
        <f>(CS1_MIN_I_STD-MIN(CS1_I_STD_ALL))/(MAX(CS1_I_STD_ALL)-MIN(CS1_I_STD_ALL))*100</f>
        <v>0</v>
      </c>
      <c r="K3" s="131"/>
      <c r="L3" s="131"/>
      <c r="M3" s="135"/>
      <c r="N3" t="s">
        <v>234</v>
      </c>
      <c r="P3">
        <f>MIN(CS2_0)</f>
        <v>11</v>
      </c>
      <c r="Q3">
        <f>MIN(CS2_1)</f>
        <v>0</v>
      </c>
      <c r="R3">
        <f>MIN(CS2_2)</f>
        <v>0</v>
      </c>
      <c r="S3">
        <f>MIN(CS2_0_std)</f>
        <v>-1.3807740579563765</v>
      </c>
      <c r="T3">
        <f>MIN(CS2_1_std)</f>
        <v>-1.1505668105713331</v>
      </c>
      <c r="U3">
        <f>MIN(CS2_2_std)</f>
        <v>-1.7566201313073597</v>
      </c>
      <c r="V3">
        <f>CS2_MIN_0_std * CS2_0_loading+CS2_MIN_1_std * CS2_1_loading+CS2_MIN_2_std * CS2_2_loading</f>
        <v>-2.3125264856115795</v>
      </c>
      <c r="W3">
        <f>(CS2_MIN_I_STD-MIN(CS2_I_STD_ALL))/(MAX(CS2_I_STD_ALL)-MIN(CS2_I_STD_ALL))*100</f>
        <v>0</v>
      </c>
      <c r="X3" s="131"/>
      <c r="Y3" s="131"/>
      <c r="Z3" s="135"/>
      <c r="AA3" t="s">
        <v>234</v>
      </c>
      <c r="AC3">
        <f>MIN(PCA_0)</f>
        <v>11</v>
      </c>
      <c r="AD3">
        <f>MIN(PCA_1)</f>
        <v>0</v>
      </c>
      <c r="AE3">
        <f>MIN(PCA_2)</f>
        <v>0</v>
      </c>
      <c r="AF3">
        <f>MIN(PCA_0_std)</f>
        <v>-1.3807740579563765</v>
      </c>
      <c r="AG3">
        <f>MIN(PCA_1_std)</f>
        <v>-1.1505668105713331</v>
      </c>
      <c r="AH3">
        <f>MIN(PCA_2_std)</f>
        <v>-1.7566201313073597</v>
      </c>
      <c r="AI3">
        <f>PCA_MIN_0_std * PCA_0_loading+PCA_MIN_1_std * PCA_1_loading+PCA_MIN_2_std * PCA_2_loading</f>
        <v>-1.8723406991764913</v>
      </c>
      <c r="AJ3">
        <f>(PCA_MIN_I_STD-MIN(PCA_I_STD_ALL))/(MAX(PCA_I_STD_ALL)-MIN(PCA_I_STD_ALL))*100</f>
        <v>6.3312749763747043</v>
      </c>
      <c r="AK3" s="131"/>
      <c r="AL3" s="131"/>
      <c r="AM3" s="135"/>
      <c r="AN3" t="s">
        <v>234</v>
      </c>
      <c r="AP3">
        <f>MIN(KTGET_0)</f>
        <v>11</v>
      </c>
      <c r="AQ3">
        <f>MIN(KTGET_1)</f>
        <v>0</v>
      </c>
      <c r="AR3">
        <f>MIN(KTGET_2)</f>
        <v>0</v>
      </c>
      <c r="AS3">
        <f>MIN(KTGET_0_std)</f>
        <v>-1.3807740579563765</v>
      </c>
      <c r="AT3">
        <f>MIN(KTGET_1_std)</f>
        <v>-1.1505668105713331</v>
      </c>
      <c r="AU3">
        <f>MIN(KTGET_2_std)</f>
        <v>-1.7566201313073597</v>
      </c>
      <c r="AV3">
        <f>KTGET_MIN_0_std * KTGET_0_loading+KTGET_MIN_1_std * KTGET_1_loading+KTGET_MIN_2_std * KTGET_2_loading</f>
        <v>-2.2184727064838778</v>
      </c>
      <c r="AW3">
        <f>(KTGET_MIN_I_STD-MIN(KTGET_I_STD_ALL))/(MAX(KTGET_I_STD_ALL)-MIN(KTGET_I_STD_ALL))*100</f>
        <v>0</v>
      </c>
      <c r="AX3" s="131"/>
      <c r="AY3" s="131"/>
      <c r="AZ3" s="135"/>
      <c r="BA3" t="s">
        <v>234</v>
      </c>
      <c r="BC3">
        <f>MIN(KTGT_0)</f>
        <v>11</v>
      </c>
      <c r="BD3">
        <f>MIN(KTGT_1)</f>
        <v>0</v>
      </c>
      <c r="BE3">
        <f>MIN(KTGT_2)</f>
        <v>0</v>
      </c>
      <c r="BF3">
        <f>MIN(KTGT_0_std)</f>
        <v>-1.3807740579563765</v>
      </c>
      <c r="BG3">
        <f>MIN(KTGT_1_std)</f>
        <v>-1.1505668105713331</v>
      </c>
      <c r="BH3">
        <f>MIN(KTGT_2_std)</f>
        <v>-1.7566201313073597</v>
      </c>
      <c r="BI3">
        <f>KTGT_MIN_0_std * KTGT_0_loading+KTGT_MIN_1_std * KTGT_1_loading+KTGT_MIN_2_std * KTGT_2_loading</f>
        <v>-2.2201093620792065</v>
      </c>
      <c r="BJ3">
        <f>(KTGT_MIN_I_STD-MIN(KTGT_I_STD_ALL))/(MAX(KTGT_I_STD_ALL)-MIN(KTGT_I_STD_ALL))*100</f>
        <v>0</v>
      </c>
      <c r="BK3" s="131"/>
      <c r="BL3" s="131"/>
      <c r="BM3" s="135"/>
      <c r="BN3" t="s">
        <v>234</v>
      </c>
      <c r="BP3">
        <f>MIN(SA_0)</f>
        <v>11</v>
      </c>
      <c r="BQ3">
        <f>MIN(SA_1)</f>
        <v>0</v>
      </c>
      <c r="BR3">
        <f>MIN(SA_2)</f>
        <v>0</v>
      </c>
      <c r="BS3">
        <f>MIN(SA_0_std)</f>
        <v>-1.3807740579563765</v>
      </c>
      <c r="BT3">
        <f>MIN(SA_1_std)</f>
        <v>-1.1505668105713331</v>
      </c>
      <c r="BU3">
        <f>MIN(SA_2_std)</f>
        <v>-1.7566201313073597</v>
      </c>
      <c r="BV3">
        <f>SA_MIN_0_std * SA_0_loading+SA_MIN_1_std * SA_1_loading+SA_MIN_2_std * SA_2_loading</f>
        <v>-2.4756554375293942</v>
      </c>
      <c r="BW3">
        <f>(SA_MIN_I_STD-MIN(SA_I_STD_ALL))/(MAX(SA_I_STD_ALL)-MIN(SA_I_STD_ALL))*100</f>
        <v>0</v>
      </c>
      <c r="BX3" s="131"/>
      <c r="BY3" s="131"/>
      <c r="BZ3" s="135"/>
    </row>
    <row r="4" spans="1:78" x14ac:dyDescent="0.25">
      <c r="A4" t="s">
        <v>81</v>
      </c>
      <c r="B4">
        <v>8.5835812635249962</v>
      </c>
      <c r="C4">
        <v>11</v>
      </c>
      <c r="D4">
        <v>0</v>
      </c>
      <c r="E4">
        <v>0</v>
      </c>
      <c r="F4">
        <f>(CS1_0-AVERAGE(CS1_0))/STDEV(CS1_0)</f>
        <v>-1.3807740579563765</v>
      </c>
      <c r="G4">
        <f>(CS1_1-AVERAGE(CS1_1))/STDEV(CS1_1)</f>
        <v>-1.1505668105713331</v>
      </c>
      <c r="H4">
        <f>(CS1_2-AVERAGE(CS1_2))/STDEV(CS1_2)</f>
        <v>-1.7566201313073597</v>
      </c>
      <c r="I4">
        <f>CS1_0_std * CS1_0_loading+CS1_1_std * CS1_1_loading+CS1_2_std * CS1_2_loading</f>
        <v>-2.2998344184107298</v>
      </c>
      <c r="J4">
        <f>(CS1_I_STD-MIN(CS1_I_STD_ALL))/(MAX(CS1_I_STD_ALL)-MIN(CS1_I_STD_ALL))*100</f>
        <v>0</v>
      </c>
      <c r="K4" s="138" t="s">
        <v>81</v>
      </c>
      <c r="L4" s="138">
        <v>8.5835812635249962</v>
      </c>
      <c r="M4" s="139">
        <v>0</v>
      </c>
      <c r="N4" t="s">
        <v>81</v>
      </c>
      <c r="O4">
        <v>8.5835812635249962</v>
      </c>
      <c r="P4">
        <v>11</v>
      </c>
      <c r="Q4">
        <v>0</v>
      </c>
      <c r="R4">
        <v>0</v>
      </c>
      <c r="S4">
        <f>(CS2_0-AVERAGE(CS2_0))/STDEV(CS2_0)</f>
        <v>-1.3807740579563765</v>
      </c>
      <c r="T4">
        <f>(CS2_1-AVERAGE(CS2_1))/STDEV(CS2_1)</f>
        <v>-1.1505668105713331</v>
      </c>
      <c r="U4">
        <f>(CS2_2-AVERAGE(CS2_2))/STDEV(CS2_2)</f>
        <v>-1.7566201313073597</v>
      </c>
      <c r="V4">
        <f>CS2_0_std * CS2_0_loading+CS2_1_std * CS2_1_loading+CS2_2_std * CS2_2_loading</f>
        <v>-2.3125264856115795</v>
      </c>
      <c r="W4">
        <f>(CS2_I_STD-MIN(CS2_I_STD_ALL))/(MAX(CS2_I_STD_ALL)-MIN(CS2_I_STD_ALL))*100</f>
        <v>0</v>
      </c>
      <c r="X4" s="138" t="s">
        <v>81</v>
      </c>
      <c r="Y4" s="138">
        <v>8.5835812635249962</v>
      </c>
      <c r="Z4" s="139">
        <v>0</v>
      </c>
      <c r="AA4" t="s">
        <v>81</v>
      </c>
      <c r="AB4">
        <v>8.5835812635249962</v>
      </c>
      <c r="AC4">
        <v>11</v>
      </c>
      <c r="AD4">
        <v>0</v>
      </c>
      <c r="AE4">
        <v>0</v>
      </c>
      <c r="AF4">
        <f>(PCA_0-AVERAGE(PCA_0))/STDEV(PCA_0)</f>
        <v>-1.3807740579563765</v>
      </c>
      <c r="AG4">
        <f>(PCA_1-AVERAGE(PCA_1))/STDEV(PCA_1)</f>
        <v>-1.1505668105713331</v>
      </c>
      <c r="AH4">
        <f>(PCA_2-AVERAGE(PCA_2))/STDEV(PCA_2)</f>
        <v>-1.7566201313073597</v>
      </c>
      <c r="AI4">
        <f>PCA_0_std * PCA_0_loading+PCA_1_std * PCA_1_loading+PCA_2_std * PCA_2_loading</f>
        <v>-1.8723406991764913</v>
      </c>
      <c r="AJ4">
        <f>(PCA_I_STD-MIN(PCA_I_STD_ALL))/(MAX(PCA_I_STD_ALL)-MIN(PCA_I_STD_ALL))*100</f>
        <v>6.3312749763747043</v>
      </c>
      <c r="AK4" s="138" t="s">
        <v>80</v>
      </c>
      <c r="AL4" s="138">
        <v>14.043552326179778</v>
      </c>
      <c r="AM4" s="139">
        <v>0</v>
      </c>
      <c r="AN4" t="s">
        <v>81</v>
      </c>
      <c r="AO4">
        <v>8.5835812635249962</v>
      </c>
      <c r="AP4">
        <v>11</v>
      </c>
      <c r="AQ4">
        <v>0</v>
      </c>
      <c r="AR4">
        <v>0</v>
      </c>
      <c r="AS4">
        <f>(KTGET_0-AVERAGE(KTGET_0))/STDEV(KTGET_0)</f>
        <v>-1.3807740579563765</v>
      </c>
      <c r="AT4">
        <f>(KTGET_1-AVERAGE(KTGET_1))/STDEV(KTGET_1)</f>
        <v>-1.1505668105713331</v>
      </c>
      <c r="AU4">
        <f>(KTGET_2-AVERAGE(KTGET_2))/STDEV(KTGET_2)</f>
        <v>-1.7566201313073597</v>
      </c>
      <c r="AV4">
        <f>KTGET_0_std * KTGET_0_loading+KTGET_1_std * KTGET_1_loading+KTGET_2_std * KTGET_2_loading</f>
        <v>-2.2184727064838778</v>
      </c>
      <c r="AW4">
        <f>(KTGET_I_STD-MIN(KTGET_I_STD_ALL))/(MAX(KTGET_I_STD_ALL)-MIN(KTGET_I_STD_ALL))*100</f>
        <v>0</v>
      </c>
      <c r="AX4" s="138" t="s">
        <v>81</v>
      </c>
      <c r="AY4" s="138">
        <v>8.5835812635249962</v>
      </c>
      <c r="AZ4" s="139">
        <v>0</v>
      </c>
      <c r="BA4" t="s">
        <v>81</v>
      </c>
      <c r="BB4">
        <v>8.5835812635249962</v>
      </c>
      <c r="BC4">
        <v>11</v>
      </c>
      <c r="BD4">
        <v>0</v>
      </c>
      <c r="BE4">
        <v>0</v>
      </c>
      <c r="BF4">
        <f>(KTGT_0-AVERAGE(KTGT_0))/STDEV(KTGT_0)</f>
        <v>-1.3807740579563765</v>
      </c>
      <c r="BG4">
        <f>(KTGT_1-AVERAGE(KTGT_1))/STDEV(KTGT_1)</f>
        <v>-1.1505668105713331</v>
      </c>
      <c r="BH4">
        <f>(KTGT_2-AVERAGE(KTGT_2))/STDEV(KTGT_2)</f>
        <v>-1.7566201313073597</v>
      </c>
      <c r="BI4">
        <f>KTGT_0_std * KTGT_0_loading+KTGT_1_std * KTGT_1_loading+KTGT_2_std * KTGT_2_loading</f>
        <v>-2.2201093620792065</v>
      </c>
      <c r="BJ4">
        <f>(KTGT_I_STD-MIN(KTGT_I_STD_ALL))/(MAX(KTGT_I_STD_ALL)-MIN(KTGT_I_STD_ALL))*100</f>
        <v>0</v>
      </c>
      <c r="BK4" s="138" t="s">
        <v>81</v>
      </c>
      <c r="BL4" s="138">
        <v>8.5835812635249962</v>
      </c>
      <c r="BM4" s="139">
        <v>0</v>
      </c>
      <c r="BN4" t="s">
        <v>81</v>
      </c>
      <c r="BO4">
        <v>8.5835812635249962</v>
      </c>
      <c r="BP4">
        <v>11</v>
      </c>
      <c r="BQ4">
        <v>0</v>
      </c>
      <c r="BR4">
        <v>0</v>
      </c>
      <c r="BS4">
        <f>(SA_0-AVERAGE(SA_0))/STDEV(SA_0)</f>
        <v>-1.3807740579563765</v>
      </c>
      <c r="BT4">
        <f>(SA_1-AVERAGE(SA_1))/STDEV(SA_1)</f>
        <v>-1.1505668105713331</v>
      </c>
      <c r="BU4">
        <f>(SA_2-AVERAGE(SA_2))/STDEV(SA_2)</f>
        <v>-1.7566201313073597</v>
      </c>
      <c r="BV4">
        <f>SA_0_std * SA_0_loading+SA_1_std * SA_1_loading+SA_2_std * SA_2_loading</f>
        <v>-2.4756554375293942</v>
      </c>
      <c r="BW4">
        <f>(SA_I_STD-MIN(SA_I_STD_ALL))/(MAX(SA_I_STD_ALL)-MIN(SA_I_STD_ALL))*100</f>
        <v>0</v>
      </c>
      <c r="BX4" s="138" t="s">
        <v>81</v>
      </c>
      <c r="BY4" s="138">
        <v>8.5835812635249962</v>
      </c>
      <c r="BZ4" s="139">
        <v>0</v>
      </c>
    </row>
    <row r="5" spans="1:78" x14ac:dyDescent="0.25">
      <c r="A5" t="s">
        <v>59</v>
      </c>
      <c r="B5">
        <v>112.06602026518708</v>
      </c>
      <c r="C5">
        <v>11.260387061848695</v>
      </c>
      <c r="D5">
        <v>0.57613552770158183</v>
      </c>
      <c r="E5">
        <v>3</v>
      </c>
      <c r="F5">
        <f>(CS1_0-AVERAGE(CS1_0))/STDEV(CS1_0)</f>
        <v>-1.3461102517479884</v>
      </c>
      <c r="G5">
        <f>(CS1_1-AVERAGE(CS1_1))/STDEV(CS1_1)</f>
        <v>-0.64610273317269717</v>
      </c>
      <c r="H5">
        <f>(CS1_2-AVERAGE(CS1_2))/STDEV(CS1_2)</f>
        <v>1.3174650984805201</v>
      </c>
      <c r="I5">
        <f>CS1_0_std * CS1_0_loading+CS1_1_std * CS1_1_loading+CS1_2_std * CS1_2_loading</f>
        <v>-6.5237543949575483E-2</v>
      </c>
      <c r="J5">
        <f>(CS1_I_STD-MIN(CS1_I_STD_ALL))/(MAX(CS1_I_STD_ALL)-MIN(CS1_I_STD_ALL))*100</f>
        <v>48.281284287045843</v>
      </c>
      <c r="K5" s="138" t="s">
        <v>80</v>
      </c>
      <c r="L5" s="138">
        <v>14.043552326179778</v>
      </c>
      <c r="M5" s="139">
        <v>2.023525903704797</v>
      </c>
      <c r="N5" t="s">
        <v>59</v>
      </c>
      <c r="O5">
        <v>112.06602026518708</v>
      </c>
      <c r="P5">
        <v>11.260387061848695</v>
      </c>
      <c r="Q5">
        <v>0.57613552770158183</v>
      </c>
      <c r="R5">
        <v>3</v>
      </c>
      <c r="S5">
        <f>(CS2_0-AVERAGE(CS2_0))/STDEV(CS2_0)</f>
        <v>-1.3461102517479884</v>
      </c>
      <c r="T5">
        <f>(CS2_1-AVERAGE(CS2_1))/STDEV(CS2_1)</f>
        <v>-0.64610273317269717</v>
      </c>
      <c r="U5">
        <f>(CS2_2-AVERAGE(CS2_2))/STDEV(CS2_2)</f>
        <v>1.3174650984805201</v>
      </c>
      <c r="V5">
        <f>CS2_0_std * CS2_0_loading+CS2_1_std * CS2_1_loading+CS2_2_std * CS2_2_loading</f>
        <v>0.22682307714809768</v>
      </c>
      <c r="W5">
        <f>(CS2_I_STD-MIN(CS2_I_STD_ALL))/(MAX(CS2_I_STD_ALL)-MIN(CS2_I_STD_ALL))*100</f>
        <v>56.054111406060102</v>
      </c>
      <c r="X5" s="138" t="s">
        <v>80</v>
      </c>
      <c r="Y5" s="138">
        <v>14.043552326179778</v>
      </c>
      <c r="Z5" s="139">
        <v>2.0418163071947246</v>
      </c>
      <c r="AA5" t="s">
        <v>59</v>
      </c>
      <c r="AB5">
        <v>112.06602026518708</v>
      </c>
      <c r="AC5">
        <v>11.260387061848695</v>
      </c>
      <c r="AD5">
        <v>0.57613552770158183</v>
      </c>
      <c r="AE5">
        <v>3</v>
      </c>
      <c r="AF5">
        <f>(PCA_0-AVERAGE(PCA_0))/STDEV(PCA_0)</f>
        <v>-1.3461102517479884</v>
      </c>
      <c r="AG5">
        <f>(PCA_1-AVERAGE(PCA_1))/STDEV(PCA_1)</f>
        <v>-0.64610273317269717</v>
      </c>
      <c r="AH5">
        <f>(PCA_2-AVERAGE(PCA_2))/STDEV(PCA_2)</f>
        <v>1.3174650984805201</v>
      </c>
      <c r="AI5">
        <f>PCA_0_std * PCA_0_loading+PCA_1_std * PCA_1_loading+PCA_2_std * PCA_2_loading</f>
        <v>0.12487087419676668</v>
      </c>
      <c r="AJ5">
        <f>(PCA_I_STD-MIN(PCA_I_STD_ALL))/(MAX(PCA_I_STD_ALL)-MIN(PCA_I_STD_ALL))*100</f>
        <v>48.607829898787074</v>
      </c>
      <c r="AK5" s="138" t="s">
        <v>81</v>
      </c>
      <c r="AL5" s="138">
        <v>8.5835812635249962</v>
      </c>
      <c r="AM5" s="139">
        <v>6.3312749763747043</v>
      </c>
      <c r="AN5" t="s">
        <v>59</v>
      </c>
      <c r="AO5">
        <v>112.06602026518708</v>
      </c>
      <c r="AP5">
        <v>11.260387061848695</v>
      </c>
      <c r="AQ5">
        <v>0.57613552770158183</v>
      </c>
      <c r="AR5">
        <v>3</v>
      </c>
      <c r="AS5">
        <f>(KTGET_0-AVERAGE(KTGET_0))/STDEV(KTGET_0)</f>
        <v>-1.3461102517479884</v>
      </c>
      <c r="AT5">
        <f>(KTGET_1-AVERAGE(KTGET_1))/STDEV(KTGET_1)</f>
        <v>-0.64610273317269717</v>
      </c>
      <c r="AU5">
        <f>(KTGET_2-AVERAGE(KTGET_2))/STDEV(KTGET_2)</f>
        <v>1.3174650984805201</v>
      </c>
      <c r="AV5">
        <f>KTGET_0_std * KTGET_0_loading+KTGET_1_std * KTGET_1_loading+KTGET_2_std * KTGET_2_loading</f>
        <v>-2.0255182122000392E-2</v>
      </c>
      <c r="AW5">
        <f>(KTGET_I_STD-MIN(KTGET_I_STD_ALL))/(MAX(KTGET_I_STD_ALL)-MIN(KTGET_I_STD_ALL))*100</f>
        <v>47.660871140440072</v>
      </c>
      <c r="AX5" s="138" t="s">
        <v>80</v>
      </c>
      <c r="AY5" s="138">
        <v>14.043552326179778</v>
      </c>
      <c r="AZ5" s="139">
        <v>0</v>
      </c>
      <c r="BA5" t="s">
        <v>59</v>
      </c>
      <c r="BB5">
        <v>112.06602026518708</v>
      </c>
      <c r="BC5">
        <v>11.260387061848695</v>
      </c>
      <c r="BD5">
        <v>0.57613552770158183</v>
      </c>
      <c r="BE5">
        <v>3</v>
      </c>
      <c r="BF5">
        <f>(KTGT_0-AVERAGE(KTGT_0))/STDEV(KTGT_0)</f>
        <v>-1.3461102517479884</v>
      </c>
      <c r="BG5">
        <f>(KTGT_1-AVERAGE(KTGT_1))/STDEV(KTGT_1)</f>
        <v>-0.64610273317269717</v>
      </c>
      <c r="BH5">
        <f>(KTGT_2-AVERAGE(KTGT_2))/STDEV(KTGT_2)</f>
        <v>1.3174650984805201</v>
      </c>
      <c r="BI5">
        <f>KTGT_0_std * KTGT_0_loading+KTGT_1_std * KTGT_1_loading+KTGT_2_std * KTGT_2_loading</f>
        <v>-2.1098184341459825E-2</v>
      </c>
      <c r="BJ5">
        <f>(KTGT_I_STD-MIN(KTGT_I_STD_ALL))/(MAX(KTGT_I_STD_ALL)-MIN(KTGT_I_STD_ALL))*100</f>
        <v>47.672456313627038</v>
      </c>
      <c r="BK5" s="138" t="s">
        <v>80</v>
      </c>
      <c r="BL5" s="138">
        <v>14.043552326179778</v>
      </c>
      <c r="BM5" s="139">
        <v>3.7927215374522281E-2</v>
      </c>
      <c r="BN5" t="s">
        <v>59</v>
      </c>
      <c r="BO5">
        <v>112.06602026518708</v>
      </c>
      <c r="BP5">
        <v>11.260387061848695</v>
      </c>
      <c r="BQ5">
        <v>0.57613552770158183</v>
      </c>
      <c r="BR5">
        <v>3</v>
      </c>
      <c r="BS5">
        <f>(SA_0-AVERAGE(SA_0))/STDEV(SA_0)</f>
        <v>-1.3461102517479884</v>
      </c>
      <c r="BT5">
        <f>(SA_1-AVERAGE(SA_1))/STDEV(SA_1)</f>
        <v>-0.64610273317269717</v>
      </c>
      <c r="BU5">
        <f>(SA_2-AVERAGE(SA_2))/STDEV(SA_2)</f>
        <v>1.3174650984805201</v>
      </c>
      <c r="BV5">
        <f>SA_0_std * SA_0_loading+SA_1_std * SA_1_loading+SA_2_std * SA_2_loading</f>
        <v>-0.38956587387136044</v>
      </c>
      <c r="BW5">
        <f>(SA_I_STD-MIN(SA_I_STD_ALL))/(MAX(SA_I_STD_ALL)-MIN(SA_I_STD_ALL))*100</f>
        <v>43.232345407391307</v>
      </c>
      <c r="BX5" s="138" t="s">
        <v>80</v>
      </c>
      <c r="BY5" s="138">
        <v>14.043552326179778</v>
      </c>
      <c r="BZ5" s="139">
        <v>14.78689573677393</v>
      </c>
    </row>
    <row r="6" spans="1:78" x14ac:dyDescent="0.25">
      <c r="A6" t="s">
        <v>62</v>
      </c>
      <c r="B6">
        <v>44.85863586555007</v>
      </c>
      <c r="C6">
        <v>36.904833600676369</v>
      </c>
      <c r="D6">
        <v>0.45070422535211302</v>
      </c>
      <c r="E6">
        <v>3</v>
      </c>
      <c r="F6">
        <f>(CS1_0-AVERAGE(CS1_0))/STDEV(CS1_0)</f>
        <v>2.0677848889400465</v>
      </c>
      <c r="G6">
        <f>(CS1_1-AVERAGE(CS1_1))/STDEV(CS1_1)</f>
        <v>-0.75593034000170822</v>
      </c>
      <c r="H6">
        <f>(CS1_2-AVERAGE(CS1_2))/STDEV(CS1_2)</f>
        <v>1.3174650984805201</v>
      </c>
      <c r="I6">
        <f>CS1_0_std * CS1_0_loading+CS1_1_std * CS1_1_loading+CS1_2_std * CS1_2_loading</f>
        <v>2.3284535558192969</v>
      </c>
      <c r="J6">
        <f>(CS1_I_STD-MIN(CS1_I_STD_ALL))/(MAX(CS1_I_STD_ALL)-MIN(CS1_I_STD_ALL))*100</f>
        <v>100</v>
      </c>
      <c r="K6" s="138" t="s">
        <v>58</v>
      </c>
      <c r="L6" s="138">
        <v>67.207208002483483</v>
      </c>
      <c r="M6" s="139">
        <v>17.500936896523843</v>
      </c>
      <c r="N6" t="s">
        <v>62</v>
      </c>
      <c r="O6">
        <v>44.85863586555007</v>
      </c>
      <c r="P6">
        <v>36.904833600676369</v>
      </c>
      <c r="Q6">
        <v>0.45070422535211302</v>
      </c>
      <c r="R6">
        <v>3</v>
      </c>
      <c r="S6">
        <f>(CS2_0-AVERAGE(CS2_0))/STDEV(CS2_0)</f>
        <v>2.0677848889400465</v>
      </c>
      <c r="T6">
        <f>(CS2_1-AVERAGE(CS2_1))/STDEV(CS2_1)</f>
        <v>-0.75593034000170822</v>
      </c>
      <c r="U6">
        <f>(CS2_2-AVERAGE(CS2_2))/STDEV(CS2_2)</f>
        <v>1.3174650984805201</v>
      </c>
      <c r="V6">
        <f>CS2_0_std * CS2_0_loading+CS2_1_std * CS2_1_loading+CS2_2_std * CS2_2_loading</f>
        <v>2.2176489093107348</v>
      </c>
      <c r="W6">
        <f>(CS2_I_STD-MIN(CS2_I_STD_ALL))/(MAX(CS2_I_STD_ALL)-MIN(CS2_I_STD_ALL))*100</f>
        <v>100</v>
      </c>
      <c r="X6" s="138" t="s">
        <v>58</v>
      </c>
      <c r="Y6" s="138">
        <v>67.207208002483483</v>
      </c>
      <c r="Z6" s="139">
        <v>20.07512688233534</v>
      </c>
      <c r="AA6" t="s">
        <v>62</v>
      </c>
      <c r="AB6">
        <v>44.85863586555007</v>
      </c>
      <c r="AC6">
        <v>36.904833600676369</v>
      </c>
      <c r="AD6">
        <v>0.45070422535211302</v>
      </c>
      <c r="AE6">
        <v>3</v>
      </c>
      <c r="AF6">
        <f>(PCA_0-AVERAGE(PCA_0))/STDEV(PCA_0)</f>
        <v>2.0677848889400465</v>
      </c>
      <c r="AG6">
        <f>(PCA_1-AVERAGE(PCA_1))/STDEV(PCA_1)</f>
        <v>-0.75593034000170822</v>
      </c>
      <c r="AH6">
        <f>(PCA_2-AVERAGE(PCA_2))/STDEV(PCA_2)</f>
        <v>1.3174650984805201</v>
      </c>
      <c r="AI6">
        <f>PCA_0_std * PCA_0_loading+PCA_1_std * PCA_1_loading+PCA_2_std * PCA_2_loading</f>
        <v>2.5088095638407806</v>
      </c>
      <c r="AJ6">
        <f>(PCA_I_STD-MIN(PCA_I_STD_ALL))/(MAX(PCA_I_STD_ALL)-MIN(PCA_I_STD_ALL))*100</f>
        <v>99.07054315764087</v>
      </c>
      <c r="AK6" s="138" t="s">
        <v>64</v>
      </c>
      <c r="AL6" s="138">
        <v>358.81422113562593</v>
      </c>
      <c r="AM6" s="139">
        <v>13.940305536962704</v>
      </c>
      <c r="AN6" t="s">
        <v>62</v>
      </c>
      <c r="AO6">
        <v>44.85863586555007</v>
      </c>
      <c r="AP6">
        <v>36.904833600676369</v>
      </c>
      <c r="AQ6">
        <v>0.45070422535211302</v>
      </c>
      <c r="AR6">
        <v>3</v>
      </c>
      <c r="AS6">
        <f>(KTGET_0-AVERAGE(KTGET_0))/STDEV(KTGET_0)</f>
        <v>2.0677848889400465</v>
      </c>
      <c r="AT6">
        <f>(KTGET_1-AVERAGE(KTGET_1))/STDEV(KTGET_1)</f>
        <v>-0.75593034000170822</v>
      </c>
      <c r="AU6">
        <f>(KTGET_2-AVERAGE(KTGET_2))/STDEV(KTGET_2)</f>
        <v>1.3174650984805201</v>
      </c>
      <c r="AV6">
        <f>KTGET_0_std * KTGET_0_loading+KTGET_1_std * KTGET_1_loading+KTGET_2_std * KTGET_2_loading</f>
        <v>2.3937332221163192</v>
      </c>
      <c r="AW6">
        <f>(KTGET_I_STD-MIN(KTGET_I_STD_ALL))/(MAX(KTGET_I_STD_ALL)-MIN(KTGET_I_STD_ALL))*100</f>
        <v>100</v>
      </c>
      <c r="AX6" s="138" t="s">
        <v>58</v>
      </c>
      <c r="AY6" s="138">
        <v>67.207208002483483</v>
      </c>
      <c r="AZ6" s="139">
        <v>16.074149332082417</v>
      </c>
      <c r="BA6" t="s">
        <v>62</v>
      </c>
      <c r="BB6">
        <v>44.85863586555007</v>
      </c>
      <c r="BC6">
        <v>36.904833600676369</v>
      </c>
      <c r="BD6">
        <v>0.45070422535211302</v>
      </c>
      <c r="BE6">
        <v>3</v>
      </c>
      <c r="BF6">
        <f>(KTGT_0-AVERAGE(KTGT_0))/STDEV(KTGT_0)</f>
        <v>2.0677848889400465</v>
      </c>
      <c r="BG6">
        <f>(KTGT_1-AVERAGE(KTGT_1))/STDEV(KTGT_1)</f>
        <v>-0.75593034000170822</v>
      </c>
      <c r="BH6">
        <f>(KTGT_2-AVERAGE(KTGT_2))/STDEV(KTGT_2)</f>
        <v>1.3174650984805201</v>
      </c>
      <c r="BI6">
        <f>KTGT_0_std * KTGT_0_loading+KTGT_1_std * KTGT_1_loading+KTGT_2_std * KTGT_2_loading</f>
        <v>2.3926405312153958</v>
      </c>
      <c r="BJ6">
        <f>(KTGT_I_STD-MIN(KTGT_I_STD_ALL))/(MAX(KTGT_I_STD_ALL)-MIN(KTGT_I_STD_ALL))*100</f>
        <v>100</v>
      </c>
      <c r="BK6" s="138" t="s">
        <v>58</v>
      </c>
      <c r="BL6" s="138">
        <v>67.207208002483483</v>
      </c>
      <c r="BM6" s="139">
        <v>16.100877518570805</v>
      </c>
      <c r="BN6" t="s">
        <v>62</v>
      </c>
      <c r="BO6">
        <v>44.85863586555007</v>
      </c>
      <c r="BP6">
        <v>36.904833600676369</v>
      </c>
      <c r="BQ6">
        <v>0.45070422535211302</v>
      </c>
      <c r="BR6">
        <v>3</v>
      </c>
      <c r="BS6">
        <f>(SA_0-AVERAGE(SA_0))/STDEV(SA_0)</f>
        <v>2.0677848889400465</v>
      </c>
      <c r="BT6">
        <f>(SA_1-AVERAGE(SA_1))/STDEV(SA_1)</f>
        <v>-0.75593034000170822</v>
      </c>
      <c r="BU6">
        <f>(SA_2-AVERAGE(SA_2))/STDEV(SA_2)</f>
        <v>1.3174650984805201</v>
      </c>
      <c r="BV6">
        <f>SA_0_std * SA_0_loading+SA_1_std * SA_1_loading+SA_2_std * SA_2_loading</f>
        <v>1.5180384062228498</v>
      </c>
      <c r="BW6">
        <f>(SA_I_STD-MIN(SA_I_STD_ALL))/(MAX(SA_I_STD_ALL)-MIN(SA_I_STD_ALL))*100</f>
        <v>82.765742522439609</v>
      </c>
      <c r="BX6" s="138" t="s">
        <v>58</v>
      </c>
      <c r="BY6" s="138">
        <v>67.207208002483483</v>
      </c>
      <c r="BZ6" s="139">
        <v>23.483403978086091</v>
      </c>
    </row>
    <row r="7" spans="1:78" x14ac:dyDescent="0.25">
      <c r="A7" t="s">
        <v>71</v>
      </c>
      <c r="B7">
        <v>59.97365989925494</v>
      </c>
      <c r="C7">
        <v>18.160749724366042</v>
      </c>
      <c r="D7">
        <v>1.0911727775140749</v>
      </c>
      <c r="E7">
        <v>2</v>
      </c>
      <c r="F7">
        <f>(CS1_0-AVERAGE(CS1_0))/STDEV(CS1_0)</f>
        <v>-0.4275053394959018</v>
      </c>
      <c r="G7">
        <f>(CS1_1-AVERAGE(CS1_1))/STDEV(CS1_1)</f>
        <v>-0.1951362876748825</v>
      </c>
      <c r="H7">
        <f>(CS1_2-AVERAGE(CS1_2))/STDEV(CS1_2)</f>
        <v>0.29277002188456008</v>
      </c>
      <c r="I7">
        <f>CS1_0_std * CS1_0_loading+CS1_1_std * CS1_1_loading+CS1_2_std * CS1_2_loading</f>
        <v>-0.10872524961740518</v>
      </c>
      <c r="J7">
        <f>(CS1_I_STD-MIN(CS1_I_STD_ALL))/(MAX(CS1_I_STD_ALL)-MIN(CS1_I_STD_ALL))*100</f>
        <v>47.341677548874713</v>
      </c>
      <c r="K7" s="138" t="s">
        <v>64</v>
      </c>
      <c r="L7" s="138">
        <v>358.81422113562593</v>
      </c>
      <c r="M7" s="139">
        <v>23.08211737795801</v>
      </c>
      <c r="N7" t="s">
        <v>71</v>
      </c>
      <c r="O7">
        <v>59.97365989925494</v>
      </c>
      <c r="P7">
        <v>18.160749724366042</v>
      </c>
      <c r="Q7">
        <v>1.0911727775140749</v>
      </c>
      <c r="R7">
        <v>2</v>
      </c>
      <c r="S7">
        <f>(CS2_0-AVERAGE(CS2_0))/STDEV(CS2_0)</f>
        <v>-0.4275053394959018</v>
      </c>
      <c r="T7">
        <f>(CS2_1-AVERAGE(CS2_1))/STDEV(CS2_1)</f>
        <v>-0.1951362876748825</v>
      </c>
      <c r="U7">
        <f>(CS2_2-AVERAGE(CS2_2))/STDEV(CS2_2)</f>
        <v>0.29277002188456008</v>
      </c>
      <c r="V7">
        <f>CS2_0_std * CS2_0_loading+CS2_1_std * CS2_1_loading+CS2_2_std * CS2_2_loading</f>
        <v>-2.862217362052788E-2</v>
      </c>
      <c r="W7">
        <f>(CS2_I_STD-MIN(CS2_I_STD_ALL))/(MAX(CS2_I_STD_ALL)-MIN(CS2_I_STD_ALL))*100</f>
        <v>50.41536172199833</v>
      </c>
      <c r="X7" s="138" t="s">
        <v>64</v>
      </c>
      <c r="Y7" s="138">
        <v>358.81422113562593</v>
      </c>
      <c r="Z7" s="139">
        <v>25.13912257762864</v>
      </c>
      <c r="AA7" t="s">
        <v>71</v>
      </c>
      <c r="AB7">
        <v>59.97365989925494</v>
      </c>
      <c r="AC7">
        <v>18.160749724366042</v>
      </c>
      <c r="AD7">
        <v>1.0911727775140749</v>
      </c>
      <c r="AE7">
        <v>2</v>
      </c>
      <c r="AF7">
        <f>(PCA_0-AVERAGE(PCA_0))/STDEV(PCA_0)</f>
        <v>-0.4275053394959018</v>
      </c>
      <c r="AG7">
        <f>(PCA_1-AVERAGE(PCA_1))/STDEV(PCA_1)</f>
        <v>-0.1951362876748825</v>
      </c>
      <c r="AH7">
        <f>(PCA_2-AVERAGE(PCA_2))/STDEV(PCA_2)</f>
        <v>0.29277002188456008</v>
      </c>
      <c r="AI7">
        <f>PCA_0_std * PCA_0_loading+PCA_1_std * PCA_1_loading+PCA_2_std * PCA_2_loading</f>
        <v>-4.8414481544758414E-2</v>
      </c>
      <c r="AJ7">
        <f>(PCA_I_STD-MIN(PCA_I_STD_ALL))/(MAX(PCA_I_STD_ALL)-MIN(PCA_I_STD_ALL))*100</f>
        <v>44.939761899920526</v>
      </c>
      <c r="AK7" s="138" t="s">
        <v>58</v>
      </c>
      <c r="AL7" s="138">
        <v>67.207208002483483</v>
      </c>
      <c r="AM7" s="139">
        <v>16.779874689602238</v>
      </c>
      <c r="AN7" t="s">
        <v>71</v>
      </c>
      <c r="AO7">
        <v>59.97365989925494</v>
      </c>
      <c r="AP7">
        <v>18.160749724366042</v>
      </c>
      <c r="AQ7">
        <v>1.0911727775140749</v>
      </c>
      <c r="AR7">
        <v>2</v>
      </c>
      <c r="AS7">
        <f>(KTGET_0-AVERAGE(KTGET_0))/STDEV(KTGET_0)</f>
        <v>-0.4275053394959018</v>
      </c>
      <c r="AT7">
        <f>(KTGET_1-AVERAGE(KTGET_1))/STDEV(KTGET_1)</f>
        <v>-0.1951362876748825</v>
      </c>
      <c r="AU7">
        <f>(KTGET_2-AVERAGE(KTGET_2))/STDEV(KTGET_2)</f>
        <v>0.29277002188456008</v>
      </c>
      <c r="AV7">
        <f>KTGET_0_std * KTGET_0_loading+KTGET_1_std * KTGET_1_loading+KTGET_2_std * KTGET_2_loading</f>
        <v>-9.5272256747882672E-2</v>
      </c>
      <c r="AW7">
        <f>(KTGET_I_STD-MIN(KTGET_I_STD_ALL))/(MAX(KTGET_I_STD_ALL)-MIN(KTGET_I_STD_ALL))*100</f>
        <v>46.034381001292061</v>
      </c>
      <c r="AX7" s="138" t="s">
        <v>64</v>
      </c>
      <c r="AY7" s="138">
        <v>358.81422113562593</v>
      </c>
      <c r="AZ7" s="139">
        <v>19.679523218917343</v>
      </c>
      <c r="BA7" t="s">
        <v>71</v>
      </c>
      <c r="BB7">
        <v>59.97365989925494</v>
      </c>
      <c r="BC7">
        <v>18.160749724366042</v>
      </c>
      <c r="BD7">
        <v>1.0911727775140749</v>
      </c>
      <c r="BE7">
        <v>2</v>
      </c>
      <c r="BF7">
        <f>(KTGT_0-AVERAGE(KTGT_0))/STDEV(KTGT_0)</f>
        <v>-0.4275053394959018</v>
      </c>
      <c r="BG7">
        <f>(KTGT_1-AVERAGE(KTGT_1))/STDEV(KTGT_1)</f>
        <v>-0.1951362876748825</v>
      </c>
      <c r="BH7">
        <f>(KTGT_2-AVERAGE(KTGT_2))/STDEV(KTGT_2)</f>
        <v>0.29277002188456008</v>
      </c>
      <c r="BI7">
        <f>KTGT_0_std * KTGT_0_loading+KTGT_1_std * KTGT_1_loading+KTGT_2_std * KTGT_2_loading</f>
        <v>-9.5529034738430441E-2</v>
      </c>
      <c r="BJ7">
        <f>(KTGT_I_STD-MIN(KTGT_I_STD_ALL))/(MAX(KTGT_I_STD_ALL)-MIN(KTGT_I_STD_ALL))*100</f>
        <v>46.058866760350625</v>
      </c>
      <c r="BK7" s="138" t="s">
        <v>64</v>
      </c>
      <c r="BL7" s="138">
        <v>358.81422113562593</v>
      </c>
      <c r="BM7" s="139">
        <v>19.743287195028163</v>
      </c>
      <c r="BN7" t="s">
        <v>71</v>
      </c>
      <c r="BO7">
        <v>59.97365989925494</v>
      </c>
      <c r="BP7">
        <v>18.160749724366042</v>
      </c>
      <c r="BQ7">
        <v>1.0911727775140749</v>
      </c>
      <c r="BR7">
        <v>2</v>
      </c>
      <c r="BS7">
        <f>(SA_0-AVERAGE(SA_0))/STDEV(SA_0)</f>
        <v>-0.4275053394959018</v>
      </c>
      <c r="BT7">
        <f>(SA_1-AVERAGE(SA_1))/STDEV(SA_1)</f>
        <v>-0.1951362876748825</v>
      </c>
      <c r="BU7">
        <f>(SA_2-AVERAGE(SA_2))/STDEV(SA_2)</f>
        <v>0.29277002188456008</v>
      </c>
      <c r="BV7">
        <f>SA_0_std * SA_0_loading+SA_1_std * SA_1_loading+SA_2_std * SA_2_loading</f>
        <v>-0.19045146011001554</v>
      </c>
      <c r="BW7">
        <f>(SA_I_STD-MIN(SA_I_STD_ALL))/(MAX(SA_I_STD_ALL)-MIN(SA_I_STD_ALL))*100</f>
        <v>47.358814021819306</v>
      </c>
      <c r="BX7" s="138" t="s">
        <v>61</v>
      </c>
      <c r="BY7" s="138">
        <v>94.719790963219936</v>
      </c>
      <c r="BZ7" s="139">
        <v>24.141334550573486</v>
      </c>
    </row>
    <row r="8" spans="1:78" x14ac:dyDescent="0.25">
      <c r="A8" t="s">
        <v>70</v>
      </c>
      <c r="B8">
        <v>91.141772084442891</v>
      </c>
      <c r="C8">
        <v>35</v>
      </c>
      <c r="D8">
        <v>1.3252405880115388</v>
      </c>
      <c r="E8">
        <v>2</v>
      </c>
      <c r="F8">
        <f>(CS1_0-AVERAGE(CS1_0))/STDEV(CS1_0)</f>
        <v>1.8142055354795437</v>
      </c>
      <c r="G8">
        <f>(CS1_1-AVERAGE(CS1_1))/STDEV(CS1_1)</f>
        <v>9.8134097381236823E-3</v>
      </c>
      <c r="H8">
        <f>(CS1_2-AVERAGE(CS1_2))/STDEV(CS1_2)</f>
        <v>0.29277002188456008</v>
      </c>
      <c r="I8">
        <f>CS1_0_std * CS1_0_loading+CS1_1_std * CS1_1_loading+CS1_2_std * CS1_2_loading</f>
        <v>1.484072397597302</v>
      </c>
      <c r="J8">
        <f>(CS1_I_STD-MIN(CS1_I_STD_ALL))/(MAX(CS1_I_STD_ALL)-MIN(CS1_I_STD_ALL))*100</f>
        <v>81.756079938771137</v>
      </c>
      <c r="K8" s="138" t="s">
        <v>61</v>
      </c>
      <c r="L8" s="138">
        <v>94.719790963219936</v>
      </c>
      <c r="M8" s="139">
        <v>28.103409907901796</v>
      </c>
      <c r="N8" t="s">
        <v>70</v>
      </c>
      <c r="O8">
        <v>91.141772084442891</v>
      </c>
      <c r="P8">
        <v>35</v>
      </c>
      <c r="Q8">
        <v>1.3252405880115388</v>
      </c>
      <c r="R8">
        <v>2</v>
      </c>
      <c r="S8">
        <f>(CS2_0-AVERAGE(CS2_0))/STDEV(CS2_0)</f>
        <v>1.8142055354795437</v>
      </c>
      <c r="T8">
        <f>(CS2_1-AVERAGE(CS2_1))/STDEV(CS2_1)</f>
        <v>9.8134097381236823E-3</v>
      </c>
      <c r="U8">
        <f>(CS2_2-AVERAGE(CS2_2))/STDEV(CS2_2)</f>
        <v>0.29277002188456008</v>
      </c>
      <c r="V8">
        <f>CS2_0_std * CS2_0_loading+CS2_1_std * CS2_1_loading+CS2_2_std * CS2_2_loading</f>
        <v>1.2993774181756812</v>
      </c>
      <c r="W8">
        <f>(CS2_I_STD-MIN(CS2_I_STD_ALL))/(MAX(CS2_I_STD_ALL)-MIN(CS2_I_STD_ALL))*100</f>
        <v>79.729890984699935</v>
      </c>
      <c r="X8" s="138" t="s">
        <v>61</v>
      </c>
      <c r="Y8" s="138">
        <v>94.719790963219936</v>
      </c>
      <c r="Z8" s="139">
        <v>28.902821557275626</v>
      </c>
      <c r="AA8" t="s">
        <v>70</v>
      </c>
      <c r="AB8">
        <v>91.141772084442891</v>
      </c>
      <c r="AC8">
        <v>35</v>
      </c>
      <c r="AD8">
        <v>1.3252405880115388</v>
      </c>
      <c r="AE8">
        <v>2</v>
      </c>
      <c r="AF8">
        <f>(PCA_0-AVERAGE(PCA_0))/STDEV(PCA_0)</f>
        <v>1.8142055354795437</v>
      </c>
      <c r="AG8">
        <f>(PCA_1-AVERAGE(PCA_1))/STDEV(PCA_1)</f>
        <v>9.8134097381236823E-3</v>
      </c>
      <c r="AH8">
        <f>(PCA_2-AVERAGE(PCA_2))/STDEV(PCA_2)</f>
        <v>0.29277002188456008</v>
      </c>
      <c r="AI8">
        <f>PCA_0_std * PCA_0_loading+PCA_1_std * PCA_1_loading+PCA_2_std * PCA_2_loading</f>
        <v>1.4499263225629688</v>
      </c>
      <c r="AJ8">
        <f>(PCA_I_STD-MIN(PCA_I_STD_ALL))/(MAX(PCA_I_STD_ALL)-MIN(PCA_I_STD_ALL))*100</f>
        <v>76.656325203408542</v>
      </c>
      <c r="AK8" s="138" t="s">
        <v>83</v>
      </c>
      <c r="AL8" s="138">
        <v>3.105838831144009</v>
      </c>
      <c r="AM8" s="139">
        <v>25.834988596360692</v>
      </c>
      <c r="AN8" t="s">
        <v>70</v>
      </c>
      <c r="AO8">
        <v>91.141772084442891</v>
      </c>
      <c r="AP8">
        <v>35</v>
      </c>
      <c r="AQ8">
        <v>1.3252405880115388</v>
      </c>
      <c r="AR8">
        <v>2</v>
      </c>
      <c r="AS8">
        <f>(KTGET_0-AVERAGE(KTGET_0))/STDEV(KTGET_0)</f>
        <v>1.8142055354795437</v>
      </c>
      <c r="AT8">
        <f>(KTGET_1-AVERAGE(KTGET_1))/STDEV(KTGET_1)</f>
        <v>9.8134097381236823E-3</v>
      </c>
      <c r="AU8">
        <f>(KTGET_2-AVERAGE(KTGET_2))/STDEV(KTGET_2)</f>
        <v>0.29277002188456008</v>
      </c>
      <c r="AV8">
        <f>KTGET_0_std * KTGET_0_loading+KTGET_1_std * KTGET_1_loading+KTGET_2_std * KTGET_2_loading</f>
        <v>1.4898567044055755</v>
      </c>
      <c r="AW8">
        <f>(KTGET_I_STD-MIN(KTGET_I_STD_ALL))/(MAX(KTGET_I_STD_ALL)-MIN(KTGET_I_STD_ALL))*100</f>
        <v>80.402511689562175</v>
      </c>
      <c r="AX8" s="138" t="s">
        <v>61</v>
      </c>
      <c r="AY8" s="138">
        <v>94.719790963219936</v>
      </c>
      <c r="AZ8" s="139">
        <v>27.955533454871578</v>
      </c>
      <c r="BA8" t="s">
        <v>70</v>
      </c>
      <c r="BB8">
        <v>91.141772084442891</v>
      </c>
      <c r="BC8">
        <v>35</v>
      </c>
      <c r="BD8">
        <v>1.3252405880115388</v>
      </c>
      <c r="BE8">
        <v>2</v>
      </c>
      <c r="BF8">
        <f>(KTGT_0-AVERAGE(KTGT_0))/STDEV(KTGT_0)</f>
        <v>1.8142055354795437</v>
      </c>
      <c r="BG8">
        <f>(KTGT_1-AVERAGE(KTGT_1))/STDEV(KTGT_1)</f>
        <v>9.8134097381236823E-3</v>
      </c>
      <c r="BH8">
        <f>(KTGT_2-AVERAGE(KTGT_2))/STDEV(KTGT_2)</f>
        <v>0.29277002188456008</v>
      </c>
      <c r="BI8">
        <f>KTGT_0_std * KTGT_0_loading+KTGT_1_std * KTGT_1_loading+KTGT_2_std * KTGT_2_loading</f>
        <v>1.4898281941363607</v>
      </c>
      <c r="BJ8">
        <f>(KTGT_I_STD-MIN(KTGT_I_STD_ALL))/(MAX(KTGT_I_STD_ALL)-MIN(KTGT_I_STD_ALL))*100</f>
        <v>80.427893166472728</v>
      </c>
      <c r="BK8" s="138" t="s">
        <v>61</v>
      </c>
      <c r="BL8" s="138">
        <v>94.719790963219936</v>
      </c>
      <c r="BM8" s="139">
        <v>27.958300672541654</v>
      </c>
      <c r="BN8" t="s">
        <v>70</v>
      </c>
      <c r="BO8">
        <v>91.141772084442891</v>
      </c>
      <c r="BP8">
        <v>35</v>
      </c>
      <c r="BQ8">
        <v>1.3252405880115388</v>
      </c>
      <c r="BR8">
        <v>2</v>
      </c>
      <c r="BS8">
        <f>(SA_0-AVERAGE(SA_0))/STDEV(SA_0)</f>
        <v>1.8142055354795437</v>
      </c>
      <c r="BT8">
        <f>(SA_1-AVERAGE(SA_1))/STDEV(SA_1)</f>
        <v>9.8134097381236823E-3</v>
      </c>
      <c r="BU8">
        <f>(SA_2-AVERAGE(SA_2))/STDEV(SA_2)</f>
        <v>0.29277002188456008</v>
      </c>
      <c r="BV8">
        <f>SA_0_std * SA_0_loading+SA_1_std * SA_1_loading+SA_2_std * SA_2_loading</f>
        <v>1.2221286799741009</v>
      </c>
      <c r="BW8">
        <f>(SA_I_STD-MIN(SA_I_STD_ALL))/(MAX(SA_I_STD_ALL)-MIN(SA_I_STD_ALL))*100</f>
        <v>76.633277398478327</v>
      </c>
      <c r="BX8" s="138" t="s">
        <v>76</v>
      </c>
      <c r="BY8" s="138">
        <v>13.182567719439019</v>
      </c>
      <c r="BZ8" s="139">
        <v>32.707845821005385</v>
      </c>
    </row>
    <row r="9" spans="1:78" x14ac:dyDescent="0.25">
      <c r="A9" t="s">
        <v>67</v>
      </c>
      <c r="B9">
        <v>101.50560235661756</v>
      </c>
      <c r="C9">
        <v>12.111111111111111</v>
      </c>
      <c r="D9">
        <v>2.2156883199999999</v>
      </c>
      <c r="E9">
        <v>2</v>
      </c>
      <c r="F9">
        <f>(CS1_0-AVERAGE(CS1_0))/STDEV(CS1_0)</f>
        <v>-1.232858336038047</v>
      </c>
      <c r="G9">
        <f>(CS1_1-AVERAGE(CS1_1))/STDEV(CS1_1)</f>
        <v>0.78948914919701063</v>
      </c>
      <c r="H9">
        <f>(CS1_2-AVERAGE(CS1_2))/STDEV(CS1_2)</f>
        <v>0.29277002188456008</v>
      </c>
      <c r="I9">
        <f>CS1_0_std * CS1_0_loading+CS1_1_std * CS1_1_loading+CS1_2_std * CS1_2_loading</f>
        <v>-0.60075391253578436</v>
      </c>
      <c r="J9">
        <f>(CS1_I_STD-MIN(CS1_I_STD_ALL))/(MAX(CS1_I_STD_ALL)-MIN(CS1_I_STD_ALL))*100</f>
        <v>36.710777620910861</v>
      </c>
      <c r="K9" s="138" t="s">
        <v>83</v>
      </c>
      <c r="L9" s="138">
        <v>3.105838831144009</v>
      </c>
      <c r="M9" s="139">
        <v>32.39561013708866</v>
      </c>
      <c r="N9" t="s">
        <v>67</v>
      </c>
      <c r="O9">
        <v>101.50560235661756</v>
      </c>
      <c r="P9">
        <v>12.111111111111111</v>
      </c>
      <c r="Q9">
        <v>2.2156883199999999</v>
      </c>
      <c r="R9">
        <v>2</v>
      </c>
      <c r="S9">
        <f>(CS2_0-AVERAGE(CS2_0))/STDEV(CS2_0)</f>
        <v>-1.232858336038047</v>
      </c>
      <c r="T9">
        <f>(CS2_1-AVERAGE(CS2_1))/STDEV(CS2_1)</f>
        <v>0.78948914919701063</v>
      </c>
      <c r="U9">
        <f>(CS2_2-AVERAGE(CS2_2))/STDEV(CS2_2)</f>
        <v>0.29277002188456008</v>
      </c>
      <c r="V9">
        <f>CS2_0_std * CS2_0_loading+CS2_1_std * CS2_1_loading+CS2_2_std * CS2_2_loading</f>
        <v>-0.42651049370785105</v>
      </c>
      <c r="W9">
        <f>(CS2_I_STD-MIN(CS2_I_STD_ALL))/(MAX(CS2_I_STD_ALL)-MIN(CS2_I_STD_ALL))*100</f>
        <v>41.632295164944068</v>
      </c>
      <c r="X9" s="138" t="s">
        <v>83</v>
      </c>
      <c r="Y9" s="138">
        <v>3.105838831144009</v>
      </c>
      <c r="Z9" s="139">
        <v>32.943910863312922</v>
      </c>
      <c r="AA9" t="s">
        <v>67</v>
      </c>
      <c r="AB9">
        <v>101.50560235661756</v>
      </c>
      <c r="AC9">
        <v>12.111111111111111</v>
      </c>
      <c r="AD9">
        <v>2.2156883199999999</v>
      </c>
      <c r="AE9">
        <v>2</v>
      </c>
      <c r="AF9">
        <f>(PCA_0-AVERAGE(PCA_0))/STDEV(PCA_0)</f>
        <v>-1.232858336038047</v>
      </c>
      <c r="AG9">
        <f>(PCA_1-AVERAGE(PCA_1))/STDEV(PCA_1)</f>
        <v>0.78948914919701063</v>
      </c>
      <c r="AH9">
        <f>(PCA_2-AVERAGE(PCA_2))/STDEV(PCA_2)</f>
        <v>0.29277002188456008</v>
      </c>
      <c r="AI9">
        <f>PCA_0_std * PCA_0_loading+PCA_1_std * PCA_1_loading+PCA_2_std * PCA_2_loading</f>
        <v>-0.84282617725458664</v>
      </c>
      <c r="AJ9">
        <f>(PCA_I_STD-MIN(PCA_I_STD_ALL))/(MAX(PCA_I_STD_ALL)-MIN(PCA_I_STD_ALL))*100</f>
        <v>28.123822050363785</v>
      </c>
      <c r="AK9" s="138" t="s">
        <v>82</v>
      </c>
      <c r="AL9" s="138">
        <v>19.785132701190538</v>
      </c>
      <c r="AM9" s="139">
        <v>27.456831761622819</v>
      </c>
      <c r="AN9" t="s">
        <v>67</v>
      </c>
      <c r="AO9">
        <v>101.50560235661756</v>
      </c>
      <c r="AP9">
        <v>12.111111111111111</v>
      </c>
      <c r="AQ9">
        <v>2.2156883199999999</v>
      </c>
      <c r="AR9">
        <v>2</v>
      </c>
      <c r="AS9">
        <f>(KTGET_0-AVERAGE(KTGET_0))/STDEV(KTGET_0)</f>
        <v>-1.232858336038047</v>
      </c>
      <c r="AT9">
        <f>(KTGET_1-AVERAGE(KTGET_1))/STDEV(KTGET_1)</f>
        <v>0.78948914919701063</v>
      </c>
      <c r="AU9">
        <f>(KTGET_2-AVERAGE(KTGET_2))/STDEV(KTGET_2)</f>
        <v>0.29277002188456008</v>
      </c>
      <c r="AV9">
        <f>KTGET_0_std * KTGET_0_loading+KTGET_1_std * KTGET_1_loading+KTGET_2_std * KTGET_2_loading</f>
        <v>-0.66474282185126965</v>
      </c>
      <c r="AW9">
        <f>(KTGET_I_STD-MIN(KTGET_I_STD_ALL))/(MAX(KTGET_I_STD_ALL)-MIN(KTGET_I_STD_ALL))*100</f>
        <v>33.687348498425884</v>
      </c>
      <c r="AX9" s="138" t="s">
        <v>83</v>
      </c>
      <c r="AY9" s="138">
        <v>3.105838831144009</v>
      </c>
      <c r="AZ9" s="139">
        <v>29.796910530107052</v>
      </c>
      <c r="BA9" t="s">
        <v>67</v>
      </c>
      <c r="BB9">
        <v>101.50560235661756</v>
      </c>
      <c r="BC9">
        <v>12.111111111111111</v>
      </c>
      <c r="BD9">
        <v>2.2156883199999999</v>
      </c>
      <c r="BE9">
        <v>2</v>
      </c>
      <c r="BF9">
        <f>(KTGT_0-AVERAGE(KTGT_0))/STDEV(KTGT_0)</f>
        <v>-1.232858336038047</v>
      </c>
      <c r="BG9">
        <f>(KTGT_1-AVERAGE(KTGT_1))/STDEV(KTGT_1)</f>
        <v>0.78948914919701063</v>
      </c>
      <c r="BH9">
        <f>(KTGT_2-AVERAGE(KTGT_2))/STDEV(KTGT_2)</f>
        <v>0.29277002188456008</v>
      </c>
      <c r="BI9">
        <f>KTGT_0_std * KTGT_0_loading+KTGT_1_std * KTGT_1_loading+KTGT_2_std * KTGT_2_loading</f>
        <v>-0.66358351130565185</v>
      </c>
      <c r="BJ9">
        <f>(KTGT_I_STD-MIN(KTGT_I_STD_ALL))/(MAX(KTGT_I_STD_ALL)-MIN(KTGT_I_STD_ALL))*100</f>
        <v>33.743989741048466</v>
      </c>
      <c r="BK9" s="138" t="s">
        <v>83</v>
      </c>
      <c r="BL9" s="138">
        <v>3.105838831144009</v>
      </c>
      <c r="BM9" s="139">
        <v>29.845615376215783</v>
      </c>
      <c r="BN9" t="s">
        <v>67</v>
      </c>
      <c r="BO9">
        <v>101.50560235661756</v>
      </c>
      <c r="BP9">
        <v>12.111111111111111</v>
      </c>
      <c r="BQ9">
        <v>2.2156883199999999</v>
      </c>
      <c r="BR9">
        <v>2</v>
      </c>
      <c r="BS9">
        <f>(SA_0-AVERAGE(SA_0))/STDEV(SA_0)</f>
        <v>-1.232858336038047</v>
      </c>
      <c r="BT9">
        <f>(SA_1-AVERAGE(SA_1))/STDEV(SA_1)</f>
        <v>0.78948914919701063</v>
      </c>
      <c r="BU9">
        <f>(SA_2-AVERAGE(SA_2))/STDEV(SA_2)</f>
        <v>0.29277002188456008</v>
      </c>
      <c r="BV9">
        <f>SA_0_std * SA_0_loading+SA_1_std * SA_1_loading+SA_2_std * SA_2_loading</f>
        <v>-8.6948468427354347E-2</v>
      </c>
      <c r="BW9">
        <f>(SA_I_STD-MIN(SA_I_STD_ALL))/(MAX(SA_I_STD_ALL)-MIN(SA_I_STD_ALL))*100</f>
        <v>49.503821199400235</v>
      </c>
      <c r="BX9" s="138" t="s">
        <v>57</v>
      </c>
      <c r="BY9" s="138">
        <v>92.255436220636625</v>
      </c>
      <c r="BZ9" s="139">
        <v>38.068350045800322</v>
      </c>
    </row>
    <row r="10" spans="1:78" x14ac:dyDescent="0.25">
      <c r="A10" t="s">
        <v>64</v>
      </c>
      <c r="B10">
        <v>358.81422113562593</v>
      </c>
      <c r="C10">
        <v>12.945027999602372</v>
      </c>
      <c r="D10">
        <v>2.4433932</v>
      </c>
      <c r="E10">
        <v>1</v>
      </c>
      <c r="F10">
        <f>(CS1_0-AVERAGE(CS1_0))/STDEV(CS1_0)</f>
        <v>-1.1218438593150821</v>
      </c>
      <c r="G10">
        <f>(CS1_1-AVERAGE(CS1_1))/STDEV(CS1_1)</f>
        <v>0.9888674667720817</v>
      </c>
      <c r="H10">
        <f>(CS1_2-AVERAGE(CS1_2))/STDEV(CS1_2)</f>
        <v>-0.7319250547113999</v>
      </c>
      <c r="I10">
        <f>CS1_0_std * CS1_0_loading+CS1_1_std * CS1_1_loading+CS1_2_std * CS1_2_loading</f>
        <v>-1.2315275556090399</v>
      </c>
      <c r="J10">
        <f>(CS1_I_STD-MIN(CS1_I_STD_ALL))/(MAX(CS1_I_STD_ALL)-MIN(CS1_I_STD_ALL))*100</f>
        <v>23.08211737795801</v>
      </c>
      <c r="K10" s="138" t="s">
        <v>67</v>
      </c>
      <c r="L10" s="138">
        <v>101.50560235661756</v>
      </c>
      <c r="M10" s="139">
        <v>36.710777620910861</v>
      </c>
      <c r="N10" t="s">
        <v>64</v>
      </c>
      <c r="O10">
        <v>358.81422113562593</v>
      </c>
      <c r="P10">
        <v>12.945027999602372</v>
      </c>
      <c r="Q10">
        <v>2.4433932</v>
      </c>
      <c r="R10">
        <v>1</v>
      </c>
      <c r="S10">
        <f>(CS2_0-AVERAGE(CS2_0))/STDEV(CS2_0)</f>
        <v>-1.1218438593150821</v>
      </c>
      <c r="T10">
        <f>(CS2_1-AVERAGE(CS2_1))/STDEV(CS2_1)</f>
        <v>0.9888674667720817</v>
      </c>
      <c r="U10">
        <f>(CS2_2-AVERAGE(CS2_2))/STDEV(CS2_2)</f>
        <v>-0.7319250547113999</v>
      </c>
      <c r="V10">
        <f>CS2_0_std * CS2_0_loading+CS2_1_std * CS2_1_loading+CS2_2_std * CS2_2_loading</f>
        <v>-1.1736801401004866</v>
      </c>
      <c r="W10">
        <f>(CS2_I_STD-MIN(CS2_I_STD_ALL))/(MAX(CS2_I_STD_ALL)-MIN(CS2_I_STD_ALL))*100</f>
        <v>25.13912257762864</v>
      </c>
      <c r="X10" s="138" t="s">
        <v>76</v>
      </c>
      <c r="Y10" s="138">
        <v>13.182567719439019</v>
      </c>
      <c r="Z10" s="139">
        <v>37.589674551110917</v>
      </c>
      <c r="AA10" t="s">
        <v>64</v>
      </c>
      <c r="AB10">
        <v>358.81422113562593</v>
      </c>
      <c r="AC10">
        <v>12.945027999602372</v>
      </c>
      <c r="AD10">
        <v>2.4433932</v>
      </c>
      <c r="AE10">
        <v>1</v>
      </c>
      <c r="AF10">
        <f>(PCA_0-AVERAGE(PCA_0))/STDEV(PCA_0)</f>
        <v>-1.1218438593150821</v>
      </c>
      <c r="AG10">
        <f>(PCA_1-AVERAGE(PCA_1))/STDEV(PCA_1)</f>
        <v>0.9888674667720817</v>
      </c>
      <c r="AH10">
        <f>(PCA_2-AVERAGE(PCA_2))/STDEV(PCA_2)</f>
        <v>-0.7319250547113999</v>
      </c>
      <c r="AI10">
        <f>PCA_0_std * PCA_0_loading+PCA_1_std * PCA_1_loading+PCA_2_std * PCA_2_loading</f>
        <v>-1.5128780152930239</v>
      </c>
      <c r="AJ10">
        <f>(PCA_I_STD-MIN(PCA_I_STD_ALL))/(MAX(PCA_I_STD_ALL)-MIN(PCA_I_STD_ALL))*100</f>
        <v>13.940305536962704</v>
      </c>
      <c r="AK10" s="138" t="s">
        <v>67</v>
      </c>
      <c r="AL10" s="138">
        <v>101.50560235661756</v>
      </c>
      <c r="AM10" s="139">
        <v>28.123822050363785</v>
      </c>
      <c r="AN10" t="s">
        <v>64</v>
      </c>
      <c r="AO10">
        <v>358.81422113562593</v>
      </c>
      <c r="AP10">
        <v>12.945027999602372</v>
      </c>
      <c r="AQ10">
        <v>2.4433932</v>
      </c>
      <c r="AR10">
        <v>1</v>
      </c>
      <c r="AS10">
        <f>(KTGET_0-AVERAGE(KTGET_0))/STDEV(KTGET_0)</f>
        <v>-1.1218438593150821</v>
      </c>
      <c r="AT10">
        <f>(KTGET_1-AVERAGE(KTGET_1))/STDEV(KTGET_1)</f>
        <v>0.9888674667720817</v>
      </c>
      <c r="AU10">
        <f>(KTGET_2-AVERAGE(KTGET_2))/STDEV(KTGET_2)</f>
        <v>-0.7319250547113999</v>
      </c>
      <c r="AV10">
        <f>KTGET_0_std * KTGET_0_loading+KTGET_1_std * KTGET_1_loading+KTGET_2_std * KTGET_2_loading</f>
        <v>-1.3108125698607198</v>
      </c>
      <c r="AW10">
        <f>(KTGET_I_STD-MIN(KTGET_I_STD_ALL))/(MAX(KTGET_I_STD_ALL)-MIN(KTGET_I_STD_ALL))*100</f>
        <v>19.679523218917343</v>
      </c>
      <c r="AX10" s="138" t="s">
        <v>67</v>
      </c>
      <c r="AY10" s="138">
        <v>101.50560235661756</v>
      </c>
      <c r="AZ10" s="139">
        <v>33.687348498425884</v>
      </c>
      <c r="BA10" t="s">
        <v>64</v>
      </c>
      <c r="BB10">
        <v>358.81422113562593</v>
      </c>
      <c r="BC10">
        <v>12.945027999602372</v>
      </c>
      <c r="BD10">
        <v>2.4433932</v>
      </c>
      <c r="BE10">
        <v>1</v>
      </c>
      <c r="BF10">
        <f>(KTGT_0-AVERAGE(KTGT_0))/STDEV(KTGT_0)</f>
        <v>-1.1218438593150821</v>
      </c>
      <c r="BG10">
        <f>(KTGT_1-AVERAGE(KTGT_1))/STDEV(KTGT_1)</f>
        <v>0.9888674667720817</v>
      </c>
      <c r="BH10">
        <f>(KTGT_2-AVERAGE(KTGT_2))/STDEV(KTGT_2)</f>
        <v>-0.7319250547113999</v>
      </c>
      <c r="BI10">
        <f>KTGT_0_std * KTGT_0_loading+KTGT_1_std * KTGT_1_loading+KTGT_2_std * KTGT_2_loading</f>
        <v>-1.3094009030576981</v>
      </c>
      <c r="BJ10">
        <f>(KTGT_I_STD-MIN(KTGT_I_STD_ALL))/(MAX(KTGT_I_STD_ALL)-MIN(KTGT_I_STD_ALL))*100</f>
        <v>19.743287195028163</v>
      </c>
      <c r="BK10" s="138" t="s">
        <v>67</v>
      </c>
      <c r="BL10" s="138">
        <v>101.50560235661756</v>
      </c>
      <c r="BM10" s="139">
        <v>33.743989741048466</v>
      </c>
      <c r="BN10" t="s">
        <v>64</v>
      </c>
      <c r="BO10">
        <v>358.81422113562593</v>
      </c>
      <c r="BP10">
        <v>12.945027999602372</v>
      </c>
      <c r="BQ10">
        <v>2.4433932</v>
      </c>
      <c r="BR10">
        <v>1</v>
      </c>
      <c r="BS10">
        <f>(SA_0-AVERAGE(SA_0))/STDEV(SA_0)</f>
        <v>-1.1218438593150821</v>
      </c>
      <c r="BT10">
        <f>(SA_1-AVERAGE(SA_1))/STDEV(SA_1)</f>
        <v>0.9888674667720817</v>
      </c>
      <c r="BU10">
        <f>(SA_2-AVERAGE(SA_2))/STDEV(SA_2)</f>
        <v>-0.7319250547113999</v>
      </c>
      <c r="BV10">
        <f>SA_0_std * SA_0_loading+SA_1_std * SA_1_loading+SA_2_std * SA_2_loading</f>
        <v>-0.49935108339482487</v>
      </c>
      <c r="BW10">
        <f>(SA_I_STD-MIN(SA_I_STD_ALL))/(MAX(SA_I_STD_ALL)-MIN(SA_I_STD_ALL))*100</f>
        <v>40.957144868820713</v>
      </c>
      <c r="BX10" s="138" t="s">
        <v>68</v>
      </c>
      <c r="BY10" s="138">
        <v>357.45486313337216</v>
      </c>
      <c r="BZ10" s="139">
        <v>40.121558561318778</v>
      </c>
    </row>
    <row r="11" spans="1:78" x14ac:dyDescent="0.25">
      <c r="A11" t="s">
        <v>74</v>
      </c>
      <c r="B11">
        <v>134.10032848477772</v>
      </c>
      <c r="C11">
        <v>25.942999102891449</v>
      </c>
      <c r="D11">
        <v>0.92243859445113929</v>
      </c>
      <c r="E11">
        <v>2</v>
      </c>
      <c r="F11">
        <f>(CS1_0-AVERAGE(CS1_0))/STDEV(CS1_0)</f>
        <v>0.60849999197985016</v>
      </c>
      <c r="G11">
        <f>(CS1_1-AVERAGE(CS1_1))/STDEV(CS1_1)</f>
        <v>-0.34287988252665796</v>
      </c>
      <c r="H11">
        <f>(CS1_2-AVERAGE(CS1_2))/STDEV(CS1_2)</f>
        <v>0.29277002188456008</v>
      </c>
      <c r="I11">
        <f>CS1_0_std * CS1_0_loading+CS1_1_std * CS1_1_loading+CS1_2_std * CS1_2_loading</f>
        <v>0.6090109922499839</v>
      </c>
      <c r="J11">
        <f>(CS1_I_STD-MIN(CS1_I_STD_ALL))/(MAX(CS1_I_STD_ALL)-MIN(CS1_I_STD_ALL))*100</f>
        <v>62.849274437047889</v>
      </c>
      <c r="K11" s="138" t="s">
        <v>76</v>
      </c>
      <c r="L11" s="138">
        <v>13.182567719439019</v>
      </c>
      <c r="M11" s="139">
        <v>38.304700058750655</v>
      </c>
      <c r="N11" t="s">
        <v>74</v>
      </c>
      <c r="O11">
        <v>134.10032848477772</v>
      </c>
      <c r="P11">
        <v>25.942999102891449</v>
      </c>
      <c r="Q11">
        <v>0.92243859445113929</v>
      </c>
      <c r="R11">
        <v>2</v>
      </c>
      <c r="S11">
        <f>(CS2_0-AVERAGE(CS2_0))/STDEV(CS2_0)</f>
        <v>0.60849999197985016</v>
      </c>
      <c r="T11">
        <f>(CS2_1-AVERAGE(CS2_1))/STDEV(CS2_1)</f>
        <v>-0.34287988252665796</v>
      </c>
      <c r="U11">
        <f>(CS2_2-AVERAGE(CS2_2))/STDEV(CS2_2)</f>
        <v>0.29277002188456008</v>
      </c>
      <c r="V11">
        <f>CS2_0_std * CS2_0_loading+CS2_1_std * CS2_1_loading+CS2_2_std * CS2_2_loading</f>
        <v>0.56696475001257085</v>
      </c>
      <c r="W11">
        <f>(CS2_I_STD-MIN(CS2_I_STD_ALL))/(MAX(CS2_I_STD_ALL)-MIN(CS2_I_STD_ALL))*100</f>
        <v>63.56246689370245</v>
      </c>
      <c r="X11" s="138" t="s">
        <v>82</v>
      </c>
      <c r="Y11" s="138">
        <v>19.785132701190538</v>
      </c>
      <c r="Z11" s="139">
        <v>39.695293798709471</v>
      </c>
      <c r="AA11" t="s">
        <v>74</v>
      </c>
      <c r="AB11">
        <v>134.10032848477772</v>
      </c>
      <c r="AC11">
        <v>25.942999102891449</v>
      </c>
      <c r="AD11">
        <v>0.92243859445113929</v>
      </c>
      <c r="AE11">
        <v>2</v>
      </c>
      <c r="AF11">
        <f>(PCA_0-AVERAGE(PCA_0))/STDEV(PCA_0)</f>
        <v>0.60849999197985016</v>
      </c>
      <c r="AG11">
        <f>(PCA_1-AVERAGE(PCA_1))/STDEV(PCA_1)</f>
        <v>-0.34287988252665796</v>
      </c>
      <c r="AH11">
        <f>(PCA_2-AVERAGE(PCA_2))/STDEV(PCA_2)</f>
        <v>0.29277002188456008</v>
      </c>
      <c r="AI11">
        <f>PCA_0_std * PCA_0_loading+PCA_1_std * PCA_1_loading+PCA_2_std * PCA_2_loading</f>
        <v>0.70272357708479782</v>
      </c>
      <c r="AJ11">
        <f>(PCA_I_STD-MIN(PCA_I_STD_ALL))/(MAX(PCA_I_STD_ALL)-MIN(PCA_I_STD_ALL))*100</f>
        <v>60.839694492606277</v>
      </c>
      <c r="AK11" s="138" t="s">
        <v>61</v>
      </c>
      <c r="AL11" s="138">
        <v>94.719790963219936</v>
      </c>
      <c r="AM11" s="139">
        <v>31.796137254691502</v>
      </c>
      <c r="AN11" t="s">
        <v>74</v>
      </c>
      <c r="AO11">
        <v>134.10032848477772</v>
      </c>
      <c r="AP11">
        <v>25.942999102891449</v>
      </c>
      <c r="AQ11">
        <v>0.92243859445113929</v>
      </c>
      <c r="AR11">
        <v>2</v>
      </c>
      <c r="AS11">
        <f>(KTGET_0-AVERAGE(KTGET_0))/STDEV(KTGET_0)</f>
        <v>0.60849999197985016</v>
      </c>
      <c r="AT11">
        <f>(KTGET_1-AVERAGE(KTGET_1))/STDEV(KTGET_1)</f>
        <v>-0.34287988252665796</v>
      </c>
      <c r="AU11">
        <f>(KTGET_2-AVERAGE(KTGET_2))/STDEV(KTGET_2)</f>
        <v>0.29277002188456008</v>
      </c>
      <c r="AV11">
        <f>KTGET_0_std * KTGET_0_loading+KTGET_1_std * KTGET_1_loading+KTGET_2_std * KTGET_2_loading</f>
        <v>0.63729413848343397</v>
      </c>
      <c r="AW11">
        <f>(KTGET_I_STD-MIN(KTGET_I_STD_ALL))/(MAX(KTGET_I_STD_ALL)-MIN(KTGET_I_STD_ALL))*100</f>
        <v>61.917591911036716</v>
      </c>
      <c r="AX11" s="138" t="s">
        <v>82</v>
      </c>
      <c r="AY11" s="138">
        <v>19.785132701190538</v>
      </c>
      <c r="AZ11" s="139">
        <v>36.11934838147792</v>
      </c>
      <c r="BA11" t="s">
        <v>74</v>
      </c>
      <c r="BB11">
        <v>134.10032848477772</v>
      </c>
      <c r="BC11">
        <v>25.942999102891449</v>
      </c>
      <c r="BD11">
        <v>0.92243859445113929</v>
      </c>
      <c r="BE11">
        <v>2</v>
      </c>
      <c r="BF11">
        <f>(KTGT_0-AVERAGE(KTGT_0))/STDEV(KTGT_0)</f>
        <v>0.60849999197985016</v>
      </c>
      <c r="BG11">
        <f>(KTGT_1-AVERAGE(KTGT_1))/STDEV(KTGT_1)</f>
        <v>-0.34287988252665796</v>
      </c>
      <c r="BH11">
        <f>(KTGT_2-AVERAGE(KTGT_2))/STDEV(KTGT_2)</f>
        <v>0.29277002188456008</v>
      </c>
      <c r="BI11">
        <f>KTGT_0_std * KTGT_0_loading+KTGT_1_std * KTGT_1_loading+KTGT_2_std * KTGT_2_loading</f>
        <v>0.63679961979425403</v>
      </c>
      <c r="BJ11">
        <f>(KTGT_I_STD-MIN(KTGT_I_STD_ALL))/(MAX(KTGT_I_STD_ALL)-MIN(KTGT_I_STD_ALL))*100</f>
        <v>61.93505063056751</v>
      </c>
      <c r="BK11" s="138" t="s">
        <v>82</v>
      </c>
      <c r="BL11" s="138">
        <v>19.785132701190538</v>
      </c>
      <c r="BM11" s="139">
        <v>36.193454631633578</v>
      </c>
      <c r="BN11" t="s">
        <v>74</v>
      </c>
      <c r="BO11">
        <v>134.10032848477772</v>
      </c>
      <c r="BP11">
        <v>25.942999102891449</v>
      </c>
      <c r="BQ11">
        <v>0.92243859445113929</v>
      </c>
      <c r="BR11">
        <v>2</v>
      </c>
      <c r="BS11">
        <f>(SA_0-AVERAGE(SA_0))/STDEV(SA_0)</f>
        <v>0.60849999197985016</v>
      </c>
      <c r="BT11">
        <f>(SA_1-AVERAGE(SA_1))/STDEV(SA_1)</f>
        <v>-0.34287988252665796</v>
      </c>
      <c r="BU11">
        <f>(SA_2-AVERAGE(SA_2))/STDEV(SA_2)</f>
        <v>0.29277002188456008</v>
      </c>
      <c r="BV11">
        <f>SA_0_std * SA_0_loading+SA_1_std * SA_1_loading+SA_2_std * SA_2_loading</f>
        <v>0.32238669264068176</v>
      </c>
      <c r="BW11">
        <f>(SA_I_STD-MIN(SA_I_STD_ALL))/(MAX(SA_I_STD_ALL)-MIN(SA_I_STD_ALL))*100</f>
        <v>57.986927284093937</v>
      </c>
      <c r="BX11" s="138" t="s">
        <v>64</v>
      </c>
      <c r="BY11" s="138">
        <v>358.81422113562593</v>
      </c>
      <c r="BZ11" s="139">
        <v>40.957144868820713</v>
      </c>
    </row>
    <row r="12" spans="1:78" x14ac:dyDescent="0.25">
      <c r="A12" t="s">
        <v>60</v>
      </c>
      <c r="B12">
        <v>63.529505721437147</v>
      </c>
      <c r="C12">
        <v>20.45695226183031</v>
      </c>
      <c r="D12">
        <v>0.33159469159495458</v>
      </c>
      <c r="E12">
        <v>3</v>
      </c>
      <c r="F12">
        <f>(CS1_0-AVERAGE(CS1_0))/STDEV(CS1_0)</f>
        <v>-0.12182532909614699</v>
      </c>
      <c r="G12">
        <f>(CS1_1-AVERAGE(CS1_1))/STDEV(CS1_1)</f>
        <v>-0.86022260834331499</v>
      </c>
      <c r="H12">
        <f>(CS1_2-AVERAGE(CS1_2))/STDEV(CS1_2)</f>
        <v>1.3174650984805201</v>
      </c>
      <c r="I12">
        <f>CS1_0_std * CS1_0_loading+CS1_1_std * CS1_1_loading+CS1_2_std * CS1_2_loading</f>
        <v>0.77994193595275396</v>
      </c>
      <c r="J12">
        <f>(CS1_I_STD-MIN(CS1_I_STD_ALL))/(MAX(CS1_I_STD_ALL)-MIN(CS1_I_STD_ALL))*100</f>
        <v>66.542453095214825</v>
      </c>
      <c r="K12" s="138" t="s">
        <v>82</v>
      </c>
      <c r="L12" s="138">
        <v>19.785132701190538</v>
      </c>
      <c r="M12" s="139">
        <v>40.073006723844493</v>
      </c>
      <c r="N12" t="s">
        <v>60</v>
      </c>
      <c r="O12">
        <v>63.529505721437147</v>
      </c>
      <c r="P12">
        <v>20.45695226183031</v>
      </c>
      <c r="Q12">
        <v>0.33159469159495458</v>
      </c>
      <c r="R12">
        <v>3</v>
      </c>
      <c r="S12">
        <f>(CS2_0-AVERAGE(CS2_0))/STDEV(CS2_0)</f>
        <v>-0.12182532909614699</v>
      </c>
      <c r="T12">
        <f>(CS2_1-AVERAGE(CS2_1))/STDEV(CS2_1)</f>
        <v>-0.86022260834331499</v>
      </c>
      <c r="U12">
        <f>(CS2_2-AVERAGE(CS2_2))/STDEV(CS2_2)</f>
        <v>1.3174650984805201</v>
      </c>
      <c r="V12">
        <f>CS2_0_std * CS2_0_loading+CS2_1_std * CS2_1_loading+CS2_2_std * CS2_2_loading</f>
        <v>0.92769129173857789</v>
      </c>
      <c r="W12">
        <f>(CS2_I_STD-MIN(CS2_I_STD_ALL))/(MAX(CS2_I_STD_ALL)-MIN(CS2_I_STD_ALL))*100</f>
        <v>71.525216904007365</v>
      </c>
      <c r="X12" s="138" t="s">
        <v>67</v>
      </c>
      <c r="Y12" s="138">
        <v>101.50560235661756</v>
      </c>
      <c r="Z12" s="139">
        <v>41.632295164944068</v>
      </c>
      <c r="AA12" t="s">
        <v>60</v>
      </c>
      <c r="AB12">
        <v>63.529505721437147</v>
      </c>
      <c r="AC12">
        <v>20.45695226183031</v>
      </c>
      <c r="AD12">
        <v>0.33159469159495458</v>
      </c>
      <c r="AE12">
        <v>3</v>
      </c>
      <c r="AF12">
        <f>(PCA_0-AVERAGE(PCA_0))/STDEV(PCA_0)</f>
        <v>-0.12182532909614699</v>
      </c>
      <c r="AG12">
        <f>(PCA_1-AVERAGE(PCA_1))/STDEV(PCA_1)</f>
        <v>-0.86022260834331499</v>
      </c>
      <c r="AH12">
        <f>(PCA_2-AVERAGE(PCA_2))/STDEV(PCA_2)</f>
        <v>1.3174650984805201</v>
      </c>
      <c r="AI12">
        <f>PCA_0_std * PCA_0_loading+PCA_1_std * PCA_1_loading+PCA_2_std * PCA_2_loading</f>
        <v>1.0220839742797758</v>
      </c>
      <c r="AJ12">
        <f>(PCA_I_STD-MIN(PCA_I_STD_ALL))/(MAX(PCA_I_STD_ALL)-MIN(PCA_I_STD_ALL))*100</f>
        <v>67.599848275038639</v>
      </c>
      <c r="AK12" s="138" t="s">
        <v>77</v>
      </c>
      <c r="AL12" s="138">
        <v>75.4867889064125</v>
      </c>
      <c r="AM12" s="139">
        <v>33.41765196015983</v>
      </c>
      <c r="AN12" t="s">
        <v>60</v>
      </c>
      <c r="AO12">
        <v>63.529505721437147</v>
      </c>
      <c r="AP12">
        <v>20.45695226183031</v>
      </c>
      <c r="AQ12">
        <v>0.33159469159495458</v>
      </c>
      <c r="AR12">
        <v>3</v>
      </c>
      <c r="AS12">
        <f>(KTGET_0-AVERAGE(KTGET_0))/STDEV(KTGET_0)</f>
        <v>-0.12182532909614699</v>
      </c>
      <c r="AT12">
        <f>(KTGET_1-AVERAGE(KTGET_1))/STDEV(KTGET_1)</f>
        <v>-0.86022260834331499</v>
      </c>
      <c r="AU12">
        <f>(KTGET_2-AVERAGE(KTGET_2))/STDEV(KTGET_2)</f>
        <v>1.3174650984805201</v>
      </c>
      <c r="AV12">
        <f>KTGET_0_std * KTGET_0_loading+KTGET_1_std * KTGET_1_loading+KTGET_2_std * KTGET_2_loading</f>
        <v>0.84544498878884999</v>
      </c>
      <c r="AW12">
        <f>(KTGET_I_STD-MIN(KTGET_I_STD_ALL))/(MAX(KTGET_I_STD_ALL)-MIN(KTGET_I_STD_ALL))*100</f>
        <v>66.43063520371966</v>
      </c>
      <c r="AX12" s="138" t="s">
        <v>76</v>
      </c>
      <c r="AY12" s="138">
        <v>13.182567719439019</v>
      </c>
      <c r="AZ12" s="139">
        <v>38.160302113129504</v>
      </c>
      <c r="BA12" t="s">
        <v>60</v>
      </c>
      <c r="BB12">
        <v>63.529505721437147</v>
      </c>
      <c r="BC12">
        <v>20.45695226183031</v>
      </c>
      <c r="BD12">
        <v>0.33159469159495458</v>
      </c>
      <c r="BE12">
        <v>3</v>
      </c>
      <c r="BF12">
        <f>(KTGT_0-AVERAGE(KTGT_0))/STDEV(KTGT_0)</f>
        <v>-0.12182532909614699</v>
      </c>
      <c r="BG12">
        <f>(KTGT_1-AVERAGE(KTGT_1))/STDEV(KTGT_1)</f>
        <v>-0.86022260834331499</v>
      </c>
      <c r="BH12">
        <f>(KTGT_2-AVERAGE(KTGT_2))/STDEV(KTGT_2)</f>
        <v>1.3174650984805201</v>
      </c>
      <c r="BI12">
        <f>KTGT_0_std * KTGT_0_loading+KTGT_1_std * KTGT_1_loading+KTGT_2_std * KTGT_2_loading</f>
        <v>0.84426508579061332</v>
      </c>
      <c r="BJ12">
        <f>(KTGT_I_STD-MIN(KTGT_I_STD_ALL))/(MAX(KTGT_I_STD_ALL)-MIN(KTGT_I_STD_ALL))*100</f>
        <v>66.432703241170671</v>
      </c>
      <c r="BK12" s="138" t="s">
        <v>76</v>
      </c>
      <c r="BL12" s="138">
        <v>13.182567719439019</v>
      </c>
      <c r="BM12" s="139">
        <v>38.163012577581675</v>
      </c>
      <c r="BN12" t="s">
        <v>60</v>
      </c>
      <c r="BO12">
        <v>63.529505721437147</v>
      </c>
      <c r="BP12">
        <v>20.45695226183031</v>
      </c>
      <c r="BQ12">
        <v>0.33159469159495458</v>
      </c>
      <c r="BR12">
        <v>3</v>
      </c>
      <c r="BS12">
        <f>(SA_0-AVERAGE(SA_0))/STDEV(SA_0)</f>
        <v>-0.12182532909614699</v>
      </c>
      <c r="BT12">
        <f>(SA_1-AVERAGE(SA_1))/STDEV(SA_1)</f>
        <v>-0.86022260834331499</v>
      </c>
      <c r="BU12">
        <f>(SA_2-AVERAGE(SA_2))/STDEV(SA_2)</f>
        <v>1.3174650984805201</v>
      </c>
      <c r="BV12">
        <f>SA_0_std * SA_0_loading+SA_1_std * SA_1_loading+SA_2_std * SA_2_loading</f>
        <v>0.19365318821787492</v>
      </c>
      <c r="BW12">
        <f>(SA_I_STD-MIN(SA_I_STD_ALL))/(MAX(SA_I_STD_ALL)-MIN(SA_I_STD_ALL))*100</f>
        <v>55.319040235681925</v>
      </c>
      <c r="BX12" s="138" t="s">
        <v>84</v>
      </c>
      <c r="BY12" s="138">
        <v>101.91738416424882</v>
      </c>
      <c r="BZ12" s="139">
        <v>42.211810742763326</v>
      </c>
    </row>
    <row r="13" spans="1:78" x14ac:dyDescent="0.25">
      <c r="A13" t="s">
        <v>69</v>
      </c>
      <c r="B13">
        <v>34.273958837549863</v>
      </c>
      <c r="C13">
        <v>36.343488539802046</v>
      </c>
      <c r="D13">
        <v>0</v>
      </c>
      <c r="E13">
        <v>3</v>
      </c>
      <c r="F13">
        <f>(CS1_0-AVERAGE(CS1_0))/STDEV(CS1_0)</f>
        <v>1.9930563050079835</v>
      </c>
      <c r="G13">
        <f>(CS1_1-AVERAGE(CS1_1))/STDEV(CS1_1)</f>
        <v>-1.1505668105713331</v>
      </c>
      <c r="H13">
        <f>(CS1_2-AVERAGE(CS1_2))/STDEV(CS1_2)</f>
        <v>1.3174650984805201</v>
      </c>
      <c r="I13">
        <f>CS1_0_std * CS1_0_loading+CS1_1_std * CS1_1_loading+CS1_2_std * CS1_2_loading</f>
        <v>2.245968150115353</v>
      </c>
      <c r="J13">
        <f>(CS1_I_STD-MIN(CS1_I_STD_ALL))/(MAX(CS1_I_STD_ALL)-MIN(CS1_I_STD_ALL))*100</f>
        <v>98.217798759212556</v>
      </c>
      <c r="K13" s="138" t="s">
        <v>84</v>
      </c>
      <c r="L13" s="138">
        <v>101.91738416424882</v>
      </c>
      <c r="M13" s="139">
        <v>42.4872739270916</v>
      </c>
      <c r="N13" t="s">
        <v>69</v>
      </c>
      <c r="O13">
        <v>34.273958837549863</v>
      </c>
      <c r="P13">
        <v>36.343488539802046</v>
      </c>
      <c r="Q13">
        <v>0</v>
      </c>
      <c r="R13">
        <v>3</v>
      </c>
      <c r="S13">
        <f>(CS2_0-AVERAGE(CS2_0))/STDEV(CS2_0)</f>
        <v>1.9930563050079835</v>
      </c>
      <c r="T13">
        <f>(CS2_1-AVERAGE(CS2_1))/STDEV(CS2_1)</f>
        <v>-1.1505668105713331</v>
      </c>
      <c r="U13">
        <f>(CS2_2-AVERAGE(CS2_2))/STDEV(CS2_2)</f>
        <v>1.3174650984805201</v>
      </c>
      <c r="V13">
        <f>CS2_0_std * CS2_0_loading+CS2_1_std * CS2_1_loading+CS2_2_std * CS2_2_loading</f>
        <v>2.1443536680768149</v>
      </c>
      <c r="W13">
        <f>(CS2_I_STD-MIN(CS2_I_STD_ALL))/(MAX(CS2_I_STD_ALL)-MIN(CS2_I_STD_ALL))*100</f>
        <v>98.382066148783693</v>
      </c>
      <c r="X13" s="138" t="s">
        <v>57</v>
      </c>
      <c r="Y13" s="138">
        <v>92.255436220636625</v>
      </c>
      <c r="Z13" s="139">
        <v>42.055446157475799</v>
      </c>
      <c r="AA13" t="s">
        <v>69</v>
      </c>
      <c r="AB13">
        <v>34.273958837549863</v>
      </c>
      <c r="AC13">
        <v>36.343488539802046</v>
      </c>
      <c r="AD13">
        <v>0</v>
      </c>
      <c r="AE13">
        <v>3</v>
      </c>
      <c r="AF13">
        <f>(PCA_0-AVERAGE(PCA_0))/STDEV(PCA_0)</f>
        <v>1.9930563050079835</v>
      </c>
      <c r="AG13">
        <f>(PCA_1-AVERAGE(PCA_1))/STDEV(PCA_1)</f>
        <v>-1.1505668105713331</v>
      </c>
      <c r="AH13">
        <f>(PCA_2-AVERAGE(PCA_2))/STDEV(PCA_2)</f>
        <v>1.3174650984805201</v>
      </c>
      <c r="AI13">
        <f>PCA_0_std * PCA_0_loading+PCA_1_std * PCA_1_loading+PCA_2_std * PCA_2_loading</f>
        <v>2.5527185806922588</v>
      </c>
      <c r="AJ13">
        <f>(PCA_I_STD-MIN(PCA_I_STD_ALL))/(MAX(PCA_I_STD_ALL)-MIN(PCA_I_STD_ALL))*100</f>
        <v>100</v>
      </c>
      <c r="AK13" s="138" t="s">
        <v>79</v>
      </c>
      <c r="AL13" s="138">
        <v>94.234282592006622</v>
      </c>
      <c r="AM13" s="139">
        <v>36.991182209661545</v>
      </c>
      <c r="AN13" t="s">
        <v>69</v>
      </c>
      <c r="AO13">
        <v>34.273958837549863</v>
      </c>
      <c r="AP13">
        <v>36.343488539802046</v>
      </c>
      <c r="AQ13">
        <v>0</v>
      </c>
      <c r="AR13">
        <v>3</v>
      </c>
      <c r="AS13">
        <f>(KTGET_0-AVERAGE(KTGET_0))/STDEV(KTGET_0)</f>
        <v>1.9930563050079835</v>
      </c>
      <c r="AT13">
        <f>(KTGET_1-AVERAGE(KTGET_1))/STDEV(KTGET_1)</f>
        <v>-1.1505668105713331</v>
      </c>
      <c r="AU13">
        <f>(KTGET_2-AVERAGE(KTGET_2))/STDEV(KTGET_2)</f>
        <v>1.3174650984805201</v>
      </c>
      <c r="AV13">
        <f>KTGET_0_std * KTGET_0_loading+KTGET_1_std * KTGET_1_loading+KTGET_2_std * KTGET_2_loading</f>
        <v>2.340892133669533</v>
      </c>
      <c r="AW13">
        <f>(KTGET_I_STD-MIN(KTGET_I_STD_ALL))/(MAX(KTGET_I_STD_ALL)-MIN(KTGET_I_STD_ALL))*100</f>
        <v>98.854320703264349</v>
      </c>
      <c r="AX13" s="138" t="s">
        <v>84</v>
      </c>
      <c r="AY13" s="138">
        <v>101.91738416424882</v>
      </c>
      <c r="AZ13" s="139">
        <v>41.343896621154272</v>
      </c>
      <c r="BA13" t="s">
        <v>69</v>
      </c>
      <c r="BB13">
        <v>34.273958837549863</v>
      </c>
      <c r="BC13">
        <v>36.343488539802046</v>
      </c>
      <c r="BD13">
        <v>0</v>
      </c>
      <c r="BE13">
        <v>3</v>
      </c>
      <c r="BF13">
        <f>(KTGT_0-AVERAGE(KTGT_0))/STDEV(KTGT_0)</f>
        <v>1.9930563050079835</v>
      </c>
      <c r="BG13">
        <f>(KTGT_1-AVERAGE(KTGT_1))/STDEV(KTGT_1)</f>
        <v>-1.1505668105713331</v>
      </c>
      <c r="BH13">
        <f>(KTGT_2-AVERAGE(KTGT_2))/STDEV(KTGT_2)</f>
        <v>1.3174650984805201</v>
      </c>
      <c r="BI13">
        <f>KTGT_0_std * KTGT_0_loading+KTGT_1_std * KTGT_1_loading+KTGT_2_std * KTGT_2_loading</f>
        <v>2.3392428467146336</v>
      </c>
      <c r="BJ13">
        <f>(KTGT_I_STD-MIN(KTGT_I_STD_ALL))/(MAX(KTGT_I_STD_ALL)-MIN(KTGT_I_STD_ALL))*100</f>
        <v>98.842389339634806</v>
      </c>
      <c r="BK13" s="138" t="s">
        <v>84</v>
      </c>
      <c r="BL13" s="138">
        <v>101.91738416424882</v>
      </c>
      <c r="BM13" s="139">
        <v>41.365306138457747</v>
      </c>
      <c r="BN13" t="s">
        <v>69</v>
      </c>
      <c r="BO13">
        <v>34.273958837549863</v>
      </c>
      <c r="BP13">
        <v>36.343488539802046</v>
      </c>
      <c r="BQ13">
        <v>0</v>
      </c>
      <c r="BR13">
        <v>3</v>
      </c>
      <c r="BS13">
        <f>(SA_0-AVERAGE(SA_0))/STDEV(SA_0)</f>
        <v>1.9930563050079835</v>
      </c>
      <c r="BT13">
        <f>(SA_1-AVERAGE(SA_1))/STDEV(SA_1)</f>
        <v>-1.1505668105713331</v>
      </c>
      <c r="BU13">
        <f>(SA_2-AVERAGE(SA_2))/STDEV(SA_2)</f>
        <v>1.3174650984805201</v>
      </c>
      <c r="BV13">
        <f>SA_0_std * SA_0_loading+SA_1_std * SA_1_loading+SA_2_std * SA_2_loading</f>
        <v>1.2470503656580967</v>
      </c>
      <c r="BW13">
        <f>(SA_I_STD-MIN(SA_I_STD_ALL))/(MAX(SA_I_STD_ALL)-MIN(SA_I_STD_ALL))*100</f>
        <v>77.149757104045548</v>
      </c>
      <c r="BX13" s="138" t="s">
        <v>59</v>
      </c>
      <c r="BY13" s="138">
        <v>112.06602026518708</v>
      </c>
      <c r="BZ13" s="139">
        <v>43.232345407391307</v>
      </c>
    </row>
    <row r="14" spans="1:78" x14ac:dyDescent="0.25">
      <c r="A14" t="s">
        <v>78</v>
      </c>
      <c r="B14">
        <v>40.093755528038209</v>
      </c>
      <c r="C14">
        <v>18.074402494410997</v>
      </c>
      <c r="D14">
        <v>0.88479102444851565</v>
      </c>
      <c r="E14">
        <v>3</v>
      </c>
      <c r="F14">
        <f>(CS1_0-AVERAGE(CS1_0))/STDEV(CS1_0)</f>
        <v>-0.43900024106490543</v>
      </c>
      <c r="G14">
        <f>(CS1_1-AVERAGE(CS1_1))/STDEV(CS1_1)</f>
        <v>-0.37584408236248412</v>
      </c>
      <c r="H14">
        <f>(CS1_2-AVERAGE(CS1_2))/STDEV(CS1_2)</f>
        <v>1.3174650984805201</v>
      </c>
      <c r="I14">
        <f>CS1_0_std * CS1_0_loading+CS1_1_std * CS1_1_loading+CS1_2_std * CS1_2_loading</f>
        <v>0.59348518622491431</v>
      </c>
      <c r="J14">
        <f>(CS1_I_STD-MIN(CS1_I_STD_ALL))/(MAX(CS1_I_STD_ALL)-MIN(CS1_I_STD_ALL))*100</f>
        <v>62.513819812972713</v>
      </c>
      <c r="K14" s="138" t="s">
        <v>57</v>
      </c>
      <c r="L14" s="138">
        <v>92.255436220636625</v>
      </c>
      <c r="M14" s="139">
        <v>43.520991580309243</v>
      </c>
      <c r="N14" t="s">
        <v>78</v>
      </c>
      <c r="O14">
        <v>40.093755528038209</v>
      </c>
      <c r="P14">
        <v>18.074402494410997</v>
      </c>
      <c r="Q14">
        <v>0.88479102444851565</v>
      </c>
      <c r="R14">
        <v>3</v>
      </c>
      <c r="S14">
        <f>(CS2_0-AVERAGE(CS2_0))/STDEV(CS2_0)</f>
        <v>-0.43900024106490543</v>
      </c>
      <c r="T14">
        <f>(CS2_1-AVERAGE(CS2_1))/STDEV(CS2_1)</f>
        <v>-0.37584408236248412</v>
      </c>
      <c r="U14">
        <f>(CS2_2-AVERAGE(CS2_2))/STDEV(CS2_2)</f>
        <v>1.3174650984805201</v>
      </c>
      <c r="V14">
        <f>CS2_0_std * CS2_0_loading+CS2_1_std * CS2_1_loading+CS2_2_std * CS2_2_loading</f>
        <v>0.77821973585841286</v>
      </c>
      <c r="W14">
        <f>(CS2_I_STD-MIN(CS2_I_STD_ALL))/(MAX(CS2_I_STD_ALL)-MIN(CS2_I_STD_ALL))*100</f>
        <v>68.225751809395319</v>
      </c>
      <c r="X14" s="138" t="s">
        <v>68</v>
      </c>
      <c r="Y14" s="138">
        <v>357.45486313337216</v>
      </c>
      <c r="Z14" s="139">
        <v>43.115759895885958</v>
      </c>
      <c r="AA14" t="s">
        <v>78</v>
      </c>
      <c r="AB14">
        <v>40.093755528038209</v>
      </c>
      <c r="AC14">
        <v>18.074402494410997</v>
      </c>
      <c r="AD14">
        <v>0.88479102444851565</v>
      </c>
      <c r="AE14">
        <v>3</v>
      </c>
      <c r="AF14">
        <f>(PCA_0-AVERAGE(PCA_0))/STDEV(PCA_0)</f>
        <v>-0.43900024106490543</v>
      </c>
      <c r="AG14">
        <f>(PCA_1-AVERAGE(PCA_1))/STDEV(PCA_1)</f>
        <v>-0.37584408236248412</v>
      </c>
      <c r="AH14">
        <f>(PCA_2-AVERAGE(PCA_2))/STDEV(PCA_2)</f>
        <v>1.3174650984805201</v>
      </c>
      <c r="AI14">
        <f>PCA_0_std * PCA_0_loading+PCA_1_std * PCA_1_loading+PCA_2_std * PCA_2_loading</f>
        <v>0.6858388058842626</v>
      </c>
      <c r="AJ14">
        <f>(PCA_I_STD-MIN(PCA_I_STD_ALL))/(MAX(PCA_I_STD_ALL)-MIN(PCA_I_STD_ALL))*100</f>
        <v>60.482281203734665</v>
      </c>
      <c r="AK14" s="138" t="s">
        <v>84</v>
      </c>
      <c r="AL14" s="138">
        <v>101.91738416424882</v>
      </c>
      <c r="AM14" s="139">
        <v>41.104274613459076</v>
      </c>
      <c r="AN14" t="s">
        <v>78</v>
      </c>
      <c r="AO14">
        <v>40.093755528038209</v>
      </c>
      <c r="AP14">
        <v>18.074402494410997</v>
      </c>
      <c r="AQ14">
        <v>0.88479102444851565</v>
      </c>
      <c r="AR14">
        <v>3</v>
      </c>
      <c r="AS14">
        <f>(KTGET_0-AVERAGE(KTGET_0))/STDEV(KTGET_0)</f>
        <v>-0.43900024106490543</v>
      </c>
      <c r="AT14">
        <f>(KTGET_1-AVERAGE(KTGET_1))/STDEV(KTGET_1)</f>
        <v>-0.37584408236248412</v>
      </c>
      <c r="AU14">
        <f>(KTGET_2-AVERAGE(KTGET_2))/STDEV(KTGET_2)</f>
        <v>1.3174650984805201</v>
      </c>
      <c r="AV14">
        <f>KTGET_0_std * KTGET_0_loading+KTGET_1_std * KTGET_1_loading+KTGET_2_std * KTGET_2_loading</f>
        <v>0.62116845771367979</v>
      </c>
      <c r="AW14">
        <f>(KTGET_I_STD-MIN(KTGET_I_STD_ALL))/(MAX(KTGET_I_STD_ALL)-MIN(KTGET_I_STD_ALL))*100</f>
        <v>61.567961365059595</v>
      </c>
      <c r="AX14" s="138" t="s">
        <v>79</v>
      </c>
      <c r="AY14" s="138">
        <v>94.234282592006622</v>
      </c>
      <c r="AZ14" s="139">
        <v>42.736986238651241</v>
      </c>
      <c r="BA14" t="s">
        <v>78</v>
      </c>
      <c r="BB14">
        <v>40.093755528038209</v>
      </c>
      <c r="BC14">
        <v>18.074402494410997</v>
      </c>
      <c r="BD14">
        <v>0.88479102444851565</v>
      </c>
      <c r="BE14">
        <v>3</v>
      </c>
      <c r="BF14">
        <f>(KTGT_0-AVERAGE(KTGT_0))/STDEV(KTGT_0)</f>
        <v>-0.43900024106490543</v>
      </c>
      <c r="BG14">
        <f>(KTGT_1-AVERAGE(KTGT_1))/STDEV(KTGT_1)</f>
        <v>-0.37584408236248412</v>
      </c>
      <c r="BH14">
        <f>(KTGT_2-AVERAGE(KTGT_2))/STDEV(KTGT_2)</f>
        <v>1.3174650984805201</v>
      </c>
      <c r="BI14">
        <f>KTGT_0_std * KTGT_0_loading+KTGT_1_std * KTGT_1_loading+KTGT_2_std * KTGT_2_loading</f>
        <v>0.62068300752286942</v>
      </c>
      <c r="BJ14">
        <f>(KTGT_I_STD-MIN(KTGT_I_STD_ALL))/(MAX(KTGT_I_STD_ALL)-MIN(KTGT_I_STD_ALL))*100</f>
        <v>61.58565791159932</v>
      </c>
      <c r="BK14" s="138" t="s">
        <v>79</v>
      </c>
      <c r="BL14" s="138">
        <v>94.234282592006622</v>
      </c>
      <c r="BM14" s="139">
        <v>42.790734018900608</v>
      </c>
      <c r="BN14" t="s">
        <v>78</v>
      </c>
      <c r="BO14">
        <v>40.093755528038209</v>
      </c>
      <c r="BP14">
        <v>18.074402494410997</v>
      </c>
      <c r="BQ14">
        <v>0.88479102444851565</v>
      </c>
      <c r="BR14">
        <v>3</v>
      </c>
      <c r="BS14">
        <f>(SA_0-AVERAGE(SA_0))/STDEV(SA_0)</f>
        <v>-0.43900024106490543</v>
      </c>
      <c r="BT14">
        <f>(SA_1-AVERAGE(SA_1))/STDEV(SA_1)</f>
        <v>-0.37584408236248412</v>
      </c>
      <c r="BU14">
        <f>(SA_2-AVERAGE(SA_2))/STDEV(SA_2)</f>
        <v>1.3174650984805201</v>
      </c>
      <c r="BV14">
        <f>SA_0_std * SA_0_loading+SA_1_std * SA_1_loading+SA_2_std * SA_2_loading</f>
        <v>0.29018823977722324</v>
      </c>
      <c r="BW14">
        <f>(SA_I_STD-MIN(SA_I_STD_ALL))/(MAX(SA_I_STD_ALL)-MIN(SA_I_STD_ALL))*100</f>
        <v>57.319643069634942</v>
      </c>
      <c r="BX14" s="138" t="s">
        <v>83</v>
      </c>
      <c r="BY14" s="138">
        <v>3.105838831144009</v>
      </c>
      <c r="BZ14" s="139">
        <v>43.601052783612495</v>
      </c>
    </row>
    <row r="15" spans="1:78" x14ac:dyDescent="0.25">
      <c r="A15" t="s">
        <v>82</v>
      </c>
      <c r="B15">
        <v>19.785132701190538</v>
      </c>
      <c r="C15">
        <v>21</v>
      </c>
      <c r="D15">
        <v>2.9242900304696127</v>
      </c>
      <c r="E15">
        <v>1</v>
      </c>
      <c r="F15">
        <f>(CS1_0-AVERAGE(CS1_0))/STDEV(CS1_0)</f>
        <v>-4.953256069140978E-2</v>
      </c>
      <c r="G15">
        <f>(CS1_1-AVERAGE(CS1_1))/STDEV(CS1_1)</f>
        <v>1.4099405723911422</v>
      </c>
      <c r="H15">
        <f>(CS1_2-AVERAGE(CS1_2))/STDEV(CS1_2)</f>
        <v>-0.7319250547113999</v>
      </c>
      <c r="I15">
        <f>CS1_0_std * CS1_0_loading+CS1_1_std * CS1_1_loading+CS1_2_std * CS1_2_loading</f>
        <v>-0.44514026729864542</v>
      </c>
      <c r="J15">
        <f>(CS1_I_STD-MIN(CS1_I_STD_ALL))/(MAX(CS1_I_STD_ALL)-MIN(CS1_I_STD_ALL))*100</f>
        <v>40.073006723844493</v>
      </c>
      <c r="K15" s="138" t="s">
        <v>68</v>
      </c>
      <c r="L15" s="138">
        <v>357.45486313337216</v>
      </c>
      <c r="M15" s="139">
        <v>44.736635151440375</v>
      </c>
      <c r="N15" t="s">
        <v>82</v>
      </c>
      <c r="O15">
        <v>19.785132701190538</v>
      </c>
      <c r="P15">
        <v>21</v>
      </c>
      <c r="Q15">
        <v>2.9242900304696127</v>
      </c>
      <c r="R15">
        <v>1</v>
      </c>
      <c r="S15">
        <f>(CS2_0-AVERAGE(CS2_0))/STDEV(CS2_0)</f>
        <v>-4.953256069140978E-2</v>
      </c>
      <c r="T15">
        <f>(CS2_1-AVERAGE(CS2_1))/STDEV(CS2_1)</f>
        <v>1.4099405723911422</v>
      </c>
      <c r="U15">
        <f>(CS2_2-AVERAGE(CS2_2))/STDEV(CS2_2)</f>
        <v>-0.7319250547113999</v>
      </c>
      <c r="V15">
        <f>CS2_0_std * CS2_0_loading+CS2_1_std * CS2_1_loading+CS2_2_std * CS2_2_loading</f>
        <v>-0.51426005300031974</v>
      </c>
      <c r="W15">
        <f>(CS2_I_STD-MIN(CS2_I_STD_ALL))/(MAX(CS2_I_STD_ALL)-MIN(CS2_I_STD_ALL))*100</f>
        <v>39.695293798709471</v>
      </c>
      <c r="X15" s="138" t="s">
        <v>75</v>
      </c>
      <c r="Y15" s="138">
        <v>109.01309275271484</v>
      </c>
      <c r="Z15" s="139">
        <v>44.171718141174452</v>
      </c>
      <c r="AA15" t="s">
        <v>82</v>
      </c>
      <c r="AB15">
        <v>19.785132701190538</v>
      </c>
      <c r="AC15">
        <v>21</v>
      </c>
      <c r="AD15">
        <v>2.9242900304696127</v>
      </c>
      <c r="AE15">
        <v>1</v>
      </c>
      <c r="AF15">
        <f>(PCA_0-AVERAGE(PCA_0))/STDEV(PCA_0)</f>
        <v>-4.953256069140978E-2</v>
      </c>
      <c r="AG15">
        <f>(PCA_1-AVERAGE(PCA_1))/STDEV(PCA_1)</f>
        <v>1.4099405723911422</v>
      </c>
      <c r="AH15">
        <f>(PCA_2-AVERAGE(PCA_2))/STDEV(PCA_2)</f>
        <v>-0.7319250547113999</v>
      </c>
      <c r="AI15">
        <f>PCA_0_std * PCA_0_loading+PCA_1_std * PCA_1_loading+PCA_2_std * PCA_2_loading</f>
        <v>-0.87433585741764119</v>
      </c>
      <c r="AJ15">
        <f>(PCA_I_STD-MIN(PCA_I_STD_ALL))/(MAX(PCA_I_STD_ALL)-MIN(PCA_I_STD_ALL))*100</f>
        <v>27.456831761622819</v>
      </c>
      <c r="AK15" s="138" t="s">
        <v>76</v>
      </c>
      <c r="AL15" s="138">
        <v>13.182567719439019</v>
      </c>
      <c r="AM15" s="139">
        <v>41.267459844164037</v>
      </c>
      <c r="AN15" t="s">
        <v>82</v>
      </c>
      <c r="AO15">
        <v>19.785132701190538</v>
      </c>
      <c r="AP15">
        <v>21</v>
      </c>
      <c r="AQ15">
        <v>2.9242900304696127</v>
      </c>
      <c r="AR15">
        <v>1</v>
      </c>
      <c r="AS15">
        <f>(KTGET_0-AVERAGE(KTGET_0))/STDEV(KTGET_0)</f>
        <v>-4.953256069140978E-2</v>
      </c>
      <c r="AT15">
        <f>(KTGET_1-AVERAGE(KTGET_1))/STDEV(KTGET_1)</f>
        <v>1.4099405723911422</v>
      </c>
      <c r="AU15">
        <f>(KTGET_2-AVERAGE(KTGET_2))/STDEV(KTGET_2)</f>
        <v>-0.7319250547113999</v>
      </c>
      <c r="AV15">
        <f>KTGET_0_std * KTGET_0_loading+KTGET_1_std * KTGET_1_loading+KTGET_2_std * KTGET_2_loading</f>
        <v>-0.55257397906159389</v>
      </c>
      <c r="AW15">
        <f>(KTGET_I_STD-MIN(KTGET_I_STD_ALL))/(MAX(KTGET_I_STD_ALL)-MIN(KTGET_I_STD_ALL))*100</f>
        <v>36.11934838147792</v>
      </c>
      <c r="AX15" s="138" t="s">
        <v>57</v>
      </c>
      <c r="AY15" s="138">
        <v>92.255436220636625</v>
      </c>
      <c r="AZ15" s="139">
        <v>43.226778629726581</v>
      </c>
      <c r="BA15" t="s">
        <v>82</v>
      </c>
      <c r="BB15">
        <v>19.785132701190538</v>
      </c>
      <c r="BC15">
        <v>21</v>
      </c>
      <c r="BD15">
        <v>2.9242900304696127</v>
      </c>
      <c r="BE15">
        <v>1</v>
      </c>
      <c r="BF15">
        <f>(KTGT_0-AVERAGE(KTGT_0))/STDEV(KTGT_0)</f>
        <v>-4.953256069140978E-2</v>
      </c>
      <c r="BG15">
        <f>(KTGT_1-AVERAGE(KTGT_1))/STDEV(KTGT_1)</f>
        <v>1.4099405723911422</v>
      </c>
      <c r="BH15">
        <f>(KTGT_2-AVERAGE(KTGT_2))/STDEV(KTGT_2)</f>
        <v>-0.7319250547113999</v>
      </c>
      <c r="BI15">
        <f>KTGT_0_std * KTGT_0_loading+KTGT_1_std * KTGT_1_loading+KTGT_2_std * KTGT_2_loading</f>
        <v>-0.55059582217889813</v>
      </c>
      <c r="BJ15">
        <f>(KTGT_I_STD-MIN(KTGT_I_STD_ALL))/(MAX(KTGT_I_STD_ALL)-MIN(KTGT_I_STD_ALL))*100</f>
        <v>36.193454631633578</v>
      </c>
      <c r="BK15" s="138" t="s">
        <v>57</v>
      </c>
      <c r="BL15" s="138">
        <v>92.255436220636625</v>
      </c>
      <c r="BM15" s="139">
        <v>43.23230128949875</v>
      </c>
      <c r="BN15" t="s">
        <v>82</v>
      </c>
      <c r="BO15">
        <v>19.785132701190538</v>
      </c>
      <c r="BP15">
        <v>21</v>
      </c>
      <c r="BQ15">
        <v>2.9242900304696127</v>
      </c>
      <c r="BR15">
        <v>1</v>
      </c>
      <c r="BS15">
        <f>(SA_0-AVERAGE(SA_0))/STDEV(SA_0)</f>
        <v>-4.953256069140978E-2</v>
      </c>
      <c r="BT15">
        <f>(SA_1-AVERAGE(SA_1))/STDEV(SA_1)</f>
        <v>1.4099405723911422</v>
      </c>
      <c r="BU15">
        <f>(SA_2-AVERAGE(SA_2))/STDEV(SA_2)</f>
        <v>-0.7319250547113999</v>
      </c>
      <c r="BV15">
        <f>SA_0_std * SA_0_loading+SA_1_std * SA_1_loading+SA_2_std * SA_2_loading</f>
        <v>0.36285480439830581</v>
      </c>
      <c r="BW15">
        <f>(SA_I_STD-MIN(SA_I_STD_ALL))/(MAX(SA_I_STD_ALL)-MIN(SA_I_STD_ALL))*100</f>
        <v>58.825592802568913</v>
      </c>
      <c r="BX15" s="138" t="s">
        <v>71</v>
      </c>
      <c r="BY15" s="138">
        <v>59.97365989925494</v>
      </c>
      <c r="BZ15" s="139">
        <v>47.358814021819306</v>
      </c>
    </row>
    <row r="16" spans="1:78" x14ac:dyDescent="0.25">
      <c r="A16" t="s">
        <v>77</v>
      </c>
      <c r="B16">
        <v>75.4867889064125</v>
      </c>
      <c r="C16">
        <v>25</v>
      </c>
      <c r="D16">
        <v>3.3305880000000001</v>
      </c>
      <c r="E16">
        <v>1</v>
      </c>
      <c r="F16">
        <f>(CS1_0-AVERAGE(CS1_0))/STDEV(CS1_0)</f>
        <v>0.4829640382145769</v>
      </c>
      <c r="G16">
        <f>(CS1_1-AVERAGE(CS1_1))/STDEV(CS1_1)</f>
        <v>1.7656949400583442</v>
      </c>
      <c r="H16">
        <f>(CS1_2-AVERAGE(CS1_2))/STDEV(CS1_2)</f>
        <v>-0.7319250547113999</v>
      </c>
      <c r="I16">
        <f>CS1_0_std * CS1_0_loading+CS1_1_std * CS1_1_loading+CS1_2_std * CS1_2_loading</f>
        <v>-4.351619921715727E-2</v>
      </c>
      <c r="J16">
        <f>(CS1_I_STD-MIN(CS1_I_STD_ALL))/(MAX(CS1_I_STD_ALL)-MIN(CS1_I_STD_ALL))*100</f>
        <v>48.750601340205911</v>
      </c>
      <c r="K16" s="138" t="s">
        <v>79</v>
      </c>
      <c r="L16" s="138">
        <v>94.234282592006622</v>
      </c>
      <c r="M16" s="139">
        <v>45.604169540939985</v>
      </c>
      <c r="N16" t="s">
        <v>77</v>
      </c>
      <c r="O16">
        <v>75.4867889064125</v>
      </c>
      <c r="P16">
        <v>25</v>
      </c>
      <c r="Q16">
        <v>3.3305880000000001</v>
      </c>
      <c r="R16">
        <v>1</v>
      </c>
      <c r="S16">
        <f>(CS2_0-AVERAGE(CS2_0))/STDEV(CS2_0)</f>
        <v>0.4829640382145769</v>
      </c>
      <c r="T16">
        <f>(CS2_1-AVERAGE(CS2_1))/STDEV(CS2_1)</f>
        <v>1.7656949400583442</v>
      </c>
      <c r="U16">
        <f>(CS2_2-AVERAGE(CS2_2))/STDEV(CS2_2)</f>
        <v>-0.7319250547113999</v>
      </c>
      <c r="V16">
        <f>CS2_0_std * CS2_0_loading+CS2_1_std * CS2_1_loading+CS2_2_std * CS2_2_loading</f>
        <v>-0.17582360391390095</v>
      </c>
      <c r="W16">
        <f>(CS2_I_STD-MIN(CS2_I_STD_ALL))/(MAX(CS2_I_STD_ALL)-MIN(CS2_I_STD_ALL))*100</f>
        <v>47.166007834765516</v>
      </c>
      <c r="X16" s="138" t="s">
        <v>79</v>
      </c>
      <c r="Y16" s="138">
        <v>94.234282592006622</v>
      </c>
      <c r="Z16" s="139">
        <v>44.234566939847362</v>
      </c>
      <c r="AA16" t="s">
        <v>77</v>
      </c>
      <c r="AB16">
        <v>75.4867889064125</v>
      </c>
      <c r="AC16">
        <v>25</v>
      </c>
      <c r="AD16">
        <v>3.3305880000000001</v>
      </c>
      <c r="AE16">
        <v>1</v>
      </c>
      <c r="AF16">
        <f>(PCA_0-AVERAGE(PCA_0))/STDEV(PCA_0)</f>
        <v>0.4829640382145769</v>
      </c>
      <c r="AG16">
        <f>(PCA_1-AVERAGE(PCA_1))/STDEV(PCA_1)</f>
        <v>1.7656949400583442</v>
      </c>
      <c r="AH16">
        <f>(PCA_2-AVERAGE(PCA_2))/STDEV(PCA_2)</f>
        <v>-0.7319250547113999</v>
      </c>
      <c r="AI16">
        <f>PCA_0_std * PCA_0_loading+PCA_1_std * PCA_1_loading+PCA_2_std * PCA_2_loading</f>
        <v>-0.59273724775884196</v>
      </c>
      <c r="AJ16">
        <f>(PCA_I_STD-MIN(PCA_I_STD_ALL))/(MAX(PCA_I_STD_ALL)-MIN(PCA_I_STD_ALL))*100</f>
        <v>33.41765196015983</v>
      </c>
      <c r="AK16" s="138" t="s">
        <v>75</v>
      </c>
      <c r="AL16" s="138">
        <v>109.01309275271484</v>
      </c>
      <c r="AM16" s="139">
        <v>42.702361530873361</v>
      </c>
      <c r="AN16" t="s">
        <v>77</v>
      </c>
      <c r="AO16">
        <v>75.4867889064125</v>
      </c>
      <c r="AP16">
        <v>25</v>
      </c>
      <c r="AQ16">
        <v>3.3305880000000001</v>
      </c>
      <c r="AR16">
        <v>1</v>
      </c>
      <c r="AS16">
        <f>(KTGET_0-AVERAGE(KTGET_0))/STDEV(KTGET_0)</f>
        <v>0.4829640382145769</v>
      </c>
      <c r="AT16">
        <f>(KTGET_1-AVERAGE(KTGET_1))/STDEV(KTGET_1)</f>
        <v>1.7656949400583442</v>
      </c>
      <c r="AU16">
        <f>(KTGET_2-AVERAGE(KTGET_2))/STDEV(KTGET_2)</f>
        <v>-0.7319250547113999</v>
      </c>
      <c r="AV16">
        <f>KTGET_0_std * KTGET_0_loading+KTGET_1_std * KTGET_1_loading+KTGET_2_std * KTGET_2_loading</f>
        <v>-0.1760420230167084</v>
      </c>
      <c r="AW16">
        <f>(KTGET_I_STD-MIN(KTGET_I_STD_ALL))/(MAX(KTGET_I_STD_ALL)-MIN(KTGET_I_STD_ALL))*100</f>
        <v>44.283163308084262</v>
      </c>
      <c r="AX16" s="138" t="s">
        <v>77</v>
      </c>
      <c r="AY16" s="138">
        <v>75.4867889064125</v>
      </c>
      <c r="AZ16" s="139">
        <v>44.283163308084262</v>
      </c>
      <c r="BA16" t="s">
        <v>77</v>
      </c>
      <c r="BB16">
        <v>75.4867889064125</v>
      </c>
      <c r="BC16">
        <v>25</v>
      </c>
      <c r="BD16">
        <v>3.3305880000000001</v>
      </c>
      <c r="BE16">
        <v>1</v>
      </c>
      <c r="BF16">
        <f>(KTGT_0-AVERAGE(KTGT_0))/STDEV(KTGT_0)</f>
        <v>0.4829640382145769</v>
      </c>
      <c r="BG16">
        <f>(KTGT_1-AVERAGE(KTGT_1))/STDEV(KTGT_1)</f>
        <v>1.7656949400583442</v>
      </c>
      <c r="BH16">
        <f>(KTGT_2-AVERAGE(KTGT_2))/STDEV(KTGT_2)</f>
        <v>-0.7319250547113999</v>
      </c>
      <c r="BI16">
        <f>KTGT_0_std * KTGT_0_loading+KTGT_1_std * KTGT_1_loading+KTGT_2_std * KTGT_2_loading</f>
        <v>-0.17357494574321242</v>
      </c>
      <c r="BJ16">
        <f>(KTGT_I_STD-MIN(KTGT_I_STD_ALL))/(MAX(KTGT_I_STD_ALL)-MIN(KTGT_I_STD_ALL))*100</f>
        <v>44.366906155284333</v>
      </c>
      <c r="BK16" s="138" t="s">
        <v>68</v>
      </c>
      <c r="BL16" s="138">
        <v>357.45486313337216</v>
      </c>
      <c r="BM16" s="139">
        <v>44.29167185268971</v>
      </c>
      <c r="BN16" t="s">
        <v>77</v>
      </c>
      <c r="BO16">
        <v>75.4867889064125</v>
      </c>
      <c r="BP16">
        <v>25</v>
      </c>
      <c r="BQ16">
        <v>3.3305880000000001</v>
      </c>
      <c r="BR16">
        <v>1</v>
      </c>
      <c r="BS16">
        <f>(SA_0-AVERAGE(SA_0))/STDEV(SA_0)</f>
        <v>0.4829640382145769</v>
      </c>
      <c r="BT16">
        <f>(SA_1-AVERAGE(SA_1))/STDEV(SA_1)</f>
        <v>1.7656949400583442</v>
      </c>
      <c r="BU16">
        <f>(SA_2-AVERAGE(SA_2))/STDEV(SA_2)</f>
        <v>-0.7319250547113999</v>
      </c>
      <c r="BV16">
        <f>SA_0_std * SA_0_loading+SA_1_std * SA_1_loading+SA_2_std * SA_2_loading</f>
        <v>0.87568673905728156</v>
      </c>
      <c r="BW16">
        <f>(SA_I_STD-MIN(SA_I_STD_ALL))/(MAX(SA_I_STD_ALL)-MIN(SA_I_STD_ALL))*100</f>
        <v>69.45357720043917</v>
      </c>
      <c r="BX16" s="138" t="s">
        <v>75</v>
      </c>
      <c r="BY16" s="138">
        <v>109.01309275271484</v>
      </c>
      <c r="BZ16" s="139">
        <v>47.768840258721042</v>
      </c>
    </row>
    <row r="17" spans="1:78" x14ac:dyDescent="0.25">
      <c r="A17" t="s">
        <v>57</v>
      </c>
      <c r="B17">
        <v>92.255436220636625</v>
      </c>
      <c r="C17">
        <v>24.482406356413168</v>
      </c>
      <c r="D17">
        <v>0.41353932836100055</v>
      </c>
      <c r="E17">
        <v>1</v>
      </c>
      <c r="F17">
        <f>(CS1_0-AVERAGE(CS1_0))/STDEV(CS1_0)</f>
        <v>0.41405982450824058</v>
      </c>
      <c r="G17">
        <f>(CS1_1-AVERAGE(CS1_1))/STDEV(CS1_1)</f>
        <v>-0.78847191150838314</v>
      </c>
      <c r="H17">
        <f>(CS1_2-AVERAGE(CS1_2))/STDEV(CS1_2)</f>
        <v>-0.7319250547113999</v>
      </c>
      <c r="I17">
        <f>CS1_0_std * CS1_0_loading+CS1_1_std * CS1_1_loading+CS1_2_std * CS1_2_loading</f>
        <v>-0.28555759883361442</v>
      </c>
      <c r="J17">
        <f>(CS1_I_STD-MIN(CS1_I_STD_ALL))/(MAX(CS1_I_STD_ALL)-MIN(CS1_I_STD_ALL))*100</f>
        <v>43.520991580309243</v>
      </c>
      <c r="K17" s="138" t="s">
        <v>75</v>
      </c>
      <c r="L17" s="138">
        <v>109.01309275271484</v>
      </c>
      <c r="M17" s="139">
        <v>45.783134219472423</v>
      </c>
      <c r="N17" t="s">
        <v>57</v>
      </c>
      <c r="O17">
        <v>92.255436220636625</v>
      </c>
      <c r="P17">
        <v>24.482406356413168</v>
      </c>
      <c r="Q17">
        <v>0.41353932836100055</v>
      </c>
      <c r="R17">
        <v>1</v>
      </c>
      <c r="S17">
        <f>(CS2_0-AVERAGE(CS2_0))/STDEV(CS2_0)</f>
        <v>0.41405982450824058</v>
      </c>
      <c r="T17">
        <f>(CS2_1-AVERAGE(CS2_1))/STDEV(CS2_1)</f>
        <v>-0.78847191150838314</v>
      </c>
      <c r="U17">
        <f>(CS2_2-AVERAGE(CS2_2))/STDEV(CS2_2)</f>
        <v>-0.7319250547113999</v>
      </c>
      <c r="V17">
        <f>CS2_0_std * CS2_0_loading+CS2_1_std * CS2_1_loading+CS2_2_std * CS2_2_loading</f>
        <v>-0.40734101156080882</v>
      </c>
      <c r="W17">
        <f>(CS2_I_STD-MIN(CS2_I_STD_ALL))/(MAX(CS2_I_STD_ALL)-MIN(CS2_I_STD_ALL))*100</f>
        <v>42.055446157475799</v>
      </c>
      <c r="X17" s="138" t="s">
        <v>84</v>
      </c>
      <c r="Y17" s="138">
        <v>101.91738416424882</v>
      </c>
      <c r="Z17" s="139">
        <v>46.255552630973398</v>
      </c>
      <c r="AA17" t="s">
        <v>57</v>
      </c>
      <c r="AB17">
        <v>92.255436220636625</v>
      </c>
      <c r="AC17">
        <v>24.482406356413168</v>
      </c>
      <c r="AD17">
        <v>0.41353932836100055</v>
      </c>
      <c r="AE17">
        <v>1</v>
      </c>
      <c r="AF17">
        <f>(PCA_0-AVERAGE(PCA_0))/STDEV(PCA_0)</f>
        <v>0.41405982450824058</v>
      </c>
      <c r="AG17">
        <f>(PCA_1-AVERAGE(PCA_1))/STDEV(PCA_1)</f>
        <v>-0.78847191150838314</v>
      </c>
      <c r="AH17">
        <f>(PCA_2-AVERAGE(PCA_2))/STDEV(PCA_2)</f>
        <v>-0.7319250547113999</v>
      </c>
      <c r="AI17">
        <f>PCA_0_std * PCA_0_loading+PCA_1_std * PCA_1_loading+PCA_2_std * PCA_2_loading</f>
        <v>-2.2153708363832236E-2</v>
      </c>
      <c r="AJ17">
        <f>(PCA_I_STD-MIN(PCA_I_STD_ALL))/(MAX(PCA_I_STD_ALL)-MIN(PCA_I_STD_ALL))*100</f>
        <v>45.495644428586886</v>
      </c>
      <c r="AK17" s="138" t="s">
        <v>71</v>
      </c>
      <c r="AL17" s="138">
        <v>59.97365989925494</v>
      </c>
      <c r="AM17" s="139">
        <v>44.939761899920526</v>
      </c>
      <c r="AN17" t="s">
        <v>57</v>
      </c>
      <c r="AO17">
        <v>92.255436220636625</v>
      </c>
      <c r="AP17">
        <v>24.482406356413168</v>
      </c>
      <c r="AQ17">
        <v>0.41353932836100055</v>
      </c>
      <c r="AR17">
        <v>1</v>
      </c>
      <c r="AS17">
        <f>(KTGET_0-AVERAGE(KTGET_0))/STDEV(KTGET_0)</f>
        <v>0.41405982450824058</v>
      </c>
      <c r="AT17">
        <f>(KTGET_1-AVERAGE(KTGET_1))/STDEV(KTGET_1)</f>
        <v>-0.78847191150838314</v>
      </c>
      <c r="AU17">
        <f>(KTGET_2-AVERAGE(KTGET_2))/STDEV(KTGET_2)</f>
        <v>-0.7319250547113999</v>
      </c>
      <c r="AV17">
        <f>KTGET_0_std * KTGET_0_loading+KTGET_1_std * KTGET_1_loading+KTGET_2_std * KTGET_2_loading</f>
        <v>-0.22476465978074567</v>
      </c>
      <c r="AW17">
        <f>(KTGET_I_STD-MIN(KTGET_I_STD_ALL))/(MAX(KTGET_I_STD_ALL)-MIN(KTGET_I_STD_ALL))*100</f>
        <v>43.226778629726581</v>
      </c>
      <c r="AX17" s="138" t="s">
        <v>68</v>
      </c>
      <c r="AY17" s="138">
        <v>357.45486313337216</v>
      </c>
      <c r="AZ17" s="139">
        <v>44.283163308084262</v>
      </c>
      <c r="BA17" t="s">
        <v>57</v>
      </c>
      <c r="BB17">
        <v>92.255436220636625</v>
      </c>
      <c r="BC17">
        <v>24.482406356413168</v>
      </c>
      <c r="BD17">
        <v>0.41353932836100055</v>
      </c>
      <c r="BE17">
        <v>1</v>
      </c>
      <c r="BF17">
        <f>(KTGT_0-AVERAGE(KTGT_0))/STDEV(KTGT_0)</f>
        <v>0.41405982450824058</v>
      </c>
      <c r="BG17">
        <f>(KTGT_1-AVERAGE(KTGT_1))/STDEV(KTGT_1)</f>
        <v>-0.78847191150838314</v>
      </c>
      <c r="BH17">
        <f>(KTGT_2-AVERAGE(KTGT_2))/STDEV(KTGT_2)</f>
        <v>-0.7319250547113999</v>
      </c>
      <c r="BI17">
        <f>KTGT_0_std * KTGT_0_loading+KTGT_1_std * KTGT_1_loading+KTGT_2_std * KTGT_2_loading</f>
        <v>-0.22591143047905188</v>
      </c>
      <c r="BJ17">
        <f>(KTGT_I_STD-MIN(KTGT_I_STD_ALL))/(MAX(KTGT_I_STD_ALL)-MIN(KTGT_I_STD_ALL))*100</f>
        <v>43.23230128949875</v>
      </c>
      <c r="BK17" s="138" t="s">
        <v>75</v>
      </c>
      <c r="BL17" s="138">
        <v>109.01309275271484</v>
      </c>
      <c r="BM17" s="139">
        <v>44.311286524026428</v>
      </c>
      <c r="BN17" t="s">
        <v>57</v>
      </c>
      <c r="BO17">
        <v>92.255436220636625</v>
      </c>
      <c r="BP17">
        <v>24.482406356413168</v>
      </c>
      <c r="BQ17">
        <v>0.41353932836100055</v>
      </c>
      <c r="BR17">
        <v>1</v>
      </c>
      <c r="BS17">
        <f>(SA_0-AVERAGE(SA_0))/STDEV(SA_0)</f>
        <v>0.41405982450824058</v>
      </c>
      <c r="BT17">
        <f>(SA_1-AVERAGE(SA_1))/STDEV(SA_1)</f>
        <v>-0.78847191150838314</v>
      </c>
      <c r="BU17">
        <f>(SA_2-AVERAGE(SA_2))/STDEV(SA_2)</f>
        <v>-0.7319250547113999</v>
      </c>
      <c r="BV17">
        <f>SA_0_std * SA_0_loading+SA_1_std * SA_1_loading+SA_2_std * SA_2_loading</f>
        <v>-0.63874404658164019</v>
      </c>
      <c r="BW17">
        <f>(SA_I_STD-MIN(SA_I_STD_ALL))/(MAX(SA_I_STD_ALL)-MIN(SA_I_STD_ALL))*100</f>
        <v>38.068350045800322</v>
      </c>
      <c r="BX17" s="138" t="s">
        <v>67</v>
      </c>
      <c r="BY17" s="138">
        <v>101.50560235661756</v>
      </c>
      <c r="BZ17" s="139">
        <v>49.503821199400235</v>
      </c>
    </row>
    <row r="18" spans="1:78" x14ac:dyDescent="0.25">
      <c r="A18" t="s">
        <v>58</v>
      </c>
      <c r="B18">
        <v>67.207208002483483</v>
      </c>
      <c r="C18">
        <v>11.178513731825525</v>
      </c>
      <c r="D18">
        <v>1.0440888616932145</v>
      </c>
      <c r="E18">
        <v>1</v>
      </c>
      <c r="F18">
        <f>(CS1_0-AVERAGE(CS1_0))/STDEV(CS1_0)</f>
        <v>-1.3570095691925996</v>
      </c>
      <c r="G18">
        <f>(CS1_1-AVERAGE(CS1_1))/STDEV(CS1_1)</f>
        <v>-0.23636294878644684</v>
      </c>
      <c r="H18">
        <f>(CS1_2-AVERAGE(CS1_2))/STDEV(CS1_2)</f>
        <v>-0.7319250547113999</v>
      </c>
      <c r="I18">
        <f>CS1_0_std * CS1_0_loading+CS1_1_std * CS1_1_loading+CS1_2_std * CS1_2_loading</f>
        <v>-1.489840660651331</v>
      </c>
      <c r="J18">
        <f>(CS1_I_STD-MIN(CS1_I_STD_ALL))/(MAX(CS1_I_STD_ALL)-MIN(CS1_I_STD_ALL))*100</f>
        <v>17.500936896523843</v>
      </c>
      <c r="K18" s="138" t="s">
        <v>71</v>
      </c>
      <c r="L18" s="138">
        <v>59.97365989925494</v>
      </c>
      <c r="M18" s="139">
        <v>47.341677548874713</v>
      </c>
      <c r="N18" t="s">
        <v>58</v>
      </c>
      <c r="O18">
        <v>67.207208002483483</v>
      </c>
      <c r="P18">
        <v>11.178513731825525</v>
      </c>
      <c r="Q18">
        <v>1.0440888616932145</v>
      </c>
      <c r="R18">
        <v>1</v>
      </c>
      <c r="S18">
        <f>(CS2_0-AVERAGE(CS2_0))/STDEV(CS2_0)</f>
        <v>-1.3570095691925996</v>
      </c>
      <c r="T18">
        <f>(CS2_1-AVERAGE(CS2_1))/STDEV(CS2_1)</f>
        <v>-0.23636294878644684</v>
      </c>
      <c r="U18">
        <f>(CS2_2-AVERAGE(CS2_2))/STDEV(CS2_2)</f>
        <v>-0.7319250547113999</v>
      </c>
      <c r="V18">
        <f>CS2_0_std * CS2_0_loading+CS2_1_std * CS2_1_loading+CS2_2_std * CS2_2_loading</f>
        <v>-1.4030880270885888</v>
      </c>
      <c r="W18">
        <f>(CS2_I_STD-MIN(CS2_I_STD_ALL))/(MAX(CS2_I_STD_ALL)-MIN(CS2_I_STD_ALL))*100</f>
        <v>20.07512688233534</v>
      </c>
      <c r="X18" s="138" t="s">
        <v>77</v>
      </c>
      <c r="Y18" s="138">
        <v>75.4867889064125</v>
      </c>
      <c r="Z18" s="139">
        <v>47.166007834765516</v>
      </c>
      <c r="AA18" t="s">
        <v>58</v>
      </c>
      <c r="AB18">
        <v>67.207208002483483</v>
      </c>
      <c r="AC18">
        <v>11.178513731825525</v>
      </c>
      <c r="AD18">
        <v>1.0440888616932145</v>
      </c>
      <c r="AE18">
        <v>1</v>
      </c>
      <c r="AF18">
        <f>(PCA_0-AVERAGE(PCA_0))/STDEV(PCA_0)</f>
        <v>-1.3570095691925996</v>
      </c>
      <c r="AG18">
        <f>(PCA_1-AVERAGE(PCA_1))/STDEV(PCA_1)</f>
        <v>-0.23636294878644684</v>
      </c>
      <c r="AH18">
        <f>(PCA_2-AVERAGE(PCA_2))/STDEV(PCA_2)</f>
        <v>-0.7319250547113999</v>
      </c>
      <c r="AI18">
        <f>PCA_0_std * PCA_0_loading+PCA_1_std * PCA_1_loading+PCA_2_std * PCA_2_loading</f>
        <v>-1.3787322603833956</v>
      </c>
      <c r="AJ18">
        <f>(PCA_I_STD-MIN(PCA_I_STD_ALL))/(MAX(PCA_I_STD_ALL)-MIN(PCA_I_STD_ALL))*100</f>
        <v>16.779874689602238</v>
      </c>
      <c r="AK18" s="138" t="s">
        <v>57</v>
      </c>
      <c r="AL18" s="138">
        <v>92.255436220636625</v>
      </c>
      <c r="AM18" s="139">
        <v>45.495644428586886</v>
      </c>
      <c r="AN18" t="s">
        <v>58</v>
      </c>
      <c r="AO18">
        <v>67.207208002483483</v>
      </c>
      <c r="AP18">
        <v>11.178513731825525</v>
      </c>
      <c r="AQ18">
        <v>1.0440888616932145</v>
      </c>
      <c r="AR18">
        <v>1</v>
      </c>
      <c r="AS18">
        <f>(KTGET_0-AVERAGE(KTGET_0))/STDEV(KTGET_0)</f>
        <v>-1.3570095691925996</v>
      </c>
      <c r="AT18">
        <f>(KTGET_1-AVERAGE(KTGET_1))/STDEV(KTGET_1)</f>
        <v>-0.23636294878644684</v>
      </c>
      <c r="AU18">
        <f>(KTGET_2-AVERAGE(KTGET_2))/STDEV(KTGET_2)</f>
        <v>-0.7319250547113999</v>
      </c>
      <c r="AV18">
        <f>KTGET_0_std * KTGET_0_loading+KTGET_1_std * KTGET_1_loading+KTGET_2_std * KTGET_2_loading</f>
        <v>-1.4770998380175235</v>
      </c>
      <c r="AW18">
        <f>(KTGET_I_STD-MIN(KTGET_I_STD_ALL))/(MAX(KTGET_I_STD_ALL)-MIN(KTGET_I_STD_ALL))*100</f>
        <v>16.074149332082417</v>
      </c>
      <c r="AX18" s="138" t="s">
        <v>75</v>
      </c>
      <c r="AY18" s="138">
        <v>109.01309275271484</v>
      </c>
      <c r="AZ18" s="139">
        <v>44.283163308084262</v>
      </c>
      <c r="BA18" t="s">
        <v>58</v>
      </c>
      <c r="BB18">
        <v>67.207208002483483</v>
      </c>
      <c r="BC18">
        <v>11.178513731825525</v>
      </c>
      <c r="BD18">
        <v>1.0440888616932145</v>
      </c>
      <c r="BE18">
        <v>1</v>
      </c>
      <c r="BF18">
        <f>(KTGT_0-AVERAGE(KTGT_0))/STDEV(KTGT_0)</f>
        <v>-1.3570095691925996</v>
      </c>
      <c r="BG18">
        <f>(KTGT_1-AVERAGE(KTGT_1))/STDEV(KTGT_1)</f>
        <v>-0.23636294878644684</v>
      </c>
      <c r="BH18">
        <f>(KTGT_2-AVERAGE(KTGT_2))/STDEV(KTGT_2)</f>
        <v>-0.7319250547113999</v>
      </c>
      <c r="BI18">
        <f>KTGT_0_std * KTGT_0_loading+KTGT_1_std * KTGT_1_loading+KTGT_2_std * KTGT_2_loading</f>
        <v>-1.4774161515218371</v>
      </c>
      <c r="BJ18">
        <f>(KTGT_I_STD-MIN(KTGT_I_STD_ALL))/(MAX(KTGT_I_STD_ALL)-MIN(KTGT_I_STD_ALL))*100</f>
        <v>16.100877518570805</v>
      </c>
      <c r="BK18" s="138" t="s">
        <v>77</v>
      </c>
      <c r="BL18" s="138">
        <v>75.4867889064125</v>
      </c>
      <c r="BM18" s="139">
        <v>44.366906155284333</v>
      </c>
      <c r="BN18" t="s">
        <v>58</v>
      </c>
      <c r="BO18">
        <v>67.207208002483483</v>
      </c>
      <c r="BP18">
        <v>11.178513731825525</v>
      </c>
      <c r="BQ18">
        <v>1.0440888616932145</v>
      </c>
      <c r="BR18">
        <v>1</v>
      </c>
      <c r="BS18">
        <f>(SA_0-AVERAGE(SA_0))/STDEV(SA_0)</f>
        <v>-1.3570095691925996</v>
      </c>
      <c r="BT18">
        <f>(SA_1-AVERAGE(SA_1))/STDEV(SA_1)</f>
        <v>-0.23636294878644684</v>
      </c>
      <c r="BU18">
        <f>(SA_2-AVERAGE(SA_2))/STDEV(SA_2)</f>
        <v>-0.7319250547113999</v>
      </c>
      <c r="BV18">
        <f>SA_0_std * SA_0_loading+SA_1_std * SA_1_loading+SA_2_std * SA_2_loading</f>
        <v>-1.3425111795388125</v>
      </c>
      <c r="BW18">
        <f>(SA_I_STD-MIN(SA_I_STD_ALL))/(MAX(SA_I_STD_ALL)-MIN(SA_I_STD_ALL))*100</f>
        <v>23.483403978086091</v>
      </c>
      <c r="BX18" s="138" t="s">
        <v>60</v>
      </c>
      <c r="BY18" s="138">
        <v>63.529505721437147</v>
      </c>
      <c r="BZ18" s="139">
        <v>55.319040235681925</v>
      </c>
    </row>
    <row r="19" spans="1:78" x14ac:dyDescent="0.25">
      <c r="A19" t="s">
        <v>72</v>
      </c>
      <c r="B19">
        <v>110.80232603285897</v>
      </c>
      <c r="C19">
        <v>19.978347564980766</v>
      </c>
      <c r="D19">
        <v>0.52788384878296624</v>
      </c>
      <c r="E19">
        <v>3</v>
      </c>
      <c r="F19">
        <f>(CS1_0-AVERAGE(CS1_0))/STDEV(CS1_0)</f>
        <v>-0.18553917241935025</v>
      </c>
      <c r="G19">
        <f>(CS1_1-AVERAGE(CS1_1))/STDEV(CS1_1)</f>
        <v>-0.68835188726621543</v>
      </c>
      <c r="H19">
        <f>(CS1_2-AVERAGE(CS1_2))/STDEV(CS1_2)</f>
        <v>1.3174650984805201</v>
      </c>
      <c r="I19">
        <f>CS1_0_std * CS1_0_loading+CS1_1_std * CS1_1_loading+CS1_2_std * CS1_2_loading</f>
        <v>0.74813766880579369</v>
      </c>
      <c r="J19">
        <f>(CS1_I_STD-MIN(CS1_I_STD_ALL))/(MAX(CS1_I_STD_ALL)-MIN(CS1_I_STD_ALL))*100</f>
        <v>65.855281784266921</v>
      </c>
      <c r="K19" s="138" t="s">
        <v>59</v>
      </c>
      <c r="L19" s="138">
        <v>112.06602026518708</v>
      </c>
      <c r="M19" s="139">
        <v>48.281284287045843</v>
      </c>
      <c r="N19" t="s">
        <v>72</v>
      </c>
      <c r="O19">
        <v>110.80232603285897</v>
      </c>
      <c r="P19">
        <v>19.978347564980766</v>
      </c>
      <c r="Q19">
        <v>0.52788384878296624</v>
      </c>
      <c r="R19">
        <v>3</v>
      </c>
      <c r="S19">
        <f>(CS2_0-AVERAGE(CS2_0))/STDEV(CS2_0)</f>
        <v>-0.18553917241935025</v>
      </c>
      <c r="T19">
        <f>(CS2_1-AVERAGE(CS2_1))/STDEV(CS2_1)</f>
        <v>-0.68835188726621543</v>
      </c>
      <c r="U19">
        <f>(CS2_2-AVERAGE(CS2_2))/STDEV(CS2_2)</f>
        <v>1.3174650984805201</v>
      </c>
      <c r="V19">
        <f>CS2_0_std * CS2_0_loading+CS2_1_std * CS2_1_loading+CS2_2_std * CS2_2_loading</f>
        <v>0.90324678404223857</v>
      </c>
      <c r="W19">
        <f>(CS2_I_STD-MIN(CS2_I_STD_ALL))/(MAX(CS2_I_STD_ALL)-MIN(CS2_I_STD_ALL))*100</f>
        <v>70.985623939820186</v>
      </c>
      <c r="X19" s="138" t="s">
        <v>71</v>
      </c>
      <c r="Y19" s="138">
        <v>59.97365989925494</v>
      </c>
      <c r="Z19" s="139">
        <v>50.41536172199833</v>
      </c>
      <c r="AA19" t="s">
        <v>72</v>
      </c>
      <c r="AB19">
        <v>110.80232603285897</v>
      </c>
      <c r="AC19">
        <v>19.978347564980766</v>
      </c>
      <c r="AD19">
        <v>0.52788384878296624</v>
      </c>
      <c r="AE19">
        <v>3</v>
      </c>
      <c r="AF19">
        <f>(PCA_0-AVERAGE(PCA_0))/STDEV(PCA_0)</f>
        <v>-0.18553917241935025</v>
      </c>
      <c r="AG19">
        <f>(PCA_1-AVERAGE(PCA_1))/STDEV(PCA_1)</f>
        <v>-0.68835188726621543</v>
      </c>
      <c r="AH19">
        <f>(PCA_2-AVERAGE(PCA_2))/STDEV(PCA_2)</f>
        <v>1.3174650984805201</v>
      </c>
      <c r="AI19">
        <f>PCA_0_std * PCA_0_loading+PCA_1_std * PCA_1_loading+PCA_2_std * PCA_2_loading</f>
        <v>0.93649197902465253</v>
      </c>
      <c r="AJ19">
        <f>(PCA_I_STD-MIN(PCA_I_STD_ALL))/(MAX(PCA_I_STD_ALL)-MIN(PCA_I_STD_ALL))*100</f>
        <v>65.788054904439235</v>
      </c>
      <c r="AK19" s="138" t="s">
        <v>68</v>
      </c>
      <c r="AL19" s="138">
        <v>357.45486313337216</v>
      </c>
      <c r="AM19" s="139">
        <v>45.976682531706658</v>
      </c>
      <c r="AN19" t="s">
        <v>72</v>
      </c>
      <c r="AO19">
        <v>110.80232603285897</v>
      </c>
      <c r="AP19">
        <v>19.978347564980766</v>
      </c>
      <c r="AQ19">
        <v>0.52788384878296624</v>
      </c>
      <c r="AR19">
        <v>3</v>
      </c>
      <c r="AS19">
        <f>(KTGET_0-AVERAGE(KTGET_0))/STDEV(KTGET_0)</f>
        <v>-0.18553917241935025</v>
      </c>
      <c r="AT19">
        <f>(KTGET_1-AVERAGE(KTGET_1))/STDEV(KTGET_1)</f>
        <v>-0.68835188726621543</v>
      </c>
      <c r="AU19">
        <f>(KTGET_2-AVERAGE(KTGET_2))/STDEV(KTGET_2)</f>
        <v>1.3174650984805201</v>
      </c>
      <c r="AV19">
        <f>KTGET_0_std * KTGET_0_loading+KTGET_1_std * KTGET_1_loading+KTGET_2_std * KTGET_2_loading</f>
        <v>0.8003924981195929</v>
      </c>
      <c r="AW19">
        <f>(KTGET_I_STD-MIN(KTGET_I_STD_ALL))/(MAX(KTGET_I_STD_ALL)-MIN(KTGET_I_STD_ALL))*100</f>
        <v>65.453825161698603</v>
      </c>
      <c r="AX19" s="138" t="s">
        <v>71</v>
      </c>
      <c r="AY19" s="138">
        <v>59.97365989925494</v>
      </c>
      <c r="AZ19" s="139">
        <v>46.034381001292061</v>
      </c>
      <c r="BA19" t="s">
        <v>72</v>
      </c>
      <c r="BB19">
        <v>110.80232603285897</v>
      </c>
      <c r="BC19">
        <v>19.978347564980766</v>
      </c>
      <c r="BD19">
        <v>0.52788384878296624</v>
      </c>
      <c r="BE19">
        <v>3</v>
      </c>
      <c r="BF19">
        <f>(KTGT_0-AVERAGE(KTGT_0))/STDEV(KTGT_0)</f>
        <v>-0.18553917241935025</v>
      </c>
      <c r="BG19">
        <f>(KTGT_1-AVERAGE(KTGT_1))/STDEV(KTGT_1)</f>
        <v>-0.68835188726621543</v>
      </c>
      <c r="BH19">
        <f>(KTGT_2-AVERAGE(KTGT_2))/STDEV(KTGT_2)</f>
        <v>1.3174650984805201</v>
      </c>
      <c r="BI19">
        <f>KTGT_0_std * KTGT_0_loading+KTGT_1_std * KTGT_1_loading+KTGT_2_std * KTGT_2_loading</f>
        <v>0.79945765840584837</v>
      </c>
      <c r="BJ19">
        <f>(KTGT_I_STD-MIN(KTGT_I_STD_ALL))/(MAX(KTGT_I_STD_ALL)-MIN(KTGT_I_STD_ALL))*100</f>
        <v>65.461321128086681</v>
      </c>
      <c r="BK19" s="138" t="s">
        <v>71</v>
      </c>
      <c r="BL19" s="138">
        <v>59.97365989925494</v>
      </c>
      <c r="BM19" s="139">
        <v>46.058866760350625</v>
      </c>
      <c r="BN19" t="s">
        <v>72</v>
      </c>
      <c r="BO19">
        <v>110.80232603285897</v>
      </c>
      <c r="BP19">
        <v>19.978347564980766</v>
      </c>
      <c r="BQ19">
        <v>0.52788384878296624</v>
      </c>
      <c r="BR19">
        <v>3</v>
      </c>
      <c r="BS19">
        <f>(SA_0-AVERAGE(SA_0))/STDEV(SA_0)</f>
        <v>-0.18553917241935025</v>
      </c>
      <c r="BT19">
        <f>(SA_1-AVERAGE(SA_1))/STDEV(SA_1)</f>
        <v>-0.68835188726621543</v>
      </c>
      <c r="BU19">
        <f>(SA_2-AVERAGE(SA_2))/STDEV(SA_2)</f>
        <v>1.3174650984805201</v>
      </c>
      <c r="BV19">
        <f>SA_0_std * SA_0_loading+SA_1_std * SA_1_loading+SA_2_std * SA_2_loading</f>
        <v>0.25609759070379645</v>
      </c>
      <c r="BW19">
        <f>(SA_I_STD-MIN(SA_I_STD_ALL))/(MAX(SA_I_STD_ALL)-MIN(SA_I_STD_ALL))*100</f>
        <v>56.613144776570209</v>
      </c>
      <c r="BX19" s="138" t="s">
        <v>79</v>
      </c>
      <c r="BY19" s="138">
        <v>94.234282592006622</v>
      </c>
      <c r="BZ19" s="139">
        <v>56.457923783316325</v>
      </c>
    </row>
    <row r="20" spans="1:78" x14ac:dyDescent="0.25">
      <c r="A20" t="s">
        <v>65</v>
      </c>
      <c r="B20">
        <v>57.291403378967317</v>
      </c>
      <c r="C20">
        <v>23.116777245544615</v>
      </c>
      <c r="D20">
        <v>0.66529556115377186</v>
      </c>
      <c r="E20">
        <v>3</v>
      </c>
      <c r="F20">
        <f>(CS1_0-AVERAGE(CS1_0))/STDEV(CS1_0)</f>
        <v>0.23226161028211273</v>
      </c>
      <c r="G20">
        <f>(CS1_1-AVERAGE(CS1_1))/STDEV(CS1_1)</f>
        <v>-0.56803423738712289</v>
      </c>
      <c r="H20">
        <f>(CS1_2-AVERAGE(CS1_2))/STDEV(CS1_2)</f>
        <v>1.3174650984805201</v>
      </c>
      <c r="I20">
        <f>CS1_0_std * CS1_0_loading+CS1_1_std * CS1_1_loading+CS1_2_std * CS1_2_loading</f>
        <v>1.0512199277319934</v>
      </c>
      <c r="J20">
        <f>(CS1_I_STD-MIN(CS1_I_STD_ALL))/(MAX(CS1_I_STD_ALL)-MIN(CS1_I_STD_ALL))*100</f>
        <v>72.403756309053193</v>
      </c>
      <c r="K20" s="138" t="s">
        <v>77</v>
      </c>
      <c r="L20" s="138">
        <v>75.4867889064125</v>
      </c>
      <c r="M20" s="139">
        <v>48.750601340205911</v>
      </c>
      <c r="N20" t="s">
        <v>65</v>
      </c>
      <c r="O20">
        <v>57.291403378967317</v>
      </c>
      <c r="P20">
        <v>23.116777245544615</v>
      </c>
      <c r="Q20">
        <v>0.66529556115377186</v>
      </c>
      <c r="R20">
        <v>3</v>
      </c>
      <c r="S20">
        <f>(CS2_0-AVERAGE(CS2_0))/STDEV(CS2_0)</f>
        <v>0.23226161028211273</v>
      </c>
      <c r="T20">
        <f>(CS2_1-AVERAGE(CS2_1))/STDEV(CS2_1)</f>
        <v>-0.56803423738712289</v>
      </c>
      <c r="U20">
        <f>(CS2_2-AVERAGE(CS2_2))/STDEV(CS2_2)</f>
        <v>1.3174650984805201</v>
      </c>
      <c r="V20">
        <f>CS2_0_std * CS2_0_loading+CS2_1_std * CS2_1_loading+CS2_2_std * CS2_2_loading</f>
        <v>1.1569002144172211</v>
      </c>
      <c r="W20">
        <f>(CS2_I_STD-MIN(CS2_I_STD_ALL))/(MAX(CS2_I_STD_ALL)-MIN(CS2_I_STD_ALL))*100</f>
        <v>76.584820621239899</v>
      </c>
      <c r="X20" s="138" t="s">
        <v>63</v>
      </c>
      <c r="Y20" s="138">
        <v>158.91826997347314</v>
      </c>
      <c r="Z20" s="139">
        <v>55.965997421987076</v>
      </c>
      <c r="AA20" t="s">
        <v>65</v>
      </c>
      <c r="AB20">
        <v>57.291403378967317</v>
      </c>
      <c r="AC20">
        <v>23.116777245544615</v>
      </c>
      <c r="AD20">
        <v>0.66529556115377186</v>
      </c>
      <c r="AE20">
        <v>3</v>
      </c>
      <c r="AF20">
        <f>(PCA_0-AVERAGE(PCA_0))/STDEV(PCA_0)</f>
        <v>0.23226161028211273</v>
      </c>
      <c r="AG20">
        <f>(PCA_1-AVERAGE(PCA_1))/STDEV(PCA_1)</f>
        <v>-0.56803423738712289</v>
      </c>
      <c r="AH20">
        <f>(PCA_2-AVERAGE(PCA_2))/STDEV(PCA_2)</f>
        <v>1.3174650984805201</v>
      </c>
      <c r="AI20">
        <f>PCA_0_std * PCA_0_loading+PCA_1_std * PCA_1_loading+PCA_2_std * PCA_2_loading</f>
        <v>1.1958717328071242</v>
      </c>
      <c r="AJ20">
        <f>(PCA_I_STD-MIN(PCA_I_STD_ALL))/(MAX(PCA_I_STD_ALL)-MIN(PCA_I_STD_ALL))*100</f>
        <v>71.278551030508439</v>
      </c>
      <c r="AK20" s="138" t="s">
        <v>66</v>
      </c>
      <c r="AL20" s="138">
        <v>80.861343707957317</v>
      </c>
      <c r="AM20" s="139">
        <v>48.463711208202817</v>
      </c>
      <c r="AN20" t="s">
        <v>65</v>
      </c>
      <c r="AO20">
        <v>57.291403378967317</v>
      </c>
      <c r="AP20">
        <v>23.116777245544615</v>
      </c>
      <c r="AQ20">
        <v>0.66529556115377186</v>
      </c>
      <c r="AR20">
        <v>3</v>
      </c>
      <c r="AS20">
        <f>(KTGET_0-AVERAGE(KTGET_0))/STDEV(KTGET_0)</f>
        <v>0.23226161028211273</v>
      </c>
      <c r="AT20">
        <f>(KTGET_1-AVERAGE(KTGET_1))/STDEV(KTGET_1)</f>
        <v>-0.56803423738712289</v>
      </c>
      <c r="AU20">
        <f>(KTGET_2-AVERAGE(KTGET_2))/STDEV(KTGET_2)</f>
        <v>1.3174650984805201</v>
      </c>
      <c r="AV20">
        <f>KTGET_0_std * KTGET_0_loading+KTGET_1_std * KTGET_1_loading+KTGET_2_std * KTGET_2_loading</f>
        <v>1.0958222647526008</v>
      </c>
      <c r="AW20">
        <f>(KTGET_I_STD-MIN(KTGET_I_STD_ALL))/(MAX(KTGET_I_STD_ALL)-MIN(KTGET_I_STD_ALL))*100</f>
        <v>71.859214929771483</v>
      </c>
      <c r="AX20" s="138" t="s">
        <v>59</v>
      </c>
      <c r="AY20" s="138">
        <v>112.06602026518708</v>
      </c>
      <c r="AZ20" s="139">
        <v>47.660871140440072</v>
      </c>
      <c r="BA20" t="s">
        <v>65</v>
      </c>
      <c r="BB20">
        <v>57.291403378967317</v>
      </c>
      <c r="BC20">
        <v>23.116777245544615</v>
      </c>
      <c r="BD20">
        <v>0.66529556115377186</v>
      </c>
      <c r="BE20">
        <v>3</v>
      </c>
      <c r="BF20">
        <f>(KTGT_0-AVERAGE(KTGT_0))/STDEV(KTGT_0)</f>
        <v>0.23226161028211273</v>
      </c>
      <c r="BG20">
        <f>(KTGT_1-AVERAGE(KTGT_1))/STDEV(KTGT_1)</f>
        <v>-0.56803423738712289</v>
      </c>
      <c r="BH20">
        <f>(KTGT_2-AVERAGE(KTGT_2))/STDEV(KTGT_2)</f>
        <v>1.3174650984805201</v>
      </c>
      <c r="BI20">
        <f>KTGT_0_std * KTGT_0_loading+KTGT_1_std * KTGT_1_loading+KTGT_2_std * KTGT_2_loading</f>
        <v>1.0950462199474988</v>
      </c>
      <c r="BJ20">
        <f>(KTGT_I_STD-MIN(KTGT_I_STD_ALL))/(MAX(KTGT_I_STD_ALL)-MIN(KTGT_I_STD_ALL))*100</f>
        <v>71.869398053552274</v>
      </c>
      <c r="BK20" s="138" t="s">
        <v>59</v>
      </c>
      <c r="BL20" s="138">
        <v>112.06602026518708</v>
      </c>
      <c r="BM20" s="139">
        <v>47.672456313627038</v>
      </c>
      <c r="BN20" t="s">
        <v>65</v>
      </c>
      <c r="BO20">
        <v>57.291403378967317</v>
      </c>
      <c r="BP20">
        <v>23.116777245544615</v>
      </c>
      <c r="BQ20">
        <v>0.66529556115377186</v>
      </c>
      <c r="BR20">
        <v>3</v>
      </c>
      <c r="BS20">
        <f>(SA_0-AVERAGE(SA_0))/STDEV(SA_0)</f>
        <v>0.23226161028211273</v>
      </c>
      <c r="BT20">
        <f>(SA_1-AVERAGE(SA_1))/STDEV(SA_1)</f>
        <v>-0.56803423738712289</v>
      </c>
      <c r="BU20">
        <f>(SA_2-AVERAGE(SA_2))/STDEV(SA_2)</f>
        <v>1.3174650984805201</v>
      </c>
      <c r="BV20">
        <f>SA_0_std * SA_0_loading+SA_1_std * SA_1_loading+SA_2_std * SA_2_loading</f>
        <v>0.56678041261007961</v>
      </c>
      <c r="BW20">
        <f>(SA_I_STD-MIN(SA_I_STD_ALL))/(MAX(SA_I_STD_ALL)-MIN(SA_I_STD_ALL))*100</f>
        <v>63.051769130379242</v>
      </c>
      <c r="BX20" s="138" t="s">
        <v>72</v>
      </c>
      <c r="BY20" s="138">
        <v>110.80232603285897</v>
      </c>
      <c r="BZ20" s="139">
        <v>56.613144776570209</v>
      </c>
    </row>
    <row r="21" spans="1:78" x14ac:dyDescent="0.25">
      <c r="A21" t="s">
        <v>61</v>
      </c>
      <c r="B21">
        <v>94.719790963219936</v>
      </c>
      <c r="C21">
        <v>17</v>
      </c>
      <c r="D21">
        <v>0.22180349033217089</v>
      </c>
      <c r="E21">
        <v>1</v>
      </c>
      <c r="F21">
        <f>(CS1_0-AVERAGE(CS1_0))/STDEV(CS1_0)</f>
        <v>-0.58202915959739643</v>
      </c>
      <c r="G21">
        <f>(CS1_1-AVERAGE(CS1_1))/STDEV(CS1_1)</f>
        <v>-0.9563557478365039</v>
      </c>
      <c r="H21">
        <f>(CS1_2-AVERAGE(CS1_2))/STDEV(CS1_2)</f>
        <v>-0.7319250547113999</v>
      </c>
      <c r="I21">
        <f>CS1_0_std * CS1_0_loading+CS1_1_std * CS1_1_loading+CS1_2_std * CS1_2_loading</f>
        <v>-0.99912767729474117</v>
      </c>
      <c r="J21">
        <f>(CS1_I_STD-MIN(CS1_I_STD_ALL))/(MAX(CS1_I_STD_ALL)-MIN(CS1_I_STD_ALL))*100</f>
        <v>28.103409907901796</v>
      </c>
      <c r="K21" s="138" t="s">
        <v>63</v>
      </c>
      <c r="L21" s="138">
        <v>158.91826997347314</v>
      </c>
      <c r="M21" s="139">
        <v>59.70091589343405</v>
      </c>
      <c r="N21" t="s">
        <v>61</v>
      </c>
      <c r="O21">
        <v>94.719790963219936</v>
      </c>
      <c r="P21">
        <v>17</v>
      </c>
      <c r="Q21">
        <v>0.22180349033217089</v>
      </c>
      <c r="R21">
        <v>1</v>
      </c>
      <c r="S21">
        <f>(CS2_0-AVERAGE(CS2_0))/STDEV(CS2_0)</f>
        <v>-0.58202915959739643</v>
      </c>
      <c r="T21">
        <f>(CS2_1-AVERAGE(CS2_1))/STDEV(CS2_1)</f>
        <v>-0.9563557478365039</v>
      </c>
      <c r="U21">
        <f>(CS2_2-AVERAGE(CS2_2))/STDEV(CS2_2)</f>
        <v>-0.7319250547113999</v>
      </c>
      <c r="V21">
        <f>CS2_0_std * CS2_0_loading+CS2_1_std * CS2_1_loading+CS2_2_std * CS2_2_loading</f>
        <v>-1.0031779749855767</v>
      </c>
      <c r="W21">
        <f>(CS2_I_STD-MIN(CS2_I_STD_ALL))/(MAX(CS2_I_STD_ALL)-MIN(CS2_I_STD_ALL))*100</f>
        <v>28.902821557275626</v>
      </c>
      <c r="X21" s="138" t="s">
        <v>59</v>
      </c>
      <c r="Y21" s="138">
        <v>112.06602026518708</v>
      </c>
      <c r="Z21" s="139">
        <v>56.054111406060102</v>
      </c>
      <c r="AA21" t="s">
        <v>61</v>
      </c>
      <c r="AB21">
        <v>94.719790963219936</v>
      </c>
      <c r="AC21">
        <v>17</v>
      </c>
      <c r="AD21">
        <v>0.22180349033217089</v>
      </c>
      <c r="AE21">
        <v>1</v>
      </c>
      <c r="AF21">
        <f>(PCA_0-AVERAGE(PCA_0))/STDEV(PCA_0)</f>
        <v>-0.58202915959739643</v>
      </c>
      <c r="AG21">
        <f>(PCA_1-AVERAGE(PCA_1))/STDEV(PCA_1)</f>
        <v>-0.9563557478365039</v>
      </c>
      <c r="AH21">
        <f>(PCA_2-AVERAGE(PCA_2))/STDEV(PCA_2)</f>
        <v>-0.7319250547113999</v>
      </c>
      <c r="AI21">
        <f>PCA_0_std * PCA_0_loading+PCA_1_std * PCA_1_loading+PCA_2_std * PCA_2_loading</f>
        <v>-0.66934017678415414</v>
      </c>
      <c r="AJ21">
        <f>(PCA_I_STD-MIN(PCA_I_STD_ALL))/(MAX(PCA_I_STD_ALL)-MIN(PCA_I_STD_ALL))*100</f>
        <v>31.796137254691502</v>
      </c>
      <c r="AK21" s="138" t="s">
        <v>59</v>
      </c>
      <c r="AL21" s="138">
        <v>112.06602026518708</v>
      </c>
      <c r="AM21" s="139">
        <v>48.607829898787074</v>
      </c>
      <c r="AN21" t="s">
        <v>61</v>
      </c>
      <c r="AO21">
        <v>94.719790963219936</v>
      </c>
      <c r="AP21">
        <v>17</v>
      </c>
      <c r="AQ21">
        <v>0.22180349033217089</v>
      </c>
      <c r="AR21">
        <v>1</v>
      </c>
      <c r="AS21">
        <f>(KTGET_0-AVERAGE(KTGET_0))/STDEV(KTGET_0)</f>
        <v>-0.58202915959739643</v>
      </c>
      <c r="AT21">
        <f>(KTGET_1-AVERAGE(KTGET_1))/STDEV(KTGET_1)</f>
        <v>-0.9563557478365039</v>
      </c>
      <c r="AU21">
        <f>(KTGET_2-AVERAGE(KTGET_2))/STDEV(KTGET_2)</f>
        <v>-0.7319250547113999</v>
      </c>
      <c r="AV21">
        <f>KTGET_0_std * KTGET_0_loading+KTGET_1_std * KTGET_1_loading+KTGET_2_std * KTGET_2_loading</f>
        <v>-0.92910593510647943</v>
      </c>
      <c r="AW21">
        <f>(KTGET_I_STD-MIN(KTGET_I_STD_ALL))/(MAX(KTGET_I_STD_ALL)-MIN(KTGET_I_STD_ALL))*100</f>
        <v>27.955533454871578</v>
      </c>
      <c r="AX21" s="138" t="s">
        <v>63</v>
      </c>
      <c r="AY21" s="138">
        <v>158.91826997347314</v>
      </c>
      <c r="AZ21" s="139">
        <v>58.569839429645356</v>
      </c>
      <c r="BA21" t="s">
        <v>61</v>
      </c>
      <c r="BB21">
        <v>94.719790963219936</v>
      </c>
      <c r="BC21">
        <v>17</v>
      </c>
      <c r="BD21">
        <v>0.22180349033217089</v>
      </c>
      <c r="BE21">
        <v>1</v>
      </c>
      <c r="BF21">
        <f>(KTGT_0-AVERAGE(KTGT_0))/STDEV(KTGT_0)</f>
        <v>-0.58202915959739643</v>
      </c>
      <c r="BG21">
        <f>(KTGT_1-AVERAGE(KTGT_1))/STDEV(KTGT_1)</f>
        <v>-0.9563557478365039</v>
      </c>
      <c r="BH21">
        <f>(KTGT_2-AVERAGE(KTGT_2))/STDEV(KTGT_2)</f>
        <v>-0.7319250547113999</v>
      </c>
      <c r="BI21">
        <f>KTGT_0_std * KTGT_0_loading+KTGT_1_std * KTGT_1_loading+KTGT_2_std * KTGT_2_loading</f>
        <v>-0.9304628776395576</v>
      </c>
      <c r="BJ21">
        <f>(KTGT_I_STD-MIN(KTGT_I_STD_ALL))/(MAX(KTGT_I_STD_ALL)-MIN(KTGT_I_STD_ALL))*100</f>
        <v>27.958300672541654</v>
      </c>
      <c r="BK21" s="138" t="s">
        <v>63</v>
      </c>
      <c r="BL21" s="138">
        <v>158.91826997347314</v>
      </c>
      <c r="BM21" s="139">
        <v>58.591060230724146</v>
      </c>
      <c r="BN21" t="s">
        <v>61</v>
      </c>
      <c r="BO21">
        <v>94.719790963219936</v>
      </c>
      <c r="BP21">
        <v>17</v>
      </c>
      <c r="BQ21">
        <v>0.22180349033217089</v>
      </c>
      <c r="BR21">
        <v>1</v>
      </c>
      <c r="BS21">
        <f>(SA_0-AVERAGE(SA_0))/STDEV(SA_0)</f>
        <v>-0.58202915959739643</v>
      </c>
      <c r="BT21">
        <f>(SA_1-AVERAGE(SA_1))/STDEV(SA_1)</f>
        <v>-0.9563557478365039</v>
      </c>
      <c r="BU21">
        <f>(SA_2-AVERAGE(SA_2))/STDEV(SA_2)</f>
        <v>-0.7319250547113999</v>
      </c>
      <c r="BV21">
        <f>SA_0_std * SA_0_loading+SA_1_std * SA_1_loading+SA_2_std * SA_2_loading</f>
        <v>-1.310764067788478</v>
      </c>
      <c r="BW21">
        <f>(SA_I_STD-MIN(SA_I_STD_ALL))/(MAX(SA_I_STD_ALL)-MIN(SA_I_STD_ALL))*100</f>
        <v>24.141334550573486</v>
      </c>
      <c r="BX21" s="138" t="s">
        <v>63</v>
      </c>
      <c r="BY21" s="138">
        <v>158.91826997347314</v>
      </c>
      <c r="BZ21" s="139">
        <v>57.101850294303269</v>
      </c>
    </row>
    <row r="22" spans="1:78" x14ac:dyDescent="0.25">
      <c r="A22" t="s">
        <v>76</v>
      </c>
      <c r="B22">
        <v>13.182567719439019</v>
      </c>
      <c r="C22">
        <v>22</v>
      </c>
      <c r="D22">
        <v>0.27929468475203562</v>
      </c>
      <c r="E22">
        <v>1</v>
      </c>
      <c r="F22">
        <f>(CS1_0-AVERAGE(CS1_0))/STDEV(CS1_0)</f>
        <v>8.35915890350869E-2</v>
      </c>
      <c r="G22">
        <f>(CS1_1-AVERAGE(CS1_1))/STDEV(CS1_1)</f>
        <v>-0.90601647702766586</v>
      </c>
      <c r="H22">
        <f>(CS1_2-AVERAGE(CS1_2))/STDEV(CS1_2)</f>
        <v>-0.7319250547113999</v>
      </c>
      <c r="I22">
        <f>CS1_0_std * CS1_0_loading+CS1_1_std * CS1_1_loading+CS1_2_std * CS1_2_loading</f>
        <v>-0.52698259202669107</v>
      </c>
      <c r="J22">
        <f>(CS1_I_STD-MIN(CS1_I_STD_ALL))/(MAX(CS1_I_STD_ALL)-MIN(CS1_I_STD_ALL))*100</f>
        <v>38.304700058750655</v>
      </c>
      <c r="K22" s="138" t="s">
        <v>78</v>
      </c>
      <c r="L22" s="138">
        <v>40.093755528038209</v>
      </c>
      <c r="M22" s="139">
        <v>62.513819812972713</v>
      </c>
      <c r="N22" t="s">
        <v>76</v>
      </c>
      <c r="O22">
        <v>13.182567719439019</v>
      </c>
      <c r="P22">
        <v>22</v>
      </c>
      <c r="Q22">
        <v>0.27929468475203562</v>
      </c>
      <c r="R22">
        <v>1</v>
      </c>
      <c r="S22">
        <f>(CS2_0-AVERAGE(CS2_0))/STDEV(CS2_0)</f>
        <v>8.35915890350869E-2</v>
      </c>
      <c r="T22">
        <f>(CS2_1-AVERAGE(CS2_1))/STDEV(CS2_1)</f>
        <v>-0.90601647702766586</v>
      </c>
      <c r="U22">
        <f>(CS2_2-AVERAGE(CS2_2))/STDEV(CS2_2)</f>
        <v>-0.7319250547113999</v>
      </c>
      <c r="V22">
        <f>CS2_0_std * CS2_0_loading+CS2_1_std * CS2_1_loading+CS2_2_std * CS2_2_loading</f>
        <v>-0.60964829806577792</v>
      </c>
      <c r="W22">
        <f>(CS2_I_STD-MIN(CS2_I_STD_ALL))/(MAX(CS2_I_STD_ALL)-MIN(CS2_I_STD_ALL))*100</f>
        <v>37.589674551110917</v>
      </c>
      <c r="X22" s="138" t="s">
        <v>74</v>
      </c>
      <c r="Y22" s="138">
        <v>134.10032848477772</v>
      </c>
      <c r="Z22" s="139">
        <v>63.56246689370245</v>
      </c>
      <c r="AA22" t="s">
        <v>76</v>
      </c>
      <c r="AB22">
        <v>13.182567719439019</v>
      </c>
      <c r="AC22">
        <v>22</v>
      </c>
      <c r="AD22">
        <v>0.27929468475203562</v>
      </c>
      <c r="AE22">
        <v>1</v>
      </c>
      <c r="AF22">
        <f>(PCA_0-AVERAGE(PCA_0))/STDEV(PCA_0)</f>
        <v>8.35915890350869E-2</v>
      </c>
      <c r="AG22">
        <f>(PCA_1-AVERAGE(PCA_1))/STDEV(PCA_1)</f>
        <v>-0.90601647702766586</v>
      </c>
      <c r="AH22">
        <f>(PCA_2-AVERAGE(PCA_2))/STDEV(PCA_2)</f>
        <v>-0.7319250547113999</v>
      </c>
      <c r="AI22">
        <f>PCA_0_std * PCA_0_loading+PCA_1_std * PCA_1_loading+PCA_2_std * PCA_2_loading</f>
        <v>-0.22189986085581165</v>
      </c>
      <c r="AJ22">
        <f>(PCA_I_STD-MIN(PCA_I_STD_ALL))/(MAX(PCA_I_STD_ALL)-MIN(PCA_I_STD_ALL))*100</f>
        <v>41.267459844164037</v>
      </c>
      <c r="AK22" s="138" t="s">
        <v>73</v>
      </c>
      <c r="AL22" s="138">
        <v>97.801123064581716</v>
      </c>
      <c r="AM22" s="139">
        <v>48.962226758267633</v>
      </c>
      <c r="AN22" t="s">
        <v>76</v>
      </c>
      <c r="AO22">
        <v>13.182567719439019</v>
      </c>
      <c r="AP22">
        <v>22</v>
      </c>
      <c r="AQ22">
        <v>0.27929468475203562</v>
      </c>
      <c r="AR22">
        <v>1</v>
      </c>
      <c r="AS22">
        <f>(KTGET_0-AVERAGE(KTGET_0))/STDEV(KTGET_0)</f>
        <v>8.35915890350869E-2</v>
      </c>
      <c r="AT22">
        <f>(KTGET_1-AVERAGE(KTGET_1))/STDEV(KTGET_1)</f>
        <v>-0.90601647702766586</v>
      </c>
      <c r="AU22">
        <f>(KTGET_2-AVERAGE(KTGET_2))/STDEV(KTGET_2)</f>
        <v>-0.7319250547113999</v>
      </c>
      <c r="AV22">
        <f>KTGET_0_std * KTGET_0_loading+KTGET_1_std * KTGET_1_loading+KTGET_2_std * KTGET_2_loading</f>
        <v>-0.45844099005037253</v>
      </c>
      <c r="AW22">
        <f>(KTGET_I_STD-MIN(KTGET_I_STD_ALL))/(MAX(KTGET_I_STD_ALL)-MIN(KTGET_I_STD_ALL))*100</f>
        <v>38.160302113129504</v>
      </c>
      <c r="AX22" s="138" t="s">
        <v>73</v>
      </c>
      <c r="AY22" s="138">
        <v>97.801123064581716</v>
      </c>
      <c r="AZ22" s="139">
        <v>59.992974373046323</v>
      </c>
      <c r="BA22" t="s">
        <v>76</v>
      </c>
      <c r="BB22">
        <v>13.182567719439019</v>
      </c>
      <c r="BC22">
        <v>22</v>
      </c>
      <c r="BD22">
        <v>0.27929468475203562</v>
      </c>
      <c r="BE22">
        <v>1</v>
      </c>
      <c r="BF22">
        <f>(KTGT_0-AVERAGE(KTGT_0))/STDEV(KTGT_0)</f>
        <v>8.35915890350869E-2</v>
      </c>
      <c r="BG22">
        <f>(KTGT_1-AVERAGE(KTGT_1))/STDEV(KTGT_1)</f>
        <v>-0.90601647702766586</v>
      </c>
      <c r="BH22">
        <f>(KTGT_2-AVERAGE(KTGT_2))/STDEV(KTGT_2)</f>
        <v>-0.7319250547113999</v>
      </c>
      <c r="BI22">
        <f>KTGT_0_std * KTGT_0_loading+KTGT_1_std * KTGT_1_loading+KTGT_2_std * KTGT_2_loading</f>
        <v>-0.45974504012880224</v>
      </c>
      <c r="BJ22">
        <f>(KTGT_I_STD-MIN(KTGT_I_STD_ALL))/(MAX(KTGT_I_STD_ALL)-MIN(KTGT_I_STD_ALL))*100</f>
        <v>38.163012577581675</v>
      </c>
      <c r="BK22" s="138" t="s">
        <v>73</v>
      </c>
      <c r="BL22" s="138">
        <v>97.801123064581716</v>
      </c>
      <c r="BM22" s="139">
        <v>60.070894539962438</v>
      </c>
      <c r="BN22" t="s">
        <v>76</v>
      </c>
      <c r="BO22">
        <v>13.182567719439019</v>
      </c>
      <c r="BP22">
        <v>22</v>
      </c>
      <c r="BQ22">
        <v>0.27929468475203562</v>
      </c>
      <c r="BR22">
        <v>1</v>
      </c>
      <c r="BS22">
        <f>(SA_0-AVERAGE(SA_0))/STDEV(SA_0)</f>
        <v>8.35915890350869E-2</v>
      </c>
      <c r="BT22">
        <f>(SA_1-AVERAGE(SA_1))/STDEV(SA_1)</f>
        <v>-0.90601647702766586</v>
      </c>
      <c r="BU22">
        <f>(SA_2-AVERAGE(SA_2))/STDEV(SA_2)</f>
        <v>-0.7319250547113999</v>
      </c>
      <c r="BV22">
        <f>SA_0_std * SA_0_loading+SA_1_std * SA_1_loading+SA_2_std * SA_2_loading</f>
        <v>-0.89740435783502148</v>
      </c>
      <c r="BW22">
        <f>(SA_I_STD-MIN(SA_I_STD_ALL))/(MAX(SA_I_STD_ALL)-MIN(SA_I_STD_ALL))*100</f>
        <v>32.707845821005385</v>
      </c>
      <c r="BX22" s="138" t="s">
        <v>78</v>
      </c>
      <c r="BY22" s="138">
        <v>40.093755528038209</v>
      </c>
      <c r="BZ22" s="139">
        <v>57.319643069634942</v>
      </c>
    </row>
    <row r="23" spans="1:78" x14ac:dyDescent="0.25">
      <c r="A23" t="s">
        <v>68</v>
      </c>
      <c r="B23">
        <v>357.45486313337216</v>
      </c>
      <c r="C23">
        <v>25</v>
      </c>
      <c r="D23">
        <v>0.53082581071016366</v>
      </c>
      <c r="E23">
        <v>1</v>
      </c>
      <c r="F23">
        <f>(CS1_0-AVERAGE(CS1_0))/STDEV(CS1_0)</f>
        <v>0.4829640382145769</v>
      </c>
      <c r="G23">
        <f>(CS1_1-AVERAGE(CS1_1))/STDEV(CS1_1)</f>
        <v>-0.68577590637632624</v>
      </c>
      <c r="H23">
        <f>(CS1_2-AVERAGE(CS1_2))/STDEV(CS1_2)</f>
        <v>-0.7319250547113999</v>
      </c>
      <c r="I23">
        <f>CS1_0_std * CS1_0_loading+CS1_1_std * CS1_1_loading+CS1_2_std * CS1_2_loading</f>
        <v>-0.22929411362145224</v>
      </c>
      <c r="J23">
        <f>(CS1_I_STD-MIN(CS1_I_STD_ALL))/(MAX(CS1_I_STD_ALL)-MIN(CS1_I_STD_ALL))*100</f>
        <v>44.736635151440375</v>
      </c>
      <c r="K23" s="138" t="s">
        <v>74</v>
      </c>
      <c r="L23" s="138">
        <v>134.10032848477772</v>
      </c>
      <c r="M23" s="139">
        <v>62.849274437047889</v>
      </c>
      <c r="N23" t="s">
        <v>68</v>
      </c>
      <c r="O23">
        <v>357.45486313337216</v>
      </c>
      <c r="P23">
        <v>25</v>
      </c>
      <c r="Q23">
        <v>0.53082581071016366</v>
      </c>
      <c r="R23">
        <v>1</v>
      </c>
      <c r="S23">
        <f>(CS2_0-AVERAGE(CS2_0))/STDEV(CS2_0)</f>
        <v>0.4829640382145769</v>
      </c>
      <c r="T23">
        <f>(CS2_1-AVERAGE(CS2_1))/STDEV(CS2_1)</f>
        <v>-0.68577590637632624</v>
      </c>
      <c r="U23">
        <f>(CS2_2-AVERAGE(CS2_2))/STDEV(CS2_2)</f>
        <v>-0.7319250547113999</v>
      </c>
      <c r="V23">
        <f>CS2_0_std * CS2_0_loading+CS2_1_std * CS2_1_loading+CS2_2_std * CS2_2_loading</f>
        <v>-0.35930693947437103</v>
      </c>
      <c r="W23">
        <f>(CS2_I_STD-MIN(CS2_I_STD_ALL))/(MAX(CS2_I_STD_ALL)-MIN(CS2_I_STD_ALL))*100</f>
        <v>43.115759895885958</v>
      </c>
      <c r="X23" s="138" t="s">
        <v>73</v>
      </c>
      <c r="Y23" s="138">
        <v>97.801123064581716</v>
      </c>
      <c r="Z23" s="139">
        <v>65.178501206205098</v>
      </c>
      <c r="AA23" t="s">
        <v>68</v>
      </c>
      <c r="AB23">
        <v>357.45486313337216</v>
      </c>
      <c r="AC23">
        <v>25</v>
      </c>
      <c r="AD23">
        <v>0.53082581071016366</v>
      </c>
      <c r="AE23">
        <v>1</v>
      </c>
      <c r="AF23">
        <f>(PCA_0-AVERAGE(PCA_0))/STDEV(PCA_0)</f>
        <v>0.4829640382145769</v>
      </c>
      <c r="AG23">
        <f>(PCA_1-AVERAGE(PCA_1))/STDEV(PCA_1)</f>
        <v>-0.68577590637632624</v>
      </c>
      <c r="AH23">
        <f>(PCA_2-AVERAGE(PCA_2))/STDEV(PCA_2)</f>
        <v>-0.7319250547113999</v>
      </c>
      <c r="AI23">
        <f>PCA_0_std * PCA_0_loading+PCA_1_std * PCA_1_loading+PCA_2_std * PCA_2_loading</f>
        <v>5.7129533023658752E-4</v>
      </c>
      <c r="AJ23">
        <f>(PCA_I_STD-MIN(PCA_I_STD_ALL))/(MAX(PCA_I_STD_ALL)-MIN(PCA_I_STD_ALL))*100</f>
        <v>45.976682531706658</v>
      </c>
      <c r="AK23" s="138" t="s">
        <v>63</v>
      </c>
      <c r="AL23" s="138">
        <v>158.91826997347314</v>
      </c>
      <c r="AM23" s="139">
        <v>57.101185204434678</v>
      </c>
      <c r="AN23" t="s">
        <v>68</v>
      </c>
      <c r="AO23">
        <v>357.45486313337216</v>
      </c>
      <c r="AP23">
        <v>25</v>
      </c>
      <c r="AQ23">
        <v>0.53082581071016366</v>
      </c>
      <c r="AR23">
        <v>1</v>
      </c>
      <c r="AS23">
        <f>(KTGET_0-AVERAGE(KTGET_0))/STDEV(KTGET_0)</f>
        <v>0.4829640382145769</v>
      </c>
      <c r="AT23">
        <f>(KTGET_1-AVERAGE(KTGET_1))/STDEV(KTGET_1)</f>
        <v>-0.68577590637632624</v>
      </c>
      <c r="AU23">
        <f>(KTGET_2-AVERAGE(KTGET_2))/STDEV(KTGET_2)</f>
        <v>-0.7319250547113999</v>
      </c>
      <c r="AV23">
        <f>KTGET_0_std * KTGET_0_loading+KTGET_1_std * KTGET_1_loading+KTGET_2_std * KTGET_2_loading</f>
        <v>-0.1760420230167084</v>
      </c>
      <c r="AW23">
        <f>(KTGET_I_STD-MIN(KTGET_I_STD_ALL))/(MAX(KTGET_I_STD_ALL)-MIN(KTGET_I_STD_ALL))*100</f>
        <v>44.283163308084262</v>
      </c>
      <c r="AX23" s="138" t="s">
        <v>78</v>
      </c>
      <c r="AY23" s="138">
        <v>40.093755528038209</v>
      </c>
      <c r="AZ23" s="139">
        <v>61.567961365059595</v>
      </c>
      <c r="BA23" t="s">
        <v>68</v>
      </c>
      <c r="BB23">
        <v>357.45486313337216</v>
      </c>
      <c r="BC23">
        <v>25</v>
      </c>
      <c r="BD23">
        <v>0.53082581071016366</v>
      </c>
      <c r="BE23">
        <v>1</v>
      </c>
      <c r="BF23">
        <f>(KTGT_0-AVERAGE(KTGT_0))/STDEV(KTGT_0)</f>
        <v>0.4829640382145769</v>
      </c>
      <c r="BG23">
        <f>(KTGT_1-AVERAGE(KTGT_1))/STDEV(KTGT_1)</f>
        <v>-0.68577590637632624</v>
      </c>
      <c r="BH23">
        <f>(KTGT_2-AVERAGE(KTGT_2))/STDEV(KTGT_2)</f>
        <v>-0.7319250547113999</v>
      </c>
      <c r="BI23">
        <f>KTGT_0_std * KTGT_0_loading+KTGT_1_std * KTGT_1_loading+KTGT_2_std * KTGT_2_loading</f>
        <v>-0.17704531595586642</v>
      </c>
      <c r="BJ23">
        <f>(KTGT_I_STD-MIN(KTGT_I_STD_ALL))/(MAX(KTGT_I_STD_ALL)-MIN(KTGT_I_STD_ALL))*100</f>
        <v>44.29167185268971</v>
      </c>
      <c r="BK23" s="138" t="s">
        <v>78</v>
      </c>
      <c r="BL23" s="138">
        <v>40.093755528038209</v>
      </c>
      <c r="BM23" s="139">
        <v>61.58565791159932</v>
      </c>
      <c r="BN23" t="s">
        <v>68</v>
      </c>
      <c r="BO23">
        <v>357.45486313337216</v>
      </c>
      <c r="BP23">
        <v>25</v>
      </c>
      <c r="BQ23">
        <v>0.53082581071016366</v>
      </c>
      <c r="BR23">
        <v>1</v>
      </c>
      <c r="BS23">
        <f>(SA_0-AVERAGE(SA_0))/STDEV(SA_0)</f>
        <v>0.4829640382145769</v>
      </c>
      <c r="BT23">
        <f>(SA_1-AVERAGE(SA_1))/STDEV(SA_1)</f>
        <v>-0.68577590637632624</v>
      </c>
      <c r="BU23">
        <f>(SA_2-AVERAGE(SA_2))/STDEV(SA_2)</f>
        <v>-0.7319250547113999</v>
      </c>
      <c r="BV23">
        <f>SA_0_std * SA_0_loading+SA_1_std * SA_1_loading+SA_2_std * SA_2_loading</f>
        <v>-0.5396706140422951</v>
      </c>
      <c r="BW23">
        <f>(SA_I_STD-MIN(SA_I_STD_ALL))/(MAX(SA_I_STD_ALL)-MIN(SA_I_STD_ALL))*100</f>
        <v>40.121558561318778</v>
      </c>
      <c r="BX23" s="138" t="s">
        <v>74</v>
      </c>
      <c r="BY23" s="138">
        <v>134.10032848477772</v>
      </c>
      <c r="BZ23" s="139">
        <v>57.986927284093937</v>
      </c>
    </row>
    <row r="24" spans="1:78" x14ac:dyDescent="0.25">
      <c r="A24" t="s">
        <v>84</v>
      </c>
      <c r="B24">
        <v>101.91738416424882</v>
      </c>
      <c r="C24">
        <v>15.862567111307909</v>
      </c>
      <c r="D24">
        <v>0.94929799999999998</v>
      </c>
      <c r="E24">
        <v>2</v>
      </c>
      <c r="F24">
        <f>(CS1_0-AVERAGE(CS1_0))/STDEV(CS1_0)</f>
        <v>-0.73344894577548403</v>
      </c>
      <c r="G24">
        <f>(CS1_1-AVERAGE(CS1_1))/STDEV(CS1_1)</f>
        <v>-0.31936179591648794</v>
      </c>
      <c r="H24">
        <f>(CS1_2-AVERAGE(CS1_2))/STDEV(CS1_2)</f>
        <v>0.29277002188456008</v>
      </c>
      <c r="I24">
        <f>CS1_0_std * CS1_0_loading+CS1_1_std * CS1_1_loading+CS1_2_std * CS1_2_loading</f>
        <v>-0.33340102866497956</v>
      </c>
      <c r="J24">
        <f>(CS1_I_STD-MIN(CS1_I_STD_ALL))/(MAX(CS1_I_STD_ALL)-MIN(CS1_I_STD_ALL))*100</f>
        <v>42.4872739270916</v>
      </c>
      <c r="K24" s="142" t="s">
        <v>73</v>
      </c>
      <c r="L24" s="142">
        <v>97.801123064581716</v>
      </c>
      <c r="M24" s="143">
        <v>64.150533796115624</v>
      </c>
      <c r="N24" t="s">
        <v>84</v>
      </c>
      <c r="O24">
        <v>101.91738416424882</v>
      </c>
      <c r="P24">
        <v>15.862567111307909</v>
      </c>
      <c r="Q24">
        <v>0.94929799999999998</v>
      </c>
      <c r="R24">
        <v>2</v>
      </c>
      <c r="S24">
        <f>(CS2_0-AVERAGE(CS2_0))/STDEV(CS2_0)</f>
        <v>-0.73344894577548403</v>
      </c>
      <c r="T24">
        <f>(CS2_1-AVERAGE(CS2_1))/STDEV(CS2_1)</f>
        <v>-0.31936179591648794</v>
      </c>
      <c r="U24">
        <f>(CS2_2-AVERAGE(CS2_2))/STDEV(CS2_2)</f>
        <v>0.29277002188456008</v>
      </c>
      <c r="V24">
        <f>CS2_0_std * CS2_0_loading+CS2_1_std * CS2_1_loading+CS2_2_std * CS2_2_loading</f>
        <v>-0.21706882153788137</v>
      </c>
      <c r="W24">
        <f>(CS2_I_STD-MIN(CS2_I_STD_ALL))/(MAX(CS2_I_STD_ALL)-MIN(CS2_I_STD_ALL))*100</f>
        <v>46.255552630973398</v>
      </c>
      <c r="X24" s="142" t="s">
        <v>78</v>
      </c>
      <c r="Y24" s="142">
        <v>40.093755528038209</v>
      </c>
      <c r="Z24" s="143">
        <v>68.225751809395319</v>
      </c>
      <c r="AA24" t="s">
        <v>84</v>
      </c>
      <c r="AB24">
        <v>101.91738416424882</v>
      </c>
      <c r="AC24">
        <v>15.862567111307909</v>
      </c>
      <c r="AD24">
        <v>0.94929799999999998</v>
      </c>
      <c r="AE24">
        <v>2</v>
      </c>
      <c r="AF24">
        <f>(PCA_0-AVERAGE(PCA_0))/STDEV(PCA_0)</f>
        <v>-0.73344894577548403</v>
      </c>
      <c r="AG24">
        <f>(PCA_1-AVERAGE(PCA_1))/STDEV(PCA_1)</f>
        <v>-0.31936179591648794</v>
      </c>
      <c r="AH24">
        <f>(PCA_2-AVERAGE(PCA_2))/STDEV(PCA_2)</f>
        <v>0.29277002188456008</v>
      </c>
      <c r="AI24">
        <f>PCA_0_std * PCA_0_loading+PCA_1_std * PCA_1_loading+PCA_2_std * PCA_2_loading</f>
        <v>-0.22960899022942438</v>
      </c>
      <c r="AJ24">
        <f>(PCA_I_STD-MIN(PCA_I_STD_ALL))/(MAX(PCA_I_STD_ALL)-MIN(PCA_I_STD_ALL))*100</f>
        <v>41.104274613459076</v>
      </c>
      <c r="AK24" s="138" t="s">
        <v>78</v>
      </c>
      <c r="AL24" s="138">
        <v>40.093755528038209</v>
      </c>
      <c r="AM24" s="139">
        <v>60.482281203734665</v>
      </c>
      <c r="AN24" t="s">
        <v>84</v>
      </c>
      <c r="AO24">
        <v>101.91738416424882</v>
      </c>
      <c r="AP24">
        <v>15.862567111307909</v>
      </c>
      <c r="AQ24">
        <v>0.94929799999999998</v>
      </c>
      <c r="AR24">
        <v>2</v>
      </c>
      <c r="AS24">
        <f>(KTGET_0-AVERAGE(KTGET_0))/STDEV(KTGET_0)</f>
        <v>-0.73344894577548403</v>
      </c>
      <c r="AT24">
        <f>(KTGET_1-AVERAGE(KTGET_1))/STDEV(KTGET_1)</f>
        <v>-0.31936179591648794</v>
      </c>
      <c r="AU24">
        <f>(KTGET_2-AVERAGE(KTGET_2))/STDEV(KTGET_2)</f>
        <v>0.29277002188456008</v>
      </c>
      <c r="AV24">
        <f>KTGET_0_std * KTGET_0_loading+KTGET_1_std * KTGET_1_loading+KTGET_2_std * KTGET_2_loading</f>
        <v>-0.31160705540866396</v>
      </c>
      <c r="AW24">
        <f>(KTGET_I_STD-MIN(KTGET_I_STD_ALL))/(MAX(KTGET_I_STD_ALL)-MIN(KTGET_I_STD_ALL))*100</f>
        <v>41.343896621154272</v>
      </c>
      <c r="AX24" s="142" t="s">
        <v>74</v>
      </c>
      <c r="AY24" s="142">
        <v>134.10032848477772</v>
      </c>
      <c r="AZ24" s="143">
        <v>61.917591911036716</v>
      </c>
      <c r="BA24" t="s">
        <v>84</v>
      </c>
      <c r="BB24">
        <v>101.91738416424882</v>
      </c>
      <c r="BC24">
        <v>15.862567111307909</v>
      </c>
      <c r="BD24">
        <v>0.94929799999999998</v>
      </c>
      <c r="BE24">
        <v>2</v>
      </c>
      <c r="BF24">
        <f>(KTGT_0-AVERAGE(KTGT_0))/STDEV(KTGT_0)</f>
        <v>-0.73344894577548403</v>
      </c>
      <c r="BG24">
        <f>(KTGT_1-AVERAGE(KTGT_1))/STDEV(KTGT_1)</f>
        <v>-0.31936179591648794</v>
      </c>
      <c r="BH24">
        <f>(KTGT_2-AVERAGE(KTGT_2))/STDEV(KTGT_2)</f>
        <v>0.29277002188456008</v>
      </c>
      <c r="BI24">
        <f>KTGT_0_std * KTGT_0_loading+KTGT_1_std * KTGT_1_loading+KTGT_2_std * KTGT_2_loading</f>
        <v>-0.31203124731651155</v>
      </c>
      <c r="BJ24">
        <f>(KTGT_I_STD-MIN(KTGT_I_STD_ALL))/(MAX(KTGT_I_STD_ALL)-MIN(KTGT_I_STD_ALL))*100</f>
        <v>41.365306138457747</v>
      </c>
      <c r="BK24" s="142" t="s">
        <v>74</v>
      </c>
      <c r="BL24" s="142">
        <v>134.10032848477772</v>
      </c>
      <c r="BM24" s="143">
        <v>61.93505063056751</v>
      </c>
      <c r="BN24" t="s">
        <v>84</v>
      </c>
      <c r="BO24">
        <v>101.91738416424882</v>
      </c>
      <c r="BP24">
        <v>15.862567111307909</v>
      </c>
      <c r="BQ24">
        <v>0.94929799999999998</v>
      </c>
      <c r="BR24">
        <v>2</v>
      </c>
      <c r="BS24">
        <f>(SA_0-AVERAGE(SA_0))/STDEV(SA_0)</f>
        <v>-0.73344894577548403</v>
      </c>
      <c r="BT24">
        <f>(SA_1-AVERAGE(SA_1))/STDEV(SA_1)</f>
        <v>-0.31936179591648794</v>
      </c>
      <c r="BU24">
        <f>(SA_2-AVERAGE(SA_2))/STDEV(SA_2)</f>
        <v>0.29277002188456008</v>
      </c>
      <c r="BV24">
        <f>SA_0_std * SA_0_loading+SA_1_std * SA_1_loading+SA_2_std * SA_2_loading</f>
        <v>-0.43880971417588621</v>
      </c>
      <c r="BW24">
        <f>(SA_I_STD-MIN(SA_I_STD_ALL))/(MAX(SA_I_STD_ALL)-MIN(SA_I_STD_ALL))*100</f>
        <v>42.211810742763326</v>
      </c>
      <c r="BX24" s="142" t="s">
        <v>82</v>
      </c>
      <c r="BY24" s="142">
        <v>19.785132701190538</v>
      </c>
      <c r="BZ24" s="143">
        <v>58.825592802568913</v>
      </c>
    </row>
    <row r="25" spans="1:78" x14ac:dyDescent="0.25">
      <c r="A25" t="s">
        <v>73</v>
      </c>
      <c r="B25">
        <v>97.801123064581716</v>
      </c>
      <c r="C25">
        <v>25</v>
      </c>
      <c r="D25">
        <v>3.1612040000000001</v>
      </c>
      <c r="E25">
        <v>2</v>
      </c>
      <c r="F25">
        <f>(CS1_0-AVERAGE(CS1_0))/STDEV(CS1_0)</f>
        <v>0.4829640382145769</v>
      </c>
      <c r="G25">
        <f>(CS1_1-AVERAGE(CS1_1))/STDEV(CS1_1)</f>
        <v>1.6173823657115152</v>
      </c>
      <c r="H25">
        <f>(CS1_2-AVERAGE(CS1_2))/STDEV(CS1_2)</f>
        <v>0.29277002188456008</v>
      </c>
      <c r="I25">
        <f>CS1_0_std * CS1_0_loading+CS1_1_std * CS1_1_loading+CS1_2_std * CS1_2_loading</f>
        <v>0.66923702267925866</v>
      </c>
      <c r="J25">
        <f>(CS1_I_STD-MIN(CS1_I_STD_ALL))/(MAX(CS1_I_STD_ALL)-MIN(CS1_I_STD_ALL))*100</f>
        <v>64.150533796115624</v>
      </c>
      <c r="K25" s="140" t="s">
        <v>72</v>
      </c>
      <c r="L25" s="140">
        <v>110.80232603285897</v>
      </c>
      <c r="M25" s="141">
        <v>65.855281784266921</v>
      </c>
      <c r="N25" t="s">
        <v>73</v>
      </c>
      <c r="O25">
        <v>97.801123064581716</v>
      </c>
      <c r="P25">
        <v>25</v>
      </c>
      <c r="Q25">
        <v>3.1612040000000001</v>
      </c>
      <c r="R25">
        <v>2</v>
      </c>
      <c r="S25">
        <f>(CS2_0-AVERAGE(CS2_0))/STDEV(CS2_0)</f>
        <v>0.4829640382145769</v>
      </c>
      <c r="T25">
        <f>(CS2_1-AVERAGE(CS2_1))/STDEV(CS2_1)</f>
        <v>1.6173823657115152</v>
      </c>
      <c r="U25">
        <f>(CS2_2-AVERAGE(CS2_2))/STDEV(CS2_2)</f>
        <v>0.29277002188456008</v>
      </c>
      <c r="V25">
        <f>CS2_0_std * CS2_0_loading+CS2_1_std * CS2_1_loading+CS2_2_std * CS2_2_loading</f>
        <v>0.6401739388110681</v>
      </c>
      <c r="W25">
        <f>(CS2_I_STD-MIN(CS2_I_STD_ALL))/(MAX(CS2_I_STD_ALL)-MIN(CS2_I_STD_ALL))*100</f>
        <v>65.178501206205098</v>
      </c>
      <c r="X25" s="140" t="s">
        <v>72</v>
      </c>
      <c r="Y25" s="140">
        <v>110.80232603285897</v>
      </c>
      <c r="Z25" s="141">
        <v>70.985623939820186</v>
      </c>
      <c r="AA25" t="s">
        <v>73</v>
      </c>
      <c r="AB25">
        <v>97.801123064581716</v>
      </c>
      <c r="AC25">
        <v>25</v>
      </c>
      <c r="AD25">
        <v>3.1612040000000001</v>
      </c>
      <c r="AE25">
        <v>2</v>
      </c>
      <c r="AF25">
        <f>(PCA_0-AVERAGE(PCA_0))/STDEV(PCA_0)</f>
        <v>0.4829640382145769</v>
      </c>
      <c r="AG25">
        <f>(PCA_1-AVERAGE(PCA_1))/STDEV(PCA_1)</f>
        <v>1.6173823657115152</v>
      </c>
      <c r="AH25">
        <f>(PCA_2-AVERAGE(PCA_2))/STDEV(PCA_2)</f>
        <v>0.29277002188456008</v>
      </c>
      <c r="AI25">
        <f>PCA_0_std * PCA_0_loading+PCA_1_std * PCA_1_loading+PCA_2_std * PCA_2_loading</f>
        <v>0.14161314448394369</v>
      </c>
      <c r="AJ25">
        <f>(PCA_I_STD-MIN(PCA_I_STD_ALL))/(MAX(PCA_I_STD_ALL)-MIN(PCA_I_STD_ALL))*100</f>
        <v>48.962226758267633</v>
      </c>
      <c r="AK25" s="142" t="s">
        <v>74</v>
      </c>
      <c r="AL25" s="142">
        <v>134.10032848477772</v>
      </c>
      <c r="AM25" s="143">
        <v>60.839694492606277</v>
      </c>
      <c r="AN25" t="s">
        <v>73</v>
      </c>
      <c r="AO25">
        <v>97.801123064581716</v>
      </c>
      <c r="AP25">
        <v>25</v>
      </c>
      <c r="AQ25">
        <v>3.1612040000000001</v>
      </c>
      <c r="AR25">
        <v>2</v>
      </c>
      <c r="AS25">
        <f>(KTGET_0-AVERAGE(KTGET_0))/STDEV(KTGET_0)</f>
        <v>0.4829640382145769</v>
      </c>
      <c r="AT25">
        <f>(KTGET_1-AVERAGE(KTGET_1))/STDEV(KTGET_1)</f>
        <v>1.6173823657115152</v>
      </c>
      <c r="AU25">
        <f>(KTGET_2-AVERAGE(KTGET_2))/STDEV(KTGET_2)</f>
        <v>0.29277002188456008</v>
      </c>
      <c r="AV25">
        <f>KTGET_0_std * KTGET_0_loading+KTGET_1_std * KTGET_1_loading+KTGET_2_std * KTGET_2_loading</f>
        <v>0.54852681429336159</v>
      </c>
      <c r="AW25">
        <f>(KTGET_I_STD-MIN(KTGET_I_STD_ALL))/(MAX(KTGET_I_STD_ALL)-MIN(KTGET_I_STD_ALL))*100</f>
        <v>59.992974373046323</v>
      </c>
      <c r="AX25" s="140" t="s">
        <v>72</v>
      </c>
      <c r="AY25" s="140">
        <v>110.80232603285897</v>
      </c>
      <c r="AZ25" s="141">
        <v>65.453825161698603</v>
      </c>
      <c r="BA25" t="s">
        <v>73</v>
      </c>
      <c r="BB25">
        <v>97.801123064581716</v>
      </c>
      <c r="BC25">
        <v>25</v>
      </c>
      <c r="BD25">
        <v>3.1612040000000001</v>
      </c>
      <c r="BE25">
        <v>2</v>
      </c>
      <c r="BF25">
        <f>(KTGT_0-AVERAGE(KTGT_0))/STDEV(KTGT_0)</f>
        <v>0.4829640382145769</v>
      </c>
      <c r="BG25">
        <f>(KTGT_1-AVERAGE(KTGT_1))/STDEV(KTGT_1)</f>
        <v>1.6173823657115152</v>
      </c>
      <c r="BH25">
        <f>(KTGT_2-AVERAGE(KTGT_2))/STDEV(KTGT_2)</f>
        <v>0.29277002188456008</v>
      </c>
      <c r="BI25">
        <f>KTGT_0_std * KTGT_0_loading+KTGT_1_std * KTGT_1_loading+KTGT_2_std * KTGT_2_loading</f>
        <v>0.55081076171402343</v>
      </c>
      <c r="BJ25">
        <f>(KTGT_I_STD-MIN(KTGT_I_STD_ALL))/(MAX(KTGT_I_STD_ALL)-MIN(KTGT_I_STD_ALL))*100</f>
        <v>60.070894539962438</v>
      </c>
      <c r="BK25" s="140" t="s">
        <v>72</v>
      </c>
      <c r="BL25" s="140">
        <v>110.80232603285897</v>
      </c>
      <c r="BM25" s="141">
        <v>65.461321128086681</v>
      </c>
      <c r="BN25" t="s">
        <v>73</v>
      </c>
      <c r="BO25">
        <v>97.801123064581716</v>
      </c>
      <c r="BP25">
        <v>25</v>
      </c>
      <c r="BQ25">
        <v>3.1612040000000001</v>
      </c>
      <c r="BR25">
        <v>2</v>
      </c>
      <c r="BS25">
        <f>(SA_0-AVERAGE(SA_0))/STDEV(SA_0)</f>
        <v>0.4829640382145769</v>
      </c>
      <c r="BT25">
        <f>(SA_1-AVERAGE(SA_1))/STDEV(SA_1)</f>
        <v>1.6173823657115152</v>
      </c>
      <c r="BU25">
        <f>(SA_2-AVERAGE(SA_2))/STDEV(SA_2)</f>
        <v>0.29277002188456008</v>
      </c>
      <c r="BV25">
        <f>SA_0_std * SA_0_loading+SA_1_std * SA_1_loading+SA_2_std * SA_2_loading</f>
        <v>1.3816664126438951</v>
      </c>
      <c r="BW25">
        <f>(SA_I_STD-MIN(SA_I_STD_ALL))/(MAX(SA_I_STD_ALL)-MIN(SA_I_STD_ALL))*100</f>
        <v>79.939554599826351</v>
      </c>
      <c r="BX25" s="140" t="s">
        <v>65</v>
      </c>
      <c r="BY25" s="140">
        <v>57.291403378967317</v>
      </c>
      <c r="BZ25" s="141">
        <v>63.051769130379242</v>
      </c>
    </row>
    <row r="26" spans="1:78" x14ac:dyDescent="0.25">
      <c r="A26" t="s">
        <v>75</v>
      </c>
      <c r="B26">
        <v>109.01309275271484</v>
      </c>
      <c r="C26">
        <v>25</v>
      </c>
      <c r="D26">
        <v>1.2607643263866661</v>
      </c>
      <c r="E26">
        <v>1</v>
      </c>
      <c r="F26">
        <f>(CS1_0-AVERAGE(CS1_0))/STDEV(CS1_0)</f>
        <v>0.4829640382145769</v>
      </c>
      <c r="G26">
        <f>(CS1_1-AVERAGE(CS1_1))/STDEV(CS1_1)</f>
        <v>-4.6641983603895244E-2</v>
      </c>
      <c r="H26">
        <f>(CS1_2-AVERAGE(CS1_2))/STDEV(CS1_2)</f>
        <v>-0.7319250547113999</v>
      </c>
      <c r="I26">
        <f>CS1_0_std * CS1_0_loading+CS1_1_std * CS1_1_loading+CS1_2_std * CS1_2_loading</f>
        <v>-0.18085912310529551</v>
      </c>
      <c r="J26">
        <f>(CS1_I_STD-MIN(CS1_I_STD_ALL))/(MAX(CS1_I_STD_ALL)-MIN(CS1_I_STD_ALL))*100</f>
        <v>45.783134219472423</v>
      </c>
      <c r="K26" s="140" t="s">
        <v>60</v>
      </c>
      <c r="L26" s="140">
        <v>63.529505721437147</v>
      </c>
      <c r="M26" s="141">
        <v>66.542453095214825</v>
      </c>
      <c r="N26" t="s">
        <v>75</v>
      </c>
      <c r="O26">
        <v>109.01309275271484</v>
      </c>
      <c r="P26">
        <v>25</v>
      </c>
      <c r="Q26">
        <v>1.2607643263866661</v>
      </c>
      <c r="R26">
        <v>1</v>
      </c>
      <c r="S26">
        <f>(CS2_0-AVERAGE(CS2_0))/STDEV(CS2_0)</f>
        <v>0.4829640382145769</v>
      </c>
      <c r="T26">
        <f>(CS2_1-AVERAGE(CS2_1))/STDEV(CS2_1)</f>
        <v>-4.6641983603895244E-2</v>
      </c>
      <c r="U26">
        <f>(CS2_2-AVERAGE(CS2_2))/STDEV(CS2_2)</f>
        <v>-0.7319250547113999</v>
      </c>
      <c r="V26">
        <f>CS2_0_std * CS2_0_loading+CS2_1_std * CS2_1_loading+CS2_2_std * CS2_2_loading</f>
        <v>-0.31147017886565836</v>
      </c>
      <c r="W26">
        <f>(CS2_I_STD-MIN(CS2_I_STD_ALL))/(MAX(CS2_I_STD_ALL)-MIN(CS2_I_STD_ALL))*100</f>
        <v>44.171718141174452</v>
      </c>
      <c r="X26" s="140" t="s">
        <v>60</v>
      </c>
      <c r="Y26" s="140">
        <v>63.529505721437147</v>
      </c>
      <c r="Z26" s="141">
        <v>71.525216904007365</v>
      </c>
      <c r="AA26" t="s">
        <v>75</v>
      </c>
      <c r="AB26">
        <v>109.01309275271484</v>
      </c>
      <c r="AC26">
        <v>25</v>
      </c>
      <c r="AD26">
        <v>1.2607643263866661</v>
      </c>
      <c r="AE26">
        <v>1</v>
      </c>
      <c r="AF26">
        <f>(PCA_0-AVERAGE(PCA_0))/STDEV(PCA_0)</f>
        <v>0.4829640382145769</v>
      </c>
      <c r="AG26">
        <f>(PCA_1-AVERAGE(PCA_1))/STDEV(PCA_1)</f>
        <v>-4.6641983603895244E-2</v>
      </c>
      <c r="AH26">
        <f>(PCA_2-AVERAGE(PCA_2))/STDEV(PCA_2)</f>
        <v>-0.7319250547113999</v>
      </c>
      <c r="AI26">
        <f>PCA_0_std * PCA_0_loading+PCA_1_std * PCA_1_loading+PCA_2_std * PCA_2_loading</f>
        <v>-0.15411282710606267</v>
      </c>
      <c r="AJ26">
        <f>(PCA_I_STD-MIN(PCA_I_STD_ALL))/(MAX(PCA_I_STD_ALL)-MIN(PCA_I_STD_ALL))*100</f>
        <v>42.702361530873361</v>
      </c>
      <c r="AK26" s="140" t="s">
        <v>72</v>
      </c>
      <c r="AL26" s="140">
        <v>110.80232603285897</v>
      </c>
      <c r="AM26" s="141">
        <v>65.788054904439235</v>
      </c>
      <c r="AN26" t="s">
        <v>75</v>
      </c>
      <c r="AO26">
        <v>109.01309275271484</v>
      </c>
      <c r="AP26">
        <v>25</v>
      </c>
      <c r="AQ26">
        <v>1.2607643263866661</v>
      </c>
      <c r="AR26">
        <v>1</v>
      </c>
      <c r="AS26">
        <f>(KTGET_0-AVERAGE(KTGET_0))/STDEV(KTGET_0)</f>
        <v>0.4829640382145769</v>
      </c>
      <c r="AT26">
        <f>(KTGET_1-AVERAGE(KTGET_1))/STDEV(KTGET_1)</f>
        <v>-4.6641983603895244E-2</v>
      </c>
      <c r="AU26">
        <f>(KTGET_2-AVERAGE(KTGET_2))/STDEV(KTGET_2)</f>
        <v>-0.7319250547113999</v>
      </c>
      <c r="AV26">
        <f>KTGET_0_std * KTGET_0_loading+KTGET_1_std * KTGET_1_loading+KTGET_2_std * KTGET_2_loading</f>
        <v>-0.1760420230167084</v>
      </c>
      <c r="AW26">
        <f>(KTGET_I_STD-MIN(KTGET_I_STD_ALL))/(MAX(KTGET_I_STD_ALL)-MIN(KTGET_I_STD_ALL))*100</f>
        <v>44.283163308084262</v>
      </c>
      <c r="AX26" s="140" t="s">
        <v>66</v>
      </c>
      <c r="AY26" s="140">
        <v>80.861343707957317</v>
      </c>
      <c r="AZ26" s="141">
        <v>66.426610769055557</v>
      </c>
      <c r="BA26" t="s">
        <v>75</v>
      </c>
      <c r="BB26">
        <v>109.01309275271484</v>
      </c>
      <c r="BC26">
        <v>25</v>
      </c>
      <c r="BD26">
        <v>1.2607643263866661</v>
      </c>
      <c r="BE26">
        <v>1</v>
      </c>
      <c r="BF26">
        <f>(KTGT_0-AVERAGE(KTGT_0))/STDEV(KTGT_0)</f>
        <v>0.4829640382145769</v>
      </c>
      <c r="BG26">
        <f>(KTGT_1-AVERAGE(KTGT_1))/STDEV(KTGT_1)</f>
        <v>-4.6641983603895244E-2</v>
      </c>
      <c r="BH26">
        <f>(KTGT_2-AVERAGE(KTGT_2))/STDEV(KTGT_2)</f>
        <v>-0.7319250547113999</v>
      </c>
      <c r="BI26">
        <f>KTGT_0_std * KTGT_0_loading+KTGT_1_std * KTGT_1_loading+KTGT_2_std * KTGT_2_loading</f>
        <v>-0.17614054022471221</v>
      </c>
      <c r="BJ26">
        <f>(KTGT_I_STD-MIN(KTGT_I_STD_ALL))/(MAX(KTGT_I_STD_ALL)-MIN(KTGT_I_STD_ALL))*100</f>
        <v>44.311286524026428</v>
      </c>
      <c r="BK26" s="140" t="s">
        <v>60</v>
      </c>
      <c r="BL26" s="140">
        <v>63.529505721437147</v>
      </c>
      <c r="BM26" s="141">
        <v>66.432703241170671</v>
      </c>
      <c r="BN26" t="s">
        <v>75</v>
      </c>
      <c r="BO26">
        <v>109.01309275271484</v>
      </c>
      <c r="BP26">
        <v>25</v>
      </c>
      <c r="BQ26">
        <v>1.2607643263866661</v>
      </c>
      <c r="BR26">
        <v>1</v>
      </c>
      <c r="BS26">
        <f>(SA_0-AVERAGE(SA_0))/STDEV(SA_0)</f>
        <v>0.4829640382145769</v>
      </c>
      <c r="BT26">
        <f>(SA_1-AVERAGE(SA_1))/STDEV(SA_1)</f>
        <v>-4.6641983603895244E-2</v>
      </c>
      <c r="BU26">
        <f>(SA_2-AVERAGE(SA_2))/STDEV(SA_2)</f>
        <v>-0.7319250547113999</v>
      </c>
      <c r="BV26">
        <f>SA_0_std * SA_0_loading+SA_1_std * SA_1_loading+SA_2_std * SA_2_loading</f>
        <v>-0.17066647168141064</v>
      </c>
      <c r="BW26">
        <f>(SA_I_STD-MIN(SA_I_STD_ALL))/(MAX(SA_I_STD_ALL)-MIN(SA_I_STD_ALL))*100</f>
        <v>47.768840258721042</v>
      </c>
      <c r="BX26" s="140" t="s">
        <v>77</v>
      </c>
      <c r="BY26" s="140">
        <v>75.4867889064125</v>
      </c>
      <c r="BZ26" s="141">
        <v>69.45357720043917</v>
      </c>
    </row>
    <row r="27" spans="1:78" x14ac:dyDescent="0.25">
      <c r="A27" t="s">
        <v>63</v>
      </c>
      <c r="B27">
        <v>158.91826997347314</v>
      </c>
      <c r="C27">
        <v>32</v>
      </c>
      <c r="D27">
        <v>1.0873429999999999</v>
      </c>
      <c r="E27">
        <v>1</v>
      </c>
      <c r="F27">
        <f>(CS1_0-AVERAGE(CS1_0))/STDEV(CS1_0)</f>
        <v>1.4148330863000536</v>
      </c>
      <c r="G27">
        <f>(CS1_1-AVERAGE(CS1_1))/STDEV(CS1_1)</f>
        <v>-0.19848963959884261</v>
      </c>
      <c r="H27">
        <f>(CS1_2-AVERAGE(CS1_2))/STDEV(CS1_2)</f>
        <v>-0.7319250547113999</v>
      </c>
      <c r="I27">
        <f>CS1_0_std * CS1_0_loading+CS1_1_std * CS1_1_loading+CS1_2_std * CS1_2_loading</f>
        <v>0.46329589239026103</v>
      </c>
      <c r="J27">
        <f>(CS1_I_STD-MIN(CS1_I_STD_ALL))/(MAX(CS1_I_STD_ALL)-MIN(CS1_I_STD_ALL))*100</f>
        <v>59.70091589343405</v>
      </c>
      <c r="K27" s="140" t="s">
        <v>65</v>
      </c>
      <c r="L27" s="140">
        <v>57.291403378967317</v>
      </c>
      <c r="M27" s="141">
        <v>72.403756309053193</v>
      </c>
      <c r="N27" t="s">
        <v>63</v>
      </c>
      <c r="O27">
        <v>158.91826997347314</v>
      </c>
      <c r="P27">
        <v>32</v>
      </c>
      <c r="Q27">
        <v>1.0873429999999999</v>
      </c>
      <c r="R27">
        <v>1</v>
      </c>
      <c r="S27">
        <f>(CS2_0-AVERAGE(CS2_0))/STDEV(CS2_0)</f>
        <v>1.4148330863000536</v>
      </c>
      <c r="T27">
        <f>(CS2_1-AVERAGE(CS2_1))/STDEV(CS2_1)</f>
        <v>-0.19848963959884261</v>
      </c>
      <c r="U27">
        <f>(CS2_2-AVERAGE(CS2_2))/STDEV(CS2_2)</f>
        <v>-0.7319250547113999</v>
      </c>
      <c r="V27">
        <f>CS2_0_std * CS2_0_loading+CS2_1_std * CS2_1_loading+CS2_2_std * CS2_2_loading</f>
        <v>0.2228313591221357</v>
      </c>
      <c r="W27">
        <f>(CS2_I_STD-MIN(CS2_I_STD_ALL))/(MAX(CS2_I_STD_ALL)-MIN(CS2_I_STD_ALL))*100</f>
        <v>55.965997421987076</v>
      </c>
      <c r="X27" s="140" t="s">
        <v>65</v>
      </c>
      <c r="Y27" s="140">
        <v>57.291403378967317</v>
      </c>
      <c r="Z27" s="141">
        <v>76.584820621239899</v>
      </c>
      <c r="AA27" t="s">
        <v>63</v>
      </c>
      <c r="AB27">
        <v>158.91826997347314</v>
      </c>
      <c r="AC27">
        <v>32</v>
      </c>
      <c r="AD27">
        <v>1.0873429999999999</v>
      </c>
      <c r="AE27">
        <v>1</v>
      </c>
      <c r="AF27">
        <f>(PCA_0-AVERAGE(PCA_0))/STDEV(PCA_0)</f>
        <v>1.4148330863000536</v>
      </c>
      <c r="AG27">
        <f>(PCA_1-AVERAGE(PCA_1))/STDEV(PCA_1)</f>
        <v>-0.19848963959884261</v>
      </c>
      <c r="AH27">
        <f>(PCA_2-AVERAGE(PCA_2))/STDEV(PCA_2)</f>
        <v>-0.7319250547113999</v>
      </c>
      <c r="AI27">
        <f>PCA_0_std * PCA_0_loading+PCA_1_std * PCA_1_loading+PCA_2_std * PCA_2_loading</f>
        <v>0.52611046300294506</v>
      </c>
      <c r="AJ27">
        <f>(PCA_I_STD-MIN(PCA_I_STD_ALL))/(MAX(PCA_I_STD_ALL)-MIN(PCA_I_STD_ALL))*100</f>
        <v>57.101185204434678</v>
      </c>
      <c r="AK27" s="140" t="s">
        <v>60</v>
      </c>
      <c r="AL27" s="140">
        <v>63.529505721437147</v>
      </c>
      <c r="AM27" s="141">
        <v>67.599848275038639</v>
      </c>
      <c r="AN27" t="s">
        <v>63</v>
      </c>
      <c r="AO27">
        <v>158.91826997347314</v>
      </c>
      <c r="AP27">
        <v>32</v>
      </c>
      <c r="AQ27">
        <v>1.0873429999999999</v>
      </c>
      <c r="AR27">
        <v>1</v>
      </c>
      <c r="AS27">
        <f>(KTGET_0-AVERAGE(KTGET_0))/STDEV(KTGET_0)</f>
        <v>1.4148330863000536</v>
      </c>
      <c r="AT27">
        <f>(KTGET_1-AVERAGE(KTGET_1))/STDEV(KTGET_1)</f>
        <v>-0.19848963959884261</v>
      </c>
      <c r="AU27">
        <f>(KTGET_2-AVERAGE(KTGET_2))/STDEV(KTGET_2)</f>
        <v>-0.7319250547113999</v>
      </c>
      <c r="AV27">
        <f>KTGET_0_std * KTGET_0_loading+KTGET_1_std * KTGET_1_loading+KTGET_2_std * KTGET_2_loading</f>
        <v>0.48288890006184126</v>
      </c>
      <c r="AW27">
        <f>(KTGET_I_STD-MIN(KTGET_I_STD_ALL))/(MAX(KTGET_I_STD_ALL)-MIN(KTGET_I_STD_ALL))*100</f>
        <v>58.569839429645356</v>
      </c>
      <c r="AX27" s="140" t="s">
        <v>60</v>
      </c>
      <c r="AY27" s="140">
        <v>63.529505721437147</v>
      </c>
      <c r="AZ27" s="141">
        <v>66.43063520371966</v>
      </c>
      <c r="BA27" t="s">
        <v>63</v>
      </c>
      <c r="BB27">
        <v>158.91826997347314</v>
      </c>
      <c r="BC27">
        <v>32</v>
      </c>
      <c r="BD27">
        <v>1.0873429999999999</v>
      </c>
      <c r="BE27">
        <v>1</v>
      </c>
      <c r="BF27">
        <f>(KTGT_0-AVERAGE(KTGT_0))/STDEV(KTGT_0)</f>
        <v>1.4148330863000536</v>
      </c>
      <c r="BG27">
        <f>(KTGT_1-AVERAGE(KTGT_1))/STDEV(KTGT_1)</f>
        <v>-0.19848963959884261</v>
      </c>
      <c r="BH27">
        <f>(KTGT_2-AVERAGE(KTGT_2))/STDEV(KTGT_2)</f>
        <v>-0.7319250547113999</v>
      </c>
      <c r="BI27">
        <f>KTGT_0_std * KTGT_0_loading+KTGT_1_std * KTGT_1_loading+KTGT_2_std * KTGT_2_loading</f>
        <v>0.48254970619369753</v>
      </c>
      <c r="BJ27">
        <f>(KTGT_I_STD-MIN(KTGT_I_STD_ALL))/(MAX(KTGT_I_STD_ALL)-MIN(KTGT_I_STD_ALL))*100</f>
        <v>58.591060230724146</v>
      </c>
      <c r="BK27" s="140" t="s">
        <v>66</v>
      </c>
      <c r="BL27" s="140">
        <v>80.861343707957317</v>
      </c>
      <c r="BM27" s="141">
        <v>66.543290613945302</v>
      </c>
      <c r="BN27" t="s">
        <v>63</v>
      </c>
      <c r="BO27">
        <v>158.91826997347314</v>
      </c>
      <c r="BP27">
        <v>32</v>
      </c>
      <c r="BQ27">
        <v>1.0873429999999999</v>
      </c>
      <c r="BR27">
        <v>1</v>
      </c>
      <c r="BS27">
        <f>(SA_0-AVERAGE(SA_0))/STDEV(SA_0)</f>
        <v>1.4148330863000536</v>
      </c>
      <c r="BT27">
        <f>(SA_1-AVERAGE(SA_1))/STDEV(SA_1)</f>
        <v>-0.19848963959884261</v>
      </c>
      <c r="BU27">
        <f>(SA_2-AVERAGE(SA_2))/STDEV(SA_2)</f>
        <v>-0.7319250547113999</v>
      </c>
      <c r="BV27">
        <f>SA_0_std * SA_0_loading+SA_1_std * SA_1_loading+SA_2_std * SA_2_loading</f>
        <v>0.27967908901572308</v>
      </c>
      <c r="BW27">
        <f>(SA_I_STD-MIN(SA_I_STD_ALL))/(MAX(SA_I_STD_ALL)-MIN(SA_I_STD_ALL))*100</f>
        <v>57.101850294303269</v>
      </c>
      <c r="BX27" s="140" t="s">
        <v>70</v>
      </c>
      <c r="BY27" s="140">
        <v>91.141772084442891</v>
      </c>
      <c r="BZ27" s="141">
        <v>76.633277398478327</v>
      </c>
    </row>
    <row r="28" spans="1:78" x14ac:dyDescent="0.25">
      <c r="A28" t="s">
        <v>83</v>
      </c>
      <c r="B28">
        <v>3.105838831144009</v>
      </c>
      <c r="C28">
        <v>17.902214022140221</v>
      </c>
      <c r="D28">
        <v>1.9420770000000001</v>
      </c>
      <c r="E28">
        <v>1</v>
      </c>
      <c r="F28">
        <f>(CS1_0-AVERAGE(CS1_0))/STDEV(CS1_0)</f>
        <v>-0.46192268502865691</v>
      </c>
      <c r="G28">
        <f>(CS1_1-AVERAGE(CS1_1))/STDEV(CS1_1)</f>
        <v>0.54991516794946627</v>
      </c>
      <c r="H28">
        <f>(CS1_2-AVERAGE(CS1_2))/STDEV(CS1_2)</f>
        <v>-0.7319250547113999</v>
      </c>
      <c r="I28">
        <f>CS1_0_std * CS1_0_loading+CS1_1_std * CS1_1_loading+CS1_2_std * CS1_2_loading</f>
        <v>-0.80047229025741184</v>
      </c>
      <c r="J28">
        <f>(CS1_I_STD-MIN(CS1_I_STD_ALL))/(MAX(CS1_I_STD_ALL)-MIN(CS1_I_STD_ALL))*100</f>
        <v>32.39561013708866</v>
      </c>
      <c r="K28" s="140" t="s">
        <v>66</v>
      </c>
      <c r="L28" s="140">
        <v>80.861343707957317</v>
      </c>
      <c r="M28" s="141">
        <v>72.653298040538232</v>
      </c>
      <c r="N28" t="s">
        <v>83</v>
      </c>
      <c r="O28">
        <v>3.105838831144009</v>
      </c>
      <c r="P28">
        <v>17.902214022140221</v>
      </c>
      <c r="Q28">
        <v>1.9420770000000001</v>
      </c>
      <c r="R28">
        <v>1</v>
      </c>
      <c r="S28">
        <f>(CS2_0-AVERAGE(CS2_0))/STDEV(CS2_0)</f>
        <v>-0.46192268502865691</v>
      </c>
      <c r="T28">
        <f>(CS2_1-AVERAGE(CS2_1))/STDEV(CS2_1)</f>
        <v>0.54991516794946627</v>
      </c>
      <c r="U28">
        <f>(CS2_2-AVERAGE(CS2_2))/STDEV(CS2_2)</f>
        <v>-0.7319250547113999</v>
      </c>
      <c r="V28">
        <f>CS2_0_std * CS2_0_loading+CS2_1_std * CS2_1_loading+CS2_2_std * CS2_2_loading</f>
        <v>-0.82010954155663796</v>
      </c>
      <c r="W28">
        <f>(CS2_I_STD-MIN(CS2_I_STD_ALL))/(MAX(CS2_I_STD_ALL)-MIN(CS2_I_STD_ALL))*100</f>
        <v>32.943910863312922</v>
      </c>
      <c r="X28" s="140" t="s">
        <v>66</v>
      </c>
      <c r="Y28" s="140">
        <v>80.861343707957317</v>
      </c>
      <c r="Z28" s="141">
        <v>77.691930640006774</v>
      </c>
      <c r="AA28" t="s">
        <v>83</v>
      </c>
      <c r="AB28">
        <v>3.105838831144009</v>
      </c>
      <c r="AC28">
        <v>17.902214022140221</v>
      </c>
      <c r="AD28">
        <v>1.9420770000000001</v>
      </c>
      <c r="AE28">
        <v>1</v>
      </c>
      <c r="AF28">
        <f>(PCA_0-AVERAGE(PCA_0))/STDEV(PCA_0)</f>
        <v>-0.46192268502865691</v>
      </c>
      <c r="AG28">
        <f>(PCA_1-AVERAGE(PCA_1))/STDEV(PCA_1)</f>
        <v>0.54991516794946627</v>
      </c>
      <c r="AH28">
        <f>(PCA_2-AVERAGE(PCA_2))/STDEV(PCA_2)</f>
        <v>-0.7319250547113999</v>
      </c>
      <c r="AI28">
        <f>PCA_0_std * PCA_0_loading+PCA_1_std * PCA_1_loading+PCA_2_std * PCA_2_loading</f>
        <v>-0.9509543034050798</v>
      </c>
      <c r="AJ28">
        <f>(PCA_I_STD-MIN(PCA_I_STD_ALL))/(MAX(PCA_I_STD_ALL)-MIN(PCA_I_STD_ALL))*100</f>
        <v>25.834988596360692</v>
      </c>
      <c r="AK28" s="140" t="s">
        <v>65</v>
      </c>
      <c r="AL28" s="140">
        <v>57.291403378967317</v>
      </c>
      <c r="AM28" s="141">
        <v>71.278551030508439</v>
      </c>
      <c r="AN28" t="s">
        <v>83</v>
      </c>
      <c r="AO28">
        <v>3.105838831144009</v>
      </c>
      <c r="AP28">
        <v>17.902214022140221</v>
      </c>
      <c r="AQ28">
        <v>1.9420770000000001</v>
      </c>
      <c r="AR28">
        <v>1</v>
      </c>
      <c r="AS28">
        <f>(KTGET_0-AVERAGE(KTGET_0))/STDEV(KTGET_0)</f>
        <v>-0.46192268502865691</v>
      </c>
      <c r="AT28">
        <f>(KTGET_1-AVERAGE(KTGET_1))/STDEV(KTGET_1)</f>
        <v>0.54991516794946627</v>
      </c>
      <c r="AU28">
        <f>(KTGET_2-AVERAGE(KTGET_2))/STDEV(KTGET_2)</f>
        <v>-0.7319250547113999</v>
      </c>
      <c r="AV28">
        <f>KTGET_0_std * KTGET_0_loading+KTGET_1_std * KTGET_1_loading+KTGET_2_std * KTGET_2_loading</f>
        <v>-0.84417783247458422</v>
      </c>
      <c r="AW28">
        <f>(KTGET_I_STD-MIN(KTGET_I_STD_ALL))/(MAX(KTGET_I_STD_ALL)-MIN(KTGET_I_STD_ALL))*100</f>
        <v>29.796910530107052</v>
      </c>
      <c r="AX28" s="140" t="s">
        <v>65</v>
      </c>
      <c r="AY28" s="140">
        <v>57.291403378967317</v>
      </c>
      <c r="AZ28" s="141">
        <v>71.859214929771483</v>
      </c>
      <c r="BA28" t="s">
        <v>83</v>
      </c>
      <c r="BB28">
        <v>3.105838831144009</v>
      </c>
      <c r="BC28">
        <v>17.902214022140221</v>
      </c>
      <c r="BD28">
        <v>1.9420770000000001</v>
      </c>
      <c r="BE28">
        <v>1</v>
      </c>
      <c r="BF28">
        <f>(KTGT_0-AVERAGE(KTGT_0))/STDEV(KTGT_0)</f>
        <v>-0.46192268502865691</v>
      </c>
      <c r="BG28">
        <f>(KTGT_1-AVERAGE(KTGT_1))/STDEV(KTGT_1)</f>
        <v>0.54991516794946627</v>
      </c>
      <c r="BH28">
        <f>(KTGT_2-AVERAGE(KTGT_2))/STDEV(KTGT_2)</f>
        <v>-0.7319250547113999</v>
      </c>
      <c r="BI28">
        <f>KTGT_0_std * KTGT_0_loading+KTGT_1_std * KTGT_1_loading+KTGT_2_std * KTGT_2_loading</f>
        <v>-0.84340577065969558</v>
      </c>
      <c r="BJ28">
        <f>(KTGT_I_STD-MIN(KTGT_I_STD_ALL))/(MAX(KTGT_I_STD_ALL)-MIN(KTGT_I_STD_ALL))*100</f>
        <v>29.845615376215783</v>
      </c>
      <c r="BK28" s="140" t="s">
        <v>65</v>
      </c>
      <c r="BL28" s="140">
        <v>57.291403378967317</v>
      </c>
      <c r="BM28" s="141">
        <v>71.869398053552274</v>
      </c>
      <c r="BN28" t="s">
        <v>83</v>
      </c>
      <c r="BO28">
        <v>3.105838831144009</v>
      </c>
      <c r="BP28">
        <v>17.902214022140221</v>
      </c>
      <c r="BQ28">
        <v>1.9420770000000001</v>
      </c>
      <c r="BR28">
        <v>1</v>
      </c>
      <c r="BS28">
        <f>(SA_0-AVERAGE(SA_0))/STDEV(SA_0)</f>
        <v>-0.46192268502865691</v>
      </c>
      <c r="BT28">
        <f>(SA_1-AVERAGE(SA_1))/STDEV(SA_1)</f>
        <v>0.54991516794946627</v>
      </c>
      <c r="BU28">
        <f>(SA_2-AVERAGE(SA_2))/STDEV(SA_2)</f>
        <v>-0.7319250547113999</v>
      </c>
      <c r="BV28">
        <f>SA_0_std * SA_0_loading+SA_1_std * SA_1_loading+SA_2_std * SA_2_loading</f>
        <v>-0.37177464366326546</v>
      </c>
      <c r="BW28">
        <f>(SA_I_STD-MIN(SA_I_STD_ALL))/(MAX(SA_I_STD_ALL)-MIN(SA_I_STD_ALL))*100</f>
        <v>43.601052783612495</v>
      </c>
      <c r="BX28" s="140" t="s">
        <v>69</v>
      </c>
      <c r="BY28" s="140">
        <v>34.273958837549863</v>
      </c>
      <c r="BZ28" s="141">
        <v>77.149757104045548</v>
      </c>
    </row>
    <row r="29" spans="1:78" x14ac:dyDescent="0.25">
      <c r="A29" t="s">
        <v>66</v>
      </c>
      <c r="B29">
        <v>80.861343707957317</v>
      </c>
      <c r="C29">
        <v>20.454980421605963</v>
      </c>
      <c r="D29">
        <v>4.5967240995837368</v>
      </c>
      <c r="E29">
        <v>3</v>
      </c>
      <c r="F29">
        <f>(CS1_0-AVERAGE(CS1_0))/STDEV(CS1_0)</f>
        <v>-0.12208782864940959</v>
      </c>
      <c r="G29">
        <f>(CS1_1-AVERAGE(CS1_1))/STDEV(CS1_1)</f>
        <v>2.8743232898594906</v>
      </c>
      <c r="H29">
        <f>(CS1_2-AVERAGE(CS1_2))/STDEV(CS1_2)</f>
        <v>1.3174650984805201</v>
      </c>
      <c r="I29">
        <f>CS1_0_std * CS1_0_loading+CS1_1_std * CS1_1_loading+CS1_2_std * CS1_2_loading</f>
        <v>1.0627694376810013</v>
      </c>
      <c r="J29">
        <f>(CS1_I_STD-MIN(CS1_I_STD_ALL))/(MAX(CS1_I_STD_ALL)-MIN(CS1_I_STD_ALL))*100</f>
        <v>72.653298040538232</v>
      </c>
      <c r="K29" s="140" t="s">
        <v>70</v>
      </c>
      <c r="L29" s="140">
        <v>91.141772084442891</v>
      </c>
      <c r="M29" s="141">
        <v>81.756079938771137</v>
      </c>
      <c r="N29" t="s">
        <v>66</v>
      </c>
      <c r="O29">
        <v>80.861343707957317</v>
      </c>
      <c r="P29">
        <v>20.454980421605963</v>
      </c>
      <c r="Q29">
        <v>4.5967240995837368</v>
      </c>
      <c r="R29">
        <v>3</v>
      </c>
      <c r="S29">
        <f>(CS2_0-AVERAGE(CS2_0))/STDEV(CS2_0)</f>
        <v>-0.12208782864940959</v>
      </c>
      <c r="T29">
        <f>(CS2_1-AVERAGE(CS2_1))/STDEV(CS2_1)</f>
        <v>2.8743232898594906</v>
      </c>
      <c r="U29">
        <f>(CS2_2-AVERAGE(CS2_2))/STDEV(CS2_2)</f>
        <v>1.3174650984805201</v>
      </c>
      <c r="V29">
        <f>CS2_0_std * CS2_0_loading+CS2_1_std * CS2_1_loading+CS2_2_std * CS2_2_loading</f>
        <v>1.2070542400821178</v>
      </c>
      <c r="W29">
        <f>(CS2_I_STD-MIN(CS2_I_STD_ALL))/(MAX(CS2_I_STD_ALL)-MIN(CS2_I_STD_ALL))*100</f>
        <v>77.691930640006774</v>
      </c>
      <c r="X29" s="140" t="s">
        <v>70</v>
      </c>
      <c r="Y29" s="140">
        <v>91.141772084442891</v>
      </c>
      <c r="Z29" s="141">
        <v>79.729890984699935</v>
      </c>
      <c r="AA29" t="s">
        <v>66</v>
      </c>
      <c r="AB29">
        <v>80.861343707957317</v>
      </c>
      <c r="AC29">
        <v>20.454980421605963</v>
      </c>
      <c r="AD29">
        <v>4.5967240995837368</v>
      </c>
      <c r="AE29">
        <v>3</v>
      </c>
      <c r="AF29">
        <f>(PCA_0-AVERAGE(PCA_0))/STDEV(PCA_0)</f>
        <v>-0.12208782864940959</v>
      </c>
      <c r="AG29">
        <f>(PCA_1-AVERAGE(PCA_1))/STDEV(PCA_1)</f>
        <v>2.8743232898594906</v>
      </c>
      <c r="AH29">
        <f>(PCA_2-AVERAGE(PCA_2))/STDEV(PCA_2)</f>
        <v>1.3174650984805201</v>
      </c>
      <c r="AI29">
        <f>PCA_0_std * PCA_0_loading+PCA_1_std * PCA_1_loading+PCA_2_std * PCA_2_loading</f>
        <v>0.1180624784487565</v>
      </c>
      <c r="AJ29">
        <f>(PCA_I_STD-MIN(PCA_I_STD_ALL))/(MAX(PCA_I_STD_ALL)-MIN(PCA_I_STD_ALL))*100</f>
        <v>48.463711208202817</v>
      </c>
      <c r="AK29" s="140" t="s">
        <v>70</v>
      </c>
      <c r="AL29" s="140">
        <v>91.141772084442891</v>
      </c>
      <c r="AM29" s="141">
        <v>76.656325203408542</v>
      </c>
      <c r="AN29" t="s">
        <v>66</v>
      </c>
      <c r="AO29">
        <v>80.861343707957317</v>
      </c>
      <c r="AP29">
        <v>20.454980421605963</v>
      </c>
      <c r="AQ29">
        <v>4.5967240995837368</v>
      </c>
      <c r="AR29">
        <v>3</v>
      </c>
      <c r="AS29">
        <f>(KTGET_0-AVERAGE(KTGET_0))/STDEV(KTGET_0)</f>
        <v>-0.12208782864940959</v>
      </c>
      <c r="AT29">
        <f>(KTGET_1-AVERAGE(KTGET_1))/STDEV(KTGET_1)</f>
        <v>2.8743232898594906</v>
      </c>
      <c r="AU29">
        <f>(KTGET_2-AVERAGE(KTGET_2))/STDEV(KTGET_2)</f>
        <v>1.3174650984805201</v>
      </c>
      <c r="AV29">
        <f>KTGET_0_std * KTGET_0_loading+KTGET_1_std * KTGET_1_loading+KTGET_2_std * KTGET_2_loading</f>
        <v>0.84525937357467973</v>
      </c>
      <c r="AW29">
        <f>(KTGET_I_STD-MIN(KTGET_I_STD_ALL))/(MAX(KTGET_I_STD_ALL)-MIN(KTGET_I_STD_ALL))*100</f>
        <v>66.426610769055557</v>
      </c>
      <c r="AX29" s="140" t="s">
        <v>70</v>
      </c>
      <c r="AY29" s="140">
        <v>91.141772084442891</v>
      </c>
      <c r="AZ29" s="141">
        <v>80.402511689562175</v>
      </c>
      <c r="BA29" t="s">
        <v>66</v>
      </c>
      <c r="BB29">
        <v>80.861343707957317</v>
      </c>
      <c r="BC29">
        <v>20.454980421605963</v>
      </c>
      <c r="BD29">
        <v>4.5967240995837368</v>
      </c>
      <c r="BE29">
        <v>3</v>
      </c>
      <c r="BF29">
        <f>(KTGT_0-AVERAGE(KTGT_0))/STDEV(KTGT_0)</f>
        <v>-0.12208782864940959</v>
      </c>
      <c r="BG29">
        <f>(KTGT_1-AVERAGE(KTGT_1))/STDEV(KTGT_1)</f>
        <v>2.8743232898594906</v>
      </c>
      <c r="BH29">
        <f>(KTGT_2-AVERAGE(KTGT_2))/STDEV(KTGT_2)</f>
        <v>1.3174650984805201</v>
      </c>
      <c r="BI29">
        <f>KTGT_0_std * KTGT_0_loading+KTGT_1_std * KTGT_1_loading+KTGT_2_std * KTGT_2_loading</f>
        <v>0.8493662047102728</v>
      </c>
      <c r="BJ29">
        <f>(KTGT_I_STD-MIN(KTGT_I_STD_ALL))/(MAX(KTGT_I_STD_ALL)-MIN(KTGT_I_STD_ALL))*100</f>
        <v>66.543290613945302</v>
      </c>
      <c r="BK29" s="140" t="s">
        <v>70</v>
      </c>
      <c r="BL29" s="140">
        <v>91.141772084442891</v>
      </c>
      <c r="BM29" s="141">
        <v>80.427893166472728</v>
      </c>
      <c r="BN29" t="s">
        <v>66</v>
      </c>
      <c r="BO29">
        <v>80.861343707957317</v>
      </c>
      <c r="BP29">
        <v>20.454980421605963</v>
      </c>
      <c r="BQ29">
        <v>4.5967240995837368</v>
      </c>
      <c r="BR29">
        <v>3</v>
      </c>
      <c r="BS29">
        <f>(SA_0-AVERAGE(SA_0))/STDEV(SA_0)</f>
        <v>-0.12208782864940959</v>
      </c>
      <c r="BT29">
        <f>(SA_1-AVERAGE(SA_1))/STDEV(SA_1)</f>
        <v>2.8743232898594906</v>
      </c>
      <c r="BU29">
        <f>(SA_2-AVERAGE(SA_2))/STDEV(SA_2)</f>
        <v>1.3174650984805201</v>
      </c>
      <c r="BV29">
        <f>SA_0_std * SA_0_loading+SA_1_std * SA_1_loading+SA_2_std * SA_2_loading</f>
        <v>2.3496427136585392</v>
      </c>
      <c r="BW29">
        <f>(SA_I_STD-MIN(SA_I_STD_ALL))/(MAX(SA_I_STD_ALL)-MIN(SA_I_STD_ALL))*100</f>
        <v>100</v>
      </c>
      <c r="BX29" s="140" t="s">
        <v>73</v>
      </c>
      <c r="BY29" s="140">
        <v>97.801123064581716</v>
      </c>
      <c r="BZ29" s="141">
        <v>79.939554599826351</v>
      </c>
    </row>
    <row r="30" spans="1:78" x14ac:dyDescent="0.25">
      <c r="A30" t="s">
        <v>80</v>
      </c>
      <c r="B30">
        <v>14.043552326179778</v>
      </c>
      <c r="C30">
        <v>11</v>
      </c>
      <c r="D30">
        <v>1.4114197897575111</v>
      </c>
      <c r="E30">
        <v>0</v>
      </c>
      <c r="F30">
        <f>(CS1_0-AVERAGE(CS1_0))/STDEV(CS1_0)</f>
        <v>-1.3807740579563765</v>
      </c>
      <c r="G30">
        <f>(CS1_1-AVERAGE(CS1_1))/STDEV(CS1_1)</f>
        <v>8.5271890268161482E-2</v>
      </c>
      <c r="H30">
        <f>(CS1_2-AVERAGE(CS1_2))/STDEV(CS1_2)</f>
        <v>-1.7566201313073597</v>
      </c>
      <c r="I30">
        <f>CS1_0_std * CS1_0_loading+CS1_1_std * CS1_1_loading+CS1_2_std * CS1_2_loading</f>
        <v>-2.2061798123541312</v>
      </c>
      <c r="J30">
        <f>(CS1_I_STD-MIN(CS1_I_STD_ALL))/(MAX(CS1_I_STD_ALL)-MIN(CS1_I_STD_ALL))*100</f>
        <v>2.023525903704797</v>
      </c>
      <c r="K30" s="140" t="s">
        <v>69</v>
      </c>
      <c r="L30" s="140">
        <v>34.273958837549863</v>
      </c>
      <c r="M30" s="141">
        <v>98.217798759212556</v>
      </c>
      <c r="N30" t="s">
        <v>80</v>
      </c>
      <c r="O30">
        <v>14.043552326179778</v>
      </c>
      <c r="P30">
        <v>11</v>
      </c>
      <c r="Q30">
        <v>1.4114197897575111</v>
      </c>
      <c r="R30">
        <v>0</v>
      </c>
      <c r="S30">
        <f>(CS2_0-AVERAGE(CS2_0))/STDEV(CS2_0)</f>
        <v>-1.3807740579563765</v>
      </c>
      <c r="T30">
        <f>(CS2_1-AVERAGE(CS2_1))/STDEV(CS2_1)</f>
        <v>8.5271890268161482E-2</v>
      </c>
      <c r="U30">
        <f>(CS2_2-AVERAGE(CS2_2))/STDEV(CS2_2)</f>
        <v>-1.7566201313073597</v>
      </c>
      <c r="V30">
        <f>CS2_0_std * CS2_0_loading+CS2_1_std * CS2_1_loading+CS2_2_std * CS2_2_loading</f>
        <v>-2.2200286256535327</v>
      </c>
      <c r="W30">
        <f>(CS2_I_STD-MIN(CS2_I_STD_ALL))/(MAX(CS2_I_STD_ALL)-MIN(CS2_I_STD_ALL))*100</f>
        <v>2.0418163071947246</v>
      </c>
      <c r="X30" s="140" t="s">
        <v>69</v>
      </c>
      <c r="Y30" s="140">
        <v>34.273958837549863</v>
      </c>
      <c r="Z30" s="141">
        <v>98.382066148783693</v>
      </c>
      <c r="AA30" t="s">
        <v>80</v>
      </c>
      <c r="AB30">
        <v>14.043552326179778</v>
      </c>
      <c r="AC30">
        <v>11</v>
      </c>
      <c r="AD30">
        <v>1.4114197897575111</v>
      </c>
      <c r="AE30">
        <v>0</v>
      </c>
      <c r="AF30">
        <f>(PCA_0-AVERAGE(PCA_0))/STDEV(PCA_0)</f>
        <v>-1.3807740579563765</v>
      </c>
      <c r="AG30">
        <f>(PCA_1-AVERAGE(PCA_1))/STDEV(PCA_1)</f>
        <v>8.5271890268161482E-2</v>
      </c>
      <c r="AH30">
        <f>(PCA_2-AVERAGE(PCA_2))/STDEV(PCA_2)</f>
        <v>-1.7566201313073597</v>
      </c>
      <c r="AI30">
        <f>PCA_0_std * PCA_0_loading+PCA_1_std * PCA_1_loading+PCA_2_std * PCA_2_loading</f>
        <v>-2.1714401806794301</v>
      </c>
      <c r="AJ30">
        <f>(PCA_I_STD-MIN(PCA_I_STD_ALL))/(MAX(PCA_I_STD_ALL)-MIN(PCA_I_STD_ALL))*100</f>
        <v>0</v>
      </c>
      <c r="AK30" s="140" t="s">
        <v>62</v>
      </c>
      <c r="AL30" s="140">
        <v>44.85863586555007</v>
      </c>
      <c r="AM30" s="141">
        <v>99.07054315764087</v>
      </c>
      <c r="AN30" t="s">
        <v>80</v>
      </c>
      <c r="AO30">
        <v>14.043552326179778</v>
      </c>
      <c r="AP30">
        <v>11</v>
      </c>
      <c r="AQ30">
        <v>1.4114197897575111</v>
      </c>
      <c r="AR30">
        <v>0</v>
      </c>
      <c r="AS30">
        <f>(KTGET_0-AVERAGE(KTGET_0))/STDEV(KTGET_0)</f>
        <v>-1.3807740579563765</v>
      </c>
      <c r="AT30">
        <f>(KTGET_1-AVERAGE(KTGET_1))/STDEV(KTGET_1)</f>
        <v>8.5271890268161482E-2</v>
      </c>
      <c r="AU30">
        <f>(KTGET_2-AVERAGE(KTGET_2))/STDEV(KTGET_2)</f>
        <v>-1.7566201313073597</v>
      </c>
      <c r="AV30">
        <f>KTGET_0_std * KTGET_0_loading+KTGET_1_std * KTGET_1_loading+KTGET_2_std * KTGET_2_loading</f>
        <v>-2.2184727064838778</v>
      </c>
      <c r="AW30">
        <f>(KTGET_I_STD-MIN(KTGET_I_STD_ALL))/(MAX(KTGET_I_STD_ALL)-MIN(KTGET_I_STD_ALL))*100</f>
        <v>0</v>
      </c>
      <c r="AX30" s="140" t="s">
        <v>69</v>
      </c>
      <c r="AY30" s="140">
        <v>34.273958837549863</v>
      </c>
      <c r="AZ30" s="141">
        <v>98.854320703264349</v>
      </c>
      <c r="BA30" t="s">
        <v>80</v>
      </c>
      <c r="BB30">
        <v>14.043552326179778</v>
      </c>
      <c r="BC30">
        <v>11</v>
      </c>
      <c r="BD30">
        <v>1.4114197897575111</v>
      </c>
      <c r="BE30">
        <v>0</v>
      </c>
      <c r="BF30">
        <f>(KTGT_0-AVERAGE(KTGT_0))/STDEV(KTGT_0)</f>
        <v>-1.3807740579563765</v>
      </c>
      <c r="BG30">
        <f>(KTGT_1-AVERAGE(KTGT_1))/STDEV(KTGT_1)</f>
        <v>8.5271890268161482E-2</v>
      </c>
      <c r="BH30">
        <f>(KTGT_2-AVERAGE(KTGT_2))/STDEV(KTGT_2)</f>
        <v>-1.7566201313073597</v>
      </c>
      <c r="BI30">
        <f>KTGT_0_std * KTGT_0_loading+KTGT_1_std * KTGT_1_loading+KTGT_2_std * KTGT_2_loading</f>
        <v>-2.2183598744924886</v>
      </c>
      <c r="BJ30">
        <f>(KTGT_I_STD-MIN(KTGT_I_STD_ALL))/(MAX(KTGT_I_STD_ALL)-MIN(KTGT_I_STD_ALL))*100</f>
        <v>3.7927215374522281E-2</v>
      </c>
      <c r="BK30" s="140" t="s">
        <v>69</v>
      </c>
      <c r="BL30" s="140">
        <v>34.273958837549863</v>
      </c>
      <c r="BM30" s="141">
        <v>98.842389339634806</v>
      </c>
      <c r="BN30" t="s">
        <v>80</v>
      </c>
      <c r="BO30">
        <v>14.043552326179778</v>
      </c>
      <c r="BP30">
        <v>11</v>
      </c>
      <c r="BQ30">
        <v>1.4114197897575111</v>
      </c>
      <c r="BR30">
        <v>0</v>
      </c>
      <c r="BS30">
        <f>(SA_0-AVERAGE(SA_0))/STDEV(SA_0)</f>
        <v>-1.3807740579563765</v>
      </c>
      <c r="BT30">
        <f>(SA_1-AVERAGE(SA_1))/STDEV(SA_1)</f>
        <v>8.5271890268161482E-2</v>
      </c>
      <c r="BU30">
        <f>(SA_2-AVERAGE(SA_2))/STDEV(SA_2)</f>
        <v>-1.7566201313073597</v>
      </c>
      <c r="BV30">
        <f>SA_0_std * SA_0_loading+SA_1_std * SA_1_loading+SA_2_std * SA_2_loading</f>
        <v>-1.7621436309247545</v>
      </c>
      <c r="BW30">
        <f>(SA_I_STD-MIN(SA_I_STD_ALL))/(MAX(SA_I_STD_ALL)-MIN(SA_I_STD_ALL))*100</f>
        <v>14.78689573677393</v>
      </c>
      <c r="BX30" s="140" t="s">
        <v>62</v>
      </c>
      <c r="BY30" s="140">
        <v>44.85863586555007</v>
      </c>
      <c r="BZ30" s="141">
        <v>82.765742522439609</v>
      </c>
    </row>
    <row r="31" spans="1:78" x14ac:dyDescent="0.25">
      <c r="A31" t="s">
        <v>79</v>
      </c>
      <c r="B31">
        <v>94.234282592006622</v>
      </c>
      <c r="C31">
        <v>24.242424242424242</v>
      </c>
      <c r="D31">
        <v>2.2053236397350777</v>
      </c>
      <c r="E31">
        <v>1</v>
      </c>
      <c r="F31">
        <f>(CS1_0-AVERAGE(CS1_0))/STDEV(CS1_0)</f>
        <v>0.38211240963389759</v>
      </c>
      <c r="G31">
        <f>(CS1_1-AVERAGE(CS1_1))/STDEV(CS1_1)</f>
        <v>0.78041383858696256</v>
      </c>
      <c r="H31">
        <f>(CS1_2-AVERAGE(CS1_2))/STDEV(CS1_2)</f>
        <v>-0.7319250547113999</v>
      </c>
      <c r="I31">
        <f>CS1_0_std * CS1_0_loading+CS1_1_std * CS1_1_loading+CS1_2_std * CS1_2_loading</f>
        <v>-0.18914212379993139</v>
      </c>
      <c r="J31">
        <f>(CS1_I_STD-MIN(CS1_I_STD_ALL))/(MAX(CS1_I_STD_ALL)-MIN(CS1_I_STD_ALL))*100</f>
        <v>45.604169540939985</v>
      </c>
      <c r="K31" s="140" t="s">
        <v>62</v>
      </c>
      <c r="L31" s="140">
        <v>44.85863586555007</v>
      </c>
      <c r="M31" s="141">
        <v>100</v>
      </c>
      <c r="N31" t="s">
        <v>79</v>
      </c>
      <c r="O31">
        <v>94.234282592006622</v>
      </c>
      <c r="P31">
        <v>24.242424242424242</v>
      </c>
      <c r="Q31">
        <v>2.2053236397350777</v>
      </c>
      <c r="R31">
        <v>1</v>
      </c>
      <c r="S31">
        <f>(CS2_0-AVERAGE(CS2_0))/STDEV(CS2_0)</f>
        <v>0.38211240963389759</v>
      </c>
      <c r="T31">
        <f>(CS2_1-AVERAGE(CS2_1))/STDEV(CS2_1)</f>
        <v>0.78041383858696256</v>
      </c>
      <c r="U31">
        <f>(CS2_2-AVERAGE(CS2_2))/STDEV(CS2_2)</f>
        <v>-0.7319250547113999</v>
      </c>
      <c r="V31">
        <f>CS2_0_std * CS2_0_loading+CS2_1_std * CS2_1_loading+CS2_2_std * CS2_2_loading</f>
        <v>-0.3086230180521739</v>
      </c>
      <c r="W31">
        <f>(CS2_I_STD-MIN(CS2_I_STD_ALL))/(MAX(CS2_I_STD_ALL)-MIN(CS2_I_STD_ALL))*100</f>
        <v>44.234566939847362</v>
      </c>
      <c r="X31" s="140" t="s">
        <v>62</v>
      </c>
      <c r="Y31" s="140">
        <v>44.85863586555007</v>
      </c>
      <c r="Z31" s="141">
        <v>100</v>
      </c>
      <c r="AA31" t="s">
        <v>79</v>
      </c>
      <c r="AB31">
        <v>94.234282592006622</v>
      </c>
      <c r="AC31">
        <v>24.242424242424242</v>
      </c>
      <c r="AD31">
        <v>2.2053236397350777</v>
      </c>
      <c r="AE31">
        <v>1</v>
      </c>
      <c r="AF31">
        <f>(PCA_0-AVERAGE(PCA_0))/STDEV(PCA_0)</f>
        <v>0.38211240963389759</v>
      </c>
      <c r="AG31">
        <f>(PCA_1-AVERAGE(PCA_1))/STDEV(PCA_1)</f>
        <v>0.78041383858696256</v>
      </c>
      <c r="AH31">
        <f>(PCA_2-AVERAGE(PCA_2))/STDEV(PCA_2)</f>
        <v>-0.7319250547113999</v>
      </c>
      <c r="AI31">
        <f>PCA_0_std * PCA_0_loading+PCA_1_std * PCA_1_loading+PCA_2_std * PCA_2_loading</f>
        <v>-0.42391800538673907</v>
      </c>
      <c r="AJ31">
        <f>(PCA_I_STD-MIN(PCA_I_STD_ALL))/(MAX(PCA_I_STD_ALL)-MIN(PCA_I_STD_ALL))*100</f>
        <v>36.991182209661545</v>
      </c>
      <c r="AK31" s="140" t="s">
        <v>69</v>
      </c>
      <c r="AL31" s="140">
        <v>34.273958837549863</v>
      </c>
      <c r="AM31" s="141">
        <v>100</v>
      </c>
      <c r="AN31" t="s">
        <v>79</v>
      </c>
      <c r="AO31">
        <v>94.234282592006622</v>
      </c>
      <c r="AP31">
        <v>24.242424242424242</v>
      </c>
      <c r="AQ31">
        <v>2.2053236397350777</v>
      </c>
      <c r="AR31">
        <v>1</v>
      </c>
      <c r="AS31">
        <f>(KTGET_0-AVERAGE(KTGET_0))/STDEV(KTGET_0)</f>
        <v>0.38211240963389759</v>
      </c>
      <c r="AT31">
        <f>(KTGET_1-AVERAGE(KTGET_1))/STDEV(KTGET_1)</f>
        <v>0.78041383858696256</v>
      </c>
      <c r="AU31">
        <f>(KTGET_2-AVERAGE(KTGET_2))/STDEV(KTGET_2)</f>
        <v>-0.7319250547113999</v>
      </c>
      <c r="AV31">
        <f>KTGET_0_std * KTGET_0_loading+KTGET_1_std * KTGET_1_loading+KTGET_2_std * KTGET_2_loading</f>
        <v>-0.24735489347975492</v>
      </c>
      <c r="AW31">
        <f>(KTGET_I_STD-MIN(KTGET_I_STD_ALL))/(MAX(KTGET_I_STD_ALL)-MIN(KTGET_I_STD_ALL))*100</f>
        <v>42.736986238651241</v>
      </c>
      <c r="AX31" s="140" t="s">
        <v>62</v>
      </c>
      <c r="AY31" s="140">
        <v>44.85863586555007</v>
      </c>
      <c r="AZ31" s="141">
        <v>100</v>
      </c>
      <c r="BA31" t="s">
        <v>79</v>
      </c>
      <c r="BB31">
        <v>94.234282592006622</v>
      </c>
      <c r="BC31">
        <v>24.242424242424242</v>
      </c>
      <c r="BD31">
        <v>2.2053236397350777</v>
      </c>
      <c r="BE31">
        <v>1</v>
      </c>
      <c r="BF31">
        <f>(KTGT_0-AVERAGE(KTGT_0))/STDEV(KTGT_0)</f>
        <v>0.38211240963389759</v>
      </c>
      <c r="BG31">
        <f>(KTGT_1-AVERAGE(KTGT_1))/STDEV(KTGT_1)</f>
        <v>0.78041383858696256</v>
      </c>
      <c r="BH31">
        <f>(KTGT_2-AVERAGE(KTGT_2))/STDEV(KTGT_2)</f>
        <v>-0.7319250547113999</v>
      </c>
      <c r="BI31">
        <f>KTGT_0_std * KTGT_0_loading+KTGT_1_std * KTGT_1_loading+KTGT_2_std * KTGT_2_loading</f>
        <v>-0.2462798242823917</v>
      </c>
      <c r="BJ31">
        <f>(KTGT_I_STD-MIN(KTGT_I_STD_ALL))/(MAX(KTGT_I_STD_ALL)-MIN(KTGT_I_STD_ALL))*100</f>
        <v>42.790734018900608</v>
      </c>
      <c r="BK31" s="140" t="s">
        <v>62</v>
      </c>
      <c r="BL31" s="140">
        <v>44.85863586555007</v>
      </c>
      <c r="BM31" s="141">
        <v>100</v>
      </c>
      <c r="BN31" t="s">
        <v>79</v>
      </c>
      <c r="BO31">
        <v>94.234282592006622</v>
      </c>
      <c r="BP31">
        <v>24.242424242424242</v>
      </c>
      <c r="BQ31">
        <v>2.2053236397350777</v>
      </c>
      <c r="BR31">
        <v>1</v>
      </c>
      <c r="BS31">
        <f>(SA_0-AVERAGE(SA_0))/STDEV(SA_0)</f>
        <v>0.38211240963389759</v>
      </c>
      <c r="BT31">
        <f>(SA_1-AVERAGE(SA_1))/STDEV(SA_1)</f>
        <v>0.78041383858696256</v>
      </c>
      <c r="BU31">
        <f>(SA_2-AVERAGE(SA_2))/STDEV(SA_2)</f>
        <v>-0.7319250547113999</v>
      </c>
      <c r="BV31">
        <f>SA_0_std * SA_0_loading+SA_1_std * SA_1_loading+SA_2_std * SA_2_loading</f>
        <v>0.24860771498606099</v>
      </c>
      <c r="BW31">
        <f>(SA_I_STD-MIN(SA_I_STD_ALL))/(MAX(SA_I_STD_ALL)-MIN(SA_I_STD_ALL))*100</f>
        <v>56.457923783316325</v>
      </c>
      <c r="BX31" s="140" t="s">
        <v>66</v>
      </c>
      <c r="BY31" s="140">
        <v>80.861343707957317</v>
      </c>
      <c r="BZ31" s="141">
        <v>100</v>
      </c>
    </row>
    <row r="33" spans="3:70" x14ac:dyDescent="0.25">
      <c r="C33" s="104" t="s">
        <v>92</v>
      </c>
      <c r="D33" s="104" t="s">
        <v>93</v>
      </c>
      <c r="E33" s="104" t="s">
        <v>94</v>
      </c>
      <c r="P33" s="104" t="s">
        <v>92</v>
      </c>
      <c r="Q33" s="104" t="s">
        <v>93</v>
      </c>
      <c r="R33" s="104" t="s">
        <v>94</v>
      </c>
      <c r="AC33" s="104" t="s">
        <v>92</v>
      </c>
      <c r="AD33" s="104" t="s">
        <v>93</v>
      </c>
      <c r="AE33" s="104" t="s">
        <v>94</v>
      </c>
      <c r="AP33" s="104" t="s">
        <v>92</v>
      </c>
      <c r="AQ33" s="104" t="s">
        <v>93</v>
      </c>
      <c r="AR33" s="104" t="s">
        <v>94</v>
      </c>
      <c r="BC33" s="104" t="s">
        <v>92</v>
      </c>
      <c r="BD33" s="104" t="s">
        <v>93</v>
      </c>
      <c r="BE33" s="104" t="s">
        <v>94</v>
      </c>
      <c r="BP33" s="104" t="s">
        <v>92</v>
      </c>
      <c r="BQ33" s="104" t="s">
        <v>93</v>
      </c>
      <c r="BR33" s="104" t="s">
        <v>94</v>
      </c>
    </row>
    <row r="34" spans="3:70" x14ac:dyDescent="0.25">
      <c r="C34">
        <v>0.70359925573405835</v>
      </c>
      <c r="D34">
        <v>7.5782224648717977E-2</v>
      </c>
      <c r="E34">
        <v>0.7065445079807573</v>
      </c>
      <c r="P34">
        <v>0.58556163309620868</v>
      </c>
      <c r="Q34">
        <v>7.4846223779214655E-2</v>
      </c>
      <c r="R34">
        <v>0.80716517307902536</v>
      </c>
      <c r="AC34">
        <v>0.69051858806590527</v>
      </c>
      <c r="AD34">
        <v>-0.24202145579335152</v>
      </c>
      <c r="AE34">
        <v>0.68162283887142106</v>
      </c>
      <c r="AP34">
        <v>0.70710678118596393</v>
      </c>
      <c r="AQ34">
        <v>0</v>
      </c>
      <c r="AR34">
        <v>0.70710678118713111</v>
      </c>
      <c r="BC34">
        <v>0.70707918406677495</v>
      </c>
      <c r="BD34">
        <v>1.4156277720786354E-3</v>
      </c>
      <c r="BE34">
        <v>0.70713296023978045</v>
      </c>
      <c r="BP34">
        <v>0.57735026918962573</v>
      </c>
      <c r="BQ34">
        <v>0.57735026918962573</v>
      </c>
      <c r="BR34">
        <v>0.57735026918962573</v>
      </c>
    </row>
  </sheetData>
  <mergeCells count="6">
    <mergeCell ref="K1:M1"/>
    <mergeCell ref="X1:Z1"/>
    <mergeCell ref="AK1:AM1"/>
    <mergeCell ref="AX1:AZ1"/>
    <mergeCell ref="BK1:BM1"/>
    <mergeCell ref="BX1:BZ1"/>
  </mergeCells>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N30"/>
  <sheetViews>
    <sheetView showGridLines="0" tabSelected="1" topLeftCell="G1" zoomScale="75" zoomScaleNormal="75" workbookViewId="0"/>
  </sheetViews>
  <sheetFormatPr defaultRowHeight="15" outlineLevelCol="1" x14ac:dyDescent="0.25"/>
  <cols>
    <col min="1" max="2" width="9.5703125" hidden="1" customWidth="1" outlineLevel="1"/>
    <col min="3" max="3" width="9.42578125" hidden="1" customWidth="1" outlineLevel="1"/>
    <col min="4" max="5" width="9.5703125" hidden="1" customWidth="1" outlineLevel="1"/>
    <col min="6" max="6" width="9.42578125" hidden="1" customWidth="1" outlineLevel="1"/>
    <col min="7" max="7" width="16.7109375" style="17" customWidth="1" collapsed="1"/>
    <col min="8" max="8" width="9.28515625" style="17" customWidth="1"/>
    <col min="9" max="9" width="8.5703125" style="17" customWidth="1"/>
    <col min="10" max="10" width="8.5703125" style="136" customWidth="1"/>
    <col min="11" max="12" width="9.5703125" hidden="1" customWidth="1" outlineLevel="1"/>
    <col min="13" max="13" width="9.42578125" hidden="1" customWidth="1" outlineLevel="1"/>
    <col min="14" max="15" width="9.5703125" hidden="1" customWidth="1" outlineLevel="1"/>
    <col min="16" max="16" width="9.42578125" hidden="1" customWidth="1" outlineLevel="1"/>
    <col min="17" max="17" width="17.28515625" style="17" customWidth="1" collapsed="1"/>
    <col min="18" max="18" width="9.28515625" style="17" customWidth="1"/>
    <col min="19" max="19" width="8.5703125" style="17" customWidth="1"/>
    <col min="20" max="20" width="8.5703125" style="136" customWidth="1"/>
    <col min="21" max="22" width="9.5703125" hidden="1" customWidth="1" outlineLevel="1"/>
    <col min="23" max="23" width="9.42578125" hidden="1" customWidth="1" outlineLevel="1"/>
    <col min="24" max="25" width="9.5703125" hidden="1" customWidth="1" outlineLevel="1"/>
    <col min="26" max="26" width="9.42578125" hidden="1" customWidth="1" outlineLevel="1"/>
    <col min="27" max="27" width="19.7109375" style="17" customWidth="1" collapsed="1"/>
    <col min="28" max="28" width="9.28515625" style="17" customWidth="1"/>
    <col min="29" max="29" width="8.85546875" style="17" customWidth="1"/>
    <col min="30" max="30" width="8.85546875" style="136" customWidth="1"/>
    <col min="31" max="32" width="9.5703125" hidden="1" customWidth="1" outlineLevel="1"/>
    <col min="33" max="33" width="9.42578125" hidden="1" customWidth="1" outlineLevel="1"/>
    <col min="34" max="35" width="9.5703125" hidden="1" customWidth="1" outlineLevel="1"/>
    <col min="36" max="36" width="9.42578125" hidden="1" customWidth="1" outlineLevel="1"/>
    <col min="37" max="37" width="20.7109375" style="17" customWidth="1" collapsed="1"/>
    <col min="38" max="38" width="9.28515625" style="17" customWidth="1"/>
    <col min="39" max="39" width="8.85546875" style="17" customWidth="1"/>
    <col min="40" max="40" width="8.85546875" style="136" customWidth="1"/>
    <col min="41" max="41" width="1.7109375" customWidth="1"/>
  </cols>
  <sheetData>
    <row r="1" spans="1:40" x14ac:dyDescent="0.25">
      <c r="G1" s="132" t="s">
        <v>241</v>
      </c>
      <c r="H1" s="132"/>
      <c r="I1" s="132"/>
      <c r="J1" s="133"/>
      <c r="Q1" s="132" t="s">
        <v>242</v>
      </c>
      <c r="R1" s="132"/>
      <c r="S1" s="132"/>
      <c r="T1" s="133"/>
      <c r="AA1" s="132" t="s">
        <v>243</v>
      </c>
      <c r="AB1" s="132"/>
      <c r="AC1" s="132"/>
      <c r="AD1" s="133"/>
      <c r="AK1" s="132" t="s">
        <v>244</v>
      </c>
      <c r="AL1" s="132"/>
      <c r="AM1" s="132"/>
      <c r="AN1" s="133"/>
    </row>
    <row r="2" spans="1:40" x14ac:dyDescent="0.25">
      <c r="A2" s="104" t="s">
        <v>56</v>
      </c>
      <c r="B2" s="104" t="s">
        <v>221</v>
      </c>
      <c r="C2" s="104" t="s">
        <v>233</v>
      </c>
      <c r="D2" s="104" t="s">
        <v>56</v>
      </c>
      <c r="E2" s="104" t="s">
        <v>221</v>
      </c>
      <c r="F2" s="104" t="s">
        <v>240</v>
      </c>
      <c r="G2" s="104" t="s">
        <v>56</v>
      </c>
      <c r="H2" s="104" t="s">
        <v>221</v>
      </c>
      <c r="I2" s="104" t="s">
        <v>233</v>
      </c>
      <c r="J2" s="134" t="s">
        <v>240</v>
      </c>
      <c r="K2" s="103" t="s">
        <v>56</v>
      </c>
      <c r="L2" s="104" t="s">
        <v>221</v>
      </c>
      <c r="M2" s="104" t="s">
        <v>233</v>
      </c>
      <c r="N2" s="104" t="s">
        <v>56</v>
      </c>
      <c r="O2" s="104" t="s">
        <v>221</v>
      </c>
      <c r="P2" s="104" t="s">
        <v>240</v>
      </c>
      <c r="Q2" s="104" t="s">
        <v>56</v>
      </c>
      <c r="R2" s="104" t="s">
        <v>221</v>
      </c>
      <c r="S2" s="104" t="s">
        <v>233</v>
      </c>
      <c r="T2" s="134" t="s">
        <v>240</v>
      </c>
      <c r="U2" s="103" t="s">
        <v>56</v>
      </c>
      <c r="V2" s="104" t="s">
        <v>221</v>
      </c>
      <c r="W2" s="104" t="s">
        <v>233</v>
      </c>
      <c r="X2" s="104" t="s">
        <v>56</v>
      </c>
      <c r="Y2" s="104" t="s">
        <v>221</v>
      </c>
      <c r="Z2" s="104" t="s">
        <v>240</v>
      </c>
      <c r="AA2" s="104" t="s">
        <v>56</v>
      </c>
      <c r="AB2" s="104" t="s">
        <v>221</v>
      </c>
      <c r="AC2" s="104" t="s">
        <v>233</v>
      </c>
      <c r="AD2" s="134" t="s">
        <v>240</v>
      </c>
      <c r="AE2" s="103" t="s">
        <v>56</v>
      </c>
      <c r="AF2" s="104" t="s">
        <v>221</v>
      </c>
      <c r="AG2" s="104" t="s">
        <v>233</v>
      </c>
      <c r="AH2" s="104" t="s">
        <v>56</v>
      </c>
      <c r="AI2" s="104" t="s">
        <v>221</v>
      </c>
      <c r="AJ2" s="104" t="s">
        <v>240</v>
      </c>
      <c r="AK2" s="104" t="s">
        <v>56</v>
      </c>
      <c r="AL2" s="104" t="s">
        <v>221</v>
      </c>
      <c r="AM2" s="104" t="s">
        <v>233</v>
      </c>
      <c r="AN2" s="134" t="s">
        <v>240</v>
      </c>
    </row>
    <row r="3" spans="1:40" x14ac:dyDescent="0.25">
      <c r="A3" s="144" t="s">
        <v>60</v>
      </c>
      <c r="B3" s="144">
        <v>63.529505721437147</v>
      </c>
      <c r="C3" s="144">
        <v>0.74471647616712822</v>
      </c>
      <c r="D3" s="144" t="s">
        <v>81</v>
      </c>
      <c r="E3" s="144">
        <v>8.5835812635249962</v>
      </c>
      <c r="F3" s="144">
        <v>0</v>
      </c>
      <c r="G3" s="146" t="s">
        <v>68</v>
      </c>
      <c r="H3" s="137">
        <v>357.45486313337216</v>
      </c>
      <c r="I3" s="138">
        <v>50.007480250680558</v>
      </c>
      <c r="J3" s="139">
        <v>44.736635151440375</v>
      </c>
      <c r="K3" s="144" t="s">
        <v>60</v>
      </c>
      <c r="L3" s="144">
        <v>63.529505721437147</v>
      </c>
      <c r="M3" s="144">
        <v>0.74471647616712822</v>
      </c>
      <c r="N3" s="144" t="s">
        <v>80</v>
      </c>
      <c r="O3" s="144">
        <v>14.043552326179778</v>
      </c>
      <c r="P3" s="144">
        <v>0</v>
      </c>
      <c r="Q3" s="146" t="s">
        <v>68</v>
      </c>
      <c r="R3" s="137">
        <v>357.45486313337216</v>
      </c>
      <c r="S3" s="138">
        <v>50.007480250680558</v>
      </c>
      <c r="T3" s="139">
        <v>45.976682531706658</v>
      </c>
      <c r="U3" s="144" t="s">
        <v>60</v>
      </c>
      <c r="V3" s="144">
        <v>63.529505721437147</v>
      </c>
      <c r="W3" s="144">
        <v>1.5318348204426835</v>
      </c>
      <c r="X3" s="144" t="s">
        <v>80</v>
      </c>
      <c r="Y3" s="144">
        <v>14.043552326179778</v>
      </c>
      <c r="Z3" s="144">
        <v>0</v>
      </c>
      <c r="AA3" s="146" t="s">
        <v>68</v>
      </c>
      <c r="AB3" s="137">
        <v>357.45486313337216</v>
      </c>
      <c r="AC3" s="138">
        <v>50.593170142007516</v>
      </c>
      <c r="AD3" s="139">
        <v>45.976682531706658</v>
      </c>
      <c r="AE3" s="144" t="s">
        <v>60</v>
      </c>
      <c r="AF3" s="144">
        <v>63.529505721437147</v>
      </c>
      <c r="AG3" s="144">
        <v>1.5318348204426835</v>
      </c>
      <c r="AH3" s="144" t="s">
        <v>81</v>
      </c>
      <c r="AI3" s="144">
        <v>8.5835812635249962</v>
      </c>
      <c r="AJ3" s="144">
        <v>0</v>
      </c>
      <c r="AK3" s="146" t="s">
        <v>68</v>
      </c>
      <c r="AL3" s="137">
        <v>357.45486313337216</v>
      </c>
      <c r="AM3" s="138">
        <v>50.593170142007516</v>
      </c>
      <c r="AN3" s="139">
        <v>44.29167185268971</v>
      </c>
    </row>
    <row r="4" spans="1:40" x14ac:dyDescent="0.25">
      <c r="A4" s="144" t="s">
        <v>57</v>
      </c>
      <c r="B4" s="144">
        <v>92.255436220636625</v>
      </c>
      <c r="C4" s="144">
        <v>3.1876835748931631</v>
      </c>
      <c r="D4" s="144" t="s">
        <v>80</v>
      </c>
      <c r="E4" s="144">
        <v>14.043552326179778</v>
      </c>
      <c r="F4" s="144">
        <v>2.023525903704797</v>
      </c>
      <c r="G4" s="146" t="s">
        <v>57</v>
      </c>
      <c r="H4" s="137">
        <v>92.255436220636625</v>
      </c>
      <c r="I4" s="138">
        <v>3.1876835748931631</v>
      </c>
      <c r="J4" s="139">
        <v>43.520991580309243</v>
      </c>
      <c r="K4" s="144" t="s">
        <v>57</v>
      </c>
      <c r="L4" s="144">
        <v>92.255436220636625</v>
      </c>
      <c r="M4" s="144">
        <v>3.1876835748931631</v>
      </c>
      <c r="N4" s="144" t="s">
        <v>81</v>
      </c>
      <c r="O4" s="144">
        <v>8.5835812635249962</v>
      </c>
      <c r="P4" s="144">
        <v>6.3312749763747043</v>
      </c>
      <c r="Q4" s="146" t="s">
        <v>57</v>
      </c>
      <c r="R4" s="137">
        <v>92.255436220636625</v>
      </c>
      <c r="S4" s="138">
        <v>3.1876835748931631</v>
      </c>
      <c r="T4" s="139">
        <v>45.495644428586886</v>
      </c>
      <c r="U4" s="144" t="s">
        <v>57</v>
      </c>
      <c r="V4" s="144">
        <v>92.255436220636625</v>
      </c>
      <c r="W4" s="144">
        <v>3.238795374513074</v>
      </c>
      <c r="X4" s="144" t="s">
        <v>81</v>
      </c>
      <c r="Y4" s="144">
        <v>8.5835812635249962</v>
      </c>
      <c r="Z4" s="144">
        <v>6.3312749763747043</v>
      </c>
      <c r="AA4" s="146" t="s">
        <v>57</v>
      </c>
      <c r="AB4" s="137">
        <v>92.255436220636625</v>
      </c>
      <c r="AC4" s="138">
        <v>3.238795374513074</v>
      </c>
      <c r="AD4" s="139">
        <v>45.495644428586886</v>
      </c>
      <c r="AE4" s="144" t="s">
        <v>57</v>
      </c>
      <c r="AF4" s="144">
        <v>92.255436220636625</v>
      </c>
      <c r="AG4" s="144">
        <v>3.238795374513074</v>
      </c>
      <c r="AH4" s="144" t="s">
        <v>80</v>
      </c>
      <c r="AI4" s="144">
        <v>14.043552326179778</v>
      </c>
      <c r="AJ4" s="144">
        <v>3.7927215374522281E-2</v>
      </c>
      <c r="AK4" s="146" t="s">
        <v>57</v>
      </c>
      <c r="AL4" s="137">
        <v>92.255436220636625</v>
      </c>
      <c r="AM4" s="138">
        <v>3.238795374513074</v>
      </c>
      <c r="AN4" s="139">
        <v>43.23230128949875</v>
      </c>
    </row>
    <row r="5" spans="1:40" x14ac:dyDescent="0.25">
      <c r="A5" s="144" t="s">
        <v>58</v>
      </c>
      <c r="B5" s="144">
        <v>67.207208002483483</v>
      </c>
      <c r="C5" s="144">
        <v>12.181525800614383</v>
      </c>
      <c r="D5" s="144" t="s">
        <v>58</v>
      </c>
      <c r="E5" s="144">
        <v>67.207208002483483</v>
      </c>
      <c r="F5" s="144">
        <v>17.500936896523843</v>
      </c>
      <c r="G5" s="146" t="s">
        <v>58</v>
      </c>
      <c r="H5" s="137">
        <v>67.207208002483483</v>
      </c>
      <c r="I5" s="138">
        <v>12.181525800614383</v>
      </c>
      <c r="J5" s="139">
        <v>17.500936896523843</v>
      </c>
      <c r="K5" s="144" t="s">
        <v>58</v>
      </c>
      <c r="L5" s="144">
        <v>67.207208002483483</v>
      </c>
      <c r="M5" s="144">
        <v>12.181525800614383</v>
      </c>
      <c r="N5" s="144" t="s">
        <v>64</v>
      </c>
      <c r="O5" s="144">
        <v>358.81422113562593</v>
      </c>
      <c r="P5" s="144">
        <v>13.940305536962704</v>
      </c>
      <c r="Q5" s="146" t="s">
        <v>58</v>
      </c>
      <c r="R5" s="137">
        <v>67.207208002483483</v>
      </c>
      <c r="S5" s="138">
        <v>12.181525800614383</v>
      </c>
      <c r="T5" s="139">
        <v>16.779874689602238</v>
      </c>
      <c r="U5" s="144" t="s">
        <v>58</v>
      </c>
      <c r="V5" s="144">
        <v>67.207208002483483</v>
      </c>
      <c r="W5" s="144">
        <v>11.948592820724128</v>
      </c>
      <c r="X5" s="144" t="s">
        <v>64</v>
      </c>
      <c r="Y5" s="144">
        <v>358.81422113562593</v>
      </c>
      <c r="Z5" s="144">
        <v>13.940305536962704</v>
      </c>
      <c r="AA5" s="146" t="s">
        <v>58</v>
      </c>
      <c r="AB5" s="137">
        <v>67.207208002483483</v>
      </c>
      <c r="AC5" s="138">
        <v>11.948592820724128</v>
      </c>
      <c r="AD5" s="139">
        <v>16.779874689602238</v>
      </c>
      <c r="AE5" s="144" t="s">
        <v>58</v>
      </c>
      <c r="AF5" s="144">
        <v>67.207208002483483</v>
      </c>
      <c r="AG5" s="144">
        <v>11.948592820724128</v>
      </c>
      <c r="AH5" s="144" t="s">
        <v>58</v>
      </c>
      <c r="AI5" s="144">
        <v>67.207208002483483</v>
      </c>
      <c r="AJ5" s="144">
        <v>16.100877518570805</v>
      </c>
      <c r="AK5" s="146" t="s">
        <v>58</v>
      </c>
      <c r="AL5" s="137">
        <v>67.207208002483483</v>
      </c>
      <c r="AM5" s="138">
        <v>11.948592820724128</v>
      </c>
      <c r="AN5" s="139">
        <v>16.100877518570805</v>
      </c>
    </row>
    <row r="6" spans="1:40" x14ac:dyDescent="0.25">
      <c r="A6" s="144" t="s">
        <v>62</v>
      </c>
      <c r="B6" s="144">
        <v>44.85863586555007</v>
      </c>
      <c r="C6" s="144">
        <v>14.456308071837285</v>
      </c>
      <c r="D6" s="144" t="s">
        <v>64</v>
      </c>
      <c r="E6" s="144">
        <v>358.81422113562593</v>
      </c>
      <c r="F6" s="144">
        <v>23.08211737795801</v>
      </c>
      <c r="G6" s="146" t="s">
        <v>64</v>
      </c>
      <c r="H6" s="137">
        <v>358.81422113562593</v>
      </c>
      <c r="I6" s="138">
        <v>40.642035587311589</v>
      </c>
      <c r="J6" s="139">
        <v>23.08211737795801</v>
      </c>
      <c r="K6" s="144" t="s">
        <v>62</v>
      </c>
      <c r="L6" s="144">
        <v>44.85863586555007</v>
      </c>
      <c r="M6" s="144">
        <v>14.456308071837285</v>
      </c>
      <c r="N6" s="144" t="s">
        <v>58</v>
      </c>
      <c r="O6" s="144">
        <v>67.207208002483483</v>
      </c>
      <c r="P6" s="144">
        <v>16.779874689602238</v>
      </c>
      <c r="Q6" s="146" t="s">
        <v>64</v>
      </c>
      <c r="R6" s="137">
        <v>358.81422113562593</v>
      </c>
      <c r="S6" s="138">
        <v>40.642035587311589</v>
      </c>
      <c r="T6" s="139">
        <v>13.940305536962704</v>
      </c>
      <c r="U6" s="144" t="s">
        <v>62</v>
      </c>
      <c r="V6" s="144">
        <v>44.85863586555007</v>
      </c>
      <c r="W6" s="144">
        <v>15.929025651749518</v>
      </c>
      <c r="X6" s="144" t="s">
        <v>58</v>
      </c>
      <c r="Y6" s="144">
        <v>67.207208002483483</v>
      </c>
      <c r="Z6" s="144">
        <v>16.779874689602238</v>
      </c>
      <c r="AA6" s="146" t="s">
        <v>61</v>
      </c>
      <c r="AB6" s="137">
        <v>94.719790963219936</v>
      </c>
      <c r="AC6" s="138">
        <v>45.322977951759128</v>
      </c>
      <c r="AD6" s="139">
        <v>31.796137254691502</v>
      </c>
      <c r="AE6" s="144" t="s">
        <v>62</v>
      </c>
      <c r="AF6" s="144">
        <v>44.85863586555007</v>
      </c>
      <c r="AG6" s="144">
        <v>15.929025651749518</v>
      </c>
      <c r="AH6" s="144" t="s">
        <v>64</v>
      </c>
      <c r="AI6" s="144">
        <v>358.81422113562593</v>
      </c>
      <c r="AJ6" s="144">
        <v>19.743287195028163</v>
      </c>
      <c r="AK6" s="146" t="s">
        <v>61</v>
      </c>
      <c r="AL6" s="137">
        <v>94.719790963219936</v>
      </c>
      <c r="AM6" s="138">
        <v>45.322977951759128</v>
      </c>
      <c r="AN6" s="139">
        <v>27.958300672541654</v>
      </c>
    </row>
    <row r="7" spans="1:40" x14ac:dyDescent="0.25">
      <c r="A7" s="144" t="s">
        <v>83</v>
      </c>
      <c r="B7" s="144">
        <v>3.105838831144009</v>
      </c>
      <c r="C7" s="144">
        <v>22.412769499699003</v>
      </c>
      <c r="D7" s="144" t="s">
        <v>61</v>
      </c>
      <c r="E7" s="144">
        <v>94.719790963219936</v>
      </c>
      <c r="F7" s="144">
        <v>28.103409907901796</v>
      </c>
      <c r="G7" s="146" t="s">
        <v>83</v>
      </c>
      <c r="H7" s="137">
        <v>3.105838831144009</v>
      </c>
      <c r="I7" s="138">
        <v>22.412769499699003</v>
      </c>
      <c r="J7" s="139">
        <v>32.39561013708866</v>
      </c>
      <c r="K7" s="144" t="s">
        <v>83</v>
      </c>
      <c r="L7" s="144">
        <v>3.105838831144009</v>
      </c>
      <c r="M7" s="144">
        <v>22.412769499699003</v>
      </c>
      <c r="N7" s="144" t="s">
        <v>83</v>
      </c>
      <c r="O7" s="144">
        <v>3.105838831144009</v>
      </c>
      <c r="P7" s="144">
        <v>25.834988596360692</v>
      </c>
      <c r="Q7" s="146" t="s">
        <v>83</v>
      </c>
      <c r="R7" s="137">
        <v>3.105838831144009</v>
      </c>
      <c r="S7" s="138">
        <v>22.412769499699003</v>
      </c>
      <c r="T7" s="139">
        <v>25.834988596360692</v>
      </c>
      <c r="U7" s="144" t="s">
        <v>73</v>
      </c>
      <c r="V7" s="144">
        <v>97.801123064581716</v>
      </c>
      <c r="W7" s="144">
        <v>16.658929131055704</v>
      </c>
      <c r="X7" s="144" t="s">
        <v>83</v>
      </c>
      <c r="Y7" s="144">
        <v>3.105838831144009</v>
      </c>
      <c r="Z7" s="144">
        <v>25.834988596360692</v>
      </c>
      <c r="AA7" s="146" t="s">
        <v>73</v>
      </c>
      <c r="AB7" s="137">
        <v>97.801123064581716</v>
      </c>
      <c r="AC7" s="138">
        <v>16.658929131055704</v>
      </c>
      <c r="AD7" s="139">
        <v>48.962226758267633</v>
      </c>
      <c r="AE7" s="144" t="s">
        <v>73</v>
      </c>
      <c r="AF7" s="144">
        <v>97.801123064581716</v>
      </c>
      <c r="AG7" s="144">
        <v>16.658929131055704</v>
      </c>
      <c r="AH7" s="144" t="s">
        <v>61</v>
      </c>
      <c r="AI7" s="144">
        <v>94.719790963219936</v>
      </c>
      <c r="AJ7" s="144">
        <v>27.958300672541654</v>
      </c>
      <c r="AK7" s="146" t="s">
        <v>73</v>
      </c>
      <c r="AL7" s="137">
        <v>97.801123064581716</v>
      </c>
      <c r="AM7" s="138">
        <v>16.658929131055704</v>
      </c>
      <c r="AN7" s="139">
        <v>60.070894539962438</v>
      </c>
    </row>
    <row r="8" spans="1:40" x14ac:dyDescent="0.25">
      <c r="A8" s="144" t="s">
        <v>73</v>
      </c>
      <c r="B8" s="144">
        <v>97.801123064581716</v>
      </c>
      <c r="C8" s="144">
        <v>25.74742485966004</v>
      </c>
      <c r="D8" s="144" t="s">
        <v>83</v>
      </c>
      <c r="E8" s="144">
        <v>3.105838831144009</v>
      </c>
      <c r="F8" s="144">
        <v>32.39561013708866</v>
      </c>
      <c r="G8" s="146" t="s">
        <v>73</v>
      </c>
      <c r="H8" s="137">
        <v>97.801123064581716</v>
      </c>
      <c r="I8" s="138">
        <v>25.74742485966004</v>
      </c>
      <c r="J8" s="139">
        <v>64.150533796115624</v>
      </c>
      <c r="K8" s="144" t="s">
        <v>73</v>
      </c>
      <c r="L8" s="144">
        <v>97.801123064581716</v>
      </c>
      <c r="M8" s="144">
        <v>25.74742485966004</v>
      </c>
      <c r="N8" s="144" t="s">
        <v>82</v>
      </c>
      <c r="O8" s="144">
        <v>19.785132701190538</v>
      </c>
      <c r="P8" s="144">
        <v>27.456831761622819</v>
      </c>
      <c r="Q8" s="146" t="s">
        <v>73</v>
      </c>
      <c r="R8" s="137">
        <v>97.801123064581716</v>
      </c>
      <c r="S8" s="138">
        <v>25.74742485966004</v>
      </c>
      <c r="T8" s="139">
        <v>48.962226758267633</v>
      </c>
      <c r="U8" s="144" t="s">
        <v>80</v>
      </c>
      <c r="V8" s="144">
        <v>14.043552326179778</v>
      </c>
      <c r="W8" s="144">
        <v>20.156069942823809</v>
      </c>
      <c r="X8" s="144" t="s">
        <v>82</v>
      </c>
      <c r="Y8" s="144">
        <v>19.785132701190538</v>
      </c>
      <c r="Z8" s="144">
        <v>27.456831761622819</v>
      </c>
      <c r="AA8" s="146" t="s">
        <v>80</v>
      </c>
      <c r="AB8" s="137">
        <v>14.043552326179778</v>
      </c>
      <c r="AC8" s="138">
        <v>20.156069942823809</v>
      </c>
      <c r="AD8" s="139">
        <v>0</v>
      </c>
      <c r="AE8" s="144" t="s">
        <v>80</v>
      </c>
      <c r="AF8" s="144">
        <v>14.043552326179778</v>
      </c>
      <c r="AG8" s="144">
        <v>20.156069942823809</v>
      </c>
      <c r="AH8" s="144" t="s">
        <v>83</v>
      </c>
      <c r="AI8" s="144">
        <v>3.105838831144009</v>
      </c>
      <c r="AJ8" s="144">
        <v>29.845615376215783</v>
      </c>
      <c r="AK8" s="146" t="s">
        <v>80</v>
      </c>
      <c r="AL8" s="137">
        <v>14.043552326179778</v>
      </c>
      <c r="AM8" s="138">
        <v>20.156069942823809</v>
      </c>
      <c r="AN8" s="139">
        <v>3.7927215374522281E-2</v>
      </c>
    </row>
    <row r="9" spans="1:40" x14ac:dyDescent="0.25">
      <c r="A9" s="144" t="s">
        <v>59</v>
      </c>
      <c r="B9" s="144">
        <v>112.06602026518708</v>
      </c>
      <c r="C9" s="144">
        <v>26.406748298628013</v>
      </c>
      <c r="D9" s="144" t="s">
        <v>67</v>
      </c>
      <c r="E9" s="144">
        <v>101.50560235661756</v>
      </c>
      <c r="F9" s="144">
        <v>36.710777620910861</v>
      </c>
      <c r="G9" s="146" t="s">
        <v>59</v>
      </c>
      <c r="H9" s="137">
        <v>112.06602026518708</v>
      </c>
      <c r="I9" s="138">
        <v>26.406748298628013</v>
      </c>
      <c r="J9" s="139">
        <v>48.281284287045843</v>
      </c>
      <c r="K9" s="144" t="s">
        <v>59</v>
      </c>
      <c r="L9" s="144">
        <v>112.06602026518708</v>
      </c>
      <c r="M9" s="144">
        <v>26.406748298628013</v>
      </c>
      <c r="N9" s="144" t="s">
        <v>67</v>
      </c>
      <c r="O9" s="144">
        <v>101.50560235661756</v>
      </c>
      <c r="P9" s="144">
        <v>28.123822050363785</v>
      </c>
      <c r="Q9" s="146" t="s">
        <v>59</v>
      </c>
      <c r="R9" s="137">
        <v>112.06602026518708</v>
      </c>
      <c r="S9" s="138">
        <v>26.406748298628013</v>
      </c>
      <c r="T9" s="139">
        <v>48.607829898787074</v>
      </c>
      <c r="U9" s="144" t="s">
        <v>79</v>
      </c>
      <c r="V9" s="144">
        <v>94.234282592006622</v>
      </c>
      <c r="W9" s="144">
        <v>24.765998001699423</v>
      </c>
      <c r="X9" s="144" t="s">
        <v>67</v>
      </c>
      <c r="Y9" s="144">
        <v>101.50560235661756</v>
      </c>
      <c r="Z9" s="144">
        <v>28.123822050363785</v>
      </c>
      <c r="AA9" s="146" t="s">
        <v>79</v>
      </c>
      <c r="AB9" s="137">
        <v>94.234282592006622</v>
      </c>
      <c r="AC9" s="138">
        <v>24.765998001699423</v>
      </c>
      <c r="AD9" s="139">
        <v>36.991182209661545</v>
      </c>
      <c r="AE9" s="144" t="s">
        <v>79</v>
      </c>
      <c r="AF9" s="144">
        <v>94.234282592006622</v>
      </c>
      <c r="AG9" s="144">
        <v>24.765998001699423</v>
      </c>
      <c r="AH9" s="144" t="s">
        <v>67</v>
      </c>
      <c r="AI9" s="144">
        <v>101.50560235661756</v>
      </c>
      <c r="AJ9" s="144">
        <v>33.743989741048466</v>
      </c>
      <c r="AK9" s="146" t="s">
        <v>79</v>
      </c>
      <c r="AL9" s="137">
        <v>94.234282592006622</v>
      </c>
      <c r="AM9" s="138">
        <v>24.765998001699423</v>
      </c>
      <c r="AN9" s="139">
        <v>42.790734018900608</v>
      </c>
    </row>
    <row r="10" spans="1:40" x14ac:dyDescent="0.25">
      <c r="A10" s="144" t="s">
        <v>80</v>
      </c>
      <c r="B10" s="144">
        <v>14.043552326179778</v>
      </c>
      <c r="C10" s="144">
        <v>26.427641432772653</v>
      </c>
      <c r="D10" s="144" t="s">
        <v>76</v>
      </c>
      <c r="E10" s="144">
        <v>13.182567719439019</v>
      </c>
      <c r="F10" s="144">
        <v>38.304700058750655</v>
      </c>
      <c r="G10" s="146" t="s">
        <v>80</v>
      </c>
      <c r="H10" s="137">
        <v>14.043552326179778</v>
      </c>
      <c r="I10" s="138">
        <v>26.427641432772653</v>
      </c>
      <c r="J10" s="139">
        <v>2.023525903704797</v>
      </c>
      <c r="K10" s="144" t="s">
        <v>80</v>
      </c>
      <c r="L10" s="144">
        <v>14.043552326179778</v>
      </c>
      <c r="M10" s="144">
        <v>26.427641432772653</v>
      </c>
      <c r="N10" s="144" t="s">
        <v>61</v>
      </c>
      <c r="O10" s="144">
        <v>94.719790963219936</v>
      </c>
      <c r="P10" s="144">
        <v>31.796137254691502</v>
      </c>
      <c r="Q10" s="146" t="s">
        <v>80</v>
      </c>
      <c r="R10" s="137">
        <v>14.043552326179778</v>
      </c>
      <c r="S10" s="138">
        <v>26.427641432772653</v>
      </c>
      <c r="T10" s="139">
        <v>0</v>
      </c>
      <c r="U10" s="144" t="s">
        <v>83</v>
      </c>
      <c r="V10" s="144">
        <v>3.105838831144009</v>
      </c>
      <c r="W10" s="144">
        <v>26.141593276498632</v>
      </c>
      <c r="X10" s="144" t="s">
        <v>61</v>
      </c>
      <c r="Y10" s="144">
        <v>94.719790963219936</v>
      </c>
      <c r="Z10" s="144">
        <v>31.796137254691502</v>
      </c>
      <c r="AA10" s="146" t="s">
        <v>83</v>
      </c>
      <c r="AB10" s="137">
        <v>3.105838831144009</v>
      </c>
      <c r="AC10" s="138">
        <v>26.141593276498632</v>
      </c>
      <c r="AD10" s="139">
        <v>25.834988596360692</v>
      </c>
      <c r="AE10" s="144" t="s">
        <v>83</v>
      </c>
      <c r="AF10" s="144">
        <v>3.105838831144009</v>
      </c>
      <c r="AG10" s="144">
        <v>26.141593276498632</v>
      </c>
      <c r="AH10" s="144" t="s">
        <v>82</v>
      </c>
      <c r="AI10" s="144">
        <v>19.785132701190538</v>
      </c>
      <c r="AJ10" s="144">
        <v>36.193454631633578</v>
      </c>
      <c r="AK10" s="146" t="s">
        <v>83</v>
      </c>
      <c r="AL10" s="137">
        <v>3.105838831144009</v>
      </c>
      <c r="AM10" s="138">
        <v>26.141593276498632</v>
      </c>
      <c r="AN10" s="139">
        <v>29.845615376215783</v>
      </c>
    </row>
    <row r="11" spans="1:40" x14ac:dyDescent="0.25">
      <c r="A11" s="144" t="s">
        <v>63</v>
      </c>
      <c r="B11" s="144">
        <v>158.91826997347314</v>
      </c>
      <c r="C11" s="144">
        <v>28.954451375511987</v>
      </c>
      <c r="D11" s="144" t="s">
        <v>82</v>
      </c>
      <c r="E11" s="144">
        <v>19.785132701190538</v>
      </c>
      <c r="F11" s="144">
        <v>40.073006723844493</v>
      </c>
      <c r="G11" s="146" t="s">
        <v>63</v>
      </c>
      <c r="H11" s="137">
        <v>158.91826997347314</v>
      </c>
      <c r="I11" s="138">
        <v>28.954451375511987</v>
      </c>
      <c r="J11" s="139">
        <v>59.70091589343405</v>
      </c>
      <c r="K11" s="144" t="s">
        <v>63</v>
      </c>
      <c r="L11" s="144">
        <v>158.91826997347314</v>
      </c>
      <c r="M11" s="144">
        <v>28.954451375511987</v>
      </c>
      <c r="N11" s="144" t="s">
        <v>77</v>
      </c>
      <c r="O11" s="144">
        <v>75.4867889064125</v>
      </c>
      <c r="P11" s="144">
        <v>33.41765196015983</v>
      </c>
      <c r="Q11" s="146" t="s">
        <v>63</v>
      </c>
      <c r="R11" s="137">
        <v>158.91826997347314</v>
      </c>
      <c r="S11" s="138">
        <v>28.954451375511987</v>
      </c>
      <c r="T11" s="139">
        <v>57.101185204434678</v>
      </c>
      <c r="U11" s="144" t="s">
        <v>76</v>
      </c>
      <c r="V11" s="144">
        <v>13.182567719439019</v>
      </c>
      <c r="W11" s="144">
        <v>26.930389091701549</v>
      </c>
      <c r="X11" s="144" t="s">
        <v>77</v>
      </c>
      <c r="Y11" s="144">
        <v>75.4867889064125</v>
      </c>
      <c r="Z11" s="144">
        <v>33.41765196015983</v>
      </c>
      <c r="AA11" s="146" t="s">
        <v>76</v>
      </c>
      <c r="AB11" s="137">
        <v>13.182567719439019</v>
      </c>
      <c r="AC11" s="138">
        <v>26.930389091701549</v>
      </c>
      <c r="AD11" s="139">
        <v>41.267459844164037</v>
      </c>
      <c r="AE11" s="144" t="s">
        <v>76</v>
      </c>
      <c r="AF11" s="144">
        <v>13.182567719439019</v>
      </c>
      <c r="AG11" s="144">
        <v>26.930389091701549</v>
      </c>
      <c r="AH11" s="144" t="s">
        <v>76</v>
      </c>
      <c r="AI11" s="144">
        <v>13.182567719439019</v>
      </c>
      <c r="AJ11" s="144">
        <v>38.163012577581675</v>
      </c>
      <c r="AK11" s="146" t="s">
        <v>76</v>
      </c>
      <c r="AL11" s="137">
        <v>13.182567719439019</v>
      </c>
      <c r="AM11" s="138">
        <v>26.930389091701549</v>
      </c>
      <c r="AN11" s="139">
        <v>38.163012577581675</v>
      </c>
    </row>
    <row r="12" spans="1:40" x14ac:dyDescent="0.25">
      <c r="A12" s="144" t="s">
        <v>67</v>
      </c>
      <c r="B12" s="144">
        <v>101.50560235661756</v>
      </c>
      <c r="C12" s="144">
        <v>30.163248678254639</v>
      </c>
      <c r="D12" s="144" t="s">
        <v>84</v>
      </c>
      <c r="E12" s="144">
        <v>101.91738416424882</v>
      </c>
      <c r="F12" s="144">
        <v>42.4872739270916</v>
      </c>
      <c r="G12" s="146" t="s">
        <v>67</v>
      </c>
      <c r="H12" s="137">
        <v>101.50560235661756</v>
      </c>
      <c r="I12" s="138">
        <v>30.163248678254639</v>
      </c>
      <c r="J12" s="139">
        <v>36.710777620910861</v>
      </c>
      <c r="K12" s="144" t="s">
        <v>67</v>
      </c>
      <c r="L12" s="144">
        <v>101.50560235661756</v>
      </c>
      <c r="M12" s="144">
        <v>30.163248678254639</v>
      </c>
      <c r="N12" s="144" t="s">
        <v>79</v>
      </c>
      <c r="O12" s="144">
        <v>94.234282592006622</v>
      </c>
      <c r="P12" s="144">
        <v>36.991182209661545</v>
      </c>
      <c r="Q12" s="146" t="s">
        <v>67</v>
      </c>
      <c r="R12" s="137">
        <v>101.50560235661756</v>
      </c>
      <c r="S12" s="138">
        <v>30.163248678254639</v>
      </c>
      <c r="T12" s="139">
        <v>28.123822050363785</v>
      </c>
      <c r="U12" s="144" t="s">
        <v>59</v>
      </c>
      <c r="V12" s="144">
        <v>112.06602026518708</v>
      </c>
      <c r="W12" s="144">
        <v>27.463775288146149</v>
      </c>
      <c r="X12" s="144" t="s">
        <v>79</v>
      </c>
      <c r="Y12" s="144">
        <v>94.234282592006622</v>
      </c>
      <c r="Z12" s="144">
        <v>36.991182209661545</v>
      </c>
      <c r="AA12" s="146" t="s">
        <v>59</v>
      </c>
      <c r="AB12" s="137">
        <v>112.06602026518708</v>
      </c>
      <c r="AC12" s="138">
        <v>27.463775288146149</v>
      </c>
      <c r="AD12" s="139">
        <v>48.607829898787074</v>
      </c>
      <c r="AE12" s="144" t="s">
        <v>59</v>
      </c>
      <c r="AF12" s="144">
        <v>112.06602026518708</v>
      </c>
      <c r="AG12" s="144">
        <v>27.463775288146149</v>
      </c>
      <c r="AH12" s="144" t="s">
        <v>84</v>
      </c>
      <c r="AI12" s="144">
        <v>101.91738416424882</v>
      </c>
      <c r="AJ12" s="144">
        <v>41.365306138457747</v>
      </c>
      <c r="AK12" s="146" t="s">
        <v>59</v>
      </c>
      <c r="AL12" s="137">
        <v>112.06602026518708</v>
      </c>
      <c r="AM12" s="138">
        <v>27.463775288146149</v>
      </c>
      <c r="AN12" s="139">
        <v>47.672456313627038</v>
      </c>
    </row>
    <row r="13" spans="1:40" x14ac:dyDescent="0.25">
      <c r="A13" s="144" t="s">
        <v>66</v>
      </c>
      <c r="B13" s="144">
        <v>80.861343707957317</v>
      </c>
      <c r="C13" s="144">
        <v>30.727707203055456</v>
      </c>
      <c r="D13" s="144" t="s">
        <v>57</v>
      </c>
      <c r="E13" s="144">
        <v>92.255436220636625</v>
      </c>
      <c r="F13" s="144">
        <v>43.520991580309243</v>
      </c>
      <c r="G13" s="146" t="s">
        <v>61</v>
      </c>
      <c r="H13" s="137">
        <v>94.719790963219936</v>
      </c>
      <c r="I13" s="138">
        <v>40.270775932950322</v>
      </c>
      <c r="J13" s="139">
        <v>28.103409907901796</v>
      </c>
      <c r="K13" s="144" t="s">
        <v>66</v>
      </c>
      <c r="L13" s="144">
        <v>80.861343707957317</v>
      </c>
      <c r="M13" s="144">
        <v>30.727707203055456</v>
      </c>
      <c r="N13" s="144" t="s">
        <v>84</v>
      </c>
      <c r="O13" s="144">
        <v>101.91738416424882</v>
      </c>
      <c r="P13" s="144">
        <v>41.104274613459076</v>
      </c>
      <c r="Q13" s="146" t="s">
        <v>66</v>
      </c>
      <c r="R13" s="137">
        <v>80.861343707957317</v>
      </c>
      <c r="S13" s="138">
        <v>30.727707203055456</v>
      </c>
      <c r="T13" s="139">
        <v>48.463711208202817</v>
      </c>
      <c r="U13" s="144" t="s">
        <v>77</v>
      </c>
      <c r="V13" s="144">
        <v>75.4867889064125</v>
      </c>
      <c r="W13" s="144">
        <v>28.081512469557879</v>
      </c>
      <c r="X13" s="144" t="s">
        <v>84</v>
      </c>
      <c r="Y13" s="144">
        <v>101.91738416424882</v>
      </c>
      <c r="Z13" s="144">
        <v>41.104274613459076</v>
      </c>
      <c r="AA13" s="146" t="s">
        <v>77</v>
      </c>
      <c r="AB13" s="137">
        <v>75.4867889064125</v>
      </c>
      <c r="AC13" s="138">
        <v>28.081512469557879</v>
      </c>
      <c r="AD13" s="139">
        <v>33.41765196015983</v>
      </c>
      <c r="AE13" s="144" t="s">
        <v>77</v>
      </c>
      <c r="AF13" s="144">
        <v>75.4867889064125</v>
      </c>
      <c r="AG13" s="144">
        <v>28.081512469557879</v>
      </c>
      <c r="AH13" s="144" t="s">
        <v>79</v>
      </c>
      <c r="AI13" s="144">
        <v>94.234282592006622</v>
      </c>
      <c r="AJ13" s="144">
        <v>42.790734018900608</v>
      </c>
      <c r="AK13" s="146" t="s">
        <v>77</v>
      </c>
      <c r="AL13" s="137">
        <v>75.4867889064125</v>
      </c>
      <c r="AM13" s="138">
        <v>28.081512469557879</v>
      </c>
      <c r="AN13" s="139">
        <v>44.366906155284333</v>
      </c>
    </row>
    <row r="14" spans="1:40" x14ac:dyDescent="0.25">
      <c r="A14" s="144" t="s">
        <v>75</v>
      </c>
      <c r="B14" s="144">
        <v>109.01309275271484</v>
      </c>
      <c r="C14" s="144">
        <v>31.982849913823213</v>
      </c>
      <c r="D14" s="144" t="s">
        <v>68</v>
      </c>
      <c r="E14" s="144">
        <v>357.45486313337216</v>
      </c>
      <c r="F14" s="144">
        <v>44.736635151440375</v>
      </c>
      <c r="G14" s="146" t="s">
        <v>75</v>
      </c>
      <c r="H14" s="137">
        <v>109.01309275271484</v>
      </c>
      <c r="I14" s="138">
        <v>31.982849913823213</v>
      </c>
      <c r="J14" s="139">
        <v>45.783134219472423</v>
      </c>
      <c r="K14" s="144" t="s">
        <v>75</v>
      </c>
      <c r="L14" s="144">
        <v>109.01309275271484</v>
      </c>
      <c r="M14" s="144">
        <v>31.982849913823213</v>
      </c>
      <c r="N14" s="144" t="s">
        <v>76</v>
      </c>
      <c r="O14" s="144">
        <v>13.182567719439019</v>
      </c>
      <c r="P14" s="144">
        <v>41.267459844164037</v>
      </c>
      <c r="Q14" s="146" t="s">
        <v>75</v>
      </c>
      <c r="R14" s="137">
        <v>109.01309275271484</v>
      </c>
      <c r="S14" s="138">
        <v>31.982849913823213</v>
      </c>
      <c r="T14" s="139">
        <v>42.702361530873361</v>
      </c>
      <c r="U14" s="144" t="s">
        <v>63</v>
      </c>
      <c r="V14" s="144">
        <v>158.91826997347314</v>
      </c>
      <c r="W14" s="144">
        <v>28.889976514752497</v>
      </c>
      <c r="X14" s="144" t="s">
        <v>76</v>
      </c>
      <c r="Y14" s="144">
        <v>13.182567719439019</v>
      </c>
      <c r="Z14" s="144">
        <v>41.267459844164037</v>
      </c>
      <c r="AA14" s="146" t="s">
        <v>63</v>
      </c>
      <c r="AB14" s="137">
        <v>158.91826997347314</v>
      </c>
      <c r="AC14" s="138">
        <v>28.889976514752497</v>
      </c>
      <c r="AD14" s="139">
        <v>57.101185204434678</v>
      </c>
      <c r="AE14" s="144" t="s">
        <v>63</v>
      </c>
      <c r="AF14" s="144">
        <v>158.91826997347314</v>
      </c>
      <c r="AG14" s="144">
        <v>28.889976514752497</v>
      </c>
      <c r="AH14" s="144" t="s">
        <v>57</v>
      </c>
      <c r="AI14" s="144">
        <v>92.255436220636625</v>
      </c>
      <c r="AJ14" s="144">
        <v>43.23230128949875</v>
      </c>
      <c r="AK14" s="146" t="s">
        <v>63</v>
      </c>
      <c r="AL14" s="137">
        <v>158.91826997347314</v>
      </c>
      <c r="AM14" s="138">
        <v>28.889976514752497</v>
      </c>
      <c r="AN14" s="139">
        <v>58.591060230724146</v>
      </c>
    </row>
    <row r="15" spans="1:40" x14ac:dyDescent="0.25">
      <c r="A15" s="144" t="s">
        <v>76</v>
      </c>
      <c r="B15" s="144">
        <v>13.182567719439019</v>
      </c>
      <c r="C15" s="144">
        <v>31.985499270627326</v>
      </c>
      <c r="D15" s="144" t="s">
        <v>79</v>
      </c>
      <c r="E15" s="144">
        <v>94.234282592006622</v>
      </c>
      <c r="F15" s="144">
        <v>45.604169540939985</v>
      </c>
      <c r="G15" s="146" t="s">
        <v>76</v>
      </c>
      <c r="H15" s="137">
        <v>13.182567719439019</v>
      </c>
      <c r="I15" s="138">
        <v>31.985499270627326</v>
      </c>
      <c r="J15" s="139">
        <v>38.304700058750655</v>
      </c>
      <c r="K15" s="144" t="s">
        <v>76</v>
      </c>
      <c r="L15" s="144">
        <v>13.182567719439019</v>
      </c>
      <c r="M15" s="144">
        <v>31.985499270627326</v>
      </c>
      <c r="N15" s="144" t="s">
        <v>75</v>
      </c>
      <c r="O15" s="144">
        <v>109.01309275271484</v>
      </c>
      <c r="P15" s="144">
        <v>42.702361530873361</v>
      </c>
      <c r="Q15" s="146" t="s">
        <v>76</v>
      </c>
      <c r="R15" s="137">
        <v>13.182567719439019</v>
      </c>
      <c r="S15" s="138">
        <v>31.985499270627326</v>
      </c>
      <c r="T15" s="139">
        <v>41.267459844164037</v>
      </c>
      <c r="U15" s="144" t="s">
        <v>75</v>
      </c>
      <c r="V15" s="144">
        <v>109.01309275271484</v>
      </c>
      <c r="W15" s="144">
        <v>29.039289688595964</v>
      </c>
      <c r="X15" s="144" t="s">
        <v>75</v>
      </c>
      <c r="Y15" s="144">
        <v>109.01309275271484</v>
      </c>
      <c r="Z15" s="144">
        <v>42.702361530873361</v>
      </c>
      <c r="AA15" s="146" t="s">
        <v>75</v>
      </c>
      <c r="AB15" s="137">
        <v>109.01309275271484</v>
      </c>
      <c r="AC15" s="138">
        <v>29.039289688595964</v>
      </c>
      <c r="AD15" s="139">
        <v>42.702361530873361</v>
      </c>
      <c r="AE15" s="144" t="s">
        <v>75</v>
      </c>
      <c r="AF15" s="144">
        <v>109.01309275271484</v>
      </c>
      <c r="AG15" s="144">
        <v>29.039289688595964</v>
      </c>
      <c r="AH15" s="144" t="s">
        <v>68</v>
      </c>
      <c r="AI15" s="144">
        <v>357.45486313337216</v>
      </c>
      <c r="AJ15" s="144">
        <v>44.29167185268971</v>
      </c>
      <c r="AK15" s="146" t="s">
        <v>75</v>
      </c>
      <c r="AL15" s="137">
        <v>109.01309275271484</v>
      </c>
      <c r="AM15" s="138">
        <v>29.039289688595964</v>
      </c>
      <c r="AN15" s="139">
        <v>44.311286524026428</v>
      </c>
    </row>
    <row r="16" spans="1:40" x14ac:dyDescent="0.25">
      <c r="A16" s="144" t="s">
        <v>77</v>
      </c>
      <c r="B16" s="144">
        <v>75.4867889064125</v>
      </c>
      <c r="C16" s="144">
        <v>34.189962457309868</v>
      </c>
      <c r="D16" s="144" t="s">
        <v>75</v>
      </c>
      <c r="E16" s="144">
        <v>109.01309275271484</v>
      </c>
      <c r="F16" s="144">
        <v>45.783134219472423</v>
      </c>
      <c r="G16" s="146" t="s">
        <v>77</v>
      </c>
      <c r="H16" s="137">
        <v>75.4867889064125</v>
      </c>
      <c r="I16" s="138">
        <v>34.189962457309868</v>
      </c>
      <c r="J16" s="139">
        <v>48.750601340205911</v>
      </c>
      <c r="K16" s="144" t="s">
        <v>77</v>
      </c>
      <c r="L16" s="144">
        <v>75.4867889064125</v>
      </c>
      <c r="M16" s="144">
        <v>34.189962457309868</v>
      </c>
      <c r="N16" s="144" t="s">
        <v>71</v>
      </c>
      <c r="O16" s="144">
        <v>59.97365989925494</v>
      </c>
      <c r="P16" s="144">
        <v>44.939761899920526</v>
      </c>
      <c r="Q16" s="146" t="s">
        <v>77</v>
      </c>
      <c r="R16" s="137">
        <v>75.4867889064125</v>
      </c>
      <c r="S16" s="138">
        <v>34.189962457309868</v>
      </c>
      <c r="T16" s="139">
        <v>33.41765196015983</v>
      </c>
      <c r="U16" s="144" t="s">
        <v>67</v>
      </c>
      <c r="V16" s="144">
        <v>101.50560235661756</v>
      </c>
      <c r="W16" s="144">
        <v>31.765479210312563</v>
      </c>
      <c r="X16" s="144" t="s">
        <v>71</v>
      </c>
      <c r="Y16" s="144">
        <v>59.97365989925494</v>
      </c>
      <c r="Z16" s="144">
        <v>44.939761899920526</v>
      </c>
      <c r="AA16" s="146" t="s">
        <v>67</v>
      </c>
      <c r="AB16" s="137">
        <v>101.50560235661756</v>
      </c>
      <c r="AC16" s="138">
        <v>31.765479210312563</v>
      </c>
      <c r="AD16" s="139">
        <v>28.123822050363785</v>
      </c>
      <c r="AE16" s="144" t="s">
        <v>67</v>
      </c>
      <c r="AF16" s="144">
        <v>101.50560235661756</v>
      </c>
      <c r="AG16" s="144">
        <v>31.765479210312563</v>
      </c>
      <c r="AH16" s="144" t="s">
        <v>75</v>
      </c>
      <c r="AI16" s="144">
        <v>109.01309275271484</v>
      </c>
      <c r="AJ16" s="144">
        <v>44.311286524026428</v>
      </c>
      <c r="AK16" s="146" t="s">
        <v>67</v>
      </c>
      <c r="AL16" s="137">
        <v>101.50560235661756</v>
      </c>
      <c r="AM16" s="138">
        <v>31.765479210312563</v>
      </c>
      <c r="AN16" s="139">
        <v>33.743989741048466</v>
      </c>
    </row>
    <row r="17" spans="1:40" x14ac:dyDescent="0.25">
      <c r="A17" s="144" t="s">
        <v>79</v>
      </c>
      <c r="B17" s="144">
        <v>94.234282592006622</v>
      </c>
      <c r="C17" s="144">
        <v>36.026342818999169</v>
      </c>
      <c r="D17" s="144" t="s">
        <v>71</v>
      </c>
      <c r="E17" s="144">
        <v>59.97365989925494</v>
      </c>
      <c r="F17" s="144">
        <v>47.341677548874713</v>
      </c>
      <c r="G17" s="146" t="s">
        <v>79</v>
      </c>
      <c r="H17" s="137">
        <v>94.234282592006622</v>
      </c>
      <c r="I17" s="138">
        <v>36.026342818999169</v>
      </c>
      <c r="J17" s="139">
        <v>45.604169540939985</v>
      </c>
      <c r="K17" s="144" t="s">
        <v>79</v>
      </c>
      <c r="L17" s="144">
        <v>94.234282592006622</v>
      </c>
      <c r="M17" s="144">
        <v>36.026342818999169</v>
      </c>
      <c r="N17" s="144" t="s">
        <v>57</v>
      </c>
      <c r="O17" s="144">
        <v>92.255436220636625</v>
      </c>
      <c r="P17" s="144">
        <v>45.495644428586886</v>
      </c>
      <c r="Q17" s="146" t="s">
        <v>79</v>
      </c>
      <c r="R17" s="137">
        <v>94.234282592006622</v>
      </c>
      <c r="S17" s="138">
        <v>36.026342818999169</v>
      </c>
      <c r="T17" s="139">
        <v>36.991182209661545</v>
      </c>
      <c r="U17" s="144" t="s">
        <v>66</v>
      </c>
      <c r="V17" s="144">
        <v>80.861343707957317</v>
      </c>
      <c r="W17" s="144">
        <v>34.43184947588697</v>
      </c>
      <c r="X17" s="144" t="s">
        <v>57</v>
      </c>
      <c r="Y17" s="144">
        <v>92.255436220636625</v>
      </c>
      <c r="Z17" s="144">
        <v>45.495644428586886</v>
      </c>
      <c r="AA17" s="146" t="s">
        <v>66</v>
      </c>
      <c r="AB17" s="137">
        <v>80.861343707957317</v>
      </c>
      <c r="AC17" s="138">
        <v>34.43184947588697</v>
      </c>
      <c r="AD17" s="139">
        <v>48.463711208202817</v>
      </c>
      <c r="AE17" s="144" t="s">
        <v>66</v>
      </c>
      <c r="AF17" s="144">
        <v>80.861343707957317</v>
      </c>
      <c r="AG17" s="144">
        <v>34.43184947588697</v>
      </c>
      <c r="AH17" s="144" t="s">
        <v>77</v>
      </c>
      <c r="AI17" s="144">
        <v>75.4867889064125</v>
      </c>
      <c r="AJ17" s="144">
        <v>44.366906155284333</v>
      </c>
      <c r="AK17" s="146" t="s">
        <v>64</v>
      </c>
      <c r="AL17" s="137">
        <v>358.81422113562593</v>
      </c>
      <c r="AM17" s="138">
        <v>42.910092429667571</v>
      </c>
      <c r="AN17" s="139">
        <v>19.743287195028163</v>
      </c>
    </row>
    <row r="18" spans="1:40" x14ac:dyDescent="0.25">
      <c r="A18" s="144" t="s">
        <v>65</v>
      </c>
      <c r="B18" s="144">
        <v>57.291403378967317</v>
      </c>
      <c r="C18" s="144">
        <v>39.687562307851735</v>
      </c>
      <c r="D18" s="144" t="s">
        <v>59</v>
      </c>
      <c r="E18" s="144">
        <v>112.06602026518708</v>
      </c>
      <c r="F18" s="144">
        <v>48.281284287045843</v>
      </c>
      <c r="G18" s="148" t="s">
        <v>65</v>
      </c>
      <c r="H18" s="137">
        <v>57.291403378967317</v>
      </c>
      <c r="I18" s="138">
        <v>39.687562307851735</v>
      </c>
      <c r="J18" s="147">
        <v>72.403756309053193</v>
      </c>
      <c r="K18" s="144" t="s">
        <v>65</v>
      </c>
      <c r="L18" s="144">
        <v>57.291403378967317</v>
      </c>
      <c r="M18" s="144">
        <v>39.687562307851735</v>
      </c>
      <c r="N18" s="144" t="s">
        <v>68</v>
      </c>
      <c r="O18" s="144">
        <v>357.45486313337216</v>
      </c>
      <c r="P18" s="144">
        <v>45.976682531706658</v>
      </c>
      <c r="Q18" s="146" t="s">
        <v>61</v>
      </c>
      <c r="R18" s="137">
        <v>94.719790963219936</v>
      </c>
      <c r="S18" s="138">
        <v>40.270775932950322</v>
      </c>
      <c r="T18" s="139">
        <v>31.796137254691502</v>
      </c>
      <c r="U18" s="144" t="s">
        <v>72</v>
      </c>
      <c r="V18" s="144">
        <v>110.80232603285897</v>
      </c>
      <c r="W18" s="144">
        <v>42.219096778484186</v>
      </c>
      <c r="X18" s="144" t="s">
        <v>68</v>
      </c>
      <c r="Y18" s="144">
        <v>357.45486313337216</v>
      </c>
      <c r="Z18" s="144">
        <v>45.976682531706658</v>
      </c>
      <c r="AA18" s="146" t="s">
        <v>64</v>
      </c>
      <c r="AB18" s="137">
        <v>358.81422113562593</v>
      </c>
      <c r="AC18" s="138">
        <v>42.910092429667571</v>
      </c>
      <c r="AD18" s="139">
        <v>13.940305536962704</v>
      </c>
      <c r="AE18" s="144" t="s">
        <v>72</v>
      </c>
      <c r="AF18" s="144">
        <v>110.80232603285897</v>
      </c>
      <c r="AG18" s="144">
        <v>42.219096778484186</v>
      </c>
      <c r="AH18" s="144" t="s">
        <v>71</v>
      </c>
      <c r="AI18" s="144">
        <v>59.97365989925494</v>
      </c>
      <c r="AJ18" s="144">
        <v>46.058866760350625</v>
      </c>
      <c r="AK18" s="148" t="s">
        <v>72</v>
      </c>
      <c r="AL18" s="137">
        <v>110.80232603285897</v>
      </c>
      <c r="AM18" s="138">
        <v>42.219096778484186</v>
      </c>
      <c r="AN18" s="147">
        <v>65.461321128086681</v>
      </c>
    </row>
    <row r="19" spans="1:40" x14ac:dyDescent="0.25">
      <c r="A19" s="144" t="s">
        <v>61</v>
      </c>
      <c r="B19" s="144">
        <v>94.719790963219936</v>
      </c>
      <c r="C19" s="144">
        <v>40.270775932950322</v>
      </c>
      <c r="D19" s="144" t="s">
        <v>77</v>
      </c>
      <c r="E19" s="144">
        <v>75.4867889064125</v>
      </c>
      <c r="F19" s="144">
        <v>48.750601340205911</v>
      </c>
      <c r="G19" s="148" t="s">
        <v>66</v>
      </c>
      <c r="H19" s="137">
        <v>80.861343707957317</v>
      </c>
      <c r="I19" s="138">
        <v>30.727707203055456</v>
      </c>
      <c r="J19" s="147">
        <v>72.653298040538232</v>
      </c>
      <c r="K19" s="144" t="s">
        <v>61</v>
      </c>
      <c r="L19" s="144">
        <v>94.719790963219936</v>
      </c>
      <c r="M19" s="144">
        <v>40.270775932950322</v>
      </c>
      <c r="N19" s="144" t="s">
        <v>66</v>
      </c>
      <c r="O19" s="144">
        <v>80.861343707957317</v>
      </c>
      <c r="P19" s="144">
        <v>48.463711208202817</v>
      </c>
      <c r="Q19" s="148" t="s">
        <v>65</v>
      </c>
      <c r="R19" s="137">
        <v>57.291403378967317</v>
      </c>
      <c r="S19" s="138">
        <v>39.687562307851735</v>
      </c>
      <c r="T19" s="147">
        <v>71.278551030508439</v>
      </c>
      <c r="U19" s="144" t="s">
        <v>64</v>
      </c>
      <c r="V19" s="144">
        <v>358.81422113562593</v>
      </c>
      <c r="W19" s="144">
        <v>42.910092429667571</v>
      </c>
      <c r="X19" s="144" t="s">
        <v>66</v>
      </c>
      <c r="Y19" s="144">
        <v>80.861343707957317</v>
      </c>
      <c r="Z19" s="144">
        <v>48.463711208202817</v>
      </c>
      <c r="AA19" s="148" t="s">
        <v>72</v>
      </c>
      <c r="AB19" s="137">
        <v>110.80232603285897</v>
      </c>
      <c r="AC19" s="138">
        <v>42.219096778484186</v>
      </c>
      <c r="AD19" s="147">
        <v>65.788054904439235</v>
      </c>
      <c r="AE19" s="144" t="s">
        <v>64</v>
      </c>
      <c r="AF19" s="144">
        <v>358.81422113562593</v>
      </c>
      <c r="AG19" s="144">
        <v>42.910092429667571</v>
      </c>
      <c r="AH19" s="144" t="s">
        <v>59</v>
      </c>
      <c r="AI19" s="144">
        <v>112.06602026518708</v>
      </c>
      <c r="AJ19" s="144">
        <v>47.672456313627038</v>
      </c>
      <c r="AK19" s="148" t="s">
        <v>66</v>
      </c>
      <c r="AL19" s="137">
        <v>80.861343707957317</v>
      </c>
      <c r="AM19" s="138">
        <v>34.43184947588697</v>
      </c>
      <c r="AN19" s="147">
        <v>66.543290613945302</v>
      </c>
    </row>
    <row r="20" spans="1:40" x14ac:dyDescent="0.25">
      <c r="A20" s="144" t="s">
        <v>64</v>
      </c>
      <c r="B20" s="144">
        <v>358.81422113562593</v>
      </c>
      <c r="C20" s="144">
        <v>40.642035587311589</v>
      </c>
      <c r="D20" s="144" t="s">
        <v>63</v>
      </c>
      <c r="E20" s="144">
        <v>158.91826997347314</v>
      </c>
      <c r="F20" s="144">
        <v>59.70091589343405</v>
      </c>
      <c r="G20" s="148" t="s">
        <v>62</v>
      </c>
      <c r="H20" s="137">
        <v>44.85863586555007</v>
      </c>
      <c r="I20" s="138">
        <v>14.456308071837285</v>
      </c>
      <c r="J20" s="147">
        <v>100</v>
      </c>
      <c r="K20" s="144" t="s">
        <v>64</v>
      </c>
      <c r="L20" s="144">
        <v>358.81422113562593</v>
      </c>
      <c r="M20" s="144">
        <v>40.642035587311589</v>
      </c>
      <c r="N20" s="144" t="s">
        <v>59</v>
      </c>
      <c r="O20" s="144">
        <v>112.06602026518708</v>
      </c>
      <c r="P20" s="144">
        <v>48.607829898787074</v>
      </c>
      <c r="Q20" s="148" t="s">
        <v>62</v>
      </c>
      <c r="R20" s="137">
        <v>44.85863586555007</v>
      </c>
      <c r="S20" s="138">
        <v>14.456308071837285</v>
      </c>
      <c r="T20" s="147">
        <v>99.07054315764087</v>
      </c>
      <c r="U20" s="144" t="s">
        <v>65</v>
      </c>
      <c r="V20" s="144">
        <v>57.291403378967317</v>
      </c>
      <c r="W20" s="144">
        <v>44.836729717263808</v>
      </c>
      <c r="X20" s="144" t="s">
        <v>59</v>
      </c>
      <c r="Y20" s="144">
        <v>112.06602026518708</v>
      </c>
      <c r="Z20" s="144">
        <v>48.607829898787074</v>
      </c>
      <c r="AA20" s="148" t="s">
        <v>65</v>
      </c>
      <c r="AB20" s="137">
        <v>57.291403378967317</v>
      </c>
      <c r="AC20" s="138">
        <v>44.836729717263808</v>
      </c>
      <c r="AD20" s="147">
        <v>71.278551030508439</v>
      </c>
      <c r="AE20" s="144" t="s">
        <v>65</v>
      </c>
      <c r="AF20" s="144">
        <v>57.291403378967317</v>
      </c>
      <c r="AG20" s="144">
        <v>44.836729717263808</v>
      </c>
      <c r="AH20" s="144" t="s">
        <v>63</v>
      </c>
      <c r="AI20" s="144">
        <v>158.91826997347314</v>
      </c>
      <c r="AJ20" s="144">
        <v>58.591060230724146</v>
      </c>
      <c r="AK20" s="148" t="s">
        <v>65</v>
      </c>
      <c r="AL20" s="137">
        <v>57.291403378967317</v>
      </c>
      <c r="AM20" s="138">
        <v>44.836729717263808</v>
      </c>
      <c r="AN20" s="147">
        <v>71.869398053552274</v>
      </c>
    </row>
    <row r="21" spans="1:40" x14ac:dyDescent="0.25">
      <c r="A21" s="144" t="s">
        <v>72</v>
      </c>
      <c r="B21" s="144">
        <v>110.80232603285897</v>
      </c>
      <c r="C21" s="144">
        <v>45.138662726693354</v>
      </c>
      <c r="D21" s="144" t="s">
        <v>78</v>
      </c>
      <c r="E21" s="144">
        <v>40.093755528038209</v>
      </c>
      <c r="F21" s="144">
        <v>62.513819812972713</v>
      </c>
      <c r="G21" s="148" t="s">
        <v>72</v>
      </c>
      <c r="H21" s="137">
        <v>110.80232603285897</v>
      </c>
      <c r="I21" s="138">
        <v>45.138662726693354</v>
      </c>
      <c r="J21" s="147">
        <v>65.855281784266921</v>
      </c>
      <c r="K21" s="144" t="s">
        <v>72</v>
      </c>
      <c r="L21" s="144">
        <v>110.80232603285897</v>
      </c>
      <c r="M21" s="144">
        <v>45.138662726693354</v>
      </c>
      <c r="N21" s="144" t="s">
        <v>73</v>
      </c>
      <c r="O21" s="144">
        <v>97.801123064581716</v>
      </c>
      <c r="P21" s="144">
        <v>48.962226758267633</v>
      </c>
      <c r="Q21" s="148" t="s">
        <v>72</v>
      </c>
      <c r="R21" s="137">
        <v>110.80232603285897</v>
      </c>
      <c r="S21" s="138">
        <v>45.138662726693354</v>
      </c>
      <c r="T21" s="147">
        <v>65.788054904439235</v>
      </c>
      <c r="U21" s="144" t="s">
        <v>61</v>
      </c>
      <c r="V21" s="144">
        <v>94.719790963219936</v>
      </c>
      <c r="W21" s="144">
        <v>45.322977951759128</v>
      </c>
      <c r="X21" s="144" t="s">
        <v>73</v>
      </c>
      <c r="Y21" s="144">
        <v>97.801123064581716</v>
      </c>
      <c r="Z21" s="144">
        <v>48.962226758267633</v>
      </c>
      <c r="AA21" s="148" t="s">
        <v>62</v>
      </c>
      <c r="AB21" s="137">
        <v>44.85863586555007</v>
      </c>
      <c r="AC21" s="138">
        <v>15.929025651749518</v>
      </c>
      <c r="AD21" s="147">
        <v>99.07054315764087</v>
      </c>
      <c r="AE21" s="144" t="s">
        <v>61</v>
      </c>
      <c r="AF21" s="144">
        <v>94.719790963219936</v>
      </c>
      <c r="AG21" s="144">
        <v>45.322977951759128</v>
      </c>
      <c r="AH21" s="144" t="s">
        <v>73</v>
      </c>
      <c r="AI21" s="144">
        <v>97.801123064581716</v>
      </c>
      <c r="AJ21" s="144">
        <v>60.070894539962438</v>
      </c>
      <c r="AK21" s="148" t="s">
        <v>62</v>
      </c>
      <c r="AL21" s="137">
        <v>44.85863586555007</v>
      </c>
      <c r="AM21" s="138">
        <v>15.929025651749518</v>
      </c>
      <c r="AN21" s="147">
        <v>100</v>
      </c>
    </row>
    <row r="22" spans="1:40" x14ac:dyDescent="0.25">
      <c r="A22" s="144" t="s">
        <v>68</v>
      </c>
      <c r="B22" s="144">
        <v>357.45486313337216</v>
      </c>
      <c r="C22" s="144">
        <v>50.007480250680558</v>
      </c>
      <c r="D22" s="144" t="s">
        <v>74</v>
      </c>
      <c r="E22" s="144">
        <v>134.10032848477772</v>
      </c>
      <c r="F22" s="144">
        <v>62.849274437047889</v>
      </c>
      <c r="G22" s="148" t="s">
        <v>60</v>
      </c>
      <c r="H22" s="137">
        <v>63.529505721437147</v>
      </c>
      <c r="I22" s="138">
        <v>0.74471647616712822</v>
      </c>
      <c r="J22" s="147">
        <v>66.542453095214825</v>
      </c>
      <c r="K22" s="144" t="s">
        <v>68</v>
      </c>
      <c r="L22" s="144">
        <v>357.45486313337216</v>
      </c>
      <c r="M22" s="144">
        <v>50.007480250680558</v>
      </c>
      <c r="N22" s="144" t="s">
        <v>63</v>
      </c>
      <c r="O22" s="144">
        <v>158.91826997347314</v>
      </c>
      <c r="P22" s="144">
        <v>57.101185204434678</v>
      </c>
      <c r="Q22" s="148" t="s">
        <v>60</v>
      </c>
      <c r="R22" s="137">
        <v>63.529505721437147</v>
      </c>
      <c r="S22" s="138">
        <v>0.74471647616712822</v>
      </c>
      <c r="T22" s="147">
        <v>67.599848275038639</v>
      </c>
      <c r="U22" s="144" t="s">
        <v>68</v>
      </c>
      <c r="V22" s="144">
        <v>357.45486313337216</v>
      </c>
      <c r="W22" s="144">
        <v>50.593170142007516</v>
      </c>
      <c r="X22" s="144" t="s">
        <v>63</v>
      </c>
      <c r="Y22" s="144">
        <v>158.91826997347314</v>
      </c>
      <c r="Z22" s="144">
        <v>57.101185204434678</v>
      </c>
      <c r="AA22" s="148" t="s">
        <v>60</v>
      </c>
      <c r="AB22" s="137">
        <v>63.529505721437147</v>
      </c>
      <c r="AC22" s="138">
        <v>1.5318348204426835</v>
      </c>
      <c r="AD22" s="147">
        <v>67.599848275038639</v>
      </c>
      <c r="AE22" s="144" t="s">
        <v>68</v>
      </c>
      <c r="AF22" s="144">
        <v>357.45486313337216</v>
      </c>
      <c r="AG22" s="144">
        <v>50.593170142007516</v>
      </c>
      <c r="AH22" s="144" t="s">
        <v>78</v>
      </c>
      <c r="AI22" s="144">
        <v>40.093755528038209</v>
      </c>
      <c r="AJ22" s="144">
        <v>61.58565791159932</v>
      </c>
      <c r="AK22" s="148" t="s">
        <v>60</v>
      </c>
      <c r="AL22" s="137">
        <v>63.529505721437147</v>
      </c>
      <c r="AM22" s="138">
        <v>1.5318348204426835</v>
      </c>
      <c r="AN22" s="147">
        <v>66.432703241170671</v>
      </c>
    </row>
    <row r="23" spans="1:40" x14ac:dyDescent="0.25">
      <c r="A23" s="145" t="s">
        <v>74</v>
      </c>
      <c r="B23" s="145">
        <v>134.10032848477772</v>
      </c>
      <c r="C23" s="145">
        <v>54.323693927348906</v>
      </c>
      <c r="D23" s="144" t="s">
        <v>73</v>
      </c>
      <c r="E23" s="144">
        <v>97.801123064581716</v>
      </c>
      <c r="F23" s="144">
        <v>64.150533796115624</v>
      </c>
      <c r="G23" s="148" t="s">
        <v>74</v>
      </c>
      <c r="H23" s="137">
        <v>134.10032848477772</v>
      </c>
      <c r="I23" s="149">
        <v>54.323693927348906</v>
      </c>
      <c r="J23" s="139">
        <v>62.849274437047889</v>
      </c>
      <c r="K23" s="145" t="s">
        <v>74</v>
      </c>
      <c r="L23" s="145">
        <v>134.10032848477772</v>
      </c>
      <c r="M23" s="145">
        <v>54.323693927348906</v>
      </c>
      <c r="N23" s="144" t="s">
        <v>78</v>
      </c>
      <c r="O23" s="144">
        <v>40.093755528038209</v>
      </c>
      <c r="P23" s="144">
        <v>60.482281203734665</v>
      </c>
      <c r="Q23" s="148" t="s">
        <v>74</v>
      </c>
      <c r="R23" s="137">
        <v>134.10032848477772</v>
      </c>
      <c r="S23" s="149">
        <v>54.323693927348906</v>
      </c>
      <c r="T23" s="139">
        <v>60.839694492606277</v>
      </c>
      <c r="U23" s="145" t="s">
        <v>74</v>
      </c>
      <c r="V23" s="145">
        <v>134.10032848477772</v>
      </c>
      <c r="W23" s="145">
        <v>54.045121412693518</v>
      </c>
      <c r="X23" s="144" t="s">
        <v>78</v>
      </c>
      <c r="Y23" s="144">
        <v>40.093755528038209</v>
      </c>
      <c r="Z23" s="144">
        <v>60.482281203734665</v>
      </c>
      <c r="AA23" s="148" t="s">
        <v>74</v>
      </c>
      <c r="AB23" s="137">
        <v>134.10032848477772</v>
      </c>
      <c r="AC23" s="149">
        <v>54.045121412693518</v>
      </c>
      <c r="AD23" s="139">
        <v>60.839694492606277</v>
      </c>
      <c r="AE23" s="145" t="s">
        <v>74</v>
      </c>
      <c r="AF23" s="145">
        <v>134.10032848477772</v>
      </c>
      <c r="AG23" s="145">
        <v>54.045121412693518</v>
      </c>
      <c r="AH23" s="144" t="s">
        <v>74</v>
      </c>
      <c r="AI23" s="144">
        <v>134.10032848477772</v>
      </c>
      <c r="AJ23" s="144">
        <v>61.93505063056751</v>
      </c>
      <c r="AK23" s="148" t="s">
        <v>74</v>
      </c>
      <c r="AL23" s="137">
        <v>134.10032848477772</v>
      </c>
      <c r="AM23" s="149">
        <v>54.045121412693518</v>
      </c>
      <c r="AN23" s="139">
        <v>61.93505063056751</v>
      </c>
    </row>
    <row r="24" spans="1:40" x14ac:dyDescent="0.25">
      <c r="A24" s="145" t="s">
        <v>70</v>
      </c>
      <c r="B24" s="145">
        <v>91.141772084442891</v>
      </c>
      <c r="C24" s="145">
        <v>58.623232210413178</v>
      </c>
      <c r="D24" s="145" t="s">
        <v>72</v>
      </c>
      <c r="E24" s="145">
        <v>110.80232603285897</v>
      </c>
      <c r="F24" s="145">
        <v>65.855281784266921</v>
      </c>
      <c r="G24" s="148" t="s">
        <v>84</v>
      </c>
      <c r="H24" s="137">
        <v>101.91738416424882</v>
      </c>
      <c r="I24" s="149">
        <v>100</v>
      </c>
      <c r="J24" s="139">
        <v>42.4872739270916</v>
      </c>
      <c r="K24" s="145" t="s">
        <v>70</v>
      </c>
      <c r="L24" s="145">
        <v>91.141772084442891</v>
      </c>
      <c r="M24" s="145">
        <v>58.623232210413178</v>
      </c>
      <c r="N24" s="144" t="s">
        <v>74</v>
      </c>
      <c r="O24" s="144">
        <v>134.10032848477772</v>
      </c>
      <c r="P24" s="144">
        <v>60.839694492606277</v>
      </c>
      <c r="Q24" s="148" t="s">
        <v>84</v>
      </c>
      <c r="R24" s="137">
        <v>101.91738416424882</v>
      </c>
      <c r="S24" s="149">
        <v>100</v>
      </c>
      <c r="T24" s="139">
        <v>41.104274613459076</v>
      </c>
      <c r="U24" s="145" t="s">
        <v>70</v>
      </c>
      <c r="V24" s="145">
        <v>91.141772084442891</v>
      </c>
      <c r="W24" s="145">
        <v>59.799003851571676</v>
      </c>
      <c r="X24" s="144" t="s">
        <v>74</v>
      </c>
      <c r="Y24" s="144">
        <v>134.10032848477772</v>
      </c>
      <c r="Z24" s="144">
        <v>60.839694492606277</v>
      </c>
      <c r="AA24" s="148" t="s">
        <v>82</v>
      </c>
      <c r="AB24" s="137">
        <v>19.785132701190538</v>
      </c>
      <c r="AC24" s="149">
        <v>100</v>
      </c>
      <c r="AD24" s="139">
        <v>27.456831761622819</v>
      </c>
      <c r="AE24" s="145" t="s">
        <v>70</v>
      </c>
      <c r="AF24" s="145">
        <v>91.141772084442891</v>
      </c>
      <c r="AG24" s="145">
        <v>59.799003851571676</v>
      </c>
      <c r="AH24" s="145" t="s">
        <v>72</v>
      </c>
      <c r="AI24" s="145">
        <v>110.80232603285897</v>
      </c>
      <c r="AJ24" s="145">
        <v>65.461321128086681</v>
      </c>
      <c r="AK24" s="148" t="s">
        <v>82</v>
      </c>
      <c r="AL24" s="137">
        <v>19.785132701190538</v>
      </c>
      <c r="AM24" s="149">
        <v>100</v>
      </c>
      <c r="AN24" s="139">
        <v>36.193454631633578</v>
      </c>
    </row>
    <row r="25" spans="1:40" x14ac:dyDescent="0.25">
      <c r="A25" s="145" t="s">
        <v>81</v>
      </c>
      <c r="B25" s="145">
        <v>8.5835812635249962</v>
      </c>
      <c r="C25" s="145">
        <v>59.072644235894536</v>
      </c>
      <c r="D25" s="145" t="s">
        <v>60</v>
      </c>
      <c r="E25" s="145">
        <v>63.529505721437147</v>
      </c>
      <c r="F25" s="145">
        <v>66.542453095214825</v>
      </c>
      <c r="G25" s="148" t="s">
        <v>81</v>
      </c>
      <c r="H25" s="137">
        <v>8.5835812635249962</v>
      </c>
      <c r="I25" s="149">
        <v>59.072644235894536</v>
      </c>
      <c r="J25" s="139">
        <v>0</v>
      </c>
      <c r="K25" s="145" t="s">
        <v>81</v>
      </c>
      <c r="L25" s="145">
        <v>8.5835812635249962</v>
      </c>
      <c r="M25" s="145">
        <v>59.072644235894536</v>
      </c>
      <c r="N25" s="145" t="s">
        <v>72</v>
      </c>
      <c r="O25" s="145">
        <v>110.80232603285897</v>
      </c>
      <c r="P25" s="145">
        <v>65.788054904439235</v>
      </c>
      <c r="Q25" s="148" t="s">
        <v>81</v>
      </c>
      <c r="R25" s="137">
        <v>8.5835812635249962</v>
      </c>
      <c r="S25" s="149">
        <v>59.072644235894536</v>
      </c>
      <c r="T25" s="139">
        <v>6.3312749763747043</v>
      </c>
      <c r="U25" s="145" t="s">
        <v>81</v>
      </c>
      <c r="V25" s="145">
        <v>8.5835812635249962</v>
      </c>
      <c r="W25" s="145">
        <v>60.828826952702741</v>
      </c>
      <c r="X25" s="145" t="s">
        <v>72</v>
      </c>
      <c r="Y25" s="145">
        <v>110.80232603285897</v>
      </c>
      <c r="Z25" s="145">
        <v>65.788054904439235</v>
      </c>
      <c r="AA25" s="148" t="s">
        <v>81</v>
      </c>
      <c r="AB25" s="137">
        <v>8.5835812635249962</v>
      </c>
      <c r="AC25" s="149">
        <v>60.828826952702741</v>
      </c>
      <c r="AD25" s="139">
        <v>6.3312749763747043</v>
      </c>
      <c r="AE25" s="145" t="s">
        <v>81</v>
      </c>
      <c r="AF25" s="145">
        <v>8.5835812635249962</v>
      </c>
      <c r="AG25" s="145">
        <v>60.828826952702741</v>
      </c>
      <c r="AH25" s="145" t="s">
        <v>60</v>
      </c>
      <c r="AI25" s="145">
        <v>63.529505721437147</v>
      </c>
      <c r="AJ25" s="145">
        <v>66.432703241170671</v>
      </c>
      <c r="AK25" s="148" t="s">
        <v>81</v>
      </c>
      <c r="AL25" s="137">
        <v>8.5835812635249962</v>
      </c>
      <c r="AM25" s="149">
        <v>60.828826952702741</v>
      </c>
      <c r="AN25" s="139">
        <v>0</v>
      </c>
    </row>
    <row r="26" spans="1:40" x14ac:dyDescent="0.25">
      <c r="A26" s="145" t="s">
        <v>78</v>
      </c>
      <c r="B26" s="145">
        <v>40.093755528038209</v>
      </c>
      <c r="C26" s="145">
        <v>72.361271775596904</v>
      </c>
      <c r="D26" s="145" t="s">
        <v>65</v>
      </c>
      <c r="E26" s="145">
        <v>57.291403378967317</v>
      </c>
      <c r="F26" s="145">
        <v>72.403756309053193</v>
      </c>
      <c r="G26" s="148" t="s">
        <v>78</v>
      </c>
      <c r="H26" s="137">
        <v>40.093755528038209</v>
      </c>
      <c r="I26" s="149">
        <v>72.361271775596904</v>
      </c>
      <c r="J26" s="139">
        <v>62.513819812972713</v>
      </c>
      <c r="K26" s="145" t="s">
        <v>78</v>
      </c>
      <c r="L26" s="145">
        <v>40.093755528038209</v>
      </c>
      <c r="M26" s="145">
        <v>72.361271775596904</v>
      </c>
      <c r="N26" s="145" t="s">
        <v>60</v>
      </c>
      <c r="O26" s="145">
        <v>63.529505721437147</v>
      </c>
      <c r="P26" s="145">
        <v>67.599848275038639</v>
      </c>
      <c r="Q26" s="148" t="s">
        <v>78</v>
      </c>
      <c r="R26" s="137">
        <v>40.093755528038209</v>
      </c>
      <c r="S26" s="149">
        <v>72.361271775596904</v>
      </c>
      <c r="T26" s="139">
        <v>60.482281203734665</v>
      </c>
      <c r="U26" s="145" t="s">
        <v>78</v>
      </c>
      <c r="V26" s="145">
        <v>40.093755528038209</v>
      </c>
      <c r="W26" s="145">
        <v>76.286149240396384</v>
      </c>
      <c r="X26" s="145" t="s">
        <v>60</v>
      </c>
      <c r="Y26" s="145">
        <v>63.529505721437147</v>
      </c>
      <c r="Z26" s="145">
        <v>67.599848275038639</v>
      </c>
      <c r="AA26" s="148" t="s">
        <v>78</v>
      </c>
      <c r="AB26" s="137">
        <v>40.093755528038209</v>
      </c>
      <c r="AC26" s="149">
        <v>76.286149240396384</v>
      </c>
      <c r="AD26" s="139">
        <v>60.482281203734665</v>
      </c>
      <c r="AE26" s="145" t="s">
        <v>78</v>
      </c>
      <c r="AF26" s="145">
        <v>40.093755528038209</v>
      </c>
      <c r="AG26" s="145">
        <v>76.286149240396384</v>
      </c>
      <c r="AH26" s="145" t="s">
        <v>66</v>
      </c>
      <c r="AI26" s="145">
        <v>80.861343707957317</v>
      </c>
      <c r="AJ26" s="145">
        <v>66.543290613945302</v>
      </c>
      <c r="AK26" s="148" t="s">
        <v>78</v>
      </c>
      <c r="AL26" s="137">
        <v>40.093755528038209</v>
      </c>
      <c r="AM26" s="149">
        <v>76.286149240396384</v>
      </c>
      <c r="AN26" s="139">
        <v>61.58565791159932</v>
      </c>
    </row>
    <row r="27" spans="1:40" x14ac:dyDescent="0.25">
      <c r="A27" s="145" t="s">
        <v>71</v>
      </c>
      <c r="B27" s="145">
        <v>59.97365989925494</v>
      </c>
      <c r="C27" s="145">
        <v>72.56976898202592</v>
      </c>
      <c r="D27" s="145" t="s">
        <v>66</v>
      </c>
      <c r="E27" s="145">
        <v>80.861343707957317</v>
      </c>
      <c r="F27" s="145">
        <v>72.653298040538232</v>
      </c>
      <c r="G27" s="148" t="s">
        <v>71</v>
      </c>
      <c r="H27" s="137">
        <v>59.97365989925494</v>
      </c>
      <c r="I27" s="149">
        <v>72.56976898202592</v>
      </c>
      <c r="J27" s="139">
        <v>47.341677548874713</v>
      </c>
      <c r="K27" s="145" t="s">
        <v>71</v>
      </c>
      <c r="L27" s="145">
        <v>59.97365989925494</v>
      </c>
      <c r="M27" s="145">
        <v>72.56976898202592</v>
      </c>
      <c r="N27" s="145" t="s">
        <v>65</v>
      </c>
      <c r="O27" s="145">
        <v>57.291403378967317</v>
      </c>
      <c r="P27" s="145">
        <v>71.278551030508439</v>
      </c>
      <c r="Q27" s="148" t="s">
        <v>71</v>
      </c>
      <c r="R27" s="137">
        <v>59.97365989925494</v>
      </c>
      <c r="S27" s="149">
        <v>72.56976898202592</v>
      </c>
      <c r="T27" s="139">
        <v>44.939761899920526</v>
      </c>
      <c r="U27" s="145" t="s">
        <v>71</v>
      </c>
      <c r="V27" s="145">
        <v>59.97365989925494</v>
      </c>
      <c r="W27" s="145">
        <v>79.123618646127596</v>
      </c>
      <c r="X27" s="145" t="s">
        <v>65</v>
      </c>
      <c r="Y27" s="145">
        <v>57.291403378967317</v>
      </c>
      <c r="Z27" s="145">
        <v>71.278551030508439</v>
      </c>
      <c r="AA27" s="148" t="s">
        <v>71</v>
      </c>
      <c r="AB27" s="137">
        <v>59.97365989925494</v>
      </c>
      <c r="AC27" s="149">
        <v>79.123618646127596</v>
      </c>
      <c r="AD27" s="139">
        <v>44.939761899920526</v>
      </c>
      <c r="AE27" s="145" t="s">
        <v>71</v>
      </c>
      <c r="AF27" s="145">
        <v>59.97365989925494</v>
      </c>
      <c r="AG27" s="145">
        <v>79.123618646127596</v>
      </c>
      <c r="AH27" s="145" t="s">
        <v>65</v>
      </c>
      <c r="AI27" s="145">
        <v>57.291403378967317</v>
      </c>
      <c r="AJ27" s="145">
        <v>71.869398053552274</v>
      </c>
      <c r="AK27" s="148" t="s">
        <v>71</v>
      </c>
      <c r="AL27" s="137">
        <v>59.97365989925494</v>
      </c>
      <c r="AM27" s="149">
        <v>79.123618646127596</v>
      </c>
      <c r="AN27" s="139">
        <v>46.058866760350625</v>
      </c>
    </row>
    <row r="28" spans="1:40" x14ac:dyDescent="0.25">
      <c r="A28" s="145" t="s">
        <v>69</v>
      </c>
      <c r="B28" s="145">
        <v>34.273958837549863</v>
      </c>
      <c r="C28" s="145">
        <v>84.076202764765185</v>
      </c>
      <c r="D28" s="145" t="s">
        <v>70</v>
      </c>
      <c r="E28" s="145">
        <v>91.141772084442891</v>
      </c>
      <c r="F28" s="145">
        <v>81.756079938771137</v>
      </c>
      <c r="G28" s="148" t="s">
        <v>82</v>
      </c>
      <c r="H28" s="137">
        <v>19.785132701190538</v>
      </c>
      <c r="I28" s="149">
        <v>95.103901756386549</v>
      </c>
      <c r="J28" s="139">
        <v>40.073006723844493</v>
      </c>
      <c r="K28" s="145" t="s">
        <v>69</v>
      </c>
      <c r="L28" s="145">
        <v>34.273958837549863</v>
      </c>
      <c r="M28" s="145">
        <v>84.076202764765185</v>
      </c>
      <c r="N28" s="145" t="s">
        <v>70</v>
      </c>
      <c r="O28" s="145">
        <v>91.141772084442891</v>
      </c>
      <c r="P28" s="145">
        <v>76.656325203408542</v>
      </c>
      <c r="Q28" s="148" t="s">
        <v>82</v>
      </c>
      <c r="R28" s="137">
        <v>19.785132701190538</v>
      </c>
      <c r="S28" s="149">
        <v>95.103901756386549</v>
      </c>
      <c r="T28" s="139">
        <v>27.456831761622819</v>
      </c>
      <c r="U28" s="145" t="s">
        <v>84</v>
      </c>
      <c r="V28" s="145">
        <v>101.91738416424882</v>
      </c>
      <c r="W28" s="145">
        <v>90.854653280408797</v>
      </c>
      <c r="X28" s="145" t="s">
        <v>70</v>
      </c>
      <c r="Y28" s="145">
        <v>91.141772084442891</v>
      </c>
      <c r="Z28" s="145">
        <v>76.656325203408542</v>
      </c>
      <c r="AA28" s="148" t="s">
        <v>84</v>
      </c>
      <c r="AB28" s="137">
        <v>101.91738416424882</v>
      </c>
      <c r="AC28" s="149">
        <v>90.854653280408797</v>
      </c>
      <c r="AD28" s="139">
        <v>41.104274613459076</v>
      </c>
      <c r="AE28" s="145" t="s">
        <v>84</v>
      </c>
      <c r="AF28" s="145">
        <v>101.91738416424882</v>
      </c>
      <c r="AG28" s="145">
        <v>90.854653280408797</v>
      </c>
      <c r="AH28" s="145" t="s">
        <v>70</v>
      </c>
      <c r="AI28" s="145">
        <v>91.141772084442891</v>
      </c>
      <c r="AJ28" s="145">
        <v>80.427893166472728</v>
      </c>
      <c r="AK28" s="148" t="s">
        <v>84</v>
      </c>
      <c r="AL28" s="137">
        <v>101.91738416424882</v>
      </c>
      <c r="AM28" s="149">
        <v>90.854653280408797</v>
      </c>
      <c r="AN28" s="139">
        <v>41.365306138457747</v>
      </c>
    </row>
    <row r="29" spans="1:40" x14ac:dyDescent="0.25">
      <c r="A29" s="145" t="s">
        <v>82</v>
      </c>
      <c r="B29" s="145">
        <v>19.785132701190538</v>
      </c>
      <c r="C29" s="145">
        <v>95.103901756386549</v>
      </c>
      <c r="D29" s="145" t="s">
        <v>69</v>
      </c>
      <c r="E29" s="145">
        <v>34.273958837549863</v>
      </c>
      <c r="F29" s="145">
        <v>98.217798759212556</v>
      </c>
      <c r="G29" s="150" t="s">
        <v>69</v>
      </c>
      <c r="H29" s="137">
        <v>34.273958837549863</v>
      </c>
      <c r="I29" s="149">
        <v>84.076202764765185</v>
      </c>
      <c r="J29" s="147">
        <v>98.217798759212556</v>
      </c>
      <c r="K29" s="145" t="s">
        <v>82</v>
      </c>
      <c r="L29" s="145">
        <v>19.785132701190538</v>
      </c>
      <c r="M29" s="145">
        <v>95.103901756386549</v>
      </c>
      <c r="N29" s="145" t="s">
        <v>62</v>
      </c>
      <c r="O29" s="145">
        <v>44.85863586555007</v>
      </c>
      <c r="P29" s="145">
        <v>99.07054315764087</v>
      </c>
      <c r="Q29" s="150" t="s">
        <v>69</v>
      </c>
      <c r="R29" s="137">
        <v>34.273958837549863</v>
      </c>
      <c r="S29" s="149">
        <v>84.076202764765185</v>
      </c>
      <c r="T29" s="147">
        <v>100</v>
      </c>
      <c r="U29" s="145" t="s">
        <v>69</v>
      </c>
      <c r="V29" s="145">
        <v>34.273958837549863</v>
      </c>
      <c r="W29" s="145">
        <v>92.800332708459862</v>
      </c>
      <c r="X29" s="145" t="s">
        <v>62</v>
      </c>
      <c r="Y29" s="145">
        <v>44.85863586555007</v>
      </c>
      <c r="Z29" s="145">
        <v>99.07054315764087</v>
      </c>
      <c r="AA29" s="150" t="s">
        <v>69</v>
      </c>
      <c r="AB29" s="137">
        <v>34.273958837549863</v>
      </c>
      <c r="AC29" s="149">
        <v>92.800332708459862</v>
      </c>
      <c r="AD29" s="147">
        <v>100</v>
      </c>
      <c r="AE29" s="145" t="s">
        <v>69</v>
      </c>
      <c r="AF29" s="145">
        <v>34.273958837549863</v>
      </c>
      <c r="AG29" s="145">
        <v>92.800332708459862</v>
      </c>
      <c r="AH29" s="145" t="s">
        <v>69</v>
      </c>
      <c r="AI29" s="145">
        <v>34.273958837549863</v>
      </c>
      <c r="AJ29" s="145">
        <v>98.842389339634806</v>
      </c>
      <c r="AK29" s="150" t="s">
        <v>69</v>
      </c>
      <c r="AL29" s="137">
        <v>34.273958837549863</v>
      </c>
      <c r="AM29" s="149">
        <v>92.800332708459862</v>
      </c>
      <c r="AN29" s="147">
        <v>98.842389339634806</v>
      </c>
    </row>
    <row r="30" spans="1:40" x14ac:dyDescent="0.25">
      <c r="A30" s="145" t="s">
        <v>84</v>
      </c>
      <c r="B30" s="145">
        <v>101.91738416424882</v>
      </c>
      <c r="C30" s="145">
        <v>100</v>
      </c>
      <c r="D30" s="145" t="s">
        <v>62</v>
      </c>
      <c r="E30" s="145">
        <v>44.85863586555007</v>
      </c>
      <c r="F30" s="145">
        <v>100</v>
      </c>
      <c r="G30" s="150" t="s">
        <v>70</v>
      </c>
      <c r="H30" s="137">
        <v>91.141772084442891</v>
      </c>
      <c r="I30" s="149">
        <v>58.623232210413178</v>
      </c>
      <c r="J30" s="147">
        <v>81.756079938771137</v>
      </c>
      <c r="K30" s="145" t="s">
        <v>84</v>
      </c>
      <c r="L30" s="145">
        <v>101.91738416424882</v>
      </c>
      <c r="M30" s="145">
        <v>100</v>
      </c>
      <c r="N30" s="145" t="s">
        <v>69</v>
      </c>
      <c r="O30" s="145">
        <v>34.273958837549863</v>
      </c>
      <c r="P30" s="145">
        <v>100</v>
      </c>
      <c r="Q30" s="150" t="s">
        <v>70</v>
      </c>
      <c r="R30" s="137">
        <v>91.141772084442891</v>
      </c>
      <c r="S30" s="149">
        <v>58.623232210413178</v>
      </c>
      <c r="T30" s="147">
        <v>76.656325203408542</v>
      </c>
      <c r="U30" s="145" t="s">
        <v>82</v>
      </c>
      <c r="V30" s="145">
        <v>19.785132701190538</v>
      </c>
      <c r="W30" s="145">
        <v>100</v>
      </c>
      <c r="X30" s="145" t="s">
        <v>69</v>
      </c>
      <c r="Y30" s="145">
        <v>34.273958837549863</v>
      </c>
      <c r="Z30" s="145">
        <v>100</v>
      </c>
      <c r="AA30" s="150" t="s">
        <v>70</v>
      </c>
      <c r="AB30" s="137">
        <v>91.141772084442891</v>
      </c>
      <c r="AC30" s="149">
        <v>59.799003851571676</v>
      </c>
      <c r="AD30" s="147">
        <v>76.656325203408542</v>
      </c>
      <c r="AE30" s="145" t="s">
        <v>82</v>
      </c>
      <c r="AF30" s="145">
        <v>19.785132701190538</v>
      </c>
      <c r="AG30" s="145">
        <v>100</v>
      </c>
      <c r="AH30" s="145" t="s">
        <v>62</v>
      </c>
      <c r="AI30" s="145">
        <v>44.85863586555007</v>
      </c>
      <c r="AJ30" s="145">
        <v>100</v>
      </c>
      <c r="AK30" s="150" t="s">
        <v>70</v>
      </c>
      <c r="AL30" s="137">
        <v>91.141772084442891</v>
      </c>
      <c r="AM30" s="149">
        <v>59.799003851571676</v>
      </c>
      <c r="AN30" s="147">
        <v>80.427893166472728</v>
      </c>
    </row>
  </sheetData>
  <mergeCells count="4">
    <mergeCell ref="G1:J1"/>
    <mergeCell ref="Q1:T1"/>
    <mergeCell ref="AA1:AD1"/>
    <mergeCell ref="AK1:AN1"/>
  </mergeCells>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FormData"/>
  <dimension ref="B2:F261424"/>
  <sheetViews>
    <sheetView workbookViewId="0">
      <selection activeCell="A5" sqref="A5"/>
    </sheetView>
  </sheetViews>
  <sheetFormatPr defaultRowHeight="15" x14ac:dyDescent="0.25"/>
  <cols>
    <col min="2" max="2" width="15" bestFit="1" customWidth="1"/>
    <col min="3" max="3" width="25.85546875" style="26" customWidth="1"/>
    <col min="4" max="4" width="13.28515625" style="29" bestFit="1" customWidth="1"/>
    <col min="5" max="5" width="19.5703125" bestFit="1" customWidth="1"/>
    <col min="6" max="6" width="9.5703125" customWidth="1"/>
    <col min="7" max="7" width="25.85546875" customWidth="1"/>
    <col min="8" max="8" width="11.85546875" bestFit="1" customWidth="1"/>
    <col min="9" max="9" width="9.5703125" customWidth="1"/>
    <col min="10" max="10" width="25.85546875" customWidth="1"/>
    <col min="11" max="11" width="11.85546875" bestFit="1" customWidth="1"/>
  </cols>
  <sheetData>
    <row r="2" spans="2:5" x14ac:dyDescent="0.25">
      <c r="B2" s="25" t="s">
        <v>96</v>
      </c>
      <c r="C2" s="25"/>
    </row>
    <row r="3" spans="2:5" x14ac:dyDescent="0.25">
      <c r="B3" t="s">
        <v>1</v>
      </c>
      <c r="C3" t="s">
        <v>2</v>
      </c>
    </row>
    <row r="4" spans="2:5" x14ac:dyDescent="0.25">
      <c r="B4" t="s">
        <v>214</v>
      </c>
      <c r="C4" s="26">
        <v>28</v>
      </c>
    </row>
    <row r="6" spans="2:5" x14ac:dyDescent="0.25">
      <c r="B6" s="25" t="s">
        <v>97</v>
      </c>
      <c r="C6" s="25"/>
    </row>
    <row r="7" spans="2:5" x14ac:dyDescent="0.25">
      <c r="B7" t="s">
        <v>1</v>
      </c>
      <c r="C7" t="s">
        <v>2</v>
      </c>
    </row>
    <row r="8" spans="2:5" x14ac:dyDescent="0.25">
      <c r="B8" t="s">
        <v>215</v>
      </c>
      <c r="C8" s="26">
        <v>28</v>
      </c>
    </row>
    <row r="10" spans="2:5" x14ac:dyDescent="0.25">
      <c r="B10" s="25" t="s">
        <v>95</v>
      </c>
      <c r="C10" s="27"/>
      <c r="D10" s="28"/>
      <c r="E10" s="25"/>
    </row>
    <row r="11" spans="2:5" x14ac:dyDescent="0.25">
      <c r="B11" t="s">
        <v>0</v>
      </c>
      <c r="C11" s="26" t="s">
        <v>1</v>
      </c>
      <c r="D11" s="29" t="s">
        <v>98</v>
      </c>
      <c r="E11" t="s">
        <v>3</v>
      </c>
    </row>
    <row r="12" spans="2:5" x14ac:dyDescent="0.25">
      <c r="B12" t="s">
        <v>92</v>
      </c>
      <c r="C12" s="26" t="s">
        <v>211</v>
      </c>
      <c r="D12" s="29">
        <v>28</v>
      </c>
      <c r="E12" t="s">
        <v>149</v>
      </c>
    </row>
    <row r="13" spans="2:5" x14ac:dyDescent="0.25">
      <c r="B13" t="s">
        <v>93</v>
      </c>
      <c r="C13" s="26" t="s">
        <v>212</v>
      </c>
      <c r="D13" s="29">
        <v>28</v>
      </c>
      <c r="E13" t="s">
        <v>149</v>
      </c>
    </row>
    <row r="14" spans="2:5" x14ac:dyDescent="0.25">
      <c r="B14" t="s">
        <v>94</v>
      </c>
      <c r="C14" s="26" t="s">
        <v>213</v>
      </c>
      <c r="D14" s="29">
        <v>28</v>
      </c>
      <c r="E14" t="s">
        <v>150</v>
      </c>
    </row>
    <row r="261424" spans="4:6" x14ac:dyDescent="0.25">
      <c r="D261424" s="29" t="s">
        <v>2</v>
      </c>
      <c r="E261424" t="s">
        <v>4</v>
      </c>
      <c r="F261424">
        <v>20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PrioritizationData"/>
  <dimension ref="B2:R106"/>
  <sheetViews>
    <sheetView topLeftCell="D1" workbookViewId="0">
      <selection activeCell="R1" sqref="R1"/>
    </sheetView>
  </sheetViews>
  <sheetFormatPr defaultRowHeight="15" x14ac:dyDescent="0.25"/>
  <cols>
    <col min="2" max="3" width="14.42578125" customWidth="1"/>
    <col min="4" max="4" width="13.42578125" customWidth="1"/>
    <col min="17" max="18" width="21.85546875" customWidth="1"/>
  </cols>
  <sheetData>
    <row r="2" spans="2:18" x14ac:dyDescent="0.25">
      <c r="B2" s="25" t="s">
        <v>99</v>
      </c>
      <c r="C2" s="25"/>
      <c r="D2" s="25"/>
      <c r="E2" s="25"/>
    </row>
    <row r="3" spans="2:18" x14ac:dyDescent="0.25">
      <c r="B3" t="s">
        <v>101</v>
      </c>
      <c r="C3" t="s">
        <v>102</v>
      </c>
      <c r="D3" t="s">
        <v>118</v>
      </c>
      <c r="I3" t="s">
        <v>147</v>
      </c>
      <c r="J3" t="s">
        <v>151</v>
      </c>
      <c r="Q3" t="s">
        <v>151</v>
      </c>
      <c r="R3" t="s">
        <v>235</v>
      </c>
    </row>
    <row r="4" spans="2:18" x14ac:dyDescent="0.25">
      <c r="B4" t="s">
        <v>147</v>
      </c>
      <c r="C4">
        <v>500</v>
      </c>
      <c r="D4">
        <v>28</v>
      </c>
      <c r="J4" t="s">
        <v>235</v>
      </c>
      <c r="Q4" t="s">
        <v>135</v>
      </c>
      <c r="R4" t="s">
        <v>235</v>
      </c>
    </row>
    <row r="5" spans="2:18" x14ac:dyDescent="0.25">
      <c r="J5" t="s">
        <v>135</v>
      </c>
      <c r="Q5" t="s">
        <v>135</v>
      </c>
      <c r="R5" t="s">
        <v>152</v>
      </c>
    </row>
    <row r="6" spans="2:18" x14ac:dyDescent="0.25">
      <c r="J6" t="s">
        <v>152</v>
      </c>
      <c r="Q6" t="s">
        <v>153</v>
      </c>
      <c r="R6" t="s">
        <v>152</v>
      </c>
    </row>
    <row r="7" spans="2:18" x14ac:dyDescent="0.25">
      <c r="J7" t="s">
        <v>153</v>
      </c>
    </row>
    <row r="8" spans="2:18" x14ac:dyDescent="0.25">
      <c r="J8" t="s">
        <v>154</v>
      </c>
    </row>
    <row r="100" spans="2:10" x14ac:dyDescent="0.25">
      <c r="B100" s="25" t="s">
        <v>100</v>
      </c>
      <c r="C100" s="25"/>
      <c r="D100" s="25"/>
      <c r="E100" s="25"/>
    </row>
    <row r="101" spans="2:10" x14ac:dyDescent="0.25">
      <c r="B101" t="s">
        <v>101</v>
      </c>
      <c r="C101" t="s">
        <v>102</v>
      </c>
      <c r="D101" t="s">
        <v>118</v>
      </c>
      <c r="I101" t="s">
        <v>148</v>
      </c>
      <c r="J101" t="s">
        <v>151</v>
      </c>
    </row>
    <row r="102" spans="2:10" x14ac:dyDescent="0.25">
      <c r="B102" t="s">
        <v>148</v>
      </c>
      <c r="C102">
        <v>500</v>
      </c>
      <c r="D102">
        <v>28</v>
      </c>
      <c r="J102" t="s">
        <v>235</v>
      </c>
    </row>
    <row r="103" spans="2:10" x14ac:dyDescent="0.25">
      <c r="J103" t="s">
        <v>135</v>
      </c>
    </row>
    <row r="104" spans="2:10" x14ac:dyDescent="0.25">
      <c r="J104" t="s">
        <v>152</v>
      </c>
    </row>
    <row r="105" spans="2:10" x14ac:dyDescent="0.25">
      <c r="J105" t="s">
        <v>153</v>
      </c>
    </row>
    <row r="106" spans="2:10" x14ac:dyDescent="0.25">
      <c r="J106" t="s">
        <v>154</v>
      </c>
    </row>
  </sheetData>
  <pageMargins left="0.7" right="0.7" top="0.75" bottom="0.75" header="0.3" footer="0.3"/>
</worksheet>
</file>

<file path=customUI/customUI.xml><?xml version="1.0" encoding="utf-8"?>
<customUI xmlns="http://schemas.microsoft.com/office/2006/01/customui">
  <ribbon>
    <tabs>
      <tab id="WBLAddinTab" label="WB IPF" insertAfterMso="TabHome">
        <group id="WBLAddinMainGroup" label="Main">
          <button id="WBLAddinButtonLaunch" label="Add Indicators" size="large" onAction="LaunchIndicatorsForm" imageMso="AdpNewTable"/>
          <button id="WBLAGenerateRankingsBtn" label="Generate Rankings" size="large" onAction="LaunchGenerateRankingsForm" imageMso="ChartPrimaryHorizontalGridlines"/>
          <button id="WBLAGeneratePrioritizationMatrixBtn" label="Generate Prioritization Matrices" size="large" onAction="LaunchGeneratePrioritizationMatricesForm" imageMso="ChartUpDownBars"/>
        </group>
      </tab>
    </tabs>
  </ribbon>
</customUI>
</file>

<file path=customUI/customUI14.xml><?xml version="1.0" encoding="utf-8"?>
<customUI xmlns="http://schemas.microsoft.com/office/2009/07/customui">
  <ribbon>
    <tabs>
      <tab id="WBLAddinTab" label="WB IPF" insertAfterMso="TabHome">
        <group id="WBLAddinMainGroup" label="Main">
          <button id="WBLAddinButtonLaunch" label="Add Indicators" size="large" onAction="LaunchIndicatorsForm" imageMso="AdpNewTable"/>
          <button id="WBLAGenerateRankingsBtn" label="Generate Rankings" size="large" onAction="LaunchGenerateRankingsForm" imageMso="ChartPrimaryHorizontalGridlines"/>
          <button id="WBLAGeneratePrioritizationMatrixBtn" label="Generate Prioritization Matrices" size="large" onAction="LaunchGeneratePrioritizationMatricesForm" imageMso="ChartUpDownBars"/>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1007</vt:i4>
      </vt:variant>
    </vt:vector>
  </HeadingPairs>
  <TitlesOfParts>
    <vt:vector size="1020" baseType="lpstr">
      <vt:lpstr>Instructions</vt:lpstr>
      <vt:lpstr>Projects</vt:lpstr>
      <vt:lpstr>SEI Data</vt:lpstr>
      <vt:lpstr>FEI Data</vt:lpstr>
      <vt:lpstr>FEI Wts</vt:lpstr>
      <vt:lpstr>SEI Wts</vt:lpstr>
      <vt:lpstr>SEI Wts2</vt:lpstr>
      <vt:lpstr>FEI Wts2</vt:lpstr>
      <vt:lpstr>SEI Wts3</vt:lpstr>
      <vt:lpstr>FEI Wts3</vt:lpstr>
      <vt:lpstr>SEI Rank</vt:lpstr>
      <vt:lpstr>FEI Rank</vt:lpstr>
      <vt:lpstr>IPF Matrix</vt:lpstr>
      <vt:lpstr>'FEI Wts'!constrained_sol_loadings</vt:lpstr>
      <vt:lpstr>'FEI Wts2'!constrained_sol_loadings</vt:lpstr>
      <vt:lpstr>'FEI Wts3'!constrained_sol_loadings</vt:lpstr>
      <vt:lpstr>'SEI Wts'!constrained_sol_loadings</vt:lpstr>
      <vt:lpstr>'SEI Wts2'!constrained_sol_loadings</vt:lpstr>
      <vt:lpstr>'SEI Wts3'!constrained_sol_loadings</vt:lpstr>
      <vt:lpstr>'FEI Wts'!constrained_sol_loadings_pct</vt:lpstr>
      <vt:lpstr>'FEI Wts2'!constrained_sol_loadings_pct</vt:lpstr>
      <vt:lpstr>'FEI Wts3'!constrained_sol_loadings_pct</vt:lpstr>
      <vt:lpstr>'SEI Wts'!constrained_sol_loadings_pct</vt:lpstr>
      <vt:lpstr>'SEI Wts2'!constrained_sol_loadings_pct</vt:lpstr>
      <vt:lpstr>'SEI Wts3'!constrained_sol_loadings_pct</vt:lpstr>
      <vt:lpstr>'FEI Wts'!constrained_sol_loadings_scenario_1</vt:lpstr>
      <vt:lpstr>'FEI Wts2'!constrained_sol_loadings_scenario_1</vt:lpstr>
      <vt:lpstr>'FEI Wts3'!constrained_sol_loadings_scenario_1</vt:lpstr>
      <vt:lpstr>'SEI Wts'!constrained_sol_loadings_scenario_1</vt:lpstr>
      <vt:lpstr>'SEI Wts2'!constrained_sol_loadings_scenario_1</vt:lpstr>
      <vt:lpstr>'SEI Wts3'!constrained_sol_loadings_scenario_1</vt:lpstr>
      <vt:lpstr>'FEI Wts'!constrained_sol_loadings_scenario_1_pct</vt:lpstr>
      <vt:lpstr>'FEI Wts2'!constrained_sol_loadings_scenario_1_pct</vt:lpstr>
      <vt:lpstr>'FEI Wts3'!constrained_sol_loadings_scenario_1_pct</vt:lpstr>
      <vt:lpstr>'SEI Wts'!constrained_sol_loadings_scenario_1_pct</vt:lpstr>
      <vt:lpstr>'SEI Wts2'!constrained_sol_loadings_scenario_1_pct</vt:lpstr>
      <vt:lpstr>'SEI Wts3'!constrained_sol_loadings_scenario_1_pct</vt:lpstr>
      <vt:lpstr>'FEI Wts'!constrained_sol_loadings_scenario_2</vt:lpstr>
      <vt:lpstr>'FEI Wts2'!constrained_sol_loadings_scenario_2</vt:lpstr>
      <vt:lpstr>'FEI Wts3'!constrained_sol_loadings_scenario_2</vt:lpstr>
      <vt:lpstr>'SEI Wts'!constrained_sol_loadings_scenario_2</vt:lpstr>
      <vt:lpstr>'SEI Wts2'!constrained_sol_loadings_scenario_2</vt:lpstr>
      <vt:lpstr>'SEI Wts3'!constrained_sol_loadings_scenario_2</vt:lpstr>
      <vt:lpstr>'FEI Wts'!constrained_sol_loadings_scenario_2_pct</vt:lpstr>
      <vt:lpstr>'FEI Wts2'!constrained_sol_loadings_scenario_2_pct</vt:lpstr>
      <vt:lpstr>'FEI Wts3'!constrained_sol_loadings_scenario_2_pct</vt:lpstr>
      <vt:lpstr>'SEI Wts'!constrained_sol_loadings_scenario_2_pct</vt:lpstr>
      <vt:lpstr>'SEI Wts2'!constrained_sol_loadings_scenario_2_pct</vt:lpstr>
      <vt:lpstr>'SEI Wts3'!constrained_sol_loadings_scenario_2_pct</vt:lpstr>
      <vt:lpstr>'FEI Wts'!constrained_sol_loadings_scenario_3</vt:lpstr>
      <vt:lpstr>'FEI Wts2'!constrained_sol_loadings_scenario_3</vt:lpstr>
      <vt:lpstr>'FEI Wts3'!constrained_sol_loadings_scenario_3</vt:lpstr>
      <vt:lpstr>'SEI Wts'!constrained_sol_loadings_scenario_3</vt:lpstr>
      <vt:lpstr>'SEI Wts2'!constrained_sol_loadings_scenario_3</vt:lpstr>
      <vt:lpstr>'SEI Wts3'!constrained_sol_loadings_scenario_3</vt:lpstr>
      <vt:lpstr>'FEI Wts'!constrained_sol_loadings_scenario_3_pct</vt:lpstr>
      <vt:lpstr>'FEI Wts2'!constrained_sol_loadings_scenario_3_pct</vt:lpstr>
      <vt:lpstr>'FEI Wts3'!constrained_sol_loadings_scenario_3_pct</vt:lpstr>
      <vt:lpstr>'SEI Wts'!constrained_sol_loadings_scenario_3_pct</vt:lpstr>
      <vt:lpstr>'SEI Wts2'!constrained_sol_loadings_scenario_3_pct</vt:lpstr>
      <vt:lpstr>'SEI Wts3'!constrained_sol_loadings_scenario_3_pct</vt:lpstr>
      <vt:lpstr>'FEI Wts'!constraint_func</vt:lpstr>
      <vt:lpstr>'FEI Wts2'!constraint_func</vt:lpstr>
      <vt:lpstr>'FEI Wts3'!constraint_func</vt:lpstr>
      <vt:lpstr>'SEI Wts'!constraint_func</vt:lpstr>
      <vt:lpstr>'SEI Wts2'!constraint_func</vt:lpstr>
      <vt:lpstr>'SEI Wts3'!constraint_func</vt:lpstr>
      <vt:lpstr>'FEI Rank'!CS1_0</vt:lpstr>
      <vt:lpstr>'SEI Rank'!CS1_0</vt:lpstr>
      <vt:lpstr>'FEI Rank'!CS1_0_loading</vt:lpstr>
      <vt:lpstr>'SEI Rank'!CS1_0_loading</vt:lpstr>
      <vt:lpstr>'FEI Rank'!CS1_0_std</vt:lpstr>
      <vt:lpstr>'SEI Rank'!CS1_0_std</vt:lpstr>
      <vt:lpstr>'FEI Rank'!CS1_1</vt:lpstr>
      <vt:lpstr>'SEI Rank'!CS1_1</vt:lpstr>
      <vt:lpstr>'FEI Rank'!CS1_1_loading</vt:lpstr>
      <vt:lpstr>'SEI Rank'!CS1_1_loading</vt:lpstr>
      <vt:lpstr>'FEI Rank'!CS1_1_std</vt:lpstr>
      <vt:lpstr>'SEI Rank'!CS1_1_std</vt:lpstr>
      <vt:lpstr>'FEI Rank'!CS1_2</vt:lpstr>
      <vt:lpstr>'SEI Rank'!CS1_2</vt:lpstr>
      <vt:lpstr>'FEI Rank'!CS1_2_loading</vt:lpstr>
      <vt:lpstr>'SEI Rank'!CS1_2_loading</vt:lpstr>
      <vt:lpstr>'FEI Rank'!CS1_2_std</vt:lpstr>
      <vt:lpstr>'SEI Rank'!CS1_2_std</vt:lpstr>
      <vt:lpstr>'SEI Rank'!CS1_3</vt:lpstr>
      <vt:lpstr>'SEI Rank'!CS1_3_loading</vt:lpstr>
      <vt:lpstr>'SEI Rank'!CS1_3_std</vt:lpstr>
      <vt:lpstr>'SEI Rank'!CS1_4</vt:lpstr>
      <vt:lpstr>'SEI Rank'!CS1_4_loading</vt:lpstr>
      <vt:lpstr>'SEI Rank'!CS1_4_std</vt:lpstr>
      <vt:lpstr>'SEI Rank'!CS1_5</vt:lpstr>
      <vt:lpstr>'SEI Rank'!CS1_5_loading</vt:lpstr>
      <vt:lpstr>'SEI Rank'!CS1_5_std</vt:lpstr>
      <vt:lpstr>'SEI Rank'!CS1_6</vt:lpstr>
      <vt:lpstr>'SEI Rank'!CS1_6_loading</vt:lpstr>
      <vt:lpstr>'SEI Rank'!CS1_6_std</vt:lpstr>
      <vt:lpstr>'SEI Rank'!CS1_7</vt:lpstr>
      <vt:lpstr>'SEI Rank'!CS1_7_loading</vt:lpstr>
      <vt:lpstr>'SEI Rank'!CS1_7_std</vt:lpstr>
      <vt:lpstr>'SEI Rank'!CS1_8</vt:lpstr>
      <vt:lpstr>'SEI Rank'!CS1_8_loading</vt:lpstr>
      <vt:lpstr>'SEI Rank'!CS1_8_std</vt:lpstr>
      <vt:lpstr>'SEI Rank'!CS1_9</vt:lpstr>
      <vt:lpstr>'SEI Rank'!CS1_9_loading</vt:lpstr>
      <vt:lpstr>'SEI Rank'!CS1_9_std</vt:lpstr>
      <vt:lpstr>'IPF Matrix'!CS1_FEI_Results_1</vt:lpstr>
      <vt:lpstr>'IPF Matrix'!CS1_FEI_Values_1</vt:lpstr>
      <vt:lpstr>'FEI Rank'!CS1_I</vt:lpstr>
      <vt:lpstr>'SEI Rank'!CS1_I</vt:lpstr>
      <vt:lpstr>'FEI Rank'!CS1_I_ALL</vt:lpstr>
      <vt:lpstr>'SEI Rank'!CS1_I_ALL</vt:lpstr>
      <vt:lpstr>'FEI Rank'!CS1_I_Sorted</vt:lpstr>
      <vt:lpstr>'SEI Rank'!CS1_I_Sorted</vt:lpstr>
      <vt:lpstr>'FEI Rank'!CS1_I_STD</vt:lpstr>
      <vt:lpstr>'SEI Rank'!CS1_I_STD</vt:lpstr>
      <vt:lpstr>'FEI Rank'!CS1_I_STD_ALL</vt:lpstr>
      <vt:lpstr>'SEI Rank'!CS1_I_STD_ALL</vt:lpstr>
      <vt:lpstr>'FEI Rank'!CS1_MIN_0</vt:lpstr>
      <vt:lpstr>'SEI Rank'!CS1_MIN_0</vt:lpstr>
      <vt:lpstr>'FEI Rank'!CS1_MIN_0_std</vt:lpstr>
      <vt:lpstr>'SEI Rank'!CS1_MIN_0_std</vt:lpstr>
      <vt:lpstr>'FEI Rank'!CS1_MIN_1</vt:lpstr>
      <vt:lpstr>'SEI Rank'!CS1_MIN_1</vt:lpstr>
      <vt:lpstr>'FEI Rank'!CS1_MIN_1_std</vt:lpstr>
      <vt:lpstr>'SEI Rank'!CS1_MIN_1_std</vt:lpstr>
      <vt:lpstr>'FEI Rank'!CS1_MIN_2</vt:lpstr>
      <vt:lpstr>'SEI Rank'!CS1_MIN_2</vt:lpstr>
      <vt:lpstr>'FEI Rank'!CS1_MIN_2_std</vt:lpstr>
      <vt:lpstr>'SEI Rank'!CS1_MIN_2_std</vt:lpstr>
      <vt:lpstr>'SEI Rank'!CS1_MIN_3</vt:lpstr>
      <vt:lpstr>'SEI Rank'!CS1_MIN_3_std</vt:lpstr>
      <vt:lpstr>'SEI Rank'!CS1_MIN_4</vt:lpstr>
      <vt:lpstr>'SEI Rank'!CS1_MIN_4_std</vt:lpstr>
      <vt:lpstr>'SEI Rank'!CS1_MIN_5</vt:lpstr>
      <vt:lpstr>'SEI Rank'!CS1_MIN_5_std</vt:lpstr>
      <vt:lpstr>'SEI Rank'!CS1_MIN_6</vt:lpstr>
      <vt:lpstr>'SEI Rank'!CS1_MIN_6_std</vt:lpstr>
      <vt:lpstr>'SEI Rank'!CS1_MIN_7</vt:lpstr>
      <vt:lpstr>'SEI Rank'!CS1_MIN_7_std</vt:lpstr>
      <vt:lpstr>'SEI Rank'!CS1_MIN_8</vt:lpstr>
      <vt:lpstr>'SEI Rank'!CS1_MIN_8_std</vt:lpstr>
      <vt:lpstr>'SEI Rank'!CS1_MIN_9</vt:lpstr>
      <vt:lpstr>'SEI Rank'!CS1_MIN_9_std</vt:lpstr>
      <vt:lpstr>'FEI Rank'!CS1_MIN_I</vt:lpstr>
      <vt:lpstr>'SEI Rank'!CS1_MIN_I</vt:lpstr>
      <vt:lpstr>'FEI Rank'!CS1_MIN_I_STD</vt:lpstr>
      <vt:lpstr>'SEI Rank'!CS1_MIN_I_STD</vt:lpstr>
      <vt:lpstr>'FEI Rank'!CS1_ProjectBudgets</vt:lpstr>
      <vt:lpstr>'SEI Rank'!CS1_ProjectBudgets</vt:lpstr>
      <vt:lpstr>'FEI Rank'!CS1_ProjectBudgets_Sorted</vt:lpstr>
      <vt:lpstr>'SEI Rank'!CS1_ProjectBudgets_Sorted</vt:lpstr>
      <vt:lpstr>'FEI Rank'!CS1_ProjectNames</vt:lpstr>
      <vt:lpstr>'SEI Rank'!CS1_ProjectNames</vt:lpstr>
      <vt:lpstr>'FEI Rank'!CS1_ProjectNames_Sorted</vt:lpstr>
      <vt:lpstr>'SEI Rank'!CS1_ProjectNames_Sorted</vt:lpstr>
      <vt:lpstr>'FEI Rank'!CS1_Rankings_Results</vt:lpstr>
      <vt:lpstr>'SEI Rank'!CS1_Rankings_Results</vt:lpstr>
      <vt:lpstr>'FEI Rank'!CS2_0</vt:lpstr>
      <vt:lpstr>'SEI Rank'!CS2_0</vt:lpstr>
      <vt:lpstr>'FEI Rank'!CS2_0_loading</vt:lpstr>
      <vt:lpstr>'SEI Rank'!CS2_0_loading</vt:lpstr>
      <vt:lpstr>'FEI Rank'!CS2_0_std</vt:lpstr>
      <vt:lpstr>'SEI Rank'!CS2_0_std</vt:lpstr>
      <vt:lpstr>'FEI Rank'!CS2_1</vt:lpstr>
      <vt:lpstr>'SEI Rank'!CS2_1</vt:lpstr>
      <vt:lpstr>'FEI Rank'!CS2_1_loading</vt:lpstr>
      <vt:lpstr>'SEI Rank'!CS2_1_loading</vt:lpstr>
      <vt:lpstr>'FEI Rank'!CS2_1_std</vt:lpstr>
      <vt:lpstr>'SEI Rank'!CS2_1_std</vt:lpstr>
      <vt:lpstr>'FEI Rank'!CS2_2</vt:lpstr>
      <vt:lpstr>'SEI Rank'!CS2_2</vt:lpstr>
      <vt:lpstr>'FEI Rank'!CS2_2_loading</vt:lpstr>
      <vt:lpstr>'SEI Rank'!CS2_2_loading</vt:lpstr>
      <vt:lpstr>'FEI Rank'!CS2_2_std</vt:lpstr>
      <vt:lpstr>'SEI Rank'!CS2_2_std</vt:lpstr>
      <vt:lpstr>'SEI Rank'!CS2_3</vt:lpstr>
      <vt:lpstr>'SEI Rank'!CS2_3_loading</vt:lpstr>
      <vt:lpstr>'SEI Rank'!CS2_3_std</vt:lpstr>
      <vt:lpstr>'SEI Rank'!CS2_4</vt:lpstr>
      <vt:lpstr>'SEI Rank'!CS2_4_loading</vt:lpstr>
      <vt:lpstr>'SEI Rank'!CS2_4_std</vt:lpstr>
      <vt:lpstr>'SEI Rank'!CS2_5</vt:lpstr>
      <vt:lpstr>'SEI Rank'!CS2_5_loading</vt:lpstr>
      <vt:lpstr>'SEI Rank'!CS2_5_std</vt:lpstr>
      <vt:lpstr>'SEI Rank'!CS2_6</vt:lpstr>
      <vt:lpstr>'SEI Rank'!CS2_6_loading</vt:lpstr>
      <vt:lpstr>'SEI Rank'!CS2_6_std</vt:lpstr>
      <vt:lpstr>'SEI Rank'!CS2_7</vt:lpstr>
      <vt:lpstr>'SEI Rank'!CS2_7_loading</vt:lpstr>
      <vt:lpstr>'SEI Rank'!CS2_7_std</vt:lpstr>
      <vt:lpstr>'SEI Rank'!CS2_8</vt:lpstr>
      <vt:lpstr>'SEI Rank'!CS2_8_loading</vt:lpstr>
      <vt:lpstr>'SEI Rank'!CS2_8_std</vt:lpstr>
      <vt:lpstr>'SEI Rank'!CS2_9</vt:lpstr>
      <vt:lpstr>'SEI Rank'!CS2_9_loading</vt:lpstr>
      <vt:lpstr>'SEI Rank'!CS2_9_std</vt:lpstr>
      <vt:lpstr>'FEI Rank'!CS2_I</vt:lpstr>
      <vt:lpstr>'SEI Rank'!CS2_I</vt:lpstr>
      <vt:lpstr>'FEI Rank'!CS2_I_ALL</vt:lpstr>
      <vt:lpstr>'SEI Rank'!CS2_I_ALL</vt:lpstr>
      <vt:lpstr>'FEI Rank'!CS2_I_Sorted</vt:lpstr>
      <vt:lpstr>'SEI Rank'!CS2_I_Sorted</vt:lpstr>
      <vt:lpstr>'FEI Rank'!CS2_I_STD</vt:lpstr>
      <vt:lpstr>'SEI Rank'!CS2_I_STD</vt:lpstr>
      <vt:lpstr>'FEI Rank'!CS2_I_STD_ALL</vt:lpstr>
      <vt:lpstr>'SEI Rank'!CS2_I_STD_ALL</vt:lpstr>
      <vt:lpstr>'FEI Rank'!CS2_MIN_0</vt:lpstr>
      <vt:lpstr>'SEI Rank'!CS2_MIN_0</vt:lpstr>
      <vt:lpstr>'FEI Rank'!CS2_MIN_0_std</vt:lpstr>
      <vt:lpstr>'SEI Rank'!CS2_MIN_0_std</vt:lpstr>
      <vt:lpstr>'FEI Rank'!CS2_MIN_1</vt:lpstr>
      <vt:lpstr>'SEI Rank'!CS2_MIN_1</vt:lpstr>
      <vt:lpstr>'FEI Rank'!CS2_MIN_1_std</vt:lpstr>
      <vt:lpstr>'SEI Rank'!CS2_MIN_1_std</vt:lpstr>
      <vt:lpstr>'FEI Rank'!CS2_MIN_2</vt:lpstr>
      <vt:lpstr>'SEI Rank'!CS2_MIN_2</vt:lpstr>
      <vt:lpstr>'FEI Rank'!CS2_MIN_2_std</vt:lpstr>
      <vt:lpstr>'SEI Rank'!CS2_MIN_2_std</vt:lpstr>
      <vt:lpstr>'SEI Rank'!CS2_MIN_3</vt:lpstr>
      <vt:lpstr>'SEI Rank'!CS2_MIN_3_std</vt:lpstr>
      <vt:lpstr>'SEI Rank'!CS2_MIN_4</vt:lpstr>
      <vt:lpstr>'SEI Rank'!CS2_MIN_4_std</vt:lpstr>
      <vt:lpstr>'SEI Rank'!CS2_MIN_5</vt:lpstr>
      <vt:lpstr>'SEI Rank'!CS2_MIN_5_std</vt:lpstr>
      <vt:lpstr>'SEI Rank'!CS2_MIN_6</vt:lpstr>
      <vt:lpstr>'SEI Rank'!CS2_MIN_6_std</vt:lpstr>
      <vt:lpstr>'SEI Rank'!CS2_MIN_7</vt:lpstr>
      <vt:lpstr>'SEI Rank'!CS2_MIN_7_std</vt:lpstr>
      <vt:lpstr>'SEI Rank'!CS2_MIN_8</vt:lpstr>
      <vt:lpstr>'SEI Rank'!CS2_MIN_8_std</vt:lpstr>
      <vt:lpstr>'SEI Rank'!CS2_MIN_9</vt:lpstr>
      <vt:lpstr>'SEI Rank'!CS2_MIN_9_std</vt:lpstr>
      <vt:lpstr>'FEI Rank'!CS2_MIN_I</vt:lpstr>
      <vt:lpstr>'SEI Rank'!CS2_MIN_I</vt:lpstr>
      <vt:lpstr>'FEI Rank'!CS2_MIN_I_STD</vt:lpstr>
      <vt:lpstr>'SEI Rank'!CS2_MIN_I_STD</vt:lpstr>
      <vt:lpstr>'FEI Rank'!CS2_ProjectBudgets</vt:lpstr>
      <vt:lpstr>'SEI Rank'!CS2_ProjectBudgets</vt:lpstr>
      <vt:lpstr>'IPF Matrix'!CS2_ProjectBudgets_1</vt:lpstr>
      <vt:lpstr>'IPF Matrix'!CS2_ProjectBudgets_2</vt:lpstr>
      <vt:lpstr>'FEI Rank'!CS2_ProjectBudgets_Sorted</vt:lpstr>
      <vt:lpstr>'SEI Rank'!CS2_ProjectBudgets_Sorted</vt:lpstr>
      <vt:lpstr>'FEI Rank'!CS2_ProjectNames</vt:lpstr>
      <vt:lpstr>'SEI Rank'!CS2_ProjectNames</vt:lpstr>
      <vt:lpstr>'IPF Matrix'!CS2_ProjectNames_1</vt:lpstr>
      <vt:lpstr>'IPF Matrix'!CS2_ProjectNames_2</vt:lpstr>
      <vt:lpstr>'FEI Rank'!CS2_ProjectNames_Sorted</vt:lpstr>
      <vt:lpstr>'SEI Rank'!CS2_ProjectNames_Sorted</vt:lpstr>
      <vt:lpstr>'FEI Rank'!CS2_Rankings_Results</vt:lpstr>
      <vt:lpstr>'SEI Rank'!CS2_Rankings_Results</vt:lpstr>
      <vt:lpstr>'IPF Matrix'!CS2_SEI_Results_1</vt:lpstr>
      <vt:lpstr>'IPF Matrix'!CS2_SEI_Results_2</vt:lpstr>
      <vt:lpstr>'IPF Matrix'!CS2_SEI_Values_1</vt:lpstr>
      <vt:lpstr>'IPF Matrix'!CS2_SEI_Values_2</vt:lpstr>
      <vt:lpstr>'FEI Wts'!curr_sol_per_exp</vt:lpstr>
      <vt:lpstr>'FEI Wts2'!curr_sol_per_exp</vt:lpstr>
      <vt:lpstr>'FEI Wts3'!curr_sol_per_exp</vt:lpstr>
      <vt:lpstr>'SEI Wts'!curr_sol_per_exp</vt:lpstr>
      <vt:lpstr>'SEI Wts2'!curr_sol_per_exp</vt:lpstr>
      <vt:lpstr>'SEI Wts3'!curr_sol_per_exp</vt:lpstr>
      <vt:lpstr>'FEI Wts'!curr_sol_per_exp_pct</vt:lpstr>
      <vt:lpstr>'FEI Wts2'!curr_sol_per_exp_pct</vt:lpstr>
      <vt:lpstr>'FEI Wts3'!curr_sol_per_exp_pct</vt:lpstr>
      <vt:lpstr>'SEI Wts'!curr_sol_per_exp_pct</vt:lpstr>
      <vt:lpstr>'SEI Wts2'!curr_sol_per_exp_pct</vt:lpstr>
      <vt:lpstr>'SEI Wts3'!curr_sol_per_exp_pct</vt:lpstr>
      <vt:lpstr>'FEI Wts'!curr_sol_ret_var</vt:lpstr>
      <vt:lpstr>'FEI Wts2'!curr_sol_ret_var</vt:lpstr>
      <vt:lpstr>'FEI Wts3'!curr_sol_ret_var</vt:lpstr>
      <vt:lpstr>'SEI Wts'!curr_sol_ret_var</vt:lpstr>
      <vt:lpstr>'SEI Wts2'!curr_sol_ret_var</vt:lpstr>
      <vt:lpstr>'SEI Wts3'!curr_sol_ret_var</vt:lpstr>
      <vt:lpstr>'FEI Wts'!curr_sol_ret_var_pct</vt:lpstr>
      <vt:lpstr>'FEI Wts2'!curr_sol_ret_var_pct</vt:lpstr>
      <vt:lpstr>'FEI Wts3'!curr_sol_ret_var_pct</vt:lpstr>
      <vt:lpstr>'SEI Wts'!curr_sol_ret_var_pct</vt:lpstr>
      <vt:lpstr>'SEI Wts2'!curr_sol_ret_var_pct</vt:lpstr>
      <vt:lpstr>'SEI Wts3'!curr_sol_ret_var_pct</vt:lpstr>
      <vt:lpstr>settings!DECorrelationOptSettings</vt:lpstr>
      <vt:lpstr>settings!DEFactorLoadingsOptSettings</vt:lpstr>
      <vt:lpstr>'FEI Wts'!equal_to</vt:lpstr>
      <vt:lpstr>'FEI Wts2'!equal_to</vt:lpstr>
      <vt:lpstr>'FEI Wts3'!equal_to</vt:lpstr>
      <vt:lpstr>'SEI Wts'!equal_to</vt:lpstr>
      <vt:lpstr>'SEI Wts2'!equal_to</vt:lpstr>
      <vt:lpstr>'SEI Wts3'!equal_to</vt:lpstr>
      <vt:lpstr>PrioritizationData!FE_Rankings_Anchor</vt:lpstr>
      <vt:lpstr>FormData!FormDataAnchor</vt:lpstr>
      <vt:lpstr>'FEI Wts'!greater_than</vt:lpstr>
      <vt:lpstr>'FEI Wts2'!greater_than</vt:lpstr>
      <vt:lpstr>'FEI Wts3'!greater_than</vt:lpstr>
      <vt:lpstr>'SEI Wts'!greater_than</vt:lpstr>
      <vt:lpstr>'SEI Wts2'!greater_than</vt:lpstr>
      <vt:lpstr>'SEI Wts3'!greater_than</vt:lpstr>
      <vt:lpstr>'FEI Wts'!greater_than_eq</vt:lpstr>
      <vt:lpstr>'FEI Wts2'!greater_than_eq</vt:lpstr>
      <vt:lpstr>'FEI Wts3'!greater_than_eq</vt:lpstr>
      <vt:lpstr>'SEI Wts'!greater_than_eq</vt:lpstr>
      <vt:lpstr>'SEI Wts2'!greater_than_eq</vt:lpstr>
      <vt:lpstr>'SEI Wts3'!greater_than_eq</vt:lpstr>
      <vt:lpstr>'FEI Wts'!gt_g_per_exp</vt:lpstr>
      <vt:lpstr>'FEI Wts2'!gt_g_per_exp</vt:lpstr>
      <vt:lpstr>'FEI Wts3'!gt_g_per_exp</vt:lpstr>
      <vt:lpstr>'SEI Wts'!gt_g_per_exp</vt:lpstr>
      <vt:lpstr>'SEI Wts2'!gt_g_per_exp</vt:lpstr>
      <vt:lpstr>'SEI Wts3'!gt_g_per_exp</vt:lpstr>
      <vt:lpstr>'FEI Wts'!gt_g_per_exp_pct</vt:lpstr>
      <vt:lpstr>'FEI Wts2'!gt_g_per_exp_pct</vt:lpstr>
      <vt:lpstr>'FEI Wts3'!gt_g_per_exp_pct</vt:lpstr>
      <vt:lpstr>'SEI Wts'!gt_g_per_exp_pct</vt:lpstr>
      <vt:lpstr>'SEI Wts2'!gt_g_per_exp_pct</vt:lpstr>
      <vt:lpstr>'SEI Wts3'!gt_g_per_exp_pct</vt:lpstr>
      <vt:lpstr>'FEI Wts'!index_range_0</vt:lpstr>
      <vt:lpstr>'FEI Wts2'!index_range_0</vt:lpstr>
      <vt:lpstr>'FEI Wts3'!index_range_0</vt:lpstr>
      <vt:lpstr>'SEI Wts'!index_range_0</vt:lpstr>
      <vt:lpstr>'SEI Wts2'!index_range_0</vt:lpstr>
      <vt:lpstr>'SEI Wts3'!index_range_0</vt:lpstr>
      <vt:lpstr>'FEI Wts'!index_range_1</vt:lpstr>
      <vt:lpstr>'FEI Wts2'!index_range_1</vt:lpstr>
      <vt:lpstr>'FEI Wts3'!index_range_1</vt:lpstr>
      <vt:lpstr>'SEI Wts'!index_range_1</vt:lpstr>
      <vt:lpstr>'SEI Wts2'!index_range_1</vt:lpstr>
      <vt:lpstr>'SEI Wts3'!index_range_1</vt:lpstr>
      <vt:lpstr>'FEI Wts'!index_range_2</vt:lpstr>
      <vt:lpstr>'FEI Wts2'!index_range_2</vt:lpstr>
      <vt:lpstr>'FEI Wts3'!index_range_2</vt:lpstr>
      <vt:lpstr>'SEI Wts'!index_range_2</vt:lpstr>
      <vt:lpstr>'SEI Wts2'!index_range_2</vt:lpstr>
      <vt:lpstr>'SEI Wts3'!index_range_2</vt:lpstr>
      <vt:lpstr>'SEI Wts'!index_range_3</vt:lpstr>
      <vt:lpstr>'SEI Wts2'!index_range_3</vt:lpstr>
      <vt:lpstr>'SEI Wts3'!index_range_3</vt:lpstr>
      <vt:lpstr>'SEI Wts'!index_range_4</vt:lpstr>
      <vt:lpstr>'SEI Wts2'!index_range_4</vt:lpstr>
      <vt:lpstr>'SEI Wts3'!index_range_4</vt:lpstr>
      <vt:lpstr>'SEI Wts2'!index_range_5</vt:lpstr>
      <vt:lpstr>'SEI Wts3'!index_range_5</vt:lpstr>
      <vt:lpstr>'SEI Wts2'!index_range_6</vt:lpstr>
      <vt:lpstr>'SEI Wts3'!index_range_6</vt:lpstr>
      <vt:lpstr>'SEI Wts2'!index_range_7</vt:lpstr>
      <vt:lpstr>'SEI Wts3'!index_range_7</vt:lpstr>
      <vt:lpstr>'SEI Wts2'!index_range_8</vt:lpstr>
      <vt:lpstr>'SEI Wts3'!index_range_8</vt:lpstr>
      <vt:lpstr>'SEI Wts2'!index_range_9</vt:lpstr>
      <vt:lpstr>'SEI Wts3'!index_range_9</vt:lpstr>
      <vt:lpstr>'FEI Wts'!kt_gr_eq_loadings</vt:lpstr>
      <vt:lpstr>'FEI Wts2'!kt_gr_eq_loadings</vt:lpstr>
      <vt:lpstr>'FEI Wts3'!kt_gr_eq_loadings</vt:lpstr>
      <vt:lpstr>'SEI Wts'!kt_gr_eq_loadings</vt:lpstr>
      <vt:lpstr>'SEI Wts2'!kt_gr_eq_loadings</vt:lpstr>
      <vt:lpstr>'SEI Wts3'!kt_gr_eq_loadings</vt:lpstr>
      <vt:lpstr>'FEI Wts'!kt_gr_eq_loadings_pct</vt:lpstr>
      <vt:lpstr>'FEI Wts2'!kt_gr_eq_loadings_pct</vt:lpstr>
      <vt:lpstr>'FEI Wts3'!kt_gr_eq_loadings_pct</vt:lpstr>
      <vt:lpstr>'SEI Wts'!kt_gr_eq_loadings_pct</vt:lpstr>
      <vt:lpstr>'SEI Wts2'!kt_gr_eq_loadings_pct</vt:lpstr>
      <vt:lpstr>'SEI Wts3'!kt_gr_eq_loadings_pct</vt:lpstr>
      <vt:lpstr>'FEI Wts'!kt_gr_loadings</vt:lpstr>
      <vt:lpstr>'FEI Wts2'!kt_gr_loadings</vt:lpstr>
      <vt:lpstr>'FEI Wts3'!kt_gr_loadings</vt:lpstr>
      <vt:lpstr>'SEI Wts'!kt_gr_loadings</vt:lpstr>
      <vt:lpstr>'SEI Wts2'!kt_gr_loadings</vt:lpstr>
      <vt:lpstr>'SEI Wts3'!kt_gr_loadings</vt:lpstr>
      <vt:lpstr>'FEI Wts'!kt_gr_loadings_pct</vt:lpstr>
      <vt:lpstr>'FEI Wts2'!kt_gr_loadings_pct</vt:lpstr>
      <vt:lpstr>'FEI Wts3'!kt_gr_loadings_pct</vt:lpstr>
      <vt:lpstr>'SEI Wts'!kt_gr_loadings_pct</vt:lpstr>
      <vt:lpstr>'SEI Wts2'!kt_gr_loadings_pct</vt:lpstr>
      <vt:lpstr>'SEI Wts3'!kt_gr_loadings_pct</vt:lpstr>
      <vt:lpstr>'FEI Rank'!KTGET_0</vt:lpstr>
      <vt:lpstr>'SEI Rank'!KTGET_0</vt:lpstr>
      <vt:lpstr>'FEI Rank'!KTGET_0_loading</vt:lpstr>
      <vt:lpstr>'SEI Rank'!KTGET_0_loading</vt:lpstr>
      <vt:lpstr>'FEI Rank'!KTGET_0_std</vt:lpstr>
      <vt:lpstr>'SEI Rank'!KTGET_0_std</vt:lpstr>
      <vt:lpstr>'FEI Rank'!KTGET_1</vt:lpstr>
      <vt:lpstr>'SEI Rank'!KTGET_1</vt:lpstr>
      <vt:lpstr>'FEI Rank'!KTGET_1_loading</vt:lpstr>
      <vt:lpstr>'SEI Rank'!KTGET_1_loading</vt:lpstr>
      <vt:lpstr>'FEI Rank'!KTGET_1_std</vt:lpstr>
      <vt:lpstr>'SEI Rank'!KTGET_1_std</vt:lpstr>
      <vt:lpstr>'FEI Rank'!KTGET_2</vt:lpstr>
      <vt:lpstr>'SEI Rank'!KTGET_2</vt:lpstr>
      <vt:lpstr>'FEI Rank'!KTGET_2_loading</vt:lpstr>
      <vt:lpstr>'SEI Rank'!KTGET_2_loading</vt:lpstr>
      <vt:lpstr>'FEI Rank'!KTGET_2_std</vt:lpstr>
      <vt:lpstr>'SEI Rank'!KTGET_2_std</vt:lpstr>
      <vt:lpstr>'SEI Rank'!KTGET_3</vt:lpstr>
      <vt:lpstr>'SEI Rank'!KTGET_3_loading</vt:lpstr>
      <vt:lpstr>'SEI Rank'!KTGET_3_std</vt:lpstr>
      <vt:lpstr>'SEI Rank'!KTGET_4</vt:lpstr>
      <vt:lpstr>'SEI Rank'!KTGET_4_loading</vt:lpstr>
      <vt:lpstr>'SEI Rank'!KTGET_4_std</vt:lpstr>
      <vt:lpstr>'SEI Rank'!KTGET_5</vt:lpstr>
      <vt:lpstr>'SEI Rank'!KTGET_5_loading</vt:lpstr>
      <vt:lpstr>'SEI Rank'!KTGET_5_std</vt:lpstr>
      <vt:lpstr>'SEI Rank'!KTGET_6</vt:lpstr>
      <vt:lpstr>'SEI Rank'!KTGET_6_loading</vt:lpstr>
      <vt:lpstr>'SEI Rank'!KTGET_6_std</vt:lpstr>
      <vt:lpstr>'SEI Rank'!KTGET_7</vt:lpstr>
      <vt:lpstr>'SEI Rank'!KTGET_7_loading</vt:lpstr>
      <vt:lpstr>'SEI Rank'!KTGET_7_std</vt:lpstr>
      <vt:lpstr>'SEI Rank'!KTGET_8</vt:lpstr>
      <vt:lpstr>'SEI Rank'!KTGET_8_loading</vt:lpstr>
      <vt:lpstr>'SEI Rank'!KTGET_8_std</vt:lpstr>
      <vt:lpstr>'SEI Rank'!KTGET_9</vt:lpstr>
      <vt:lpstr>'SEI Rank'!KTGET_9_loading</vt:lpstr>
      <vt:lpstr>'SEI Rank'!KTGET_9_std</vt:lpstr>
      <vt:lpstr>'FEI Rank'!KTGET_I</vt:lpstr>
      <vt:lpstr>'SEI Rank'!KTGET_I</vt:lpstr>
      <vt:lpstr>'FEI Rank'!KTGET_I_ALL</vt:lpstr>
      <vt:lpstr>'SEI Rank'!KTGET_I_ALL</vt:lpstr>
      <vt:lpstr>'FEI Rank'!KTGET_I_Sorted</vt:lpstr>
      <vt:lpstr>'SEI Rank'!KTGET_I_Sorted</vt:lpstr>
      <vt:lpstr>'FEI Rank'!KTGET_I_STD</vt:lpstr>
      <vt:lpstr>'SEI Rank'!KTGET_I_STD</vt:lpstr>
      <vt:lpstr>'FEI Rank'!KTGET_I_STD_ALL</vt:lpstr>
      <vt:lpstr>'SEI Rank'!KTGET_I_STD_ALL</vt:lpstr>
      <vt:lpstr>'FEI Rank'!KTGET_MIN_0</vt:lpstr>
      <vt:lpstr>'SEI Rank'!KTGET_MIN_0</vt:lpstr>
      <vt:lpstr>'FEI Rank'!KTGET_MIN_0_std</vt:lpstr>
      <vt:lpstr>'SEI Rank'!KTGET_MIN_0_std</vt:lpstr>
      <vt:lpstr>'FEI Rank'!KTGET_MIN_1</vt:lpstr>
      <vt:lpstr>'SEI Rank'!KTGET_MIN_1</vt:lpstr>
      <vt:lpstr>'FEI Rank'!KTGET_MIN_1_std</vt:lpstr>
      <vt:lpstr>'SEI Rank'!KTGET_MIN_1_std</vt:lpstr>
      <vt:lpstr>'FEI Rank'!KTGET_MIN_2</vt:lpstr>
      <vt:lpstr>'SEI Rank'!KTGET_MIN_2</vt:lpstr>
      <vt:lpstr>'FEI Rank'!KTGET_MIN_2_std</vt:lpstr>
      <vt:lpstr>'SEI Rank'!KTGET_MIN_2_std</vt:lpstr>
      <vt:lpstr>'SEI Rank'!KTGET_MIN_3</vt:lpstr>
      <vt:lpstr>'SEI Rank'!KTGET_MIN_3_std</vt:lpstr>
      <vt:lpstr>'SEI Rank'!KTGET_MIN_4</vt:lpstr>
      <vt:lpstr>'SEI Rank'!KTGET_MIN_4_std</vt:lpstr>
      <vt:lpstr>'SEI Rank'!KTGET_MIN_5</vt:lpstr>
      <vt:lpstr>'SEI Rank'!KTGET_MIN_5_std</vt:lpstr>
      <vt:lpstr>'SEI Rank'!KTGET_MIN_6</vt:lpstr>
      <vt:lpstr>'SEI Rank'!KTGET_MIN_6_std</vt:lpstr>
      <vt:lpstr>'SEI Rank'!KTGET_MIN_7</vt:lpstr>
      <vt:lpstr>'SEI Rank'!KTGET_MIN_7_std</vt:lpstr>
      <vt:lpstr>'SEI Rank'!KTGET_MIN_8</vt:lpstr>
      <vt:lpstr>'SEI Rank'!KTGET_MIN_8_std</vt:lpstr>
      <vt:lpstr>'SEI Rank'!KTGET_MIN_9</vt:lpstr>
      <vt:lpstr>'SEI Rank'!KTGET_MIN_9_std</vt:lpstr>
      <vt:lpstr>'FEI Rank'!KTGET_MIN_I</vt:lpstr>
      <vt:lpstr>'SEI Rank'!KTGET_MIN_I</vt:lpstr>
      <vt:lpstr>'FEI Rank'!KTGET_MIN_I_STD</vt:lpstr>
      <vt:lpstr>'SEI Rank'!KTGET_MIN_I_STD</vt:lpstr>
      <vt:lpstr>'FEI Rank'!KTGET_ProjectBudgets</vt:lpstr>
      <vt:lpstr>'SEI Rank'!KTGET_ProjectBudgets</vt:lpstr>
      <vt:lpstr>'IPF Matrix'!KTGET_ProjectBudgets_3</vt:lpstr>
      <vt:lpstr>'IPF Matrix'!KTGET_ProjectBudgets_4</vt:lpstr>
      <vt:lpstr>'FEI Rank'!KTGET_ProjectBudgets_Sorted</vt:lpstr>
      <vt:lpstr>'SEI Rank'!KTGET_ProjectBudgets_Sorted</vt:lpstr>
      <vt:lpstr>'FEI Rank'!KTGET_ProjectNames</vt:lpstr>
      <vt:lpstr>'SEI Rank'!KTGET_ProjectNames</vt:lpstr>
      <vt:lpstr>'IPF Matrix'!KTGET_ProjectNames_3</vt:lpstr>
      <vt:lpstr>'IPF Matrix'!KTGET_ProjectNames_4</vt:lpstr>
      <vt:lpstr>'FEI Rank'!KTGET_ProjectNames_Sorted</vt:lpstr>
      <vt:lpstr>'SEI Rank'!KTGET_ProjectNames_Sorted</vt:lpstr>
      <vt:lpstr>'FEI Rank'!KTGET_Rankings_Results</vt:lpstr>
      <vt:lpstr>'SEI Rank'!KTGET_Rankings_Results</vt:lpstr>
      <vt:lpstr>'IPF Matrix'!KTGET_SEI_Results_3</vt:lpstr>
      <vt:lpstr>'IPF Matrix'!KTGET_SEI_Results_4</vt:lpstr>
      <vt:lpstr>'IPF Matrix'!KTGET_SEI_Values_3</vt:lpstr>
      <vt:lpstr>'IPF Matrix'!KTGET_SEI_Values_4</vt:lpstr>
      <vt:lpstr>'FEI Rank'!KTGT_0</vt:lpstr>
      <vt:lpstr>'SEI Rank'!KTGT_0</vt:lpstr>
      <vt:lpstr>'FEI Rank'!KTGT_0_loading</vt:lpstr>
      <vt:lpstr>'SEI Rank'!KTGT_0_loading</vt:lpstr>
      <vt:lpstr>'FEI Rank'!KTGT_0_std</vt:lpstr>
      <vt:lpstr>'SEI Rank'!KTGT_0_std</vt:lpstr>
      <vt:lpstr>'FEI Rank'!KTGT_1</vt:lpstr>
      <vt:lpstr>'SEI Rank'!KTGT_1</vt:lpstr>
      <vt:lpstr>'FEI Rank'!KTGT_1_loading</vt:lpstr>
      <vt:lpstr>'SEI Rank'!KTGT_1_loading</vt:lpstr>
      <vt:lpstr>'FEI Rank'!KTGT_1_std</vt:lpstr>
      <vt:lpstr>'SEI Rank'!KTGT_1_std</vt:lpstr>
      <vt:lpstr>'FEI Rank'!KTGT_2</vt:lpstr>
      <vt:lpstr>'SEI Rank'!KTGT_2</vt:lpstr>
      <vt:lpstr>'FEI Rank'!KTGT_2_loading</vt:lpstr>
      <vt:lpstr>'SEI Rank'!KTGT_2_loading</vt:lpstr>
      <vt:lpstr>'FEI Rank'!KTGT_2_std</vt:lpstr>
      <vt:lpstr>'SEI Rank'!KTGT_2_std</vt:lpstr>
      <vt:lpstr>'SEI Rank'!KTGT_3</vt:lpstr>
      <vt:lpstr>'SEI Rank'!KTGT_3_loading</vt:lpstr>
      <vt:lpstr>'SEI Rank'!KTGT_3_std</vt:lpstr>
      <vt:lpstr>'SEI Rank'!KTGT_4</vt:lpstr>
      <vt:lpstr>'SEI Rank'!KTGT_4_loading</vt:lpstr>
      <vt:lpstr>'SEI Rank'!KTGT_4_std</vt:lpstr>
      <vt:lpstr>'SEI Rank'!KTGT_5</vt:lpstr>
      <vt:lpstr>'SEI Rank'!KTGT_5_loading</vt:lpstr>
      <vt:lpstr>'SEI Rank'!KTGT_5_std</vt:lpstr>
      <vt:lpstr>'SEI Rank'!KTGT_6</vt:lpstr>
      <vt:lpstr>'SEI Rank'!KTGT_6_loading</vt:lpstr>
      <vt:lpstr>'SEI Rank'!KTGT_6_std</vt:lpstr>
      <vt:lpstr>'SEI Rank'!KTGT_7</vt:lpstr>
      <vt:lpstr>'SEI Rank'!KTGT_7_loading</vt:lpstr>
      <vt:lpstr>'SEI Rank'!KTGT_7_std</vt:lpstr>
      <vt:lpstr>'SEI Rank'!KTGT_8</vt:lpstr>
      <vt:lpstr>'SEI Rank'!KTGT_8_loading</vt:lpstr>
      <vt:lpstr>'SEI Rank'!KTGT_8_std</vt:lpstr>
      <vt:lpstr>'SEI Rank'!KTGT_9</vt:lpstr>
      <vt:lpstr>'SEI Rank'!KTGT_9_loading</vt:lpstr>
      <vt:lpstr>'SEI Rank'!KTGT_9_std</vt:lpstr>
      <vt:lpstr>'IPF Matrix'!KTGT_FEI_Results_4</vt:lpstr>
      <vt:lpstr>'IPF Matrix'!KTGT_FEI_Values_4</vt:lpstr>
      <vt:lpstr>'FEI Rank'!KTGT_I</vt:lpstr>
      <vt:lpstr>'SEI Rank'!KTGT_I</vt:lpstr>
      <vt:lpstr>'FEI Rank'!KTGT_I_ALL</vt:lpstr>
      <vt:lpstr>'SEI Rank'!KTGT_I_ALL</vt:lpstr>
      <vt:lpstr>'FEI Rank'!KTGT_I_Sorted</vt:lpstr>
      <vt:lpstr>'SEI Rank'!KTGT_I_Sorted</vt:lpstr>
      <vt:lpstr>'FEI Rank'!KTGT_I_STD</vt:lpstr>
      <vt:lpstr>'SEI Rank'!KTGT_I_STD</vt:lpstr>
      <vt:lpstr>'FEI Rank'!KTGT_I_STD_ALL</vt:lpstr>
      <vt:lpstr>'SEI Rank'!KTGT_I_STD_ALL</vt:lpstr>
      <vt:lpstr>'FEI Rank'!KTGT_MIN_0</vt:lpstr>
      <vt:lpstr>'SEI Rank'!KTGT_MIN_0</vt:lpstr>
      <vt:lpstr>'FEI Rank'!KTGT_MIN_0_std</vt:lpstr>
      <vt:lpstr>'SEI Rank'!KTGT_MIN_0_std</vt:lpstr>
      <vt:lpstr>'FEI Rank'!KTGT_MIN_1</vt:lpstr>
      <vt:lpstr>'SEI Rank'!KTGT_MIN_1</vt:lpstr>
      <vt:lpstr>'FEI Rank'!KTGT_MIN_1_std</vt:lpstr>
      <vt:lpstr>'SEI Rank'!KTGT_MIN_1_std</vt:lpstr>
      <vt:lpstr>'FEI Rank'!KTGT_MIN_2</vt:lpstr>
      <vt:lpstr>'SEI Rank'!KTGT_MIN_2</vt:lpstr>
      <vt:lpstr>'FEI Rank'!KTGT_MIN_2_std</vt:lpstr>
      <vt:lpstr>'SEI Rank'!KTGT_MIN_2_std</vt:lpstr>
      <vt:lpstr>'SEI Rank'!KTGT_MIN_3</vt:lpstr>
      <vt:lpstr>'SEI Rank'!KTGT_MIN_3_std</vt:lpstr>
      <vt:lpstr>'SEI Rank'!KTGT_MIN_4</vt:lpstr>
      <vt:lpstr>'SEI Rank'!KTGT_MIN_4_std</vt:lpstr>
      <vt:lpstr>'SEI Rank'!KTGT_MIN_5</vt:lpstr>
      <vt:lpstr>'SEI Rank'!KTGT_MIN_5_std</vt:lpstr>
      <vt:lpstr>'SEI Rank'!KTGT_MIN_6</vt:lpstr>
      <vt:lpstr>'SEI Rank'!KTGT_MIN_6_std</vt:lpstr>
      <vt:lpstr>'SEI Rank'!KTGT_MIN_7</vt:lpstr>
      <vt:lpstr>'SEI Rank'!KTGT_MIN_7_std</vt:lpstr>
      <vt:lpstr>'SEI Rank'!KTGT_MIN_8</vt:lpstr>
      <vt:lpstr>'SEI Rank'!KTGT_MIN_8_std</vt:lpstr>
      <vt:lpstr>'SEI Rank'!KTGT_MIN_9</vt:lpstr>
      <vt:lpstr>'SEI Rank'!KTGT_MIN_9_std</vt:lpstr>
      <vt:lpstr>'FEI Rank'!KTGT_MIN_I</vt:lpstr>
      <vt:lpstr>'SEI Rank'!KTGT_MIN_I</vt:lpstr>
      <vt:lpstr>'FEI Rank'!KTGT_MIN_I_STD</vt:lpstr>
      <vt:lpstr>'SEI Rank'!KTGT_MIN_I_STD</vt:lpstr>
      <vt:lpstr>'FEI Rank'!KTGT_ProjectBudgets</vt:lpstr>
      <vt:lpstr>'SEI Rank'!KTGT_ProjectBudgets</vt:lpstr>
      <vt:lpstr>'FEI Rank'!KTGT_ProjectBudgets_Sorted</vt:lpstr>
      <vt:lpstr>'SEI Rank'!KTGT_ProjectBudgets_Sorted</vt:lpstr>
      <vt:lpstr>'FEI Rank'!KTGT_ProjectNames</vt:lpstr>
      <vt:lpstr>'SEI Rank'!KTGT_ProjectNames</vt:lpstr>
      <vt:lpstr>'FEI Rank'!KTGT_ProjectNames_Sorted</vt:lpstr>
      <vt:lpstr>'SEI Rank'!KTGT_ProjectNames_Sorted</vt:lpstr>
      <vt:lpstr>'FEI Rank'!KTGT_Rankings_Results</vt:lpstr>
      <vt:lpstr>'SEI Rank'!KTGT_Rankings_Results</vt:lpstr>
      <vt:lpstr>'FEI Wts'!less_than</vt:lpstr>
      <vt:lpstr>'FEI Wts2'!less_than</vt:lpstr>
      <vt:lpstr>'FEI Wts3'!less_than</vt:lpstr>
      <vt:lpstr>'SEI Wts'!less_than</vt:lpstr>
      <vt:lpstr>'SEI Wts2'!less_than</vt:lpstr>
      <vt:lpstr>'SEI Wts3'!less_than</vt:lpstr>
      <vt:lpstr>'FEI Wts'!less_than_eq</vt:lpstr>
      <vt:lpstr>'FEI Wts2'!less_than_eq</vt:lpstr>
      <vt:lpstr>'FEI Wts3'!less_than_eq</vt:lpstr>
      <vt:lpstr>'SEI Wts'!less_than_eq</vt:lpstr>
      <vt:lpstr>'SEI Wts2'!less_than_eq</vt:lpstr>
      <vt:lpstr>'SEI Wts3'!less_than_eq</vt:lpstr>
      <vt:lpstr>'FEI Wts'!loadings_constraints</vt:lpstr>
      <vt:lpstr>'FEI Wts2'!loadings_constraints</vt:lpstr>
      <vt:lpstr>'FEI Wts3'!loadings_constraints</vt:lpstr>
      <vt:lpstr>'SEI Wts'!loadings_constraints</vt:lpstr>
      <vt:lpstr>'SEI Wts2'!loadings_constraints</vt:lpstr>
      <vt:lpstr>'SEI Wts3'!loadings_constraints</vt:lpstr>
      <vt:lpstr>'FEI Wts'!loadings_headers</vt:lpstr>
      <vt:lpstr>'FEI Wts2'!loadings_headers</vt:lpstr>
      <vt:lpstr>'FEI Wts3'!loadings_headers</vt:lpstr>
      <vt:lpstr>'SEI Wts'!loadings_headers</vt:lpstr>
      <vt:lpstr>'SEI Wts2'!loadings_headers</vt:lpstr>
      <vt:lpstr>'SEI Wts3'!loadings_headers</vt:lpstr>
      <vt:lpstr>'FEI Wts'!message</vt:lpstr>
      <vt:lpstr>'FEI Wts2'!message</vt:lpstr>
      <vt:lpstr>'FEI Wts3'!message</vt:lpstr>
      <vt:lpstr>'SEI Wts'!message</vt:lpstr>
      <vt:lpstr>'SEI Wts2'!message</vt:lpstr>
      <vt:lpstr>'SEI Wts3'!message</vt:lpstr>
      <vt:lpstr>'FEI Wts'!objective_func</vt:lpstr>
      <vt:lpstr>'FEI Wts2'!objective_func</vt:lpstr>
      <vt:lpstr>'FEI Wts3'!objective_func</vt:lpstr>
      <vt:lpstr>'SEI Wts'!objective_func</vt:lpstr>
      <vt:lpstr>'SEI Wts2'!objective_func</vt:lpstr>
      <vt:lpstr>'SEI Wts3'!objective_func</vt:lpstr>
      <vt:lpstr>'FEI Wts'!optimizer_iters</vt:lpstr>
      <vt:lpstr>'FEI Wts2'!optimizer_iters</vt:lpstr>
      <vt:lpstr>'FEI Wts3'!optimizer_iters</vt:lpstr>
      <vt:lpstr>'SEI Wts'!optimizer_iters</vt:lpstr>
      <vt:lpstr>'SEI Wts2'!optimizer_iters</vt:lpstr>
      <vt:lpstr>'SEI Wts3'!optimizer_iters</vt:lpstr>
      <vt:lpstr>'FEI Wts'!p</vt:lpstr>
      <vt:lpstr>'FEI Wts2'!p</vt:lpstr>
      <vt:lpstr>'FEI Wts3'!p</vt:lpstr>
      <vt:lpstr>'SEI Wts'!p</vt:lpstr>
      <vt:lpstr>'SEI Wts2'!p</vt:lpstr>
      <vt:lpstr>'SEI Wts3'!p</vt:lpstr>
      <vt:lpstr>'FEI Wts'!p_max</vt:lpstr>
      <vt:lpstr>'FEI Wts2'!p_max</vt:lpstr>
      <vt:lpstr>'FEI Wts3'!p_max</vt:lpstr>
      <vt:lpstr>'SEI Wts'!p_max</vt:lpstr>
      <vt:lpstr>'SEI Wts2'!p_max</vt:lpstr>
      <vt:lpstr>'SEI Wts3'!p_max</vt:lpstr>
      <vt:lpstr>'FEI Wts'!p_min</vt:lpstr>
      <vt:lpstr>'FEI Wts2'!p_min</vt:lpstr>
      <vt:lpstr>'FEI Wts3'!p_min</vt:lpstr>
      <vt:lpstr>'SEI Wts'!p_min</vt:lpstr>
      <vt:lpstr>'SEI Wts2'!p_min</vt:lpstr>
      <vt:lpstr>'SEI Wts3'!p_min</vt:lpstr>
      <vt:lpstr>'FEI Rank'!PCA_0</vt:lpstr>
      <vt:lpstr>'SEI Rank'!PCA_0</vt:lpstr>
      <vt:lpstr>'FEI Rank'!PCA_0_loading</vt:lpstr>
      <vt:lpstr>'SEI Rank'!PCA_0_loading</vt:lpstr>
      <vt:lpstr>'FEI Rank'!PCA_0_std</vt:lpstr>
      <vt:lpstr>'SEI Rank'!PCA_0_std</vt:lpstr>
      <vt:lpstr>'FEI Rank'!PCA_1</vt:lpstr>
      <vt:lpstr>'SEI Rank'!PCA_1</vt:lpstr>
      <vt:lpstr>'FEI Rank'!PCA_1_loading</vt:lpstr>
      <vt:lpstr>'SEI Rank'!PCA_1_loading</vt:lpstr>
      <vt:lpstr>'FEI Rank'!PCA_1_std</vt:lpstr>
      <vt:lpstr>'SEI Rank'!PCA_1_std</vt:lpstr>
      <vt:lpstr>'FEI Rank'!PCA_2</vt:lpstr>
      <vt:lpstr>'SEI Rank'!PCA_2</vt:lpstr>
      <vt:lpstr>'FEI Rank'!PCA_2_loading</vt:lpstr>
      <vt:lpstr>'SEI Rank'!PCA_2_loading</vt:lpstr>
      <vt:lpstr>'FEI Rank'!PCA_2_std</vt:lpstr>
      <vt:lpstr>'SEI Rank'!PCA_2_std</vt:lpstr>
      <vt:lpstr>'SEI Rank'!PCA_3</vt:lpstr>
      <vt:lpstr>'SEI Rank'!PCA_3_loading</vt:lpstr>
      <vt:lpstr>'SEI Rank'!PCA_3_std</vt:lpstr>
      <vt:lpstr>'SEI Rank'!PCA_4</vt:lpstr>
      <vt:lpstr>'SEI Rank'!PCA_4_loading</vt:lpstr>
      <vt:lpstr>'SEI Rank'!PCA_4_std</vt:lpstr>
      <vt:lpstr>'SEI Rank'!PCA_5</vt:lpstr>
      <vt:lpstr>'SEI Rank'!PCA_5_loading</vt:lpstr>
      <vt:lpstr>'SEI Rank'!PCA_5_std</vt:lpstr>
      <vt:lpstr>'SEI Rank'!PCA_6</vt:lpstr>
      <vt:lpstr>'SEI Rank'!PCA_6_loading</vt:lpstr>
      <vt:lpstr>'SEI Rank'!PCA_6_std</vt:lpstr>
      <vt:lpstr>'SEI Rank'!PCA_7</vt:lpstr>
      <vt:lpstr>'SEI Rank'!PCA_7_loading</vt:lpstr>
      <vt:lpstr>'SEI Rank'!PCA_7_std</vt:lpstr>
      <vt:lpstr>'SEI Rank'!PCA_8</vt:lpstr>
      <vt:lpstr>'SEI Rank'!PCA_8_loading</vt:lpstr>
      <vt:lpstr>'SEI Rank'!PCA_8_std</vt:lpstr>
      <vt:lpstr>'SEI Rank'!PCA_9</vt:lpstr>
      <vt:lpstr>'SEI Rank'!PCA_9_loading</vt:lpstr>
      <vt:lpstr>'SEI Rank'!PCA_9_std</vt:lpstr>
      <vt:lpstr>'IPF Matrix'!PCA_FEI_Results_2</vt:lpstr>
      <vt:lpstr>'IPF Matrix'!PCA_FEI_Results_3</vt:lpstr>
      <vt:lpstr>'IPF Matrix'!PCA_FEI_Values_2</vt:lpstr>
      <vt:lpstr>'IPF Matrix'!PCA_FEI_Values_3</vt:lpstr>
      <vt:lpstr>'FEI Rank'!PCA_I</vt:lpstr>
      <vt:lpstr>'SEI Rank'!PCA_I</vt:lpstr>
      <vt:lpstr>'FEI Rank'!PCA_I_ALL</vt:lpstr>
      <vt:lpstr>'SEI Rank'!PCA_I_ALL</vt:lpstr>
      <vt:lpstr>'FEI Rank'!PCA_I_Sorted</vt:lpstr>
      <vt:lpstr>'SEI Rank'!PCA_I_Sorted</vt:lpstr>
      <vt:lpstr>'FEI Rank'!PCA_I_STD</vt:lpstr>
      <vt:lpstr>'SEI Rank'!PCA_I_STD</vt:lpstr>
      <vt:lpstr>'FEI Rank'!PCA_I_STD_ALL</vt:lpstr>
      <vt:lpstr>'SEI Rank'!PCA_I_STD_ALL</vt:lpstr>
      <vt:lpstr>'FEI Wts'!pca_loadings</vt:lpstr>
      <vt:lpstr>'FEI Wts2'!pca_loadings</vt:lpstr>
      <vt:lpstr>'FEI Wts3'!pca_loadings</vt:lpstr>
      <vt:lpstr>'SEI Wts'!pca_loadings</vt:lpstr>
      <vt:lpstr>'SEI Wts2'!pca_loadings</vt:lpstr>
      <vt:lpstr>'SEI Wts3'!pca_loadings</vt:lpstr>
      <vt:lpstr>'FEI Wts'!pca_loadings_pct</vt:lpstr>
      <vt:lpstr>'FEI Wts2'!pca_loadings_pct</vt:lpstr>
      <vt:lpstr>'FEI Wts3'!pca_loadings_pct</vt:lpstr>
      <vt:lpstr>'SEI Wts'!pca_loadings_pct</vt:lpstr>
      <vt:lpstr>'SEI Wts2'!pca_loadings_pct</vt:lpstr>
      <vt:lpstr>'SEI Wts3'!pca_loadings_pct</vt:lpstr>
      <vt:lpstr>'FEI Rank'!PCA_MIN_0</vt:lpstr>
      <vt:lpstr>'SEI Rank'!PCA_MIN_0</vt:lpstr>
      <vt:lpstr>'FEI Rank'!PCA_MIN_0_std</vt:lpstr>
      <vt:lpstr>'SEI Rank'!PCA_MIN_0_std</vt:lpstr>
      <vt:lpstr>'FEI Rank'!PCA_MIN_1</vt:lpstr>
      <vt:lpstr>'SEI Rank'!PCA_MIN_1</vt:lpstr>
      <vt:lpstr>'FEI Rank'!PCA_MIN_1_std</vt:lpstr>
      <vt:lpstr>'SEI Rank'!PCA_MIN_1_std</vt:lpstr>
      <vt:lpstr>'FEI Rank'!PCA_MIN_2</vt:lpstr>
      <vt:lpstr>'SEI Rank'!PCA_MIN_2</vt:lpstr>
      <vt:lpstr>'FEI Rank'!PCA_MIN_2_std</vt:lpstr>
      <vt:lpstr>'SEI Rank'!PCA_MIN_2_std</vt:lpstr>
      <vt:lpstr>'SEI Rank'!PCA_MIN_3</vt:lpstr>
      <vt:lpstr>'SEI Rank'!PCA_MIN_3_std</vt:lpstr>
      <vt:lpstr>'SEI Rank'!PCA_MIN_4</vt:lpstr>
      <vt:lpstr>'SEI Rank'!PCA_MIN_4_std</vt:lpstr>
      <vt:lpstr>'SEI Rank'!PCA_MIN_5</vt:lpstr>
      <vt:lpstr>'SEI Rank'!PCA_MIN_5_std</vt:lpstr>
      <vt:lpstr>'SEI Rank'!PCA_MIN_6</vt:lpstr>
      <vt:lpstr>'SEI Rank'!PCA_MIN_6_std</vt:lpstr>
      <vt:lpstr>'SEI Rank'!PCA_MIN_7</vt:lpstr>
      <vt:lpstr>'SEI Rank'!PCA_MIN_7_std</vt:lpstr>
      <vt:lpstr>'SEI Rank'!PCA_MIN_8</vt:lpstr>
      <vt:lpstr>'SEI Rank'!PCA_MIN_8_std</vt:lpstr>
      <vt:lpstr>'SEI Rank'!PCA_MIN_9</vt:lpstr>
      <vt:lpstr>'SEI Rank'!PCA_MIN_9_std</vt:lpstr>
      <vt:lpstr>'FEI Rank'!PCA_MIN_I</vt:lpstr>
      <vt:lpstr>'SEI Rank'!PCA_MIN_I</vt:lpstr>
      <vt:lpstr>'FEI Rank'!PCA_MIN_I_STD</vt:lpstr>
      <vt:lpstr>'SEI Rank'!PCA_MIN_I_STD</vt:lpstr>
      <vt:lpstr>'FEI Wts'!pca_per_exp</vt:lpstr>
      <vt:lpstr>'FEI Wts2'!pca_per_exp</vt:lpstr>
      <vt:lpstr>'FEI Wts3'!pca_per_exp</vt:lpstr>
      <vt:lpstr>'SEI Wts'!pca_per_exp</vt:lpstr>
      <vt:lpstr>'SEI Wts2'!pca_per_exp</vt:lpstr>
      <vt:lpstr>'SEI Wts3'!pca_per_exp</vt:lpstr>
      <vt:lpstr>'FEI Wts'!pca_per_exp_pct</vt:lpstr>
      <vt:lpstr>'FEI Wts2'!pca_per_exp_pct</vt:lpstr>
      <vt:lpstr>'FEI Wts3'!pca_per_exp_pct</vt:lpstr>
      <vt:lpstr>'SEI Wts'!pca_per_exp_pct</vt:lpstr>
      <vt:lpstr>'SEI Wts2'!pca_per_exp_pct</vt:lpstr>
      <vt:lpstr>'SEI Wts3'!pca_per_exp_pct</vt:lpstr>
      <vt:lpstr>'FEI Rank'!PCA_ProjectBudgets</vt:lpstr>
      <vt:lpstr>'SEI Rank'!PCA_ProjectBudgets</vt:lpstr>
      <vt:lpstr>'FEI Rank'!PCA_ProjectBudgets_Sorted</vt:lpstr>
      <vt:lpstr>'SEI Rank'!PCA_ProjectBudgets_Sorted</vt:lpstr>
      <vt:lpstr>'FEI Rank'!PCA_ProjectNames</vt:lpstr>
      <vt:lpstr>'SEI Rank'!PCA_ProjectNames</vt:lpstr>
      <vt:lpstr>'FEI Rank'!PCA_ProjectNames_Sorted</vt:lpstr>
      <vt:lpstr>'SEI Rank'!PCA_ProjectNames_Sorted</vt:lpstr>
      <vt:lpstr>'FEI Rank'!PCA_Rankings_Results</vt:lpstr>
      <vt:lpstr>'SEI Rank'!PCA_Rankings_Results</vt:lpstr>
      <vt:lpstr>'FEI Wts'!pca_ret_var</vt:lpstr>
      <vt:lpstr>'FEI Wts2'!pca_ret_var</vt:lpstr>
      <vt:lpstr>'FEI Wts3'!pca_ret_var</vt:lpstr>
      <vt:lpstr>'SEI Wts'!pca_ret_var</vt:lpstr>
      <vt:lpstr>'SEI Wts2'!pca_ret_var</vt:lpstr>
      <vt:lpstr>'SEI Wts3'!pca_ret_var</vt:lpstr>
      <vt:lpstr>'FEI Wts'!pca_ret_var_pct</vt:lpstr>
      <vt:lpstr>'FEI Wts2'!pca_ret_var_pct</vt:lpstr>
      <vt:lpstr>'FEI Wts3'!pca_ret_var_pct</vt:lpstr>
      <vt:lpstr>'SEI Wts'!pca_ret_var_pct</vt:lpstr>
      <vt:lpstr>'SEI Wts2'!pca_ret_var_pct</vt:lpstr>
      <vt:lpstr>'SEI Wts3'!pca_ret_var_pct</vt:lpstr>
      <vt:lpstr>'FEI Wts'!pervar_explained_headers</vt:lpstr>
      <vt:lpstr>'FEI Wts2'!pervar_explained_headers</vt:lpstr>
      <vt:lpstr>'FEI Wts3'!pervar_explained_headers</vt:lpstr>
      <vt:lpstr>'SEI Wts'!pervar_explained_headers</vt:lpstr>
      <vt:lpstr>'SEI Wts2'!pervar_explained_headers</vt:lpstr>
      <vt:lpstr>'SEI Wts3'!pervar_explained_headers</vt:lpstr>
      <vt:lpstr>'FEI Wts'!pervar_explained_headers_pct</vt:lpstr>
      <vt:lpstr>'FEI Wts2'!pervar_explained_headers_pct</vt:lpstr>
      <vt:lpstr>'FEI Wts3'!pervar_explained_headers_pct</vt:lpstr>
      <vt:lpstr>'SEI Wts'!pervar_explained_headers_pct</vt:lpstr>
      <vt:lpstr>'SEI Wts2'!pervar_explained_headers_pct</vt:lpstr>
      <vt:lpstr>'SEI Wts3'!pervar_explained_headers_pct</vt:lpstr>
      <vt:lpstr>'FEI Wts'!ProjectBudgets</vt:lpstr>
      <vt:lpstr>'FEI Wts2'!ProjectBudgets</vt:lpstr>
      <vt:lpstr>'FEI Wts3'!ProjectBudgets</vt:lpstr>
      <vt:lpstr>'SEI Wts'!ProjectBudgets</vt:lpstr>
      <vt:lpstr>'SEI Wts2'!ProjectBudgets</vt:lpstr>
      <vt:lpstr>'SEI Wts3'!ProjectBudgets</vt:lpstr>
      <vt:lpstr>FormData!projectBudgetsAnchor</vt:lpstr>
      <vt:lpstr>'FEI Wts'!ProjectNames</vt:lpstr>
      <vt:lpstr>'FEI Wts2'!ProjectNames</vt:lpstr>
      <vt:lpstr>'FEI Wts3'!ProjectNames</vt:lpstr>
      <vt:lpstr>'SEI Wts'!ProjectNames</vt:lpstr>
      <vt:lpstr>'SEI Wts2'!ProjectNames</vt:lpstr>
      <vt:lpstr>'SEI Wts3'!ProjectNames</vt:lpstr>
      <vt:lpstr>FormData!projectNamesAnchor</vt:lpstr>
      <vt:lpstr>'FEI Wts'!Q</vt:lpstr>
      <vt:lpstr>'FEI Wts2'!Q</vt:lpstr>
      <vt:lpstr>'FEI Wts3'!Q</vt:lpstr>
      <vt:lpstr>'SEI Wts'!Q</vt:lpstr>
      <vt:lpstr>'SEI Wts2'!Q</vt:lpstr>
      <vt:lpstr>'SEI Wts3'!Q</vt:lpstr>
      <vt:lpstr>'FEI Wts'!qt_g_eq_per_exp</vt:lpstr>
      <vt:lpstr>'FEI Wts2'!qt_g_eq_per_exp</vt:lpstr>
      <vt:lpstr>'FEI Wts3'!qt_g_eq_per_exp</vt:lpstr>
      <vt:lpstr>'SEI Wts'!qt_g_eq_per_exp</vt:lpstr>
      <vt:lpstr>'SEI Wts2'!qt_g_eq_per_exp</vt:lpstr>
      <vt:lpstr>'SEI Wts3'!qt_g_eq_per_exp</vt:lpstr>
      <vt:lpstr>'FEI Wts'!qt_g_eq_per_exp_pct</vt:lpstr>
      <vt:lpstr>'FEI Wts2'!qt_g_eq_per_exp_pct</vt:lpstr>
      <vt:lpstr>'FEI Wts3'!qt_g_eq_per_exp_pct</vt:lpstr>
      <vt:lpstr>'SEI Wts'!qt_g_eq_per_exp_pct</vt:lpstr>
      <vt:lpstr>'SEI Wts2'!qt_g_eq_per_exp_pct</vt:lpstr>
      <vt:lpstr>'SEI Wts3'!qt_g_eq_per_exp_pct</vt:lpstr>
      <vt:lpstr>'FEI Wts'!qt_g_eq_ret_var</vt:lpstr>
      <vt:lpstr>'FEI Wts2'!qt_g_eq_ret_var</vt:lpstr>
      <vt:lpstr>'FEI Wts3'!qt_g_eq_ret_var</vt:lpstr>
      <vt:lpstr>'SEI Wts'!qt_g_eq_ret_var</vt:lpstr>
      <vt:lpstr>'SEI Wts2'!qt_g_eq_ret_var</vt:lpstr>
      <vt:lpstr>'SEI Wts3'!qt_g_eq_ret_var</vt:lpstr>
      <vt:lpstr>'FEI Wts'!qt_g_eq_ret_var_pct</vt:lpstr>
      <vt:lpstr>'FEI Wts2'!qt_g_eq_ret_var_pct</vt:lpstr>
      <vt:lpstr>'FEI Wts3'!qt_g_eq_ret_var_pct</vt:lpstr>
      <vt:lpstr>'SEI Wts'!qt_g_eq_ret_var_pct</vt:lpstr>
      <vt:lpstr>'SEI Wts2'!qt_g_eq_ret_var_pct</vt:lpstr>
      <vt:lpstr>'SEI Wts3'!qt_g_eq_ret_var_pct</vt:lpstr>
      <vt:lpstr>'FEI Wts'!qt_g_ret_var</vt:lpstr>
      <vt:lpstr>'FEI Wts2'!qt_g_ret_var</vt:lpstr>
      <vt:lpstr>'FEI Wts3'!qt_g_ret_var</vt:lpstr>
      <vt:lpstr>'SEI Wts'!qt_g_ret_var</vt:lpstr>
      <vt:lpstr>'SEI Wts2'!qt_g_ret_var</vt:lpstr>
      <vt:lpstr>'SEI Wts3'!qt_g_ret_var</vt:lpstr>
      <vt:lpstr>'FEI Wts'!qt_g_ret_var_pct</vt:lpstr>
      <vt:lpstr>'FEI Wts2'!qt_g_ret_var_pct</vt:lpstr>
      <vt:lpstr>'FEI Wts3'!qt_g_ret_var_pct</vt:lpstr>
      <vt:lpstr>'SEI Wts'!qt_g_ret_var_pct</vt:lpstr>
      <vt:lpstr>'SEI Wts2'!qt_g_ret_var_pct</vt:lpstr>
      <vt:lpstr>'SEI Wts3'!qt_g_ret_var_pct</vt:lpstr>
      <vt:lpstr>'FEI Rank'!SA_0</vt:lpstr>
      <vt:lpstr>'SEI Rank'!SA_0</vt:lpstr>
      <vt:lpstr>'FEI Rank'!SA_0_loading</vt:lpstr>
      <vt:lpstr>'SEI Rank'!SA_0_loading</vt:lpstr>
      <vt:lpstr>'FEI Rank'!SA_0_std</vt:lpstr>
      <vt:lpstr>'SEI Rank'!SA_0_std</vt:lpstr>
      <vt:lpstr>'FEI Rank'!SA_1</vt:lpstr>
      <vt:lpstr>'SEI Rank'!SA_1</vt:lpstr>
      <vt:lpstr>'FEI Rank'!SA_1_loading</vt:lpstr>
      <vt:lpstr>'SEI Rank'!SA_1_loading</vt:lpstr>
      <vt:lpstr>'FEI Rank'!SA_1_std</vt:lpstr>
      <vt:lpstr>'SEI Rank'!SA_1_std</vt:lpstr>
      <vt:lpstr>'FEI Rank'!SA_2</vt:lpstr>
      <vt:lpstr>'SEI Rank'!SA_2</vt:lpstr>
      <vt:lpstr>'FEI Rank'!SA_2_loading</vt:lpstr>
      <vt:lpstr>'SEI Rank'!SA_2_loading</vt:lpstr>
      <vt:lpstr>'FEI Rank'!SA_2_std</vt:lpstr>
      <vt:lpstr>'SEI Rank'!SA_2_std</vt:lpstr>
      <vt:lpstr>'SEI Rank'!SA_3</vt:lpstr>
      <vt:lpstr>'SEI Rank'!SA_3_loading</vt:lpstr>
      <vt:lpstr>'SEI Rank'!SA_3_std</vt:lpstr>
      <vt:lpstr>'SEI Rank'!SA_4</vt:lpstr>
      <vt:lpstr>'SEI Rank'!SA_4_loading</vt:lpstr>
      <vt:lpstr>'SEI Rank'!SA_4_std</vt:lpstr>
      <vt:lpstr>'SEI Rank'!SA_5</vt:lpstr>
      <vt:lpstr>'SEI Rank'!SA_5_loading</vt:lpstr>
      <vt:lpstr>'SEI Rank'!SA_5_std</vt:lpstr>
      <vt:lpstr>'SEI Rank'!SA_6</vt:lpstr>
      <vt:lpstr>'SEI Rank'!SA_6_loading</vt:lpstr>
      <vt:lpstr>'SEI Rank'!SA_6_std</vt:lpstr>
      <vt:lpstr>'SEI Rank'!SA_7</vt:lpstr>
      <vt:lpstr>'SEI Rank'!SA_7_loading</vt:lpstr>
      <vt:lpstr>'SEI Rank'!SA_7_std</vt:lpstr>
      <vt:lpstr>'SEI Rank'!SA_8</vt:lpstr>
      <vt:lpstr>'SEI Rank'!SA_8_loading</vt:lpstr>
      <vt:lpstr>'SEI Rank'!SA_8_std</vt:lpstr>
      <vt:lpstr>'SEI Rank'!SA_9</vt:lpstr>
      <vt:lpstr>'SEI Rank'!SA_9_loading</vt:lpstr>
      <vt:lpstr>'SEI Rank'!SA_9_std</vt:lpstr>
      <vt:lpstr>'FEI Rank'!SA_I</vt:lpstr>
      <vt:lpstr>'SEI Rank'!SA_I</vt:lpstr>
      <vt:lpstr>'FEI Rank'!SA_I_ALL</vt:lpstr>
      <vt:lpstr>'SEI Rank'!SA_I_ALL</vt:lpstr>
      <vt:lpstr>'FEI Rank'!SA_I_Sorted</vt:lpstr>
      <vt:lpstr>'SEI Rank'!SA_I_Sorted</vt:lpstr>
      <vt:lpstr>'FEI Rank'!SA_I_STD</vt:lpstr>
      <vt:lpstr>'SEI Rank'!SA_I_STD</vt:lpstr>
      <vt:lpstr>'FEI Rank'!SA_I_STD_ALL</vt:lpstr>
      <vt:lpstr>'SEI Rank'!SA_I_STD_ALL</vt:lpstr>
      <vt:lpstr>'FEI Rank'!SA_MIN_0</vt:lpstr>
      <vt:lpstr>'SEI Rank'!SA_MIN_0</vt:lpstr>
      <vt:lpstr>'FEI Rank'!SA_MIN_0_std</vt:lpstr>
      <vt:lpstr>'SEI Rank'!SA_MIN_0_std</vt:lpstr>
      <vt:lpstr>'FEI Rank'!SA_MIN_1</vt:lpstr>
      <vt:lpstr>'SEI Rank'!SA_MIN_1</vt:lpstr>
      <vt:lpstr>'FEI Rank'!SA_MIN_1_std</vt:lpstr>
      <vt:lpstr>'SEI Rank'!SA_MIN_1_std</vt:lpstr>
      <vt:lpstr>'FEI Rank'!SA_MIN_2</vt:lpstr>
      <vt:lpstr>'SEI Rank'!SA_MIN_2</vt:lpstr>
      <vt:lpstr>'FEI Rank'!SA_MIN_2_std</vt:lpstr>
      <vt:lpstr>'SEI Rank'!SA_MIN_2_std</vt:lpstr>
      <vt:lpstr>'SEI Rank'!SA_MIN_3</vt:lpstr>
      <vt:lpstr>'SEI Rank'!SA_MIN_3_std</vt:lpstr>
      <vt:lpstr>'SEI Rank'!SA_MIN_4</vt:lpstr>
      <vt:lpstr>'SEI Rank'!SA_MIN_4_std</vt:lpstr>
      <vt:lpstr>'SEI Rank'!SA_MIN_5</vt:lpstr>
      <vt:lpstr>'SEI Rank'!SA_MIN_5_std</vt:lpstr>
      <vt:lpstr>'SEI Rank'!SA_MIN_6</vt:lpstr>
      <vt:lpstr>'SEI Rank'!SA_MIN_6_std</vt:lpstr>
      <vt:lpstr>'SEI Rank'!SA_MIN_7</vt:lpstr>
      <vt:lpstr>'SEI Rank'!SA_MIN_7_std</vt:lpstr>
      <vt:lpstr>'SEI Rank'!SA_MIN_8</vt:lpstr>
      <vt:lpstr>'SEI Rank'!SA_MIN_8_std</vt:lpstr>
      <vt:lpstr>'SEI Rank'!SA_MIN_9</vt:lpstr>
      <vt:lpstr>'SEI Rank'!SA_MIN_9_std</vt:lpstr>
      <vt:lpstr>'FEI Rank'!SA_MIN_I</vt:lpstr>
      <vt:lpstr>'SEI Rank'!SA_MIN_I</vt:lpstr>
      <vt:lpstr>'FEI Rank'!SA_MIN_I_STD</vt:lpstr>
      <vt:lpstr>'SEI Rank'!SA_MIN_I_STD</vt:lpstr>
      <vt:lpstr>'FEI Rank'!SA_ProjectBudgets</vt:lpstr>
      <vt:lpstr>'SEI Rank'!SA_ProjectBudgets</vt:lpstr>
      <vt:lpstr>'FEI Rank'!SA_ProjectBudgets_Sorted</vt:lpstr>
      <vt:lpstr>'SEI Rank'!SA_ProjectBudgets_Sorted</vt:lpstr>
      <vt:lpstr>'FEI Rank'!SA_ProjectNames</vt:lpstr>
      <vt:lpstr>'SEI Rank'!SA_ProjectNames</vt:lpstr>
      <vt:lpstr>'FEI Rank'!SA_ProjectNames_Sorted</vt:lpstr>
      <vt:lpstr>'SEI Rank'!SA_ProjectNames_Sorted</vt:lpstr>
      <vt:lpstr>'FEI Rank'!SA_Rankings_Results</vt:lpstr>
      <vt:lpstr>'SEI Rank'!SA_Rankings_Results</vt:lpstr>
      <vt:lpstr>'FEI Wts'!scenario_1_per_exp</vt:lpstr>
      <vt:lpstr>'FEI Wts2'!scenario_1_per_exp</vt:lpstr>
      <vt:lpstr>'FEI Wts3'!scenario_1_per_exp</vt:lpstr>
      <vt:lpstr>'SEI Wts'!scenario_1_per_exp</vt:lpstr>
      <vt:lpstr>'SEI Wts2'!scenario_1_per_exp</vt:lpstr>
      <vt:lpstr>'SEI Wts3'!scenario_1_per_exp</vt:lpstr>
      <vt:lpstr>'FEI Wts'!scenario_1_per_exp_pct</vt:lpstr>
      <vt:lpstr>'FEI Wts2'!scenario_1_per_exp_pct</vt:lpstr>
      <vt:lpstr>'FEI Wts3'!scenario_1_per_exp_pct</vt:lpstr>
      <vt:lpstr>'SEI Wts'!scenario_1_per_exp_pct</vt:lpstr>
      <vt:lpstr>'SEI Wts2'!scenario_1_per_exp_pct</vt:lpstr>
      <vt:lpstr>'SEI Wts3'!scenario_1_per_exp_pct</vt:lpstr>
      <vt:lpstr>'FEI Wts'!scenario_1_ret_var</vt:lpstr>
      <vt:lpstr>'FEI Wts2'!scenario_1_ret_var</vt:lpstr>
      <vt:lpstr>'FEI Wts3'!scenario_1_ret_var</vt:lpstr>
      <vt:lpstr>'SEI Wts'!scenario_1_ret_var</vt:lpstr>
      <vt:lpstr>'SEI Wts2'!scenario_1_ret_var</vt:lpstr>
      <vt:lpstr>'SEI Wts3'!scenario_1_ret_var</vt:lpstr>
      <vt:lpstr>'FEI Wts'!scenario_1_ret_var_pct</vt:lpstr>
      <vt:lpstr>'FEI Wts2'!scenario_1_ret_var_pct</vt:lpstr>
      <vt:lpstr>'FEI Wts3'!scenario_1_ret_var_pct</vt:lpstr>
      <vt:lpstr>'SEI Wts'!scenario_1_ret_var_pct</vt:lpstr>
      <vt:lpstr>'SEI Wts2'!scenario_1_ret_var_pct</vt:lpstr>
      <vt:lpstr>'SEI Wts3'!scenario_1_ret_var_pct</vt:lpstr>
      <vt:lpstr>'FEI Wts'!scenario_2_per_exp</vt:lpstr>
      <vt:lpstr>'FEI Wts2'!scenario_2_per_exp</vt:lpstr>
      <vt:lpstr>'FEI Wts3'!scenario_2_per_exp</vt:lpstr>
      <vt:lpstr>'SEI Wts'!scenario_2_per_exp</vt:lpstr>
      <vt:lpstr>'SEI Wts2'!scenario_2_per_exp</vt:lpstr>
      <vt:lpstr>'SEI Wts3'!scenario_2_per_exp</vt:lpstr>
      <vt:lpstr>'FEI Wts'!scenario_2_per_exp_pct</vt:lpstr>
      <vt:lpstr>'FEI Wts2'!scenario_2_per_exp_pct</vt:lpstr>
      <vt:lpstr>'FEI Wts3'!scenario_2_per_exp_pct</vt:lpstr>
      <vt:lpstr>'SEI Wts'!scenario_2_per_exp_pct</vt:lpstr>
      <vt:lpstr>'SEI Wts2'!scenario_2_per_exp_pct</vt:lpstr>
      <vt:lpstr>'SEI Wts3'!scenario_2_per_exp_pct</vt:lpstr>
      <vt:lpstr>'FEI Wts'!scenario_2_ret_var</vt:lpstr>
      <vt:lpstr>'FEI Wts2'!scenario_2_ret_var</vt:lpstr>
      <vt:lpstr>'FEI Wts3'!scenario_2_ret_var</vt:lpstr>
      <vt:lpstr>'SEI Wts'!scenario_2_ret_var</vt:lpstr>
      <vt:lpstr>'SEI Wts2'!scenario_2_ret_var</vt:lpstr>
      <vt:lpstr>'SEI Wts3'!scenario_2_ret_var</vt:lpstr>
      <vt:lpstr>'FEI Wts'!scenario_2_ret_var_pct</vt:lpstr>
      <vt:lpstr>'FEI Wts2'!scenario_2_ret_var_pct</vt:lpstr>
      <vt:lpstr>'FEI Wts3'!scenario_2_ret_var_pct</vt:lpstr>
      <vt:lpstr>'SEI Wts'!scenario_2_ret_var_pct</vt:lpstr>
      <vt:lpstr>'SEI Wts2'!scenario_2_ret_var_pct</vt:lpstr>
      <vt:lpstr>'SEI Wts3'!scenario_2_ret_var_pct</vt:lpstr>
      <vt:lpstr>'FEI Wts'!scenario_3_per_exp</vt:lpstr>
      <vt:lpstr>'FEI Wts2'!scenario_3_per_exp</vt:lpstr>
      <vt:lpstr>'FEI Wts3'!scenario_3_per_exp</vt:lpstr>
      <vt:lpstr>'SEI Wts'!scenario_3_per_exp</vt:lpstr>
      <vt:lpstr>'SEI Wts2'!scenario_3_per_exp</vt:lpstr>
      <vt:lpstr>'SEI Wts3'!scenario_3_per_exp</vt:lpstr>
      <vt:lpstr>'FEI Wts'!scenario_3_per_exp_pct</vt:lpstr>
      <vt:lpstr>'FEI Wts2'!scenario_3_per_exp_pct</vt:lpstr>
      <vt:lpstr>'FEI Wts3'!scenario_3_per_exp_pct</vt:lpstr>
      <vt:lpstr>'SEI Wts'!scenario_3_per_exp_pct</vt:lpstr>
      <vt:lpstr>'SEI Wts2'!scenario_3_per_exp_pct</vt:lpstr>
      <vt:lpstr>'SEI Wts3'!scenario_3_per_exp_pct</vt:lpstr>
      <vt:lpstr>'FEI Wts'!scenario_3_ret_var</vt:lpstr>
      <vt:lpstr>'FEI Wts2'!scenario_3_ret_var</vt:lpstr>
      <vt:lpstr>'FEI Wts3'!scenario_3_ret_var</vt:lpstr>
      <vt:lpstr>'SEI Wts'!scenario_3_ret_var</vt:lpstr>
      <vt:lpstr>'SEI Wts2'!scenario_3_ret_var</vt:lpstr>
      <vt:lpstr>'SEI Wts3'!scenario_3_ret_var</vt:lpstr>
      <vt:lpstr>'FEI Wts'!scenario_3_ret_var_pct</vt:lpstr>
      <vt:lpstr>'FEI Wts2'!scenario_3_ret_var_pct</vt:lpstr>
      <vt:lpstr>'FEI Wts3'!scenario_3_ret_var_pct</vt:lpstr>
      <vt:lpstr>'SEI Wts'!scenario_3_ret_var_pct</vt:lpstr>
      <vt:lpstr>'SEI Wts2'!scenario_3_ret_var_pct</vt:lpstr>
      <vt:lpstr>'SEI Wts3'!scenario_3_ret_var_pct</vt:lpstr>
      <vt:lpstr>PrioritizationData!SE_Rankings_Anchor</vt:lpstr>
      <vt:lpstr>'FEI Wts'!simple_av_loadings</vt:lpstr>
      <vt:lpstr>'FEI Wts2'!simple_av_loadings</vt:lpstr>
      <vt:lpstr>'FEI Wts3'!simple_av_loadings</vt:lpstr>
      <vt:lpstr>'SEI Wts'!simple_av_loadings</vt:lpstr>
      <vt:lpstr>'SEI Wts2'!simple_av_loadings</vt:lpstr>
      <vt:lpstr>'SEI Wts3'!simple_av_loadings</vt:lpstr>
      <vt:lpstr>'FEI Wts'!simple_av_loadings_pct</vt:lpstr>
      <vt:lpstr>'FEI Wts2'!simple_av_loadings_pct</vt:lpstr>
      <vt:lpstr>'FEI Wts3'!simple_av_loadings_pct</vt:lpstr>
      <vt:lpstr>'SEI Wts'!simple_av_loadings_pct</vt:lpstr>
      <vt:lpstr>'SEI Wts2'!simple_av_loadings_pct</vt:lpstr>
      <vt:lpstr>'SEI Wts3'!simple_av_loadings_pct</vt:lpstr>
      <vt:lpstr>'FEI Wts'!simple_av_per_exp</vt:lpstr>
      <vt:lpstr>'FEI Wts2'!simple_av_per_exp</vt:lpstr>
      <vt:lpstr>'FEI Wts3'!simple_av_per_exp</vt:lpstr>
      <vt:lpstr>'SEI Wts'!simple_av_per_exp</vt:lpstr>
      <vt:lpstr>'SEI Wts2'!simple_av_per_exp</vt:lpstr>
      <vt:lpstr>'SEI Wts3'!simple_av_per_exp</vt:lpstr>
      <vt:lpstr>'FEI Wts'!simple_av_per_exp_pct</vt:lpstr>
      <vt:lpstr>'FEI Wts2'!simple_av_per_exp_pct</vt:lpstr>
      <vt:lpstr>'FEI Wts3'!simple_av_per_exp_pct</vt:lpstr>
      <vt:lpstr>'SEI Wts'!simple_av_per_exp_pct</vt:lpstr>
      <vt:lpstr>'SEI Wts2'!simple_av_per_exp_pct</vt:lpstr>
      <vt:lpstr>'SEI Wts3'!simple_av_per_exp_pct</vt:lpstr>
      <vt:lpstr>'FEI Wts'!simple_av_ret_var</vt:lpstr>
      <vt:lpstr>'FEI Wts2'!simple_av_ret_var</vt:lpstr>
      <vt:lpstr>'FEI Wts3'!simple_av_ret_var</vt:lpstr>
      <vt:lpstr>'SEI Wts'!simple_av_ret_var</vt:lpstr>
      <vt:lpstr>'SEI Wts2'!simple_av_ret_var</vt:lpstr>
      <vt:lpstr>'SEI Wts3'!simple_av_ret_var</vt:lpstr>
      <vt:lpstr>'FEI Wts'!simple_av_ret_var_pct</vt:lpstr>
      <vt:lpstr>'FEI Wts2'!simple_av_ret_var_pct</vt:lpstr>
      <vt:lpstr>'FEI Wts3'!simple_av_ret_var_pct</vt:lpstr>
      <vt:lpstr>'SEI Wts'!simple_av_ret_var_pct</vt:lpstr>
      <vt:lpstr>'SEI Wts2'!simple_av_ret_var_pct</vt:lpstr>
      <vt:lpstr>'SEI Wts3'!simple_av_ret_var_pct</vt:lpstr>
      <vt:lpstr>'FEI Wts'!x</vt:lpstr>
      <vt:lpstr>'FEI Wts2'!x</vt:lpstr>
      <vt:lpstr>'FEI Wts3'!x</vt:lpstr>
      <vt:lpstr>'SEI Wts'!x</vt:lpstr>
      <vt:lpstr>'SEI Wts2'!x</vt:lpstr>
      <vt:lpstr>'SEI Wts3'!x</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yiannisspy@hotmail.com</dc:creator>
  <cp:lastModifiedBy>Dilip Porwal</cp:lastModifiedBy>
  <dcterms:created xsi:type="dcterms:W3CDTF">2017-06-12T23:36:39Z</dcterms:created>
  <dcterms:modified xsi:type="dcterms:W3CDTF">2019-06-18T00:13:21Z</dcterms:modified>
</cp:coreProperties>
</file>