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ricardo_b_sousa_office365_inesctec_pt/Documents/inesctec/projects/trajectory-control/doc/motor-model/"/>
    </mc:Choice>
  </mc:AlternateContent>
  <xr:revisionPtr revIDLastSave="562" documentId="8_{7A33847B-2FBC-4C71-8F38-B3B965040B33}" xr6:coauthVersionLast="47" xr6:coauthVersionMax="47" xr10:uidLastSave="{C33BA214-0DD2-4006-A0AA-4E8187200C8E}"/>
  <bookViews>
    <workbookView xWindow="-120" yWindow="-120" windowWidth="29040" windowHeight="15840" firstSheet="5" activeTab="13" xr2:uid="{0A4357D0-BA1A-40AE-AD8D-DAAF22106C7A}"/>
  </bookViews>
  <sheets>
    <sheet name="M1-Run 1" sheetId="8" r:id="rId1"/>
    <sheet name="M1-Run 2" sheetId="1" r:id="rId2"/>
    <sheet name="M1-Run 3" sheetId="3" r:id="rId3"/>
    <sheet name="M1-Run 4" sheetId="6" r:id="rId4"/>
    <sheet name="M1-Run 5" sheetId="7" r:id="rId5"/>
    <sheet name="M1-Run 6" sheetId="11" r:id="rId6"/>
    <sheet name="M1-Run 7" sheetId="16" r:id="rId7"/>
    <sheet name="M2-Run 1" sheetId="13" r:id="rId8"/>
    <sheet name="M2-Run 2" sheetId="15" r:id="rId9"/>
    <sheet name="M3-Run 2" sheetId="14" r:id="rId10"/>
    <sheet name="M3-Run 1" sheetId="12" r:id="rId11"/>
    <sheet name="Simulation Parameters" sheetId="17" r:id="rId12"/>
    <sheet name="Adjust Simulation" sheetId="18" r:id="rId13"/>
    <sheet name="Simulation Controllers" sheetId="19" r:id="rId14"/>
    <sheet name="Example" sheetId="10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3" l="1" a="1"/>
  <c r="M10" i="13" s="1"/>
  <c r="S43" i="17"/>
  <c r="S44" i="17"/>
  <c r="S42" i="17"/>
  <c r="G38" i="19"/>
  <c r="C37" i="19"/>
  <c r="C38" i="19" s="1"/>
  <c r="D37" i="19"/>
  <c r="D38" i="19" s="1"/>
  <c r="B37" i="19"/>
  <c r="B32" i="19" a="1"/>
  <c r="B32" i="19" s="1"/>
  <c r="H38" i="19"/>
  <c r="B33" i="19" a="1"/>
  <c r="B33" i="19" s="1"/>
  <c r="I28" i="19"/>
  <c r="H28" i="19"/>
  <c r="G28" i="19"/>
  <c r="D28" i="19"/>
  <c r="C28" i="19"/>
  <c r="B28" i="19"/>
  <c r="B11" i="19"/>
  <c r="E14" i="19" s="1"/>
  <c r="B10" i="19"/>
  <c r="E11" i="19"/>
  <c r="E12" i="19" s="1"/>
  <c r="E13" i="19" s="1"/>
  <c r="B38" i="19" l="1"/>
  <c r="K5" i="17"/>
  <c r="S45" i="17" l="1"/>
  <c r="M48" i="17"/>
  <c r="L48" i="17"/>
  <c r="M45" i="17"/>
  <c r="L45" i="17"/>
  <c r="I51" i="17"/>
  <c r="I48" i="17"/>
  <c r="I45" i="17"/>
  <c r="H51" i="17"/>
  <c r="H48" i="17"/>
  <c r="H45" i="17"/>
  <c r="J10" i="13" a="1"/>
  <c r="J10" i="13" s="1"/>
  <c r="L5" i="17" l="1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K13" i="12"/>
  <c r="J13" i="12"/>
  <c r="L7" i="17"/>
  <c r="L6" i="17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13" i="12"/>
  <c r="S13" i="17" l="1"/>
  <c r="S14" i="17" l="1"/>
  <c r="S15" i="17" s="1"/>
  <c r="S16" i="17"/>
  <c r="M27" i="17"/>
  <c r="L27" i="17"/>
  <c r="M24" i="17"/>
  <c r="L24" i="17"/>
  <c r="I30" i="17"/>
  <c r="H30" i="17"/>
  <c r="I27" i="17"/>
  <c r="H27" i="17"/>
  <c r="I24" i="17"/>
  <c r="H24" i="17"/>
  <c r="I21" i="17"/>
  <c r="I42" i="17" s="1"/>
  <c r="H21" i="17"/>
  <c r="H42" i="17" s="1"/>
  <c r="F14" i="17" l="1"/>
  <c r="K4" i="17"/>
  <c r="K6" i="17"/>
  <c r="K7" i="17"/>
  <c r="F10" i="17"/>
  <c r="J10" i="12" a="1"/>
  <c r="J10" i="12" s="1"/>
  <c r="J10" i="15" l="1" a="1"/>
  <c r="J10" i="15" s="1"/>
  <c r="J14" i="15"/>
  <c r="K14" i="15"/>
  <c r="J15" i="15"/>
  <c r="K15" i="15"/>
  <c r="J16" i="15"/>
  <c r="K16" i="15"/>
  <c r="J17" i="15"/>
  <c r="K17" i="15"/>
  <c r="J18" i="15"/>
  <c r="K18" i="15"/>
  <c r="J19" i="15"/>
  <c r="K19" i="15"/>
  <c r="J20" i="15"/>
  <c r="K20" i="15"/>
  <c r="J21" i="15"/>
  <c r="K21" i="15"/>
  <c r="J22" i="15"/>
  <c r="K22" i="15"/>
  <c r="J23" i="15"/>
  <c r="K23" i="15"/>
  <c r="J24" i="15"/>
  <c r="K24" i="15"/>
  <c r="J25" i="15"/>
  <c r="K25" i="15"/>
  <c r="F14" i="15"/>
  <c r="G14" i="15" s="1"/>
  <c r="H14" i="15" s="1"/>
  <c r="F15" i="15"/>
  <c r="G15" i="15" s="1"/>
  <c r="H15" i="15" s="1"/>
  <c r="F16" i="15"/>
  <c r="G16" i="15" s="1"/>
  <c r="H16" i="15" s="1"/>
  <c r="F17" i="15"/>
  <c r="G17" i="15"/>
  <c r="H17" i="15"/>
  <c r="F18" i="15"/>
  <c r="G18" i="15" s="1"/>
  <c r="H18" i="15" s="1"/>
  <c r="F19" i="15"/>
  <c r="G19" i="15" s="1"/>
  <c r="H19" i="15" s="1"/>
  <c r="F20" i="15"/>
  <c r="G20" i="15" s="1"/>
  <c r="H20" i="15" s="1"/>
  <c r="F21" i="15"/>
  <c r="G21" i="15"/>
  <c r="H21" i="15"/>
  <c r="F22" i="15"/>
  <c r="G22" i="15" s="1"/>
  <c r="H22" i="15" s="1"/>
  <c r="F23" i="15"/>
  <c r="G23" i="15" s="1"/>
  <c r="H23" i="15" s="1"/>
  <c r="F24" i="15"/>
  <c r="G24" i="15" s="1"/>
  <c r="H24" i="15" s="1"/>
  <c r="F25" i="15"/>
  <c r="G25" i="15" s="1"/>
  <c r="H25" i="15" s="1"/>
  <c r="C14" i="15"/>
  <c r="C15" i="15"/>
  <c r="C16" i="15"/>
  <c r="C17" i="15"/>
  <c r="C18" i="15"/>
  <c r="C19" i="15"/>
  <c r="C20" i="15"/>
  <c r="C21" i="15"/>
  <c r="C22" i="15"/>
  <c r="C23" i="15"/>
  <c r="C24" i="15"/>
  <c r="C25" i="15"/>
  <c r="C13" i="15"/>
  <c r="J14" i="14"/>
  <c r="J15" i="14"/>
  <c r="J16" i="14"/>
  <c r="J17" i="14"/>
  <c r="J18" i="14"/>
  <c r="J19" i="14"/>
  <c r="J20" i="14"/>
  <c r="J21" i="14"/>
  <c r="J22" i="14"/>
  <c r="J23" i="14"/>
  <c r="J24" i="14"/>
  <c r="J25" i="14"/>
  <c r="F14" i="14"/>
  <c r="G14" i="14"/>
  <c r="H14" i="14" s="1"/>
  <c r="F15" i="14"/>
  <c r="G15" i="14"/>
  <c r="H15" i="14" s="1"/>
  <c r="F16" i="14"/>
  <c r="G16" i="14" s="1"/>
  <c r="H16" i="14" s="1"/>
  <c r="F17" i="14"/>
  <c r="G17" i="14"/>
  <c r="H17" i="14"/>
  <c r="F18" i="14"/>
  <c r="G18" i="14"/>
  <c r="H18" i="14"/>
  <c r="F19" i="14"/>
  <c r="G19" i="14"/>
  <c r="H19" i="14" s="1"/>
  <c r="F20" i="14"/>
  <c r="G20" i="14" s="1"/>
  <c r="H20" i="14" s="1"/>
  <c r="F21" i="14"/>
  <c r="G21" i="14"/>
  <c r="H21" i="14"/>
  <c r="F22" i="14"/>
  <c r="G22" i="14"/>
  <c r="H22" i="14"/>
  <c r="F23" i="14"/>
  <c r="G23" i="14"/>
  <c r="H23" i="14" s="1"/>
  <c r="F24" i="14"/>
  <c r="G24" i="14" s="1"/>
  <c r="H24" i="14" s="1"/>
  <c r="F25" i="14"/>
  <c r="G25" i="14"/>
  <c r="H25" i="14"/>
  <c r="C14" i="14"/>
  <c r="K14" i="14" s="1"/>
  <c r="C15" i="14"/>
  <c r="K15" i="14" s="1"/>
  <c r="C16" i="14"/>
  <c r="K16" i="14" s="1"/>
  <c r="C17" i="14"/>
  <c r="K17" i="14" s="1"/>
  <c r="C18" i="14"/>
  <c r="K18" i="14" s="1"/>
  <c r="C19" i="14"/>
  <c r="K19" i="14" s="1"/>
  <c r="C20" i="14"/>
  <c r="K20" i="14" s="1"/>
  <c r="C21" i="14"/>
  <c r="K21" i="14" s="1"/>
  <c r="C22" i="14"/>
  <c r="K22" i="14" s="1"/>
  <c r="C23" i="14"/>
  <c r="K23" i="14" s="1"/>
  <c r="C24" i="14"/>
  <c r="K24" i="14" s="1"/>
  <c r="C25" i="14"/>
  <c r="K25" i="14" s="1"/>
  <c r="C13" i="14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F14" i="12"/>
  <c r="G14" i="12" s="1"/>
  <c r="H14" i="12" s="1"/>
  <c r="F15" i="12"/>
  <c r="G15" i="12"/>
  <c r="H15" i="12"/>
  <c r="F16" i="12"/>
  <c r="G16" i="12"/>
  <c r="H16" i="12"/>
  <c r="F17" i="12"/>
  <c r="G17" i="12" s="1"/>
  <c r="H17" i="12" s="1"/>
  <c r="F18" i="12"/>
  <c r="G18" i="12" s="1"/>
  <c r="H18" i="12" s="1"/>
  <c r="F19" i="12"/>
  <c r="G19" i="12"/>
  <c r="H19" i="12"/>
  <c r="F20" i="12"/>
  <c r="G20" i="12"/>
  <c r="H20" i="12"/>
  <c r="F21" i="12"/>
  <c r="G21" i="12" s="1"/>
  <c r="H21" i="12" s="1"/>
  <c r="F22" i="12"/>
  <c r="G22" i="12" s="1"/>
  <c r="H22" i="12" s="1"/>
  <c r="F23" i="12"/>
  <c r="G23" i="12"/>
  <c r="H23" i="12"/>
  <c r="F24" i="12"/>
  <c r="G24" i="12"/>
  <c r="H24" i="12"/>
  <c r="F25" i="12"/>
  <c r="G25" i="12" s="1"/>
  <c r="H25" i="12" s="1"/>
  <c r="F26" i="12"/>
  <c r="G26" i="12" s="1"/>
  <c r="H26" i="12" s="1"/>
  <c r="F27" i="12"/>
  <c r="G27" i="12"/>
  <c r="H27" i="12"/>
  <c r="F28" i="12"/>
  <c r="G28" i="12"/>
  <c r="H28" i="12"/>
  <c r="F29" i="12"/>
  <c r="G29" i="12" s="1"/>
  <c r="H29" i="12" s="1"/>
  <c r="F30" i="12"/>
  <c r="G30" i="12" s="1"/>
  <c r="H30" i="12" s="1"/>
  <c r="F31" i="12"/>
  <c r="G31" i="12"/>
  <c r="H31" i="12"/>
  <c r="F32" i="12"/>
  <c r="G32" i="12"/>
  <c r="H32" i="12"/>
  <c r="F33" i="12"/>
  <c r="G33" i="12" s="1"/>
  <c r="H33" i="12" s="1"/>
  <c r="F34" i="12"/>
  <c r="G34" i="12" s="1"/>
  <c r="H34" i="12" s="1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13" i="12"/>
  <c r="M14" i="13"/>
  <c r="N14" i="13"/>
  <c r="M15" i="13"/>
  <c r="N15" i="13"/>
  <c r="M16" i="13"/>
  <c r="N16" i="13"/>
  <c r="M17" i="13"/>
  <c r="N17" i="13"/>
  <c r="M18" i="13"/>
  <c r="N18" i="13"/>
  <c r="M19" i="13"/>
  <c r="N19" i="13"/>
  <c r="M20" i="13"/>
  <c r="N20" i="13"/>
  <c r="M21" i="13"/>
  <c r="N21" i="13"/>
  <c r="M22" i="13"/>
  <c r="N22" i="13"/>
  <c r="M23" i="13"/>
  <c r="N23" i="13"/>
  <c r="M24" i="13"/>
  <c r="N24" i="13"/>
  <c r="M25" i="13"/>
  <c r="N25" i="13"/>
  <c r="M26" i="13"/>
  <c r="N26" i="13"/>
  <c r="M27" i="13"/>
  <c r="N27" i="13"/>
  <c r="M28" i="13"/>
  <c r="N28" i="13"/>
  <c r="M29" i="13"/>
  <c r="N29" i="13"/>
  <c r="M30" i="13"/>
  <c r="N30" i="13"/>
  <c r="M31" i="13"/>
  <c r="N31" i="13"/>
  <c r="M32" i="13"/>
  <c r="N32" i="13"/>
  <c r="M33" i="13"/>
  <c r="N33" i="13"/>
  <c r="M34" i="13"/>
  <c r="N34" i="13"/>
  <c r="M35" i="13"/>
  <c r="N35" i="13"/>
  <c r="J14" i="13"/>
  <c r="K14" i="13"/>
  <c r="J15" i="13"/>
  <c r="K15" i="13"/>
  <c r="J16" i="13"/>
  <c r="K16" i="13"/>
  <c r="J17" i="13"/>
  <c r="K17" i="13"/>
  <c r="J18" i="13"/>
  <c r="K18" i="13"/>
  <c r="J19" i="13"/>
  <c r="K19" i="13"/>
  <c r="J20" i="13"/>
  <c r="K20" i="13"/>
  <c r="J21" i="13"/>
  <c r="K21" i="13"/>
  <c r="J22" i="13"/>
  <c r="K22" i="13"/>
  <c r="J23" i="13"/>
  <c r="K23" i="13"/>
  <c r="J24" i="13"/>
  <c r="K24" i="13"/>
  <c r="J25" i="13"/>
  <c r="K25" i="13"/>
  <c r="J26" i="13"/>
  <c r="K26" i="13"/>
  <c r="J27" i="13"/>
  <c r="K27" i="13"/>
  <c r="J28" i="13"/>
  <c r="K28" i="13"/>
  <c r="J29" i="13"/>
  <c r="K29" i="13"/>
  <c r="J30" i="13"/>
  <c r="K30" i="13"/>
  <c r="J31" i="13"/>
  <c r="K31" i="13"/>
  <c r="J32" i="13"/>
  <c r="K32" i="13"/>
  <c r="J33" i="13"/>
  <c r="K33" i="13"/>
  <c r="J34" i="13"/>
  <c r="K34" i="13"/>
  <c r="J35" i="13"/>
  <c r="K35" i="13"/>
  <c r="F14" i="13"/>
  <c r="G14" i="13"/>
  <c r="H14" i="13"/>
  <c r="F15" i="13"/>
  <c r="G15" i="13"/>
  <c r="H15" i="13" s="1"/>
  <c r="F16" i="13"/>
  <c r="G16" i="13"/>
  <c r="H16" i="13" s="1"/>
  <c r="F17" i="13"/>
  <c r="G17" i="13" s="1"/>
  <c r="H17" i="13" s="1"/>
  <c r="F18" i="13"/>
  <c r="G18" i="13"/>
  <c r="H18" i="13"/>
  <c r="F19" i="13"/>
  <c r="G19" i="13"/>
  <c r="H19" i="13" s="1"/>
  <c r="F20" i="13"/>
  <c r="G20" i="13"/>
  <c r="H20" i="13" s="1"/>
  <c r="F21" i="13"/>
  <c r="G21" i="13" s="1"/>
  <c r="H21" i="13" s="1"/>
  <c r="F22" i="13"/>
  <c r="G22" i="13"/>
  <c r="H22" i="13"/>
  <c r="F23" i="13"/>
  <c r="G23" i="13"/>
  <c r="H23" i="13" s="1"/>
  <c r="F24" i="13"/>
  <c r="G24" i="13"/>
  <c r="H24" i="13" s="1"/>
  <c r="F25" i="13"/>
  <c r="G25" i="13" s="1"/>
  <c r="H25" i="13" s="1"/>
  <c r="F26" i="13"/>
  <c r="G26" i="13"/>
  <c r="H26" i="13"/>
  <c r="F27" i="13"/>
  <c r="G27" i="13"/>
  <c r="H27" i="13" s="1"/>
  <c r="F28" i="13"/>
  <c r="G28" i="13"/>
  <c r="H28" i="13" s="1"/>
  <c r="F29" i="13"/>
  <c r="G29" i="13" s="1"/>
  <c r="H29" i="13" s="1"/>
  <c r="F30" i="13"/>
  <c r="G30" i="13"/>
  <c r="H30" i="13"/>
  <c r="F31" i="13"/>
  <c r="G31" i="13"/>
  <c r="H31" i="13" s="1"/>
  <c r="F32" i="13"/>
  <c r="G32" i="13"/>
  <c r="H32" i="13" s="1"/>
  <c r="F33" i="13"/>
  <c r="G33" i="13" s="1"/>
  <c r="H33" i="13" s="1"/>
  <c r="F34" i="13"/>
  <c r="G34" i="13"/>
  <c r="H34" i="13"/>
  <c r="F35" i="13"/>
  <c r="G35" i="13"/>
  <c r="H35" i="13" s="1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13" i="13"/>
  <c r="G13" i="14"/>
  <c r="H13" i="14" s="1"/>
  <c r="F13" i="14"/>
  <c r="F13" i="12"/>
  <c r="G13" i="12" s="1"/>
  <c r="H13" i="12" s="1"/>
  <c r="G13" i="15"/>
  <c r="H13" i="15" s="1"/>
  <c r="F13" i="15"/>
  <c r="F13" i="13"/>
  <c r="G13" i="13" s="1"/>
  <c r="H13" i="13" s="1"/>
  <c r="J10" i="16" a="1"/>
  <c r="J10" i="16" s="1"/>
  <c r="J14" i="16"/>
  <c r="K14" i="16"/>
  <c r="J15" i="16"/>
  <c r="K15" i="16"/>
  <c r="J16" i="16"/>
  <c r="K16" i="16"/>
  <c r="J17" i="16"/>
  <c r="K17" i="16"/>
  <c r="J18" i="16"/>
  <c r="K18" i="16"/>
  <c r="J19" i="16"/>
  <c r="K19" i="16"/>
  <c r="J20" i="16"/>
  <c r="K20" i="16"/>
  <c r="J21" i="16"/>
  <c r="K21" i="16"/>
  <c r="J22" i="16"/>
  <c r="K22" i="16"/>
  <c r="J23" i="16"/>
  <c r="K23" i="16"/>
  <c r="J24" i="16"/>
  <c r="K24" i="16"/>
  <c r="J25" i="16"/>
  <c r="K25" i="16"/>
  <c r="F14" i="16"/>
  <c r="G14" i="16"/>
  <c r="H14" i="16" s="1"/>
  <c r="F15" i="16"/>
  <c r="G15" i="16"/>
  <c r="H15" i="16" s="1"/>
  <c r="F16" i="16"/>
  <c r="G16" i="16" s="1"/>
  <c r="H16" i="16" s="1"/>
  <c r="F17" i="16"/>
  <c r="G17" i="16"/>
  <c r="H17" i="16" s="1"/>
  <c r="F18" i="16"/>
  <c r="G18" i="16"/>
  <c r="H18" i="16" s="1"/>
  <c r="F19" i="16"/>
  <c r="G19" i="16"/>
  <c r="H19" i="16" s="1"/>
  <c r="F20" i="16"/>
  <c r="G20" i="16" s="1"/>
  <c r="H20" i="16" s="1"/>
  <c r="F21" i="16"/>
  <c r="G21" i="16"/>
  <c r="H21" i="16"/>
  <c r="F22" i="16"/>
  <c r="G22" i="16"/>
  <c r="H22" i="16" s="1"/>
  <c r="F23" i="16"/>
  <c r="G23" i="16"/>
  <c r="H23" i="16" s="1"/>
  <c r="F24" i="16"/>
  <c r="G24" i="16" s="1"/>
  <c r="H24" i="16" s="1"/>
  <c r="F25" i="16"/>
  <c r="G25" i="16"/>
  <c r="H25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13" i="16"/>
  <c r="F13" i="16"/>
  <c r="G13" i="16" s="1"/>
  <c r="H13" i="16" s="1"/>
  <c r="G21" i="11"/>
  <c r="H21" i="11" s="1"/>
  <c r="C17" i="11"/>
  <c r="C16" i="11"/>
  <c r="C15" i="11"/>
  <c r="C13" i="11"/>
  <c r="M28" i="11"/>
  <c r="M29" i="11"/>
  <c r="M30" i="11"/>
  <c r="M31" i="11"/>
  <c r="M32" i="11"/>
  <c r="M33" i="11"/>
  <c r="M34" i="11"/>
  <c r="M35" i="11"/>
  <c r="M36" i="11"/>
  <c r="J28" i="11"/>
  <c r="K28" i="11"/>
  <c r="J29" i="11"/>
  <c r="K29" i="11"/>
  <c r="J30" i="11"/>
  <c r="K30" i="11"/>
  <c r="J31" i="11"/>
  <c r="K31" i="11"/>
  <c r="J32" i="11"/>
  <c r="K32" i="11"/>
  <c r="J33" i="11"/>
  <c r="K33" i="11"/>
  <c r="J34" i="11"/>
  <c r="K34" i="11"/>
  <c r="J35" i="11"/>
  <c r="K35" i="11"/>
  <c r="J36" i="11"/>
  <c r="K36" i="11"/>
  <c r="F28" i="11"/>
  <c r="G28" i="11"/>
  <c r="H28" i="11" s="1"/>
  <c r="F29" i="11"/>
  <c r="G29" i="11"/>
  <c r="H29" i="11" s="1"/>
  <c r="F30" i="11"/>
  <c r="G30" i="11" s="1"/>
  <c r="H30" i="11" s="1"/>
  <c r="F31" i="11"/>
  <c r="G31" i="11" s="1"/>
  <c r="H31" i="11" s="1"/>
  <c r="F32" i="11"/>
  <c r="G32" i="11"/>
  <c r="H32" i="11" s="1"/>
  <c r="F33" i="11"/>
  <c r="G33" i="11"/>
  <c r="H33" i="11" s="1"/>
  <c r="F34" i="11"/>
  <c r="G34" i="11" s="1"/>
  <c r="H34" i="11" s="1"/>
  <c r="F35" i="11"/>
  <c r="G35" i="11" s="1"/>
  <c r="H35" i="11" s="1"/>
  <c r="F36" i="11"/>
  <c r="G36" i="11"/>
  <c r="H36" i="11" s="1"/>
  <c r="M17" i="11"/>
  <c r="M18" i="11"/>
  <c r="M19" i="11"/>
  <c r="M20" i="11"/>
  <c r="M22" i="11"/>
  <c r="M23" i="11"/>
  <c r="M24" i="11"/>
  <c r="M25" i="11"/>
  <c r="M26" i="11"/>
  <c r="M27" i="11"/>
  <c r="J17" i="11"/>
  <c r="K17" i="11"/>
  <c r="J18" i="11"/>
  <c r="K18" i="11"/>
  <c r="J19" i="11"/>
  <c r="K19" i="11"/>
  <c r="J20" i="11"/>
  <c r="K20" i="11"/>
  <c r="J22" i="11"/>
  <c r="K22" i="11"/>
  <c r="J23" i="11"/>
  <c r="K23" i="11"/>
  <c r="J24" i="11"/>
  <c r="K24" i="11"/>
  <c r="J25" i="11"/>
  <c r="K25" i="11"/>
  <c r="J26" i="11"/>
  <c r="K26" i="11"/>
  <c r="J27" i="11"/>
  <c r="K27" i="11"/>
  <c r="F17" i="11"/>
  <c r="G17" i="11"/>
  <c r="H17" i="11" s="1"/>
  <c r="F18" i="11"/>
  <c r="G18" i="11"/>
  <c r="H18" i="11" s="1"/>
  <c r="F19" i="11"/>
  <c r="G19" i="11" s="1"/>
  <c r="H19" i="11" s="1"/>
  <c r="F20" i="11"/>
  <c r="G20" i="11"/>
  <c r="H20" i="11" s="1"/>
  <c r="F21" i="11"/>
  <c r="F22" i="11"/>
  <c r="G22" i="11"/>
  <c r="H22" i="11" s="1"/>
  <c r="F23" i="11"/>
  <c r="G23" i="11" s="1"/>
  <c r="H23" i="11" s="1"/>
  <c r="F24" i="11"/>
  <c r="G24" i="11"/>
  <c r="H24" i="11" s="1"/>
  <c r="F25" i="11"/>
  <c r="G25" i="11"/>
  <c r="H25" i="11" s="1"/>
  <c r="F26" i="11"/>
  <c r="G26" i="11"/>
  <c r="H26" i="11" s="1"/>
  <c r="F27" i="11"/>
  <c r="G27" i="11" s="1"/>
  <c r="H27" i="11" s="1"/>
  <c r="M14" i="11"/>
  <c r="M15" i="11"/>
  <c r="M16" i="11"/>
  <c r="K14" i="11"/>
  <c r="K15" i="11"/>
  <c r="K16" i="11"/>
  <c r="J14" i="11"/>
  <c r="J15" i="11"/>
  <c r="J16" i="11"/>
  <c r="M13" i="11"/>
  <c r="K13" i="11"/>
  <c r="J13" i="11"/>
  <c r="H14" i="11"/>
  <c r="H15" i="11"/>
  <c r="H16" i="11"/>
  <c r="H13" i="11"/>
  <c r="G14" i="11"/>
  <c r="G15" i="11"/>
  <c r="G16" i="11"/>
  <c r="G13" i="11"/>
  <c r="F14" i="11"/>
  <c r="F15" i="11"/>
  <c r="F16" i="11"/>
  <c r="F13" i="11"/>
  <c r="C14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F13" i="10"/>
  <c r="G13" i="10" s="1"/>
  <c r="H13" i="10" s="1"/>
  <c r="K13" i="15" l="1"/>
  <c r="J13" i="15"/>
  <c r="K13" i="14"/>
  <c r="J10" i="14" s="1" a="1"/>
  <c r="J10" i="14" s="1"/>
  <c r="J13" i="14"/>
  <c r="M13" i="13"/>
  <c r="J13" i="13"/>
  <c r="K13" i="13"/>
  <c r="N13" i="12"/>
  <c r="M10" i="12" s="1" a="1"/>
  <c r="J13" i="16"/>
  <c r="K13" i="16"/>
  <c r="J21" i="11"/>
  <c r="J10" i="11" s="1" a="1"/>
  <c r="K21" i="11"/>
  <c r="M21" i="11"/>
  <c r="M13" i="10"/>
  <c r="K13" i="10"/>
  <c r="J13" i="10"/>
  <c r="M10" i="8" a="1"/>
  <c r="M10" i="8" s="1"/>
  <c r="J10" i="8" a="1"/>
  <c r="J10" i="8" s="1"/>
  <c r="M29" i="8"/>
  <c r="N29" i="8"/>
  <c r="J29" i="8"/>
  <c r="K29" i="8"/>
  <c r="G29" i="8"/>
  <c r="H29" i="8"/>
  <c r="F29" i="8"/>
  <c r="F14" i="8"/>
  <c r="G14" i="8" s="1"/>
  <c r="H14" i="8" s="1"/>
  <c r="F15" i="8"/>
  <c r="F16" i="8"/>
  <c r="G16" i="8" s="1"/>
  <c r="H16" i="8" s="1"/>
  <c r="M16" i="8" s="1"/>
  <c r="F17" i="8"/>
  <c r="G17" i="8" s="1"/>
  <c r="H17" i="8" s="1"/>
  <c r="F18" i="8"/>
  <c r="G18" i="8" s="1"/>
  <c r="H18" i="8" s="1"/>
  <c r="J18" i="8" s="1"/>
  <c r="F19" i="8"/>
  <c r="F20" i="8"/>
  <c r="F21" i="8"/>
  <c r="F22" i="8"/>
  <c r="G22" i="8" s="1"/>
  <c r="H22" i="8" s="1"/>
  <c r="M22" i="8" s="1"/>
  <c r="F23" i="8"/>
  <c r="G23" i="8" s="1"/>
  <c r="H23" i="8" s="1"/>
  <c r="F24" i="8"/>
  <c r="F25" i="8"/>
  <c r="F26" i="8"/>
  <c r="F27" i="8"/>
  <c r="G27" i="8" s="1"/>
  <c r="H27" i="8" s="1"/>
  <c r="F28" i="8"/>
  <c r="G28" i="8" s="1"/>
  <c r="H28" i="8" s="1"/>
  <c r="M28" i="8" s="1"/>
  <c r="F13" i="8"/>
  <c r="G13" i="8" s="1"/>
  <c r="H13" i="8" s="1"/>
  <c r="C29" i="8"/>
  <c r="C28" i="8"/>
  <c r="C27" i="8"/>
  <c r="G26" i="8"/>
  <c r="H26" i="8" s="1"/>
  <c r="C26" i="8"/>
  <c r="G25" i="8"/>
  <c r="H25" i="8" s="1"/>
  <c r="C25" i="8"/>
  <c r="K25" i="8" s="1"/>
  <c r="G24" i="8"/>
  <c r="H24" i="8" s="1"/>
  <c r="C24" i="8"/>
  <c r="C23" i="8"/>
  <c r="C22" i="8"/>
  <c r="G21" i="8"/>
  <c r="H21" i="8" s="1"/>
  <c r="C21" i="8"/>
  <c r="G20" i="8"/>
  <c r="H20" i="8" s="1"/>
  <c r="C20" i="8"/>
  <c r="K20" i="8" s="1"/>
  <c r="G19" i="8"/>
  <c r="H19" i="8" s="1"/>
  <c r="C19" i="8"/>
  <c r="C18" i="8"/>
  <c r="C17" i="8"/>
  <c r="C16" i="8"/>
  <c r="G15" i="8"/>
  <c r="H15" i="8" s="1"/>
  <c r="C15" i="8"/>
  <c r="C14" i="8"/>
  <c r="C13" i="8"/>
  <c r="F18" i="7"/>
  <c r="G18" i="7" s="1"/>
  <c r="H18" i="7" s="1"/>
  <c r="C18" i="7"/>
  <c r="F17" i="7"/>
  <c r="G17" i="7" s="1"/>
  <c r="H17" i="7" s="1"/>
  <c r="J17" i="7" s="1"/>
  <c r="C17" i="7"/>
  <c r="F16" i="7"/>
  <c r="G16" i="7" s="1"/>
  <c r="H16" i="7" s="1"/>
  <c r="C16" i="7"/>
  <c r="F15" i="7"/>
  <c r="G15" i="7" s="1"/>
  <c r="H15" i="7" s="1"/>
  <c r="J15" i="7" s="1"/>
  <c r="C15" i="7"/>
  <c r="F14" i="7"/>
  <c r="G14" i="7" s="1"/>
  <c r="H14" i="7" s="1"/>
  <c r="C14" i="7"/>
  <c r="F13" i="7"/>
  <c r="G13" i="7" s="1"/>
  <c r="H13" i="7" s="1"/>
  <c r="J13" i="7" s="1"/>
  <c r="C13" i="7"/>
  <c r="F14" i="6"/>
  <c r="F15" i="6"/>
  <c r="G15" i="6" s="1"/>
  <c r="H15" i="6" s="1"/>
  <c r="F16" i="6"/>
  <c r="F17" i="6"/>
  <c r="G17" i="6" s="1"/>
  <c r="H17" i="6" s="1"/>
  <c r="F18" i="6"/>
  <c r="G18" i="6" s="1"/>
  <c r="H18" i="6" s="1"/>
  <c r="F19" i="6"/>
  <c r="F20" i="6"/>
  <c r="F13" i="6"/>
  <c r="G20" i="6"/>
  <c r="H20" i="6" s="1"/>
  <c r="C20" i="6"/>
  <c r="G19" i="6"/>
  <c r="H19" i="6" s="1"/>
  <c r="C19" i="6"/>
  <c r="C18" i="6"/>
  <c r="C17" i="6"/>
  <c r="G16" i="6"/>
  <c r="H16" i="6" s="1"/>
  <c r="C16" i="6"/>
  <c r="C15" i="6"/>
  <c r="G14" i="6"/>
  <c r="H14" i="6" s="1"/>
  <c r="C14" i="6"/>
  <c r="G13" i="6"/>
  <c r="H13" i="6" s="1"/>
  <c r="J13" i="6" s="1"/>
  <c r="C13" i="6"/>
  <c r="G28" i="3"/>
  <c r="H28" i="3" s="1"/>
  <c r="C28" i="3"/>
  <c r="G27" i="3"/>
  <c r="H27" i="3" s="1"/>
  <c r="C27" i="3"/>
  <c r="G26" i="3"/>
  <c r="H26" i="3" s="1"/>
  <c r="C26" i="3"/>
  <c r="K26" i="3" s="1"/>
  <c r="G25" i="3"/>
  <c r="H25" i="3" s="1"/>
  <c r="M25" i="3" s="1"/>
  <c r="C25" i="3"/>
  <c r="G24" i="3"/>
  <c r="H24" i="3" s="1"/>
  <c r="C24" i="3"/>
  <c r="G23" i="3"/>
  <c r="H23" i="3" s="1"/>
  <c r="C23" i="3"/>
  <c r="G22" i="3"/>
  <c r="H22" i="3" s="1"/>
  <c r="C22" i="3"/>
  <c r="G21" i="3"/>
  <c r="H21" i="3" s="1"/>
  <c r="J21" i="3" s="1"/>
  <c r="C21" i="3"/>
  <c r="G20" i="3"/>
  <c r="H20" i="3" s="1"/>
  <c r="C20" i="3"/>
  <c r="G19" i="3"/>
  <c r="H19" i="3" s="1"/>
  <c r="J19" i="3" s="1"/>
  <c r="C19" i="3"/>
  <c r="G18" i="3"/>
  <c r="H18" i="3" s="1"/>
  <c r="C18" i="3"/>
  <c r="G17" i="3"/>
  <c r="H17" i="3" s="1"/>
  <c r="C17" i="3"/>
  <c r="G16" i="3"/>
  <c r="H16" i="3" s="1"/>
  <c r="C16" i="3"/>
  <c r="G15" i="3"/>
  <c r="H15" i="3" s="1"/>
  <c r="C15" i="3"/>
  <c r="G14" i="3"/>
  <c r="H14" i="3" s="1"/>
  <c r="C14" i="3"/>
  <c r="G13" i="3"/>
  <c r="H13" i="3" s="1"/>
  <c r="C13" i="3"/>
  <c r="M10" i="1" a="1"/>
  <c r="M10" i="1" s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N13" i="1"/>
  <c r="M13" i="1"/>
  <c r="J10" i="1" a="1"/>
  <c r="J10" i="1" s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13" i="1"/>
  <c r="M10" i="12" l="1"/>
  <c r="J10" i="11"/>
  <c r="N15" i="11"/>
  <c r="N31" i="11"/>
  <c r="N19" i="11"/>
  <c r="N25" i="11"/>
  <c r="N16" i="11"/>
  <c r="N32" i="11"/>
  <c r="N20" i="11"/>
  <c r="N26" i="11"/>
  <c r="N17" i="11"/>
  <c r="N36" i="11"/>
  <c r="N18" i="11"/>
  <c r="N24" i="11"/>
  <c r="N14" i="11"/>
  <c r="N33" i="11"/>
  <c r="N21" i="11"/>
  <c r="N27" i="11"/>
  <c r="N28" i="11"/>
  <c r="N34" i="11"/>
  <c r="N22" i="11"/>
  <c r="N29" i="11"/>
  <c r="N35" i="11"/>
  <c r="N23" i="11"/>
  <c r="N30" i="11"/>
  <c r="J10" i="10" a="1"/>
  <c r="J14" i="8"/>
  <c r="M14" i="8"/>
  <c r="J15" i="8"/>
  <c r="K15" i="8"/>
  <c r="M15" i="8"/>
  <c r="M27" i="8"/>
  <c r="J27" i="8"/>
  <c r="K27" i="8"/>
  <c r="K14" i="8"/>
  <c r="K17" i="8"/>
  <c r="K16" i="8"/>
  <c r="K18" i="8"/>
  <c r="K28" i="8"/>
  <c r="K19" i="8"/>
  <c r="K13" i="8"/>
  <c r="J25" i="8"/>
  <c r="M25" i="8"/>
  <c r="J13" i="8"/>
  <c r="M13" i="8"/>
  <c r="M20" i="8"/>
  <c r="J20" i="8"/>
  <c r="M17" i="8"/>
  <c r="J17" i="8"/>
  <c r="M24" i="8"/>
  <c r="J24" i="8"/>
  <c r="M19" i="8"/>
  <c r="J19" i="8"/>
  <c r="M21" i="8"/>
  <c r="K21" i="8"/>
  <c r="J21" i="8"/>
  <c r="M26" i="8"/>
  <c r="K26" i="8"/>
  <c r="J26" i="8"/>
  <c r="M23" i="8"/>
  <c r="K23" i="8"/>
  <c r="J23" i="8"/>
  <c r="K24" i="8"/>
  <c r="M18" i="8"/>
  <c r="J22" i="8"/>
  <c r="K22" i="8"/>
  <c r="J16" i="8"/>
  <c r="J28" i="8"/>
  <c r="K13" i="7"/>
  <c r="K14" i="7"/>
  <c r="J14" i="7"/>
  <c r="K15" i="7"/>
  <c r="K18" i="7"/>
  <c r="J18" i="7"/>
  <c r="K16" i="7"/>
  <c r="J16" i="7"/>
  <c r="K17" i="7"/>
  <c r="J18" i="6"/>
  <c r="K13" i="6"/>
  <c r="K18" i="6"/>
  <c r="K14" i="6"/>
  <c r="K16" i="6"/>
  <c r="J19" i="6"/>
  <c r="K20" i="6"/>
  <c r="J20" i="6"/>
  <c r="J15" i="6"/>
  <c r="K17" i="6"/>
  <c r="J17" i="6"/>
  <c r="J14" i="6"/>
  <c r="K15" i="6"/>
  <c r="K19" i="6"/>
  <c r="J16" i="6"/>
  <c r="K18" i="3"/>
  <c r="K23" i="3"/>
  <c r="K14" i="3"/>
  <c r="M24" i="3"/>
  <c r="J24" i="3"/>
  <c r="J13" i="3"/>
  <c r="M13" i="3"/>
  <c r="J15" i="3"/>
  <c r="M15" i="3"/>
  <c r="M27" i="3"/>
  <c r="J27" i="3"/>
  <c r="J22" i="3"/>
  <c r="M22" i="3"/>
  <c r="K22" i="3"/>
  <c r="K19" i="3"/>
  <c r="K15" i="3"/>
  <c r="K27" i="3"/>
  <c r="K21" i="3"/>
  <c r="K16" i="3"/>
  <c r="K28" i="3"/>
  <c r="K24" i="3"/>
  <c r="K13" i="3"/>
  <c r="K25" i="3"/>
  <c r="J16" i="3"/>
  <c r="M16" i="3"/>
  <c r="M17" i="3"/>
  <c r="K17" i="3"/>
  <c r="J17" i="3"/>
  <c r="J28" i="3"/>
  <c r="M28" i="3"/>
  <c r="M20" i="3"/>
  <c r="K20" i="3"/>
  <c r="J20" i="3"/>
  <c r="M26" i="3"/>
  <c r="J26" i="3"/>
  <c r="M18" i="3"/>
  <c r="J18" i="3"/>
  <c r="M14" i="3"/>
  <c r="J14" i="3"/>
  <c r="J10" i="3" s="1" a="1"/>
  <c r="M23" i="3"/>
  <c r="J23" i="3"/>
  <c r="M19" i="3"/>
  <c r="M21" i="3"/>
  <c r="J25" i="3"/>
  <c r="N13" i="13" l="1"/>
  <c r="N13" i="11"/>
  <c r="M10" i="11" s="1" a="1"/>
  <c r="M10" i="11" s="1"/>
  <c r="J10" i="10"/>
  <c r="N13" i="10"/>
  <c r="M10" i="10" s="1" a="1"/>
  <c r="M10" i="10" s="1"/>
  <c r="J10" i="7" a="1"/>
  <c r="J10" i="7" s="1"/>
  <c r="J10" i="6" a="1"/>
  <c r="N19" i="3"/>
  <c r="N22" i="3"/>
  <c r="J10" i="3"/>
  <c r="N27" i="3"/>
  <c r="N15" i="3"/>
  <c r="N20" i="3"/>
  <c r="N25" i="3"/>
  <c r="N13" i="3"/>
  <c r="M10" i="3" s="1" a="1"/>
  <c r="M10" i="3" s="1"/>
  <c r="N24" i="3"/>
  <c r="N18" i="3"/>
  <c r="N17" i="3"/>
  <c r="N23" i="3"/>
  <c r="N28" i="3"/>
  <c r="N16" i="3"/>
  <c r="N21" i="3"/>
  <c r="N26" i="3"/>
  <c r="N14" i="3"/>
  <c r="N28" i="8" l="1"/>
  <c r="N16" i="8"/>
  <c r="N26" i="8"/>
  <c r="N21" i="8"/>
  <c r="N19" i="8"/>
  <c r="N18" i="8"/>
  <c r="N24" i="8"/>
  <c r="N17" i="8"/>
  <c r="N22" i="8"/>
  <c r="N27" i="8"/>
  <c r="N15" i="8"/>
  <c r="N20" i="8"/>
  <c r="N25" i="8"/>
  <c r="N13" i="8"/>
  <c r="N23" i="8"/>
  <c r="N14" i="8"/>
  <c r="J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<sst xmlns="http://schemas.openxmlformats.org/spreadsheetml/2006/main" count="729" uniqueCount="149">
  <si>
    <t>Model of the Motor</t>
  </si>
  <si>
    <t>Parameters:</t>
  </si>
  <si>
    <t>Conditions:</t>
  </si>
  <si>
    <t>PWMmax</t>
  </si>
  <si>
    <t>Multimeter was displaying "stupid" results (maybe because of low battery???)!</t>
  </si>
  <si>
    <t>HWctrl Period (s)</t>
  </si>
  <si>
    <t>Vbatt measures were obtain after each experiment</t>
  </si>
  <si>
    <t>Encoder Resolution (ticks/rot)</t>
  </si>
  <si>
    <t>Gear Reduction Ratio (n:1)</t>
  </si>
  <si>
    <r>
      <t xml:space="preserve">Method: </t>
    </r>
    <r>
      <rPr>
        <sz val="11"/>
        <color theme="1"/>
        <rFont val="Calibri"/>
        <family val="2"/>
        <scheme val="minor"/>
      </rPr>
      <t>LINEST</t>
    </r>
  </si>
  <si>
    <r>
      <rPr>
        <b/>
        <sz val="11"/>
        <color theme="1"/>
        <rFont val="Calibri"/>
        <family val="2"/>
        <scheme val="minor"/>
      </rPr>
      <t xml:space="preserve">Method: </t>
    </r>
    <r>
      <rPr>
        <sz val="11"/>
        <color theme="1"/>
        <rFont val="Calibri"/>
        <family val="2"/>
        <scheme val="minor"/>
      </rPr>
      <t>Least-Squares</t>
    </r>
  </si>
  <si>
    <t>R</t>
  </si>
  <si>
    <t>K</t>
  </si>
  <si>
    <t>B</t>
  </si>
  <si>
    <t>F</t>
  </si>
  <si>
    <t>Vbatt</t>
  </si>
  <si>
    <t>PWM</t>
  </si>
  <si>
    <t>V</t>
  </si>
  <si>
    <t>I</t>
  </si>
  <si>
    <t>tks/cyc</t>
  </si>
  <si>
    <t>rpm</t>
  </si>
  <si>
    <t>ω</t>
  </si>
  <si>
    <t>ωmot</t>
  </si>
  <si>
    <t>I/ωmot</t>
  </si>
  <si>
    <t>V/ωmot</t>
  </si>
  <si>
    <t>I.K</t>
  </si>
  <si>
    <t>X1</t>
  </si>
  <si>
    <t>Y1</t>
  </si>
  <si>
    <t>X2</t>
  </si>
  <si>
    <t>Y2</t>
  </si>
  <si>
    <t>Changed battery on multimeter.</t>
  </si>
  <si>
    <t>2 multimeters (one for I and another for Vbatt).</t>
  </si>
  <si>
    <t>1 multimeter (one for I).</t>
  </si>
  <si>
    <t>Vbatt measured after 4 experiments.</t>
  </si>
  <si>
    <t>Start from the end (pwm).</t>
  </si>
  <si>
    <t>2 multimeter.</t>
  </si>
  <si>
    <t>Vbatt measured after each experiment.</t>
  </si>
  <si>
    <r>
      <t xml:space="preserve">Motor coupled with another motor (but 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a resistance in series!).</t>
    </r>
  </si>
  <si>
    <r>
      <t>Motor coupled with another motor (</t>
    </r>
    <r>
      <rPr>
        <b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a resistance in series!).</t>
    </r>
  </si>
  <si>
    <t>No load.</t>
  </si>
  <si>
    <t>Two multimeters.</t>
  </si>
  <si>
    <t>Connectors for the multimeters connections.</t>
  </si>
  <si>
    <t>Load.</t>
  </si>
  <si>
    <t>Connectors for the multimeters connections</t>
  </si>
  <si>
    <t>Motor: experiments with and without a load coupled to the motor</t>
  </si>
  <si>
    <t>Motor: estimation of the PI parameters (IMC method)</t>
  </si>
  <si>
    <t>Known Parameters:</t>
  </si>
  <si>
    <t>Estimated Parameters:</t>
  </si>
  <si>
    <t>R (ohms)</t>
  </si>
  <si>
    <t>K (N.m/A)</t>
  </si>
  <si>
    <t>B (N.m.s)</t>
  </si>
  <si>
    <t>F (N.m)</t>
  </si>
  <si>
    <t>Datasheet:</t>
  </si>
  <si>
    <t>Robot</t>
  </si>
  <si>
    <t>Speed constant (rpm/V)</t>
  </si>
  <si>
    <t>(V.s/rad)</t>
  </si>
  <si>
    <t>Inertia</t>
  </si>
  <si>
    <t>Torque constant (Nm/A)</t>
  </si>
  <si>
    <t>Mass (Kg)</t>
  </si>
  <si>
    <t>Terminal resistance (ohms)</t>
  </si>
  <si>
    <t>lag</t>
  </si>
  <si>
    <t>(IGNORE THESE VALUES)</t>
  </si>
  <si>
    <t>Terminal inductance (H)</t>
  </si>
  <si>
    <t>taucl</t>
  </si>
  <si>
    <t>Rotor inertia (g.cm^2)</t>
  </si>
  <si>
    <t>(Kg.m^2)</t>
  </si>
  <si>
    <t>kc.kp</t>
  </si>
  <si>
    <t>kc</t>
  </si>
  <si>
    <t>Ti</t>
  </si>
  <si>
    <t>Motor: estimation of K and tau (1st-order model) based on the experiments with the robot on the ground</t>
  </si>
  <si>
    <t>tau</t>
  </si>
  <si>
    <t>K_avg</t>
  </si>
  <si>
    <t>tau_avg</t>
  </si>
  <si>
    <t>(all values)</t>
  </si>
  <si>
    <t>run-1_pwm_w(1)</t>
  </si>
  <si>
    <t>M1</t>
  </si>
  <si>
    <t>M2</t>
  </si>
  <si>
    <t>M3</t>
  </si>
  <si>
    <t>K_avg: v</t>
  </si>
  <si>
    <t>tau_avg: v</t>
  </si>
  <si>
    <t>(v)</t>
  </si>
  <si>
    <t>(0.5*v+0.5*vn+w)</t>
  </si>
  <si>
    <t>run-1_pwm_w(2)</t>
  </si>
  <si>
    <t>K_avg: vn</t>
  </si>
  <si>
    <t>tau_avg: vn</t>
  </si>
  <si>
    <t>(vn)</t>
  </si>
  <si>
    <t>(v,vn,w)</t>
  </si>
  <si>
    <t>run-2_pwm_v(1)</t>
  </si>
  <si>
    <t>M1-E1</t>
  </si>
  <si>
    <t>M1-E2</t>
  </si>
  <si>
    <t>M1-E3</t>
  </si>
  <si>
    <t>K_avg: w</t>
  </si>
  <si>
    <t>tau_avg: w</t>
  </si>
  <si>
    <t>(w)</t>
  </si>
  <si>
    <t>M2-E1</t>
  </si>
  <si>
    <t>M2-E2</t>
  </si>
  <si>
    <t>M2-E3</t>
  </si>
  <si>
    <t>run-2_pwm_v(2)</t>
  </si>
  <si>
    <t>1st-order model parameters to use for the PI controller (IMC method)</t>
  </si>
  <si>
    <t>run-2_pwm_vn(1)</t>
  </si>
  <si>
    <t>!!! THE VALUES SHOWN ABOVE ARE RELATIVE TO THE MOTORS !!!</t>
  </si>
  <si>
    <t>!!! WE WANT THE VALUES RELATIVE TO THE WHEELS !!!</t>
  </si>
  <si>
    <t>M3-E1</t>
  </si>
  <si>
    <t>M3-E2</t>
  </si>
  <si>
    <t>run-2_pwm_vn(2)</t>
  </si>
  <si>
    <t>run-2_pwm_w</t>
  </si>
  <si>
    <t>M3-E3</t>
  </si>
  <si>
    <t>I33</t>
  </si>
  <si>
    <t>M</t>
  </si>
  <si>
    <t>Test 0 (estimated)</t>
  </si>
  <si>
    <t>vini</t>
  </si>
  <si>
    <t>vfin</t>
  </si>
  <si>
    <t>wini</t>
  </si>
  <si>
    <t>wfin</t>
  </si>
  <si>
    <t>wini,exp</t>
  </si>
  <si>
    <t>wfin,exp</t>
  </si>
  <si>
    <t>K,exp</t>
  </si>
  <si>
    <t>tau,exp</t>
  </si>
  <si>
    <t>v (M1)</t>
  </si>
  <si>
    <t>vn (M3)</t>
  </si>
  <si>
    <t>w (M1)</t>
  </si>
  <si>
    <t>Teste 0' (datasheet)</t>
  </si>
  <si>
    <t>Test 1</t>
  </si>
  <si>
    <t>Test 2</t>
  </si>
  <si>
    <t>Test 3</t>
  </si>
  <si>
    <t>Test 3 (a Massa influencia??)</t>
  </si>
  <si>
    <t>Velocity controllers of the motors</t>
  </si>
  <si>
    <t>kp</t>
  </si>
  <si>
    <t>x (tau/x)</t>
  </si>
  <si>
    <t>v</t>
  </si>
  <si>
    <t>vn</t>
  </si>
  <si>
    <t>w</t>
  </si>
  <si>
    <t>(mas só a aplicar tensão, em malha aberta)</t>
  </si>
  <si>
    <t>Position controllers</t>
  </si>
  <si>
    <t>Kavg</t>
  </si>
  <si>
    <t>tauavg</t>
  </si>
  <si>
    <t>(pois é só uma transformação geométrica)</t>
  </si>
  <si>
    <t>Real</t>
  </si>
  <si>
    <t>Imaginário</t>
  </si>
  <si>
    <t>Kp</t>
  </si>
  <si>
    <t>bessel</t>
  </si>
  <si>
    <t>Tau</t>
  </si>
  <si>
    <t>(-polo)</t>
  </si>
  <si>
    <t>PD controller</t>
  </si>
  <si>
    <t>Tsettling</t>
  </si>
  <si>
    <t>s^2</t>
  </si>
  <si>
    <t>a1*s</t>
  </si>
  <si>
    <t>a0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</si>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</sst>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E+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2" borderId="0" xfId="0" applyNumberFormat="1" applyFill="1"/>
    <xf numFmtId="11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1</xdr:rowOff>
    </xdr:from>
    <xdr:to>
      <xdr:col>25</xdr:col>
      <xdr:colOff>247704</xdr:colOff>
      <xdr:row>11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BF4CD8-7A60-4B52-AB10-ECAEF362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00026"/>
          <a:ext cx="5124504" cy="1809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23</xdr:col>
      <xdr:colOff>135255</xdr:colOff>
      <xdr:row>35</xdr:row>
      <xdr:rowOff>110490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1ABF37-D25B-4870-9530-E891F118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2914650"/>
          <a:ext cx="3798570" cy="3568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11</xdr:col>
      <xdr:colOff>551852</xdr:colOff>
      <xdr:row>13</xdr:row>
      <xdr:rowOff>178216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89E66-F97D-4C8D-AA81-0ADA68D7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6825"/>
          <a:ext cx="3599852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8EF3E-372C-4BD2-8BB8-3B06DEDE7231}" name="TableKTau" displayName="TableKTau" ref="E20:F54" totalsRowShown="0">
  <autoFilter ref="E20:F54" xr:uid="{95B14F22-A3F9-4F38-8B7A-60CD4CAA9588}"/>
  <tableColumns count="2">
    <tableColumn id="1" xr3:uid="{79F08BF0-9D0F-4BDD-A3CC-6C052F53D21A}" name="K"/>
    <tableColumn id="2" xr3:uid="{D9187BBC-E7F9-40CE-B375-9F2FDD4057EC}" name="ta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FC05-D53A-43C6-AF07-BA8A95C2D834}">
  <dimension ref="A1:W29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4</v>
      </c>
    </row>
    <row r="5" spans="1:23" x14ac:dyDescent="0.25">
      <c r="A5" t="s">
        <v>5</v>
      </c>
      <c r="D5">
        <v>0.01</v>
      </c>
      <c r="F5" t="s">
        <v>6</v>
      </c>
    </row>
    <row r="6" spans="1:23" x14ac:dyDescent="0.25">
      <c r="A6" t="s">
        <v>7</v>
      </c>
      <c r="D6">
        <v>1024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LINEST(K13:K29,J13:J29)</f>
        <v>3.2156936719037885</v>
      </c>
      <c r="K10">
        <v>2.5732686374262993E-2</v>
      </c>
      <c r="M10" cm="1">
        <f t="array" ref="M10:N10">LINEST(N13:N29,M13:M29)</f>
        <v>1.8486400221524011E-5</v>
      </c>
      <c r="N10">
        <v>2.3319196060545312E-3</v>
      </c>
      <c r="Q10">
        <v>3.3338622999999998</v>
      </c>
      <c r="R10">
        <v>2.5556397000000002E-2</v>
      </c>
      <c r="U10" s="3">
        <v>1.8359754000000001E-5</v>
      </c>
      <c r="V10">
        <v>2.3159440999999999E-3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28.7</v>
      </c>
      <c r="B13">
        <v>50</v>
      </c>
      <c r="C13">
        <f>A13*B13/$D$4</f>
        <v>1.4027370478983383</v>
      </c>
      <c r="D13">
        <v>0.13</v>
      </c>
      <c r="E13" s="5">
        <v>62.438800000000001</v>
      </c>
      <c r="F13">
        <f>E13*60/($D$5*$D$6*$D$7)</f>
        <v>30.487695312500001</v>
      </c>
      <c r="G13">
        <f>F13*2*PI()/60</f>
        <v>3.1926639872877995</v>
      </c>
      <c r="H13">
        <f>G13*$D$7</f>
        <v>38.311967847453595</v>
      </c>
      <c r="J13">
        <f>D13/H13</f>
        <v>3.3931955810158274E-3</v>
      </c>
      <c r="K13">
        <f>C13/H13</f>
        <v>3.6613547325044835E-2</v>
      </c>
      <c r="M13">
        <f>H13</f>
        <v>38.311967847453595</v>
      </c>
      <c r="N13">
        <f>D13*$K$10</f>
        <v>3.3452492286541891E-3</v>
      </c>
      <c r="Q13">
        <v>0.13</v>
      </c>
      <c r="R13">
        <v>38.311999999999998</v>
      </c>
      <c r="S13">
        <v>1.4027000000000001</v>
      </c>
      <c r="U13">
        <v>38.311999999999998</v>
      </c>
      <c r="V13">
        <v>1</v>
      </c>
      <c r="W13">
        <v>3.3222999999999998E-3</v>
      </c>
    </row>
    <row r="14" spans="1:23" x14ac:dyDescent="0.25">
      <c r="A14">
        <v>28.7</v>
      </c>
      <c r="B14">
        <v>75</v>
      </c>
      <c r="C14">
        <f t="shared" ref="C14:C29" si="0">A14*B14/$D$4</f>
        <v>2.1041055718475072</v>
      </c>
      <c r="D14">
        <v>0.15</v>
      </c>
      <c r="E14" s="5">
        <v>103.2085</v>
      </c>
      <c r="F14">
        <f t="shared" ref="F14:F28" si="1">E14*60/($D$5*$D$6*$D$7)</f>
        <v>50.394775390625007</v>
      </c>
      <c r="G14">
        <f t="shared" ref="G14:G29" si="2">F14*2*PI()/60</f>
        <v>5.2773285382165076</v>
      </c>
      <c r="H14">
        <f t="shared" ref="H14:H29" si="3">G14*$D$7</f>
        <v>63.327942458598088</v>
      </c>
      <c r="J14">
        <f t="shared" ref="J14:J28" si="4">D14/H14</f>
        <v>2.3686226676015174E-3</v>
      </c>
      <c r="K14">
        <f t="shared" ref="K14:K28" si="5">C14/H14</f>
        <v>3.3225547683364394E-2</v>
      </c>
      <c r="M14">
        <f t="shared" ref="M14:M28" si="6">H14</f>
        <v>63.327942458598088</v>
      </c>
      <c r="N14">
        <f t="shared" ref="N14:N28" si="7">D14*$K$10</f>
        <v>3.859902956139449E-3</v>
      </c>
      <c r="Q14">
        <v>0.15</v>
      </c>
      <c r="R14">
        <v>63.328000000000003</v>
      </c>
      <c r="S14">
        <v>2.1040999999999999</v>
      </c>
      <c r="U14">
        <v>63.328000000000003</v>
      </c>
      <c r="V14">
        <v>1</v>
      </c>
      <c r="W14">
        <v>3.8335000000000001E-3</v>
      </c>
    </row>
    <row r="15" spans="1:23" x14ac:dyDescent="0.25">
      <c r="A15">
        <v>28.7</v>
      </c>
      <c r="B15">
        <v>100</v>
      </c>
      <c r="C15">
        <f t="shared" si="0"/>
        <v>2.8054740957966766</v>
      </c>
      <c r="D15">
        <v>0.17</v>
      </c>
      <c r="E15" s="5">
        <v>144.15260000000001</v>
      </c>
      <c r="F15">
        <f t="shared" si="1"/>
        <v>70.387011718750003</v>
      </c>
      <c r="G15">
        <f t="shared" si="2"/>
        <v>7.3709106307921228</v>
      </c>
      <c r="H15">
        <f t="shared" si="3"/>
        <v>88.450927569505467</v>
      </c>
      <c r="J15">
        <f t="shared" si="4"/>
        <v>1.9219696691864833E-3</v>
      </c>
      <c r="K15">
        <f t="shared" si="5"/>
        <v>3.1717859528291682E-2</v>
      </c>
      <c r="M15">
        <f t="shared" si="6"/>
        <v>88.450927569505467</v>
      </c>
      <c r="N15">
        <f t="shared" si="7"/>
        <v>4.3745566836247089E-3</v>
      </c>
      <c r="Q15">
        <v>0.17</v>
      </c>
      <c r="R15">
        <v>88.450999999999993</v>
      </c>
      <c r="S15">
        <v>2.8054999999999999</v>
      </c>
      <c r="U15">
        <v>88.450999999999993</v>
      </c>
      <c r="V15">
        <v>1</v>
      </c>
      <c r="W15">
        <v>4.3445999999999997E-3</v>
      </c>
    </row>
    <row r="16" spans="1:23" x14ac:dyDescent="0.25">
      <c r="A16">
        <v>28.7</v>
      </c>
      <c r="B16">
        <v>125</v>
      </c>
      <c r="C16">
        <f t="shared" si="0"/>
        <v>3.5068426197458455</v>
      </c>
      <c r="D16">
        <v>0.18</v>
      </c>
      <c r="E16" s="5">
        <v>183.34960000000001</v>
      </c>
      <c r="F16">
        <f t="shared" si="1"/>
        <v>89.526171875000003</v>
      </c>
      <c r="G16">
        <f t="shared" si="2"/>
        <v>9.375158795550572</v>
      </c>
      <c r="H16">
        <f t="shared" si="3"/>
        <v>112.50190554660686</v>
      </c>
      <c r="J16">
        <f t="shared" si="4"/>
        <v>1.5999728993517383E-3</v>
      </c>
      <c r="K16">
        <f t="shared" si="5"/>
        <v>3.1171406410472256E-2</v>
      </c>
      <c r="M16">
        <f t="shared" si="6"/>
        <v>112.50190554660686</v>
      </c>
      <c r="N16">
        <f t="shared" si="7"/>
        <v>4.6318835473673388E-3</v>
      </c>
      <c r="Q16">
        <v>0.18</v>
      </c>
      <c r="R16">
        <v>112.5</v>
      </c>
      <c r="S16">
        <v>3.5068000000000001</v>
      </c>
      <c r="U16">
        <v>112.5</v>
      </c>
      <c r="V16">
        <v>1</v>
      </c>
      <c r="W16">
        <v>4.6001999999999996E-3</v>
      </c>
    </row>
    <row r="17" spans="1:23" x14ac:dyDescent="0.25">
      <c r="A17">
        <v>28.7</v>
      </c>
      <c r="B17">
        <v>150</v>
      </c>
      <c r="C17">
        <f t="shared" si="0"/>
        <v>4.2082111436950145</v>
      </c>
      <c r="D17">
        <v>0.18</v>
      </c>
      <c r="E17" s="5">
        <v>225.3527</v>
      </c>
      <c r="F17">
        <f t="shared" si="1"/>
        <v>110.03549804687501</v>
      </c>
      <c r="G17">
        <f t="shared" si="2"/>
        <v>11.522890409938551</v>
      </c>
      <c r="H17">
        <f t="shared" si="3"/>
        <v>138.2746849192626</v>
      </c>
      <c r="J17">
        <f t="shared" si="4"/>
        <v>1.3017567178337847E-3</v>
      </c>
      <c r="K17">
        <f t="shared" si="5"/>
        <v>3.0433706257599884E-2</v>
      </c>
      <c r="M17">
        <f t="shared" si="6"/>
        <v>138.2746849192626</v>
      </c>
      <c r="N17">
        <f t="shared" si="7"/>
        <v>4.6318835473673388E-3</v>
      </c>
      <c r="Q17">
        <v>0.18</v>
      </c>
      <c r="R17">
        <v>138.27000000000001</v>
      </c>
      <c r="S17">
        <v>4.2081999999999997</v>
      </c>
      <c r="U17">
        <v>138.27000000000001</v>
      </c>
      <c r="V17">
        <v>1</v>
      </c>
      <c r="W17">
        <v>4.6001999999999996E-3</v>
      </c>
    </row>
    <row r="18" spans="1:23" x14ac:dyDescent="0.25">
      <c r="A18">
        <v>28.7</v>
      </c>
      <c r="B18">
        <v>175</v>
      </c>
      <c r="C18">
        <f t="shared" si="0"/>
        <v>4.9095796676441834</v>
      </c>
      <c r="D18">
        <v>0.2</v>
      </c>
      <c r="E18" s="5">
        <v>267.22190000000001</v>
      </c>
      <c r="F18">
        <f t="shared" si="1"/>
        <v>130.47944335937501</v>
      </c>
      <c r="G18">
        <f t="shared" si="2"/>
        <v>13.663775356743267</v>
      </c>
      <c r="H18">
        <f t="shared" si="3"/>
        <v>163.96530428091921</v>
      </c>
      <c r="J18">
        <f t="shared" si="4"/>
        <v>1.2197702488164393E-3</v>
      </c>
      <c r="K18">
        <f t="shared" si="5"/>
        <v>2.9942796063932384E-2</v>
      </c>
      <c r="M18">
        <f t="shared" si="6"/>
        <v>163.96530428091921</v>
      </c>
      <c r="N18">
        <f t="shared" si="7"/>
        <v>5.1465372748525987E-3</v>
      </c>
      <c r="Q18">
        <v>0.2</v>
      </c>
      <c r="R18">
        <v>163.97</v>
      </c>
      <c r="S18">
        <v>4.9096000000000002</v>
      </c>
      <c r="U18">
        <v>163.97</v>
      </c>
      <c r="V18">
        <v>1</v>
      </c>
      <c r="W18">
        <v>5.1113E-3</v>
      </c>
    </row>
    <row r="19" spans="1:23" x14ac:dyDescent="0.25">
      <c r="A19">
        <v>28.7</v>
      </c>
      <c r="B19">
        <v>200</v>
      </c>
      <c r="C19">
        <f t="shared" si="0"/>
        <v>5.6109481915933532</v>
      </c>
      <c r="D19">
        <v>0.22</v>
      </c>
      <c r="E19" s="5">
        <v>309.94499999999999</v>
      </c>
      <c r="F19">
        <f t="shared" si="1"/>
        <v>151.34033203125</v>
      </c>
      <c r="G19">
        <f t="shared" si="2"/>
        <v>15.848322510040502</v>
      </c>
      <c r="H19">
        <f t="shared" si="3"/>
        <v>190.17987012048602</v>
      </c>
      <c r="J19">
        <f t="shared" si="4"/>
        <v>1.1567996121809412E-3</v>
      </c>
      <c r="K19">
        <f t="shared" si="5"/>
        <v>2.9503375872738838E-2</v>
      </c>
      <c r="M19">
        <f t="shared" si="6"/>
        <v>190.17987012048602</v>
      </c>
      <c r="N19">
        <f t="shared" si="7"/>
        <v>5.6611910023378585E-3</v>
      </c>
      <c r="Q19">
        <v>0.22</v>
      </c>
      <c r="R19">
        <v>190.18</v>
      </c>
      <c r="S19">
        <v>5.6109</v>
      </c>
      <c r="U19">
        <v>190.18</v>
      </c>
      <c r="V19">
        <v>1</v>
      </c>
      <c r="W19">
        <v>5.6223999999999996E-3</v>
      </c>
    </row>
    <row r="20" spans="1:23" x14ac:dyDescent="0.25">
      <c r="A20">
        <v>28.7</v>
      </c>
      <c r="B20">
        <v>225</v>
      </c>
      <c r="C20">
        <f t="shared" si="0"/>
        <v>6.3123167155425222</v>
      </c>
      <c r="D20">
        <v>0.23</v>
      </c>
      <c r="E20" s="5">
        <v>351.96660000000003</v>
      </c>
      <c r="F20">
        <f t="shared" si="1"/>
        <v>171.85869140625002</v>
      </c>
      <c r="G20">
        <f t="shared" si="2"/>
        <v>17.99700007924768</v>
      </c>
      <c r="H20">
        <f t="shared" si="3"/>
        <v>215.96400095097215</v>
      </c>
      <c r="J20">
        <f t="shared" si="4"/>
        <v>1.0649923088441684E-3</v>
      </c>
      <c r="K20">
        <f t="shared" si="5"/>
        <v>2.92285597958316E-2</v>
      </c>
      <c r="M20">
        <f t="shared" si="6"/>
        <v>215.96400095097215</v>
      </c>
      <c r="N20">
        <f t="shared" si="7"/>
        <v>5.9185178660804885E-3</v>
      </c>
      <c r="Q20">
        <v>0.23</v>
      </c>
      <c r="R20">
        <v>215.96</v>
      </c>
      <c r="S20">
        <v>6.3122999999999996</v>
      </c>
      <c r="U20">
        <v>215.96</v>
      </c>
      <c r="V20">
        <v>1</v>
      </c>
      <c r="W20">
        <v>5.8780000000000004E-3</v>
      </c>
    </row>
    <row r="21" spans="1:23" x14ac:dyDescent="0.25">
      <c r="A21">
        <v>28.7</v>
      </c>
      <c r="B21">
        <v>250</v>
      </c>
      <c r="C21">
        <f t="shared" si="0"/>
        <v>7.0136852394916911</v>
      </c>
      <c r="D21">
        <v>0.25</v>
      </c>
      <c r="E21" s="5">
        <v>394.40859999999998</v>
      </c>
      <c r="F21">
        <f t="shared" si="1"/>
        <v>192.58232421875002</v>
      </c>
      <c r="G21">
        <f t="shared" si="2"/>
        <v>20.167173832562423</v>
      </c>
      <c r="H21">
        <f t="shared" si="3"/>
        <v>242.00608599074906</v>
      </c>
      <c r="J21">
        <f t="shared" si="4"/>
        <v>1.0330318718082012E-3</v>
      </c>
      <c r="K21">
        <f t="shared" si="5"/>
        <v>2.8981441564902614E-2</v>
      </c>
      <c r="M21">
        <f t="shared" si="6"/>
        <v>242.00608599074906</v>
      </c>
      <c r="N21">
        <f t="shared" si="7"/>
        <v>6.4331715935657483E-3</v>
      </c>
      <c r="Q21">
        <v>0.25</v>
      </c>
      <c r="R21">
        <v>242.01</v>
      </c>
      <c r="S21">
        <v>7.0137</v>
      </c>
      <c r="U21">
        <v>242.01</v>
      </c>
      <c r="V21">
        <v>1</v>
      </c>
      <c r="W21">
        <v>6.3891E-3</v>
      </c>
    </row>
    <row r="22" spans="1:23" x14ac:dyDescent="0.25">
      <c r="A22">
        <v>28.7</v>
      </c>
      <c r="B22">
        <v>275</v>
      </c>
      <c r="C22">
        <f t="shared" si="0"/>
        <v>7.71505376344086</v>
      </c>
      <c r="D22">
        <v>0.27</v>
      </c>
      <c r="E22" s="5">
        <v>436.49549999999999</v>
      </c>
      <c r="F22">
        <f t="shared" si="1"/>
        <v>213.132568359375</v>
      </c>
      <c r="G22">
        <f t="shared" si="2"/>
        <v>22.319190366617896</v>
      </c>
      <c r="H22">
        <f t="shared" si="3"/>
        <v>267.83028439941472</v>
      </c>
      <c r="J22">
        <f t="shared" si="4"/>
        <v>1.0081010838839629E-3</v>
      </c>
      <c r="K22">
        <f t="shared" si="5"/>
        <v>2.8805755782028805E-2</v>
      </c>
      <c r="M22">
        <f t="shared" si="6"/>
        <v>267.83028439941472</v>
      </c>
      <c r="N22">
        <f t="shared" si="7"/>
        <v>6.947825321051009E-3</v>
      </c>
      <c r="Q22">
        <v>0.27</v>
      </c>
      <c r="R22">
        <v>267.83</v>
      </c>
      <c r="S22">
        <v>7.7150999999999996</v>
      </c>
      <c r="U22">
        <v>267.83</v>
      </c>
      <c r="V22">
        <v>1</v>
      </c>
      <c r="W22">
        <v>6.9002000000000004E-3</v>
      </c>
    </row>
    <row r="23" spans="1:23" x14ac:dyDescent="0.25">
      <c r="A23">
        <v>28.7</v>
      </c>
      <c r="B23">
        <v>300</v>
      </c>
      <c r="C23">
        <f t="shared" si="0"/>
        <v>8.416422287390029</v>
      </c>
      <c r="D23">
        <v>0.28999999999999998</v>
      </c>
      <c r="E23" s="5">
        <v>478.08929999999998</v>
      </c>
      <c r="F23">
        <f t="shared" si="1"/>
        <v>233.44204101562502</v>
      </c>
      <c r="G23">
        <f t="shared" si="2"/>
        <v>24.445993369789825</v>
      </c>
      <c r="H23">
        <f t="shared" si="3"/>
        <v>293.35192043747793</v>
      </c>
      <c r="J23">
        <f t="shared" si="4"/>
        <v>9.885737225361292E-4</v>
      </c>
      <c r="K23">
        <f t="shared" si="5"/>
        <v>2.8690530727866228E-2</v>
      </c>
      <c r="M23">
        <f t="shared" si="6"/>
        <v>293.35192043747793</v>
      </c>
      <c r="N23">
        <f t="shared" si="7"/>
        <v>7.4624790485362672E-3</v>
      </c>
      <c r="Q23">
        <v>0.28999999999999998</v>
      </c>
      <c r="R23">
        <v>293.35000000000002</v>
      </c>
      <c r="S23">
        <v>8.4163999999999994</v>
      </c>
      <c r="U23">
        <v>293.35000000000002</v>
      </c>
      <c r="V23">
        <v>1</v>
      </c>
      <c r="W23">
        <v>7.4114000000000003E-3</v>
      </c>
    </row>
    <row r="24" spans="1:23" x14ac:dyDescent="0.25">
      <c r="A24">
        <v>28.7</v>
      </c>
      <c r="B24">
        <v>350</v>
      </c>
      <c r="C24">
        <f t="shared" si="0"/>
        <v>9.8191593352883668</v>
      </c>
      <c r="D24">
        <v>0.33</v>
      </c>
      <c r="E24" s="5">
        <v>549.24789999999996</v>
      </c>
      <c r="F24">
        <f t="shared" si="1"/>
        <v>268.18745117187495</v>
      </c>
      <c r="G24">
        <f t="shared" si="2"/>
        <v>28.084524212884457</v>
      </c>
      <c r="H24">
        <f t="shared" si="3"/>
        <v>337.01429055461347</v>
      </c>
      <c r="J24">
        <f t="shared" si="4"/>
        <v>9.7918696402140605E-4</v>
      </c>
      <c r="K24">
        <f t="shared" si="5"/>
        <v>2.9135735814434738E-2</v>
      </c>
      <c r="M24">
        <f t="shared" si="6"/>
        <v>337.01429055461347</v>
      </c>
      <c r="N24">
        <f t="shared" si="7"/>
        <v>8.4917865035067878E-3</v>
      </c>
      <c r="Q24">
        <v>0.33</v>
      </c>
      <c r="R24">
        <v>337.01</v>
      </c>
      <c r="S24">
        <v>9.8192000000000004</v>
      </c>
      <c r="U24">
        <v>337.01</v>
      </c>
      <c r="V24">
        <v>1</v>
      </c>
      <c r="W24">
        <v>8.4335999999999994E-3</v>
      </c>
    </row>
    <row r="25" spans="1:23" x14ac:dyDescent="0.25">
      <c r="A25">
        <v>28.7</v>
      </c>
      <c r="B25">
        <v>400</v>
      </c>
      <c r="C25">
        <f t="shared" si="0"/>
        <v>11.221896383186706</v>
      </c>
      <c r="D25">
        <v>0.38</v>
      </c>
      <c r="E25" s="5">
        <v>641.37239999999997</v>
      </c>
      <c r="F25">
        <f t="shared" si="1"/>
        <v>313.17011718750001</v>
      </c>
      <c r="G25">
        <f t="shared" si="2"/>
        <v>32.795097982670157</v>
      </c>
      <c r="H25">
        <f t="shared" si="3"/>
        <v>393.54117579204188</v>
      </c>
      <c r="J25">
        <f t="shared" si="4"/>
        <v>9.6559146380352989E-4</v>
      </c>
      <c r="K25">
        <f t="shared" si="5"/>
        <v>2.8515177250770497E-2</v>
      </c>
      <c r="M25">
        <f t="shared" si="6"/>
        <v>393.54117579204188</v>
      </c>
      <c r="N25">
        <f t="shared" si="7"/>
        <v>9.7784208222199374E-3</v>
      </c>
      <c r="Q25">
        <v>0.38</v>
      </c>
      <c r="R25">
        <v>393.54</v>
      </c>
      <c r="S25">
        <v>11.222</v>
      </c>
      <c r="U25">
        <v>393.54</v>
      </c>
      <c r="V25">
        <v>1</v>
      </c>
      <c r="W25">
        <v>9.7114000000000002E-3</v>
      </c>
    </row>
    <row r="26" spans="1:23" x14ac:dyDescent="0.25">
      <c r="A26">
        <v>28.7</v>
      </c>
      <c r="B26">
        <v>450</v>
      </c>
      <c r="C26">
        <f t="shared" si="0"/>
        <v>12.624633431085044</v>
      </c>
      <c r="D26">
        <v>0.42</v>
      </c>
      <c r="E26" s="5">
        <v>719.37260000000003</v>
      </c>
      <c r="F26">
        <f t="shared" si="1"/>
        <v>351.25615234374999</v>
      </c>
      <c r="G26">
        <f t="shared" si="2"/>
        <v>36.783458257711409</v>
      </c>
      <c r="H26">
        <f t="shared" si="3"/>
        <v>441.40149909253694</v>
      </c>
      <c r="J26">
        <f t="shared" si="4"/>
        <v>9.5151466604319291E-4</v>
      </c>
      <c r="K26">
        <f t="shared" si="5"/>
        <v>2.8601247293087176E-2</v>
      </c>
      <c r="M26">
        <f t="shared" si="6"/>
        <v>441.40149909253694</v>
      </c>
      <c r="N26">
        <f t="shared" si="7"/>
        <v>1.0807728277190457E-2</v>
      </c>
      <c r="Q26">
        <v>0.42</v>
      </c>
      <c r="R26">
        <v>441.4</v>
      </c>
      <c r="S26">
        <v>12.625</v>
      </c>
      <c r="U26">
        <v>441.4</v>
      </c>
      <c r="V26">
        <v>1</v>
      </c>
      <c r="W26">
        <v>1.0734E-2</v>
      </c>
    </row>
    <row r="27" spans="1:23" x14ac:dyDescent="0.25">
      <c r="A27">
        <v>28.7</v>
      </c>
      <c r="B27">
        <v>500</v>
      </c>
      <c r="C27">
        <f t="shared" si="0"/>
        <v>14.027370478983382</v>
      </c>
      <c r="D27">
        <v>0.46</v>
      </c>
      <c r="E27" s="5">
        <v>804.25170000000003</v>
      </c>
      <c r="F27">
        <f t="shared" si="1"/>
        <v>392.70102539062503</v>
      </c>
      <c r="G27">
        <f t="shared" si="2"/>
        <v>41.123555214145547</v>
      </c>
      <c r="H27">
        <f t="shared" si="3"/>
        <v>493.48266256974659</v>
      </c>
      <c r="J27">
        <f t="shared" si="4"/>
        <v>9.3215027576573823E-4</v>
      </c>
      <c r="K27">
        <f t="shared" si="5"/>
        <v>2.8425254913592466E-2</v>
      </c>
      <c r="M27">
        <f t="shared" si="6"/>
        <v>493.48266256974659</v>
      </c>
      <c r="N27">
        <f t="shared" si="7"/>
        <v>1.1837035732160977E-2</v>
      </c>
      <c r="Q27">
        <v>0.46</v>
      </c>
      <c r="R27">
        <v>493.48</v>
      </c>
      <c r="S27">
        <v>14.026999999999999</v>
      </c>
      <c r="U27">
        <v>493.48</v>
      </c>
      <c r="V27">
        <v>1</v>
      </c>
      <c r="W27">
        <v>1.1756000000000001E-2</v>
      </c>
    </row>
    <row r="28" spans="1:23" x14ac:dyDescent="0.25">
      <c r="A28">
        <v>28.7</v>
      </c>
      <c r="B28">
        <v>550</v>
      </c>
      <c r="C28">
        <f t="shared" si="0"/>
        <v>15.43010752688172</v>
      </c>
      <c r="D28">
        <v>0.47</v>
      </c>
      <c r="E28" s="5">
        <v>871.36659999999995</v>
      </c>
      <c r="F28">
        <f t="shared" si="1"/>
        <v>425.47197265624999</v>
      </c>
      <c r="G28">
        <f t="shared" si="2"/>
        <v>44.555320786841079</v>
      </c>
      <c r="H28">
        <f t="shared" si="3"/>
        <v>534.6638494420929</v>
      </c>
      <c r="J28">
        <f t="shared" si="4"/>
        <v>8.7905700093700388E-4</v>
      </c>
      <c r="K28">
        <f t="shared" si="5"/>
        <v>2.8859455418544969E-2</v>
      </c>
      <c r="M28">
        <f t="shared" si="6"/>
        <v>534.6638494420929</v>
      </c>
      <c r="N28">
        <f t="shared" si="7"/>
        <v>1.2094362595903607E-2</v>
      </c>
      <c r="Q28">
        <v>0.47</v>
      </c>
      <c r="R28">
        <v>534.66</v>
      </c>
      <c r="S28">
        <v>15.43</v>
      </c>
      <c r="U28">
        <v>534.66</v>
      </c>
      <c r="V28">
        <v>1</v>
      </c>
      <c r="W28">
        <v>1.2012E-2</v>
      </c>
    </row>
    <row r="29" spans="1:23" x14ac:dyDescent="0.25">
      <c r="A29">
        <v>28.7</v>
      </c>
      <c r="B29">
        <v>600</v>
      </c>
      <c r="C29">
        <f t="shared" si="0"/>
        <v>16.832844574780058</v>
      </c>
      <c r="D29">
        <v>0.52</v>
      </c>
      <c r="E29" s="5">
        <v>965.4778</v>
      </c>
      <c r="F29">
        <f>E29*60/($D$5*$D$6*$D$7)</f>
        <v>471.42470703125002</v>
      </c>
      <c r="G29">
        <f t="shared" si="2"/>
        <v>49.367479877669858</v>
      </c>
      <c r="H29">
        <f t="shared" si="3"/>
        <v>592.40975853203827</v>
      </c>
      <c r="J29">
        <f>D29/H29</f>
        <v>8.7777082080574428E-4</v>
      </c>
      <c r="K29">
        <f>C29/H29</f>
        <v>2.8414191920961944E-2</v>
      </c>
      <c r="M29">
        <f>H29</f>
        <v>592.40975853203827</v>
      </c>
      <c r="N29">
        <f>D29*$K$10</f>
        <v>1.3380996914616756E-2</v>
      </c>
      <c r="Q29">
        <v>0.52</v>
      </c>
      <c r="R29">
        <v>592.41</v>
      </c>
      <c r="S29">
        <v>16.832999999999998</v>
      </c>
      <c r="U29">
        <v>592.41</v>
      </c>
      <c r="V29">
        <v>1</v>
      </c>
      <c r="W29">
        <v>1.3289E-2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49FB-CFFB-44F9-A958-C3D638C1DC24}">
  <dimension ref="A1:W43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30</v>
      </c>
    </row>
    <row r="5" spans="1:23" x14ac:dyDescent="0.25">
      <c r="A5" t="s">
        <v>5</v>
      </c>
      <c r="D5">
        <v>0.01</v>
      </c>
      <c r="F5" t="s">
        <v>31</v>
      </c>
    </row>
    <row r="6" spans="1:23" x14ac:dyDescent="0.25">
      <c r="A6" t="s">
        <v>7</v>
      </c>
      <c r="D6">
        <v>1024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LINEST(K13:K43,J13:J43)</f>
        <v>1.9410550996977434</v>
      </c>
      <c r="K10">
        <v>2.9463686994331471E-2</v>
      </c>
      <c r="M10" cm="1">
        <f t="array" ref="M10:N10">LINEST(N13:N43,M13:M43)</f>
        <v>4.4464406987657774E-6</v>
      </c>
      <c r="N10">
        <v>4.2117616879386085E-3</v>
      </c>
      <c r="Q10">
        <v>1.7801776</v>
      </c>
      <c r="R10">
        <v>2.9553561999999998E-2</v>
      </c>
      <c r="U10" s="3">
        <v>4.4600039999999998E-6</v>
      </c>
      <c r="V10">
        <v>4.2246091000000003E-3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28.9</v>
      </c>
      <c r="B13">
        <v>50</v>
      </c>
      <c r="C13">
        <f>A13*B13/$D$4</f>
        <v>1.4125122189638319</v>
      </c>
      <c r="D13">
        <v>0.13</v>
      </c>
      <c r="E13" s="2"/>
      <c r="F13">
        <v>31.3</v>
      </c>
      <c r="G13">
        <f>F13*2*PI()/60</f>
        <v>3.2777283352453508</v>
      </c>
      <c r="H13">
        <f>G13*$D$7</f>
        <v>39.332740022944208</v>
      </c>
      <c r="J13">
        <f>D13/H13</f>
        <v>3.3051346009499035E-3</v>
      </c>
      <c r="K13">
        <f>C13/H13</f>
        <v>3.5911869301245285E-2</v>
      </c>
      <c r="M13">
        <f>H13</f>
        <v>39.332740022944208</v>
      </c>
      <c r="N13">
        <f>D13*$K$10</f>
        <v>3.8302793092630915E-3</v>
      </c>
      <c r="Q13">
        <v>0.13</v>
      </c>
      <c r="R13">
        <v>39.332999999999998</v>
      </c>
      <c r="S13">
        <v>1.4125000000000001</v>
      </c>
      <c r="U13">
        <v>39.332999999999998</v>
      </c>
      <c r="V13">
        <v>1</v>
      </c>
      <c r="W13">
        <v>3.8419999999999999E-3</v>
      </c>
    </row>
    <row r="14" spans="1:23" x14ac:dyDescent="0.25">
      <c r="A14">
        <v>28.85</v>
      </c>
      <c r="B14">
        <v>75</v>
      </c>
      <c r="C14">
        <f t="shared" ref="C14:C43" si="0">A14*B14/$D$4</f>
        <v>2.1151026392961878</v>
      </c>
      <c r="D14">
        <v>0.14000000000000001</v>
      </c>
      <c r="E14" s="2"/>
      <c r="F14">
        <v>49.8</v>
      </c>
      <c r="G14">
        <f t="shared" ref="G14:G43" si="1">F14*2*PI()/60</f>
        <v>5.2150438049590564</v>
      </c>
      <c r="H14">
        <f t="shared" ref="H14:H43" si="2">G14*$D$7</f>
        <v>62.58052565950868</v>
      </c>
      <c r="J14">
        <f t="shared" ref="J14:J43" si="3">D14/H14</f>
        <v>2.2371176739824647E-3</v>
      </c>
      <c r="K14">
        <f t="shared" ref="K14:K43" si="4">C14/H14</f>
        <v>3.3798096404688997E-2</v>
      </c>
      <c r="M14">
        <f t="shared" ref="M14:M43" si="5">H14</f>
        <v>62.58052565950868</v>
      </c>
      <c r="N14">
        <f t="shared" ref="N14:N43" si="6">D14*$K$10</f>
        <v>4.124916179206406E-3</v>
      </c>
      <c r="Q14">
        <v>0.14000000000000001</v>
      </c>
      <c r="R14">
        <v>62.581000000000003</v>
      </c>
      <c r="S14">
        <v>2.1151</v>
      </c>
      <c r="U14">
        <v>62.581000000000003</v>
      </c>
      <c r="V14">
        <v>1</v>
      </c>
      <c r="W14">
        <v>4.1374999999999997E-3</v>
      </c>
    </row>
    <row r="15" spans="1:23" x14ac:dyDescent="0.25">
      <c r="A15">
        <v>28.8</v>
      </c>
      <c r="B15">
        <v>100</v>
      </c>
      <c r="C15">
        <f t="shared" si="0"/>
        <v>2.8152492668621703</v>
      </c>
      <c r="D15">
        <v>0.15</v>
      </c>
      <c r="E15" s="2"/>
      <c r="F15">
        <v>68.900000000000006</v>
      </c>
      <c r="G15">
        <f t="shared" si="1"/>
        <v>7.2151911277445588</v>
      </c>
      <c r="H15">
        <f t="shared" si="2"/>
        <v>86.582293532934699</v>
      </c>
      <c r="J15">
        <f t="shared" si="3"/>
        <v>1.7324558391715748E-3</v>
      </c>
      <c r="K15">
        <f t="shared" si="4"/>
        <v>3.2515300207325744E-2</v>
      </c>
      <c r="M15">
        <f t="shared" si="5"/>
        <v>86.582293532934699</v>
      </c>
      <c r="N15">
        <f t="shared" si="6"/>
        <v>4.4195530491497204E-3</v>
      </c>
      <c r="Q15">
        <v>0.15</v>
      </c>
      <c r="R15">
        <v>86.581999999999994</v>
      </c>
      <c r="S15">
        <v>2.8151999999999999</v>
      </c>
      <c r="U15">
        <v>86.581999999999994</v>
      </c>
      <c r="V15">
        <v>1</v>
      </c>
      <c r="W15">
        <v>4.4330000000000003E-3</v>
      </c>
    </row>
    <row r="16" spans="1:23" x14ac:dyDescent="0.25">
      <c r="A16">
        <v>28.8</v>
      </c>
      <c r="B16">
        <v>125</v>
      </c>
      <c r="C16">
        <f t="shared" si="0"/>
        <v>3.5190615835777126</v>
      </c>
      <c r="D16">
        <v>0.15</v>
      </c>
      <c r="E16" s="2"/>
      <c r="F16">
        <v>85.9</v>
      </c>
      <c r="G16">
        <f t="shared" si="1"/>
        <v>8.9954269647787743</v>
      </c>
      <c r="H16">
        <f t="shared" si="2"/>
        <v>107.9451235773453</v>
      </c>
      <c r="J16">
        <f t="shared" si="3"/>
        <v>1.3895949629676543E-3</v>
      </c>
      <c r="K16">
        <f t="shared" si="4"/>
        <v>3.2600468339417106E-2</v>
      </c>
      <c r="M16">
        <f t="shared" si="5"/>
        <v>107.9451235773453</v>
      </c>
      <c r="N16">
        <f t="shared" si="6"/>
        <v>4.4195530491497204E-3</v>
      </c>
      <c r="Q16">
        <v>0.15</v>
      </c>
      <c r="R16">
        <v>107.95</v>
      </c>
      <c r="S16">
        <v>3.5190999999999999</v>
      </c>
      <c r="U16">
        <v>107.95</v>
      </c>
      <c r="V16">
        <v>1</v>
      </c>
      <c r="W16">
        <v>4.4330000000000003E-3</v>
      </c>
    </row>
    <row r="17" spans="1:23" x14ac:dyDescent="0.25">
      <c r="A17">
        <v>28.8</v>
      </c>
      <c r="B17">
        <v>150</v>
      </c>
      <c r="C17">
        <f t="shared" si="0"/>
        <v>4.2228739002932549</v>
      </c>
      <c r="D17">
        <v>0.16</v>
      </c>
      <c r="E17" s="2"/>
      <c r="F17">
        <v>105</v>
      </c>
      <c r="G17">
        <f t="shared" si="1"/>
        <v>10.995574287564276</v>
      </c>
      <c r="H17">
        <f t="shared" si="2"/>
        <v>131.94689145077132</v>
      </c>
      <c r="J17">
        <f t="shared" si="3"/>
        <v>1.2126090902239645E-3</v>
      </c>
      <c r="K17">
        <f t="shared" si="4"/>
        <v>3.2004345489782052E-2</v>
      </c>
      <c r="M17">
        <f t="shared" si="5"/>
        <v>131.94689145077132</v>
      </c>
      <c r="N17">
        <f t="shared" si="6"/>
        <v>4.7141899190930358E-3</v>
      </c>
      <c r="Q17">
        <v>0.16</v>
      </c>
      <c r="R17">
        <v>131.94999999999999</v>
      </c>
      <c r="S17">
        <v>4.2229000000000001</v>
      </c>
      <c r="U17">
        <v>131.94999999999999</v>
      </c>
      <c r="V17">
        <v>1</v>
      </c>
      <c r="W17">
        <v>4.7286000000000003E-3</v>
      </c>
    </row>
    <row r="18" spans="1:23" x14ac:dyDescent="0.25">
      <c r="A18">
        <v>28.8</v>
      </c>
      <c r="B18">
        <v>175</v>
      </c>
      <c r="C18">
        <f t="shared" si="0"/>
        <v>4.9266862170087977</v>
      </c>
      <c r="D18">
        <v>0.17</v>
      </c>
      <c r="E18" s="2"/>
      <c r="F18">
        <v>124.1</v>
      </c>
      <c r="G18">
        <f t="shared" si="1"/>
        <v>12.995721610349777</v>
      </c>
      <c r="H18">
        <f t="shared" si="2"/>
        <v>155.94865932419734</v>
      </c>
      <c r="J18">
        <f t="shared" si="3"/>
        <v>1.0901023499444887E-3</v>
      </c>
      <c r="K18">
        <f t="shared" si="4"/>
        <v>3.1591718956473017E-2</v>
      </c>
      <c r="M18">
        <f t="shared" si="5"/>
        <v>155.94865932419734</v>
      </c>
      <c r="N18">
        <f t="shared" si="6"/>
        <v>5.0088267890363502E-3</v>
      </c>
      <c r="Q18">
        <v>0.17</v>
      </c>
      <c r="R18">
        <v>155.94999999999999</v>
      </c>
      <c r="S18">
        <v>4.9267000000000003</v>
      </c>
      <c r="U18">
        <v>155.94999999999999</v>
      </c>
      <c r="V18">
        <v>1</v>
      </c>
      <c r="W18">
        <v>5.0241000000000001E-3</v>
      </c>
    </row>
    <row r="19" spans="1:23" x14ac:dyDescent="0.25">
      <c r="A19">
        <v>28.8</v>
      </c>
      <c r="B19">
        <v>200</v>
      </c>
      <c r="C19">
        <f t="shared" si="0"/>
        <v>5.6304985337243405</v>
      </c>
      <c r="D19">
        <v>0.18</v>
      </c>
      <c r="E19" s="2"/>
      <c r="F19">
        <v>143.5</v>
      </c>
      <c r="G19">
        <f t="shared" si="1"/>
        <v>15.027284859671177</v>
      </c>
      <c r="H19">
        <f t="shared" si="2"/>
        <v>180.32741831605412</v>
      </c>
      <c r="J19">
        <f t="shared" si="3"/>
        <v>9.9818431207460492E-4</v>
      </c>
      <c r="K19">
        <f t="shared" si="4"/>
        <v>3.1223751697348347E-2</v>
      </c>
      <c r="M19">
        <f t="shared" si="5"/>
        <v>180.32741831605412</v>
      </c>
      <c r="N19">
        <f t="shared" si="6"/>
        <v>5.3034636589796647E-3</v>
      </c>
      <c r="Q19">
        <v>0.18</v>
      </c>
      <c r="R19">
        <v>180.33</v>
      </c>
      <c r="S19">
        <v>5.6304999999999996</v>
      </c>
      <c r="U19">
        <v>180.33</v>
      </c>
      <c r="V19">
        <v>1</v>
      </c>
      <c r="W19">
        <v>5.3195999999999998E-3</v>
      </c>
    </row>
    <row r="20" spans="1:23" x14ac:dyDescent="0.25">
      <c r="A20">
        <v>28.8</v>
      </c>
      <c r="B20">
        <v>225</v>
      </c>
      <c r="C20">
        <f t="shared" si="0"/>
        <v>6.3343108504398824</v>
      </c>
      <c r="D20">
        <v>0.19</v>
      </c>
      <c r="E20" s="2"/>
      <c r="F20">
        <v>161</v>
      </c>
      <c r="G20">
        <f t="shared" si="1"/>
        <v>16.859880574265222</v>
      </c>
      <c r="H20">
        <f t="shared" si="2"/>
        <v>202.31856689118268</v>
      </c>
      <c r="J20">
        <f t="shared" si="3"/>
        <v>9.3911301824410294E-4</v>
      </c>
      <c r="K20">
        <f t="shared" si="4"/>
        <v>3.1308598848699833E-2</v>
      </c>
      <c r="M20">
        <f t="shared" si="5"/>
        <v>202.31856689118268</v>
      </c>
      <c r="N20">
        <f t="shared" si="6"/>
        <v>5.5981005289229792E-3</v>
      </c>
      <c r="Q20">
        <v>0.19</v>
      </c>
      <c r="R20">
        <v>202.32</v>
      </c>
      <c r="S20">
        <v>6.3342999999999998</v>
      </c>
      <c r="U20">
        <v>202.32</v>
      </c>
      <c r="V20">
        <v>1</v>
      </c>
      <c r="W20">
        <v>5.6151999999999999E-3</v>
      </c>
    </row>
    <row r="21" spans="1:23" x14ac:dyDescent="0.25">
      <c r="A21">
        <v>28.8</v>
      </c>
      <c r="B21">
        <v>250</v>
      </c>
      <c r="C21">
        <f t="shared" si="0"/>
        <v>7.0381231671554252</v>
      </c>
      <c r="D21">
        <v>0.2</v>
      </c>
      <c r="E21" s="2"/>
      <c r="F21">
        <v>180.3</v>
      </c>
      <c r="G21">
        <f t="shared" si="1"/>
        <v>18.880971848074658</v>
      </c>
      <c r="H21">
        <f t="shared" si="2"/>
        <v>226.5716621768959</v>
      </c>
      <c r="J21">
        <f t="shared" si="3"/>
        <v>8.827229234159475E-4</v>
      </c>
      <c r="K21">
        <f t="shared" si="4"/>
        <v>3.1063563287364721E-2</v>
      </c>
      <c r="M21">
        <f t="shared" si="5"/>
        <v>226.5716621768959</v>
      </c>
      <c r="N21">
        <f t="shared" si="6"/>
        <v>5.8927373988662945E-3</v>
      </c>
      <c r="Q21">
        <v>0.2</v>
      </c>
      <c r="R21">
        <v>226.57</v>
      </c>
      <c r="S21">
        <v>7.0381</v>
      </c>
      <c r="U21">
        <v>226.57</v>
      </c>
      <c r="V21">
        <v>1</v>
      </c>
      <c r="W21">
        <v>5.9106999999999996E-3</v>
      </c>
    </row>
    <row r="22" spans="1:23" x14ac:dyDescent="0.25">
      <c r="A22">
        <v>28.8</v>
      </c>
      <c r="B22">
        <v>275</v>
      </c>
      <c r="C22">
        <f t="shared" si="0"/>
        <v>7.741935483870968</v>
      </c>
      <c r="D22">
        <v>0.2</v>
      </c>
      <c r="E22" s="2"/>
      <c r="F22">
        <v>199.4</v>
      </c>
      <c r="G22">
        <f t="shared" si="1"/>
        <v>20.881119170860156</v>
      </c>
      <c r="H22">
        <f t="shared" si="2"/>
        <v>250.57343005032186</v>
      </c>
      <c r="J22">
        <f t="shared" si="3"/>
        <v>7.9816922312886342E-4</v>
      </c>
      <c r="K22">
        <f t="shared" si="4"/>
        <v>3.0896873153375359E-2</v>
      </c>
      <c r="M22">
        <f t="shared" si="5"/>
        <v>250.57343005032186</v>
      </c>
      <c r="N22">
        <f t="shared" si="6"/>
        <v>5.8927373988662945E-3</v>
      </c>
      <c r="Q22">
        <v>0.2</v>
      </c>
      <c r="R22">
        <v>250.57</v>
      </c>
      <c r="S22">
        <v>7.7419000000000002</v>
      </c>
      <c r="U22">
        <v>250.57</v>
      </c>
      <c r="V22">
        <v>1</v>
      </c>
      <c r="W22">
        <v>5.9106999999999996E-3</v>
      </c>
    </row>
    <row r="23" spans="1:23" x14ac:dyDescent="0.25">
      <c r="A23">
        <v>28.8</v>
      </c>
      <c r="B23">
        <v>300</v>
      </c>
      <c r="C23">
        <f t="shared" si="0"/>
        <v>8.4457478005865099</v>
      </c>
      <c r="D23">
        <v>0.19</v>
      </c>
      <c r="E23" s="2"/>
      <c r="F23">
        <v>219.1</v>
      </c>
      <c r="G23">
        <f t="shared" si="1"/>
        <v>22.944098346717453</v>
      </c>
      <c r="H23">
        <f t="shared" si="2"/>
        <v>275.32918016060944</v>
      </c>
      <c r="J23">
        <f t="shared" si="3"/>
        <v>6.9008304854997987E-4</v>
      </c>
      <c r="K23">
        <f t="shared" si="4"/>
        <v>3.0675091523752768E-2</v>
      </c>
      <c r="M23">
        <f t="shared" si="5"/>
        <v>275.32918016060944</v>
      </c>
      <c r="N23">
        <f t="shared" si="6"/>
        <v>5.5981005289229792E-3</v>
      </c>
      <c r="Q23">
        <v>0.19</v>
      </c>
      <c r="R23">
        <v>275.33</v>
      </c>
      <c r="S23">
        <v>8.4457000000000004</v>
      </c>
      <c r="U23">
        <v>275.33</v>
      </c>
      <c r="V23">
        <v>1</v>
      </c>
      <c r="W23">
        <v>5.6151999999999999E-3</v>
      </c>
    </row>
    <row r="24" spans="1:23" x14ac:dyDescent="0.25">
      <c r="A24">
        <v>28.8</v>
      </c>
      <c r="B24">
        <v>325</v>
      </c>
      <c r="C24">
        <f t="shared" si="0"/>
        <v>9.1495601173020535</v>
      </c>
      <c r="D24">
        <v>0.19</v>
      </c>
      <c r="E24" s="2"/>
      <c r="F24">
        <v>236.1</v>
      </c>
      <c r="G24">
        <f t="shared" si="1"/>
        <v>24.724334183751672</v>
      </c>
      <c r="H24">
        <f t="shared" si="2"/>
        <v>296.6920102050201</v>
      </c>
      <c r="J24">
        <f t="shared" si="3"/>
        <v>6.4039473078060386E-4</v>
      </c>
      <c r="K24">
        <f t="shared" si="4"/>
        <v>3.0838579410950518E-2</v>
      </c>
      <c r="M24">
        <f t="shared" si="5"/>
        <v>296.6920102050201</v>
      </c>
      <c r="N24">
        <f t="shared" si="6"/>
        <v>5.5981005289229792E-3</v>
      </c>
      <c r="Q24">
        <v>0.19</v>
      </c>
      <c r="R24">
        <v>296.69</v>
      </c>
      <c r="S24">
        <v>9.1495999999999995</v>
      </c>
      <c r="U24">
        <v>296.69</v>
      </c>
      <c r="V24">
        <v>1</v>
      </c>
      <c r="W24">
        <v>5.6151999999999999E-3</v>
      </c>
    </row>
    <row r="25" spans="1:23" x14ac:dyDescent="0.25">
      <c r="A25">
        <v>28.7</v>
      </c>
      <c r="B25">
        <v>350</v>
      </c>
      <c r="C25">
        <f t="shared" si="0"/>
        <v>9.8191593352883668</v>
      </c>
      <c r="D25">
        <v>0.19</v>
      </c>
      <c r="E25" s="2"/>
      <c r="F25">
        <v>255.8</v>
      </c>
      <c r="G25">
        <f t="shared" si="1"/>
        <v>26.787313359608969</v>
      </c>
      <c r="H25">
        <f t="shared" si="2"/>
        <v>321.44776031530762</v>
      </c>
      <c r="J25">
        <f t="shared" si="3"/>
        <v>5.9107582461806322E-4</v>
      </c>
      <c r="K25">
        <f t="shared" si="4"/>
        <v>3.0546672111377501E-2</v>
      </c>
      <c r="M25">
        <f t="shared" si="5"/>
        <v>321.44776031530762</v>
      </c>
      <c r="N25">
        <f t="shared" si="6"/>
        <v>5.5981005289229792E-3</v>
      </c>
      <c r="Q25">
        <v>0.19</v>
      </c>
      <c r="R25">
        <v>321.45</v>
      </c>
      <c r="S25">
        <v>9.8192000000000004</v>
      </c>
      <c r="U25">
        <v>321.45</v>
      </c>
      <c r="V25">
        <v>1</v>
      </c>
      <c r="W25">
        <v>5.6151999999999999E-3</v>
      </c>
    </row>
    <row r="26" spans="1:23" x14ac:dyDescent="0.25">
      <c r="A26">
        <v>28.7</v>
      </c>
      <c r="B26">
        <v>375</v>
      </c>
      <c r="C26">
        <f t="shared" si="0"/>
        <v>10.520527859237538</v>
      </c>
      <c r="D26">
        <v>0.2</v>
      </c>
      <c r="E26" s="2"/>
      <c r="F26">
        <v>274.5</v>
      </c>
      <c r="G26">
        <f t="shared" si="1"/>
        <v>28.745572780346606</v>
      </c>
      <c r="H26">
        <f t="shared" si="2"/>
        <v>344.94687336415927</v>
      </c>
      <c r="J26">
        <f t="shared" si="3"/>
        <v>5.797994283857754E-4</v>
      </c>
      <c r="K26">
        <f t="shared" si="4"/>
        <v>3.0498980195512747E-2</v>
      </c>
      <c r="M26">
        <f t="shared" si="5"/>
        <v>344.94687336415927</v>
      </c>
      <c r="N26">
        <f t="shared" si="6"/>
        <v>5.8927373988662945E-3</v>
      </c>
      <c r="Q26">
        <v>0.2</v>
      </c>
      <c r="R26">
        <v>344.95</v>
      </c>
      <c r="S26">
        <v>10.521000000000001</v>
      </c>
      <c r="U26">
        <v>344.95</v>
      </c>
      <c r="V26">
        <v>1</v>
      </c>
      <c r="W26">
        <v>5.9106999999999996E-3</v>
      </c>
    </row>
    <row r="27" spans="1:23" x14ac:dyDescent="0.25">
      <c r="A27">
        <v>28.7</v>
      </c>
      <c r="B27">
        <v>400</v>
      </c>
      <c r="C27">
        <f t="shared" si="0"/>
        <v>11.221896383186706</v>
      </c>
      <c r="D27">
        <v>0.19</v>
      </c>
      <c r="E27" s="2"/>
      <c r="F27">
        <v>294</v>
      </c>
      <c r="G27">
        <f t="shared" si="1"/>
        <v>30.787608005179973</v>
      </c>
      <c r="H27">
        <f t="shared" si="2"/>
        <v>369.45129606215966</v>
      </c>
      <c r="J27">
        <f t="shared" si="3"/>
        <v>5.1427617665748501E-4</v>
      </c>
      <c r="K27">
        <f t="shared" si="4"/>
        <v>3.0374494562061677E-2</v>
      </c>
      <c r="M27">
        <f t="shared" si="5"/>
        <v>369.45129606215966</v>
      </c>
      <c r="N27">
        <f t="shared" si="6"/>
        <v>5.5981005289229792E-3</v>
      </c>
      <c r="Q27">
        <v>0.19</v>
      </c>
      <c r="R27">
        <v>369.45</v>
      </c>
      <c r="S27">
        <v>11.222</v>
      </c>
      <c r="U27">
        <v>369.45</v>
      </c>
      <c r="V27">
        <v>1</v>
      </c>
      <c r="W27">
        <v>5.6151999999999999E-3</v>
      </c>
    </row>
    <row r="28" spans="1:23" x14ac:dyDescent="0.25">
      <c r="A28">
        <v>28.7</v>
      </c>
      <c r="B28">
        <v>425</v>
      </c>
      <c r="C28">
        <f t="shared" si="0"/>
        <v>11.923264907135875</v>
      </c>
      <c r="D28">
        <v>0.19</v>
      </c>
      <c r="E28" s="2"/>
      <c r="F28">
        <v>312.7</v>
      </c>
      <c r="G28">
        <f t="shared" si="1"/>
        <v>32.745867425917609</v>
      </c>
      <c r="H28">
        <f t="shared" si="2"/>
        <v>392.95040911101131</v>
      </c>
      <c r="J28">
        <f t="shared" si="3"/>
        <v>4.8352157319251867E-4</v>
      </c>
      <c r="K28">
        <f t="shared" si="4"/>
        <v>3.0342925292049936E-2</v>
      </c>
      <c r="M28">
        <f t="shared" si="5"/>
        <v>392.95040911101131</v>
      </c>
      <c r="N28">
        <f t="shared" si="6"/>
        <v>5.5981005289229792E-3</v>
      </c>
      <c r="Q28">
        <v>0.19</v>
      </c>
      <c r="R28">
        <v>392.95</v>
      </c>
      <c r="S28">
        <v>11.923</v>
      </c>
      <c r="U28">
        <v>392.95</v>
      </c>
      <c r="V28">
        <v>1</v>
      </c>
      <c r="W28">
        <v>5.6151999999999999E-3</v>
      </c>
    </row>
    <row r="29" spans="1:23" x14ac:dyDescent="0.25">
      <c r="A29">
        <v>28.7</v>
      </c>
      <c r="B29">
        <v>450</v>
      </c>
      <c r="C29">
        <f t="shared" si="0"/>
        <v>12.624633431085044</v>
      </c>
      <c r="D29">
        <v>0.2</v>
      </c>
      <c r="E29" s="2"/>
      <c r="F29">
        <v>330.4</v>
      </c>
      <c r="G29">
        <f t="shared" si="1"/>
        <v>34.599407091535582</v>
      </c>
      <c r="H29">
        <f t="shared" si="2"/>
        <v>415.19288509842698</v>
      </c>
      <c r="J29">
        <f t="shared" si="3"/>
        <v>4.8170382291735892E-4</v>
      </c>
      <c r="K29">
        <f t="shared" si="4"/>
        <v>3.0406670933419793E-2</v>
      </c>
      <c r="M29">
        <f t="shared" si="5"/>
        <v>415.19288509842698</v>
      </c>
      <c r="N29">
        <f t="shared" si="6"/>
        <v>5.8927373988662945E-3</v>
      </c>
      <c r="Q29">
        <v>0.2</v>
      </c>
      <c r="R29">
        <v>415.19</v>
      </c>
      <c r="S29">
        <v>12.625</v>
      </c>
      <c r="U29">
        <v>415.19</v>
      </c>
      <c r="V29">
        <v>1</v>
      </c>
      <c r="W29">
        <v>5.9106999999999996E-3</v>
      </c>
    </row>
    <row r="30" spans="1:23" x14ac:dyDescent="0.25">
      <c r="A30">
        <v>28.7</v>
      </c>
      <c r="B30">
        <v>475</v>
      </c>
      <c r="C30">
        <f t="shared" si="0"/>
        <v>13.326001955034213</v>
      </c>
      <c r="D30">
        <v>0.2</v>
      </c>
      <c r="E30" s="2"/>
      <c r="F30">
        <v>349.3</v>
      </c>
      <c r="G30">
        <f t="shared" si="1"/>
        <v>36.57861046329716</v>
      </c>
      <c r="H30">
        <f t="shared" si="2"/>
        <v>438.94332555956589</v>
      </c>
      <c r="J30">
        <f t="shared" si="3"/>
        <v>4.5563968821040753E-4</v>
      </c>
      <c r="K30">
        <f t="shared" si="4"/>
        <v>3.0359276879415351E-2</v>
      </c>
      <c r="M30">
        <f t="shared" si="5"/>
        <v>438.94332555956589</v>
      </c>
      <c r="N30">
        <f t="shared" si="6"/>
        <v>5.8927373988662945E-3</v>
      </c>
      <c r="Q30">
        <v>0.2</v>
      </c>
      <c r="R30">
        <v>438.94</v>
      </c>
      <c r="S30">
        <v>13.326000000000001</v>
      </c>
      <c r="U30">
        <v>438.94</v>
      </c>
      <c r="V30">
        <v>1</v>
      </c>
      <c r="W30">
        <v>5.9106999999999996E-3</v>
      </c>
    </row>
    <row r="31" spans="1:23" x14ac:dyDescent="0.25">
      <c r="A31">
        <v>28.7</v>
      </c>
      <c r="B31">
        <v>500</v>
      </c>
      <c r="C31">
        <f t="shared" si="0"/>
        <v>14.027370478983382</v>
      </c>
      <c r="D31">
        <v>0.21</v>
      </c>
      <c r="E31" s="2"/>
      <c r="F31">
        <v>368.1</v>
      </c>
      <c r="G31">
        <f t="shared" si="1"/>
        <v>38.547341859546769</v>
      </c>
      <c r="H31">
        <f t="shared" si="2"/>
        <v>462.5681023145612</v>
      </c>
      <c r="J31">
        <f t="shared" si="3"/>
        <v>4.5398720523360522E-4</v>
      </c>
      <c r="K31">
        <f t="shared" si="4"/>
        <v>3.0324984383476399E-2</v>
      </c>
      <c r="M31">
        <f t="shared" si="5"/>
        <v>462.5681023145612</v>
      </c>
      <c r="N31">
        <f t="shared" si="6"/>
        <v>6.1873742688096089E-3</v>
      </c>
      <c r="Q31">
        <v>0.21</v>
      </c>
      <c r="R31">
        <v>462.57</v>
      </c>
      <c r="S31">
        <v>14.026999999999999</v>
      </c>
      <c r="U31">
        <v>462.57</v>
      </c>
      <c r="V31">
        <v>1</v>
      </c>
      <c r="W31">
        <v>6.2062000000000003E-3</v>
      </c>
    </row>
    <row r="32" spans="1:23" x14ac:dyDescent="0.25">
      <c r="A32">
        <v>28.7</v>
      </c>
      <c r="B32">
        <v>525</v>
      </c>
      <c r="C32">
        <f t="shared" si="0"/>
        <v>14.728739002932551</v>
      </c>
      <c r="D32">
        <v>0.22</v>
      </c>
      <c r="E32" s="2"/>
      <c r="F32">
        <v>386.5</v>
      </c>
      <c r="G32">
        <f t="shared" si="1"/>
        <v>40.474185353748496</v>
      </c>
      <c r="H32">
        <f t="shared" si="2"/>
        <v>485.69022424498195</v>
      </c>
      <c r="J32">
        <f t="shared" si="3"/>
        <v>4.5296361552673973E-4</v>
      </c>
      <c r="K32">
        <f t="shared" si="4"/>
        <v>3.0325376685991071E-2</v>
      </c>
      <c r="M32">
        <f t="shared" si="5"/>
        <v>485.69022424498195</v>
      </c>
      <c r="N32">
        <f t="shared" si="6"/>
        <v>6.4820111387529234E-3</v>
      </c>
      <c r="Q32">
        <v>0.22</v>
      </c>
      <c r="R32">
        <v>485.69</v>
      </c>
      <c r="S32">
        <v>14.728999999999999</v>
      </c>
      <c r="U32">
        <v>485.69</v>
      </c>
      <c r="V32">
        <v>1</v>
      </c>
      <c r="W32">
        <v>6.5018000000000003E-3</v>
      </c>
    </row>
    <row r="33" spans="1:23" x14ac:dyDescent="0.25">
      <c r="A33">
        <v>28.7</v>
      </c>
      <c r="B33">
        <v>550</v>
      </c>
      <c r="C33">
        <f t="shared" si="0"/>
        <v>15.43010752688172</v>
      </c>
      <c r="D33">
        <v>0.22</v>
      </c>
      <c r="E33" s="2"/>
      <c r="F33">
        <v>403.9</v>
      </c>
      <c r="G33">
        <f t="shared" si="1"/>
        <v>42.296309092830583</v>
      </c>
      <c r="H33">
        <f t="shared" si="2"/>
        <v>507.555709113967</v>
      </c>
      <c r="J33">
        <f t="shared" si="3"/>
        <v>4.3344995642754364E-4</v>
      </c>
      <c r="K33">
        <f t="shared" si="4"/>
        <v>3.0400815614541794E-2</v>
      </c>
      <c r="M33">
        <f t="shared" si="5"/>
        <v>507.555709113967</v>
      </c>
      <c r="N33">
        <f t="shared" si="6"/>
        <v>6.4820111387529234E-3</v>
      </c>
      <c r="Q33">
        <v>0.22</v>
      </c>
      <c r="R33">
        <v>507.56</v>
      </c>
      <c r="S33">
        <v>15.43</v>
      </c>
      <c r="U33">
        <v>507.56</v>
      </c>
      <c r="V33">
        <v>1</v>
      </c>
      <c r="W33">
        <v>6.5018000000000003E-3</v>
      </c>
    </row>
    <row r="34" spans="1:23" x14ac:dyDescent="0.25">
      <c r="A34">
        <v>28.7</v>
      </c>
      <c r="B34">
        <v>575</v>
      </c>
      <c r="C34">
        <f t="shared" si="0"/>
        <v>16.131476050830891</v>
      </c>
      <c r="D34">
        <v>0.23</v>
      </c>
      <c r="E34" s="2"/>
      <c r="F34">
        <v>422.4</v>
      </c>
      <c r="G34">
        <f t="shared" si="1"/>
        <v>44.233624562544286</v>
      </c>
      <c r="H34">
        <f t="shared" si="2"/>
        <v>530.8034947505314</v>
      </c>
      <c r="J34">
        <f t="shared" si="3"/>
        <v>4.3330536116401437E-4</v>
      </c>
      <c r="K34">
        <f t="shared" si="4"/>
        <v>3.0390674157886637E-2</v>
      </c>
      <c r="M34">
        <f t="shared" si="5"/>
        <v>530.8034947505314</v>
      </c>
      <c r="N34">
        <f t="shared" si="6"/>
        <v>6.7766480086962387E-3</v>
      </c>
      <c r="Q34">
        <v>0.23</v>
      </c>
      <c r="R34">
        <v>530.79999999999995</v>
      </c>
      <c r="S34">
        <v>16.131</v>
      </c>
      <c r="U34">
        <v>530.79999999999995</v>
      </c>
      <c r="V34">
        <v>1</v>
      </c>
      <c r="W34">
        <v>6.7973E-3</v>
      </c>
    </row>
    <row r="35" spans="1:23" x14ac:dyDescent="0.25">
      <c r="A35">
        <v>28.65</v>
      </c>
      <c r="B35">
        <v>600</v>
      </c>
      <c r="C35">
        <f t="shared" si="0"/>
        <v>16.803519061583579</v>
      </c>
      <c r="D35">
        <v>0.23</v>
      </c>
      <c r="E35" s="2"/>
      <c r="F35">
        <v>442.7</v>
      </c>
      <c r="G35">
        <f t="shared" si="1"/>
        <v>46.359435591473378</v>
      </c>
      <c r="H35">
        <f t="shared" si="2"/>
        <v>556.31322709768051</v>
      </c>
      <c r="J35">
        <f t="shared" si="3"/>
        <v>4.1343615214745803E-4</v>
      </c>
      <c r="K35">
        <f t="shared" si="4"/>
        <v>3.0205140275467737E-2</v>
      </c>
      <c r="M35">
        <f t="shared" si="5"/>
        <v>556.31322709768051</v>
      </c>
      <c r="N35">
        <f t="shared" si="6"/>
        <v>6.7766480086962387E-3</v>
      </c>
      <c r="Q35">
        <v>0.23</v>
      </c>
      <c r="R35">
        <v>556.30999999999995</v>
      </c>
      <c r="S35">
        <v>16.803999999999998</v>
      </c>
      <c r="U35">
        <v>556.30999999999995</v>
      </c>
      <c r="V35">
        <v>1</v>
      </c>
      <c r="W35">
        <v>6.7973E-3</v>
      </c>
    </row>
    <row r="36" spans="1:23" x14ac:dyDescent="0.25">
      <c r="A36">
        <v>28.6</v>
      </c>
      <c r="B36">
        <v>625</v>
      </c>
      <c r="C36">
        <f t="shared" si="0"/>
        <v>17.473118279569892</v>
      </c>
      <c r="D36">
        <v>0.23</v>
      </c>
      <c r="E36" s="2"/>
      <c r="F36">
        <v>462.2</v>
      </c>
      <c r="G36">
        <f t="shared" si="1"/>
        <v>48.401470816306748</v>
      </c>
      <c r="H36">
        <f t="shared" si="2"/>
        <v>580.81764979568095</v>
      </c>
      <c r="J36">
        <f t="shared" si="3"/>
        <v>3.9599347588853233E-4</v>
      </c>
      <c r="K36">
        <f t="shared" si="4"/>
        <v>3.0083655835384058E-2</v>
      </c>
      <c r="M36">
        <f t="shared" si="5"/>
        <v>580.81764979568095</v>
      </c>
      <c r="N36">
        <f t="shared" si="6"/>
        <v>6.7766480086962387E-3</v>
      </c>
      <c r="Q36">
        <v>0.23</v>
      </c>
      <c r="R36">
        <v>580.82000000000005</v>
      </c>
      <c r="S36">
        <v>17.472999999999999</v>
      </c>
      <c r="U36">
        <v>580.82000000000005</v>
      </c>
      <c r="V36">
        <v>1</v>
      </c>
      <c r="W36">
        <v>6.7973E-3</v>
      </c>
    </row>
    <row r="37" spans="1:23" x14ac:dyDescent="0.25">
      <c r="A37">
        <v>28.6</v>
      </c>
      <c r="B37">
        <v>650</v>
      </c>
      <c r="C37">
        <f t="shared" si="0"/>
        <v>18.172043010752688</v>
      </c>
      <c r="D37">
        <v>0.24</v>
      </c>
      <c r="E37" s="2"/>
      <c r="F37">
        <v>479.2</v>
      </c>
      <c r="G37">
        <f t="shared" si="1"/>
        <v>50.18170665334096</v>
      </c>
      <c r="H37">
        <f t="shared" si="2"/>
        <v>602.18047984009149</v>
      </c>
      <c r="J37">
        <f t="shared" si="3"/>
        <v>3.9855161041376128E-4</v>
      </c>
      <c r="K37">
        <f t="shared" si="4"/>
        <v>3.0177070860181749E-2</v>
      </c>
      <c r="M37">
        <f t="shared" si="5"/>
        <v>602.18047984009149</v>
      </c>
      <c r="N37">
        <f t="shared" si="6"/>
        <v>7.0712848786395523E-3</v>
      </c>
      <c r="Q37">
        <v>0.24</v>
      </c>
      <c r="R37">
        <v>602.17999999999995</v>
      </c>
      <c r="S37">
        <v>18.172000000000001</v>
      </c>
      <c r="U37">
        <v>602.17999999999995</v>
      </c>
      <c r="V37">
        <v>1</v>
      </c>
      <c r="W37">
        <v>7.0929000000000001E-3</v>
      </c>
    </row>
    <row r="38" spans="1:23" x14ac:dyDescent="0.25">
      <c r="A38">
        <v>28.6</v>
      </c>
      <c r="B38">
        <v>675</v>
      </c>
      <c r="C38">
        <f t="shared" si="0"/>
        <v>18.870967741935484</v>
      </c>
      <c r="D38">
        <v>0.24</v>
      </c>
      <c r="E38" s="2"/>
      <c r="F38">
        <v>496.6</v>
      </c>
      <c r="G38">
        <f t="shared" si="1"/>
        <v>52.003830392423048</v>
      </c>
      <c r="H38">
        <f t="shared" si="2"/>
        <v>624.04596470907654</v>
      </c>
      <c r="J38">
        <f t="shared" si="3"/>
        <v>3.8458705539725008E-4</v>
      </c>
      <c r="K38">
        <f t="shared" si="4"/>
        <v>3.0239707984864424E-2</v>
      </c>
      <c r="M38">
        <f t="shared" si="5"/>
        <v>624.04596470907654</v>
      </c>
      <c r="N38">
        <f t="shared" si="6"/>
        <v>7.0712848786395523E-3</v>
      </c>
      <c r="Q38">
        <v>0.24</v>
      </c>
      <c r="R38">
        <v>624.04999999999995</v>
      </c>
      <c r="S38">
        <v>18.870999999999999</v>
      </c>
      <c r="U38">
        <v>624.04999999999995</v>
      </c>
      <c r="V38">
        <v>1</v>
      </c>
      <c r="W38">
        <v>7.0929000000000001E-3</v>
      </c>
    </row>
    <row r="39" spans="1:23" x14ac:dyDescent="0.25">
      <c r="A39">
        <v>28.6</v>
      </c>
      <c r="B39">
        <v>700</v>
      </c>
      <c r="C39">
        <f t="shared" si="0"/>
        <v>19.56989247311828</v>
      </c>
      <c r="D39">
        <v>0.24</v>
      </c>
      <c r="E39" s="2"/>
      <c r="F39">
        <v>515.5</v>
      </c>
      <c r="G39">
        <f t="shared" si="1"/>
        <v>53.983033764184611</v>
      </c>
      <c r="H39">
        <f t="shared" si="2"/>
        <v>647.79640517021539</v>
      </c>
      <c r="J39">
        <f t="shared" si="3"/>
        <v>3.7048677344379122E-4</v>
      </c>
      <c r="K39">
        <f t="shared" si="4"/>
        <v>3.02099429958647E-2</v>
      </c>
      <c r="M39">
        <f t="shared" si="5"/>
        <v>647.79640517021539</v>
      </c>
      <c r="N39">
        <f t="shared" si="6"/>
        <v>7.0712848786395523E-3</v>
      </c>
      <c r="Q39">
        <v>0.24</v>
      </c>
      <c r="R39">
        <v>647.79999999999995</v>
      </c>
      <c r="S39">
        <v>19.57</v>
      </c>
      <c r="U39">
        <v>647.79999999999995</v>
      </c>
      <c r="V39">
        <v>1</v>
      </c>
      <c r="W39">
        <v>7.0929000000000001E-3</v>
      </c>
    </row>
    <row r="40" spans="1:23" x14ac:dyDescent="0.25">
      <c r="A40">
        <v>28.6</v>
      </c>
      <c r="B40">
        <v>725</v>
      </c>
      <c r="C40">
        <f t="shared" si="0"/>
        <v>20.268817204301076</v>
      </c>
      <c r="D40">
        <v>0.24</v>
      </c>
      <c r="E40" s="2"/>
      <c r="F40">
        <v>533.9</v>
      </c>
      <c r="G40">
        <f t="shared" si="1"/>
        <v>55.909877258386352</v>
      </c>
      <c r="H40">
        <f t="shared" si="2"/>
        <v>670.9185271006362</v>
      </c>
      <c r="J40">
        <f t="shared" si="3"/>
        <v>3.5771854600163776E-4</v>
      </c>
      <c r="K40">
        <f t="shared" si="4"/>
        <v>3.0210549247898174E-2</v>
      </c>
      <c r="M40">
        <f t="shared" si="5"/>
        <v>670.9185271006362</v>
      </c>
      <c r="N40">
        <f t="shared" si="6"/>
        <v>7.0712848786395523E-3</v>
      </c>
      <c r="Q40">
        <v>0.24</v>
      </c>
      <c r="R40">
        <v>670.92</v>
      </c>
      <c r="S40">
        <v>20.268999999999998</v>
      </c>
      <c r="U40">
        <v>670.92</v>
      </c>
      <c r="V40">
        <v>1</v>
      </c>
      <c r="W40">
        <v>7.0929000000000001E-3</v>
      </c>
    </row>
    <row r="41" spans="1:23" x14ac:dyDescent="0.25">
      <c r="A41">
        <v>28.6</v>
      </c>
      <c r="B41">
        <v>750</v>
      </c>
      <c r="C41">
        <f t="shared" si="0"/>
        <v>20.967741935483872</v>
      </c>
      <c r="D41">
        <v>0.24</v>
      </c>
      <c r="E41" s="2"/>
      <c r="F41">
        <v>551.9</v>
      </c>
      <c r="G41">
        <f t="shared" si="1"/>
        <v>57.794832850540232</v>
      </c>
      <c r="H41">
        <f t="shared" si="2"/>
        <v>693.53799420648284</v>
      </c>
      <c r="J41">
        <f t="shared" si="3"/>
        <v>3.46051697246375E-4</v>
      </c>
      <c r="K41">
        <f t="shared" si="4"/>
        <v>3.0233011184159109E-2</v>
      </c>
      <c r="M41">
        <f t="shared" si="5"/>
        <v>693.53799420648284</v>
      </c>
      <c r="N41">
        <f t="shared" si="6"/>
        <v>7.0712848786395523E-3</v>
      </c>
      <c r="Q41">
        <v>0.24</v>
      </c>
      <c r="R41">
        <v>693.54</v>
      </c>
      <c r="S41">
        <v>20.968</v>
      </c>
      <c r="U41">
        <v>693.54</v>
      </c>
      <c r="V41">
        <v>1</v>
      </c>
      <c r="W41">
        <v>7.0929000000000001E-3</v>
      </c>
    </row>
    <row r="42" spans="1:23" x14ac:dyDescent="0.25">
      <c r="A42">
        <v>28.6</v>
      </c>
      <c r="B42">
        <v>775</v>
      </c>
      <c r="C42">
        <f t="shared" si="0"/>
        <v>21.666666666666668</v>
      </c>
      <c r="D42">
        <v>0.25</v>
      </c>
      <c r="E42" s="2"/>
      <c r="F42">
        <v>570.29999999999995</v>
      </c>
      <c r="G42">
        <f t="shared" si="1"/>
        <v>59.721676344741958</v>
      </c>
      <c r="H42">
        <f t="shared" si="2"/>
        <v>716.66011613690353</v>
      </c>
      <c r="J42">
        <f t="shared" si="3"/>
        <v>3.4884039779917446E-4</v>
      </c>
      <c r="K42">
        <f t="shared" si="4"/>
        <v>3.0232834475928456E-2</v>
      </c>
      <c r="M42">
        <f t="shared" si="5"/>
        <v>716.66011613690353</v>
      </c>
      <c r="N42">
        <f t="shared" si="6"/>
        <v>7.3659217485828677E-3</v>
      </c>
      <c r="Q42">
        <v>0.25</v>
      </c>
      <c r="R42">
        <v>716.66</v>
      </c>
      <c r="S42">
        <v>21.667000000000002</v>
      </c>
      <c r="U42">
        <v>716.66</v>
      </c>
      <c r="V42">
        <v>1</v>
      </c>
      <c r="W42">
        <v>7.3883999999999998E-3</v>
      </c>
    </row>
    <row r="43" spans="1:23" x14ac:dyDescent="0.25">
      <c r="A43">
        <v>28.6</v>
      </c>
      <c r="B43">
        <v>800</v>
      </c>
      <c r="C43">
        <f t="shared" si="0"/>
        <v>22.365591397849464</v>
      </c>
      <c r="D43">
        <v>0.25</v>
      </c>
      <c r="E43" s="2"/>
      <c r="F43">
        <v>588.20000000000005</v>
      </c>
      <c r="G43">
        <f t="shared" si="1"/>
        <v>61.596159961383883</v>
      </c>
      <c r="H43">
        <f t="shared" si="2"/>
        <v>739.15391953660662</v>
      </c>
      <c r="J43">
        <f t="shared" si="3"/>
        <v>3.3822454754313012E-4</v>
      </c>
      <c r="K43">
        <f t="shared" si="4"/>
        <v>3.0258368124288636E-2</v>
      </c>
      <c r="M43">
        <f t="shared" si="5"/>
        <v>739.15391953660662</v>
      </c>
      <c r="N43">
        <f t="shared" si="6"/>
        <v>7.3659217485828677E-3</v>
      </c>
      <c r="Q43">
        <v>0.25</v>
      </c>
      <c r="R43">
        <v>739.15</v>
      </c>
      <c r="S43">
        <v>22.366</v>
      </c>
      <c r="U43">
        <v>739.15</v>
      </c>
      <c r="V43">
        <v>1</v>
      </c>
      <c r="W43">
        <v>7.3883999999999998E-3</v>
      </c>
    </row>
  </sheetData>
  <mergeCells count="4">
    <mergeCell ref="J8:N8"/>
    <mergeCell ref="Q12:R12"/>
    <mergeCell ref="U12:V12"/>
    <mergeCell ref="Q8:W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35F9-78A9-4293-A78C-08B8D250DF34}">
  <dimension ref="A1:W28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32</v>
      </c>
    </row>
    <row r="5" spans="1:23" x14ac:dyDescent="0.25">
      <c r="A5" t="s">
        <v>5</v>
      </c>
      <c r="D5">
        <v>0.01</v>
      </c>
      <c r="F5" t="s">
        <v>33</v>
      </c>
    </row>
    <row r="6" spans="1:23" x14ac:dyDescent="0.25">
      <c r="A6" t="s">
        <v>7</v>
      </c>
      <c r="D6">
        <v>1024</v>
      </c>
      <c r="F6" t="s">
        <v>34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LINEST(K13:K28,J13:J28)</f>
        <v>5.1705543259048428</v>
      </c>
      <c r="K10">
        <v>2.8598379877171471E-2</v>
      </c>
      <c r="M10" cm="1">
        <f t="array" ref="M10:N10">LINEST(N13:N28,M13:M28)</f>
        <v>5.9399182926036291E-6</v>
      </c>
      <c r="N10">
        <v>3.120060281802047E-3</v>
      </c>
      <c r="Q10">
        <v>4.2592885999999996</v>
      </c>
      <c r="R10">
        <v>2.9139900999999999E-2</v>
      </c>
      <c r="U10" s="3">
        <v>6.0523928999999999E-6</v>
      </c>
      <c r="V10">
        <v>3.1791397999999999E-3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28.5</v>
      </c>
      <c r="B13">
        <v>50</v>
      </c>
      <c r="C13">
        <f>A13*B13/$D$4</f>
        <v>1.3929618768328447</v>
      </c>
      <c r="D13">
        <v>0.1</v>
      </c>
      <c r="E13" s="2"/>
      <c r="F13">
        <v>24</v>
      </c>
      <c r="G13">
        <f>F13*2*PI()/60</f>
        <v>2.5132741228718345</v>
      </c>
      <c r="H13">
        <f>G13*$D$7</f>
        <v>30.159289474462014</v>
      </c>
      <c r="J13">
        <f>D13/H13</f>
        <v>3.315727981081153E-3</v>
      </c>
      <c r="K13">
        <f>C13/H13</f>
        <v>4.6186826715939815E-2</v>
      </c>
      <c r="M13">
        <f>H13</f>
        <v>30.159289474462014</v>
      </c>
      <c r="N13">
        <f>D13*$K$10</f>
        <v>2.8598379877171473E-3</v>
      </c>
      <c r="Q13">
        <v>0.1</v>
      </c>
      <c r="R13">
        <v>30.158999999999999</v>
      </c>
      <c r="S13">
        <v>1.393</v>
      </c>
      <c r="U13">
        <v>30.158999999999999</v>
      </c>
      <c r="V13">
        <v>1</v>
      </c>
      <c r="W13">
        <v>2.9139999999999999E-3</v>
      </c>
    </row>
    <row r="14" spans="1:23" x14ac:dyDescent="0.25">
      <c r="A14">
        <v>28.5</v>
      </c>
      <c r="B14">
        <v>100</v>
      </c>
      <c r="C14">
        <f t="shared" ref="C14:C28" si="0">A14*B14/$D$4</f>
        <v>2.7859237536656893</v>
      </c>
      <c r="D14">
        <v>0.13</v>
      </c>
      <c r="E14" s="2"/>
      <c r="F14">
        <v>60.1</v>
      </c>
      <c r="G14">
        <f t="shared" ref="G14:G28" si="1">F14*2*PI()/60</f>
        <v>6.2936572826915524</v>
      </c>
      <c r="H14">
        <f t="shared" ref="H14:H28" si="2">G14*$D$7</f>
        <v>75.523887392298633</v>
      </c>
      <c r="J14">
        <f t="shared" ref="J14:J28" si="3">D14/H14</f>
        <v>1.7213097006610976E-3</v>
      </c>
      <c r="K14">
        <f t="shared" ref="K14:K28" si="4">C14/H14</f>
        <v>3.6887981403745607E-2</v>
      </c>
      <c r="M14">
        <f t="shared" ref="M14:M28" si="5">H14</f>
        <v>75.523887392298633</v>
      </c>
      <c r="N14">
        <f t="shared" ref="N14:N28" si="6">D14*$K$10</f>
        <v>3.7177893840322912E-3</v>
      </c>
      <c r="Q14">
        <v>0.13</v>
      </c>
      <c r="R14">
        <v>75.524000000000001</v>
      </c>
      <c r="S14">
        <v>2.7858999999999998</v>
      </c>
      <c r="U14">
        <v>75.524000000000001</v>
      </c>
      <c r="V14">
        <v>1</v>
      </c>
      <c r="W14">
        <v>3.7881999999999998E-3</v>
      </c>
    </row>
    <row r="15" spans="1:23" x14ac:dyDescent="0.25">
      <c r="A15">
        <v>28.5</v>
      </c>
      <c r="B15">
        <v>150</v>
      </c>
      <c r="C15">
        <f t="shared" si="0"/>
        <v>4.1788856304985336</v>
      </c>
      <c r="D15">
        <v>0.14000000000000001</v>
      </c>
      <c r="E15" s="2"/>
      <c r="F15">
        <v>96.3</v>
      </c>
      <c r="G15">
        <f t="shared" si="1"/>
        <v>10.084512418023234</v>
      </c>
      <c r="H15">
        <f t="shared" si="2"/>
        <v>121.01414901627881</v>
      </c>
      <c r="J15">
        <f t="shared" si="3"/>
        <v>1.156889513648253E-3</v>
      </c>
      <c r="K15">
        <f t="shared" si="4"/>
        <v>3.4532206890422294E-2</v>
      </c>
      <c r="M15">
        <f t="shared" si="5"/>
        <v>121.01414901627881</v>
      </c>
      <c r="N15">
        <f t="shared" si="6"/>
        <v>4.0037731828040067E-3</v>
      </c>
      <c r="Q15">
        <v>0.14000000000000001</v>
      </c>
      <c r="R15">
        <v>121.01</v>
      </c>
      <c r="S15">
        <v>4.1788999999999996</v>
      </c>
      <c r="U15">
        <v>121.01</v>
      </c>
      <c r="V15">
        <v>1</v>
      </c>
      <c r="W15">
        <v>4.0796000000000001E-3</v>
      </c>
    </row>
    <row r="16" spans="1:23" x14ac:dyDescent="0.25">
      <c r="A16">
        <v>28.5</v>
      </c>
      <c r="B16">
        <v>200</v>
      </c>
      <c r="C16">
        <f t="shared" si="0"/>
        <v>5.5718475073313787</v>
      </c>
      <c r="D16">
        <v>0.16</v>
      </c>
      <c r="E16" s="2"/>
      <c r="F16">
        <v>134.69999999999999</v>
      </c>
      <c r="G16">
        <f t="shared" si="1"/>
        <v>14.105751014618169</v>
      </c>
      <c r="H16">
        <f t="shared" si="2"/>
        <v>169.26901217541803</v>
      </c>
      <c r="J16">
        <f t="shared" si="3"/>
        <v>9.4524093892736671E-4</v>
      </c>
      <c r="K16">
        <f t="shared" si="4"/>
        <v>3.2917114808687628E-2</v>
      </c>
      <c r="M16">
        <f t="shared" si="5"/>
        <v>169.26901217541803</v>
      </c>
      <c r="N16">
        <f t="shared" si="6"/>
        <v>4.5757407803474351E-3</v>
      </c>
      <c r="Q16">
        <v>0.16</v>
      </c>
      <c r="R16">
        <v>169.27</v>
      </c>
      <c r="S16">
        <v>5.5717999999999996</v>
      </c>
      <c r="U16">
        <v>169.27</v>
      </c>
      <c r="V16">
        <v>1</v>
      </c>
      <c r="W16">
        <v>4.6623999999999997E-3</v>
      </c>
    </row>
    <row r="17" spans="1:23" x14ac:dyDescent="0.25">
      <c r="A17">
        <v>28.5</v>
      </c>
      <c r="B17">
        <v>250</v>
      </c>
      <c r="C17">
        <f t="shared" si="0"/>
        <v>6.9648093841642229</v>
      </c>
      <c r="D17">
        <v>0.16</v>
      </c>
      <c r="E17" s="2"/>
      <c r="F17">
        <v>171.7</v>
      </c>
      <c r="G17">
        <f t="shared" si="1"/>
        <v>17.98038195404558</v>
      </c>
      <c r="H17">
        <f t="shared" si="2"/>
        <v>215.76458344854694</v>
      </c>
      <c r="J17">
        <f t="shared" si="3"/>
        <v>7.4154894859357193E-4</v>
      </c>
      <c r="K17">
        <f t="shared" si="4"/>
        <v>3.2279669224885142E-2</v>
      </c>
      <c r="M17">
        <f t="shared" si="5"/>
        <v>215.76458344854694</v>
      </c>
      <c r="N17">
        <f t="shared" si="6"/>
        <v>4.5757407803474351E-3</v>
      </c>
      <c r="Q17">
        <v>0.16</v>
      </c>
      <c r="R17">
        <v>215.76</v>
      </c>
      <c r="S17">
        <v>6.9648000000000003</v>
      </c>
      <c r="U17">
        <v>215.76</v>
      </c>
      <c r="V17">
        <v>1</v>
      </c>
      <c r="W17">
        <v>4.6623999999999997E-3</v>
      </c>
    </row>
    <row r="18" spans="1:23" x14ac:dyDescent="0.25">
      <c r="A18">
        <v>28.5</v>
      </c>
      <c r="B18">
        <v>300</v>
      </c>
      <c r="C18">
        <f t="shared" si="0"/>
        <v>8.3577712609970671</v>
      </c>
      <c r="D18">
        <v>0.16</v>
      </c>
      <c r="E18" s="2"/>
      <c r="F18">
        <v>210.8</v>
      </c>
      <c r="G18">
        <f t="shared" si="1"/>
        <v>22.074924379224282</v>
      </c>
      <c r="H18">
        <f t="shared" si="2"/>
        <v>264.89909255069136</v>
      </c>
      <c r="J18">
        <f t="shared" si="3"/>
        <v>6.0400357909637695E-4</v>
      </c>
      <c r="K18">
        <f t="shared" si="4"/>
        <v>3.1550773468194175E-2</v>
      </c>
      <c r="M18">
        <f t="shared" si="5"/>
        <v>264.89909255069136</v>
      </c>
      <c r="N18">
        <f t="shared" si="6"/>
        <v>4.5757407803474351E-3</v>
      </c>
      <c r="Q18">
        <v>0.16</v>
      </c>
      <c r="R18">
        <v>264.89999999999998</v>
      </c>
      <c r="S18">
        <v>8.3577999999999992</v>
      </c>
      <c r="U18">
        <v>264.89999999999998</v>
      </c>
      <c r="V18">
        <v>1</v>
      </c>
      <c r="W18">
        <v>4.6623999999999997E-3</v>
      </c>
    </row>
    <row r="19" spans="1:23" x14ac:dyDescent="0.25">
      <c r="A19">
        <v>28.5</v>
      </c>
      <c r="B19">
        <v>350</v>
      </c>
      <c r="C19">
        <f t="shared" si="0"/>
        <v>9.7507331378299114</v>
      </c>
      <c r="D19">
        <v>0.17</v>
      </c>
      <c r="E19" s="2"/>
      <c r="F19">
        <v>248.8</v>
      </c>
      <c r="G19">
        <f t="shared" si="1"/>
        <v>26.05427507377135</v>
      </c>
      <c r="H19">
        <f t="shared" si="2"/>
        <v>312.65130088525621</v>
      </c>
      <c r="J19">
        <f t="shared" si="3"/>
        <v>5.4373674287825984E-4</v>
      </c>
      <c r="K19">
        <f t="shared" si="4"/>
        <v>3.118724633552206E-2</v>
      </c>
      <c r="M19">
        <f t="shared" si="5"/>
        <v>312.65130088525621</v>
      </c>
      <c r="N19">
        <f t="shared" si="6"/>
        <v>4.8617245791191506E-3</v>
      </c>
      <c r="Q19">
        <v>0.17</v>
      </c>
      <c r="R19">
        <v>312.64999999999998</v>
      </c>
      <c r="S19">
        <v>9.7507000000000001</v>
      </c>
      <c r="U19">
        <v>312.64999999999998</v>
      </c>
      <c r="V19">
        <v>1</v>
      </c>
      <c r="W19">
        <v>4.9538000000000004E-3</v>
      </c>
    </row>
    <row r="20" spans="1:23" x14ac:dyDescent="0.25">
      <c r="A20">
        <v>28.5</v>
      </c>
      <c r="B20">
        <v>400</v>
      </c>
      <c r="C20">
        <f t="shared" si="0"/>
        <v>11.143695014662757</v>
      </c>
      <c r="D20">
        <v>0.18</v>
      </c>
      <c r="E20" s="2"/>
      <c r="F20">
        <v>286.2</v>
      </c>
      <c r="G20">
        <f t="shared" si="1"/>
        <v>29.970793915246627</v>
      </c>
      <c r="H20">
        <f t="shared" si="2"/>
        <v>359.64952698295951</v>
      </c>
      <c r="J20">
        <f t="shared" si="3"/>
        <v>5.0048724242734381E-4</v>
      </c>
      <c r="K20">
        <f t="shared" si="4"/>
        <v>3.0984873268555015E-2</v>
      </c>
      <c r="M20">
        <f t="shared" si="5"/>
        <v>359.64952698295951</v>
      </c>
      <c r="N20">
        <f t="shared" si="6"/>
        <v>5.1477083778908644E-3</v>
      </c>
      <c r="Q20">
        <v>0.18</v>
      </c>
      <c r="R20">
        <v>359.65</v>
      </c>
      <c r="S20">
        <v>11.144</v>
      </c>
      <c r="U20">
        <v>359.65</v>
      </c>
      <c r="V20">
        <v>1</v>
      </c>
      <c r="W20">
        <v>5.2452000000000002E-3</v>
      </c>
    </row>
    <row r="21" spans="1:23" x14ac:dyDescent="0.25">
      <c r="A21">
        <v>28.6</v>
      </c>
      <c r="B21">
        <v>450</v>
      </c>
      <c r="C21">
        <f t="shared" si="0"/>
        <v>12.580645161290322</v>
      </c>
      <c r="D21">
        <v>0.19</v>
      </c>
      <c r="E21" s="2"/>
      <c r="F21">
        <v>320.8</v>
      </c>
      <c r="G21">
        <f t="shared" si="1"/>
        <v>33.594097442386854</v>
      </c>
      <c r="H21">
        <f t="shared" si="2"/>
        <v>403.12916930864225</v>
      </c>
      <c r="J21">
        <f t="shared" si="3"/>
        <v>4.7131295491677238E-4</v>
      </c>
      <c r="K21">
        <f t="shared" si="4"/>
        <v>3.1207479188037558E-2</v>
      </c>
      <c r="M21">
        <f t="shared" si="5"/>
        <v>403.12916930864225</v>
      </c>
      <c r="N21">
        <f t="shared" si="6"/>
        <v>5.4336921766625799E-3</v>
      </c>
      <c r="Q21">
        <v>0.19</v>
      </c>
      <c r="R21">
        <v>403.13</v>
      </c>
      <c r="S21">
        <v>12.581</v>
      </c>
      <c r="U21">
        <v>403.13</v>
      </c>
      <c r="V21">
        <v>1</v>
      </c>
      <c r="W21">
        <v>5.5366E-3</v>
      </c>
    </row>
    <row r="22" spans="1:23" x14ac:dyDescent="0.25">
      <c r="A22">
        <v>28.6</v>
      </c>
      <c r="B22">
        <v>500</v>
      </c>
      <c r="C22">
        <f t="shared" si="0"/>
        <v>13.978494623655914</v>
      </c>
      <c r="D22">
        <v>0.2</v>
      </c>
      <c r="E22" s="2"/>
      <c r="F22">
        <v>358.7</v>
      </c>
      <c r="G22">
        <f t="shared" si="1"/>
        <v>37.562976161421957</v>
      </c>
      <c r="H22">
        <f t="shared" si="2"/>
        <v>450.75571393706349</v>
      </c>
      <c r="J22">
        <f t="shared" si="3"/>
        <v>4.4369931165847603E-4</v>
      </c>
      <c r="K22">
        <f t="shared" si="4"/>
        <v>3.1011242212689184E-2</v>
      </c>
      <c r="M22">
        <f t="shared" si="5"/>
        <v>450.75571393706349</v>
      </c>
      <c r="N22">
        <f t="shared" si="6"/>
        <v>5.7196759754342946E-3</v>
      </c>
      <c r="Q22">
        <v>0.2</v>
      </c>
      <c r="R22">
        <v>450.76</v>
      </c>
      <c r="S22">
        <v>13.978</v>
      </c>
      <c r="U22">
        <v>450.76</v>
      </c>
      <c r="V22">
        <v>1</v>
      </c>
      <c r="W22">
        <v>5.8279999999999998E-3</v>
      </c>
    </row>
    <row r="23" spans="1:23" x14ac:dyDescent="0.25">
      <c r="A23">
        <v>28.6</v>
      </c>
      <c r="B23">
        <v>550</v>
      </c>
      <c r="C23">
        <f t="shared" si="0"/>
        <v>15.376344086021506</v>
      </c>
      <c r="D23">
        <v>0.21</v>
      </c>
      <c r="E23" s="2"/>
      <c r="F23">
        <v>394.9</v>
      </c>
      <c r="G23">
        <f t="shared" si="1"/>
        <v>41.353831296753647</v>
      </c>
      <c r="H23">
        <f t="shared" si="2"/>
        <v>496.24597556104379</v>
      </c>
      <c r="J23">
        <f t="shared" si="3"/>
        <v>4.2317723536715643E-4</v>
      </c>
      <c r="K23">
        <f t="shared" si="4"/>
        <v>3.0985327525603366E-2</v>
      </c>
      <c r="M23">
        <f t="shared" si="5"/>
        <v>496.24597556104379</v>
      </c>
      <c r="N23">
        <f t="shared" si="6"/>
        <v>6.0056597742060083E-3</v>
      </c>
      <c r="Q23">
        <v>0.21</v>
      </c>
      <c r="R23">
        <v>496.25</v>
      </c>
      <c r="S23">
        <v>15.375999999999999</v>
      </c>
      <c r="U23">
        <v>496.25</v>
      </c>
      <c r="V23">
        <v>1</v>
      </c>
      <c r="W23">
        <v>6.1193999999999997E-3</v>
      </c>
    </row>
    <row r="24" spans="1:23" x14ac:dyDescent="0.25">
      <c r="A24">
        <v>28.6</v>
      </c>
      <c r="B24">
        <v>600</v>
      </c>
      <c r="C24">
        <f t="shared" si="0"/>
        <v>16.774193548387096</v>
      </c>
      <c r="D24">
        <v>0.22</v>
      </c>
      <c r="E24" s="2"/>
      <c r="F24">
        <v>433.6</v>
      </c>
      <c r="G24">
        <f t="shared" si="1"/>
        <v>45.406485819884473</v>
      </c>
      <c r="H24">
        <f t="shared" si="2"/>
        <v>544.87782983861371</v>
      </c>
      <c r="J24">
        <f t="shared" si="3"/>
        <v>4.0376023385859061E-4</v>
      </c>
      <c r="K24">
        <f t="shared" si="4"/>
        <v>3.0785237772209251E-2</v>
      </c>
      <c r="M24">
        <f t="shared" si="5"/>
        <v>544.87782983861371</v>
      </c>
      <c r="N24">
        <f t="shared" si="6"/>
        <v>6.2916435729777238E-3</v>
      </c>
      <c r="Q24">
        <v>0.22</v>
      </c>
      <c r="R24">
        <v>544.88</v>
      </c>
      <c r="S24">
        <v>16.774000000000001</v>
      </c>
      <c r="U24">
        <v>544.88</v>
      </c>
      <c r="V24">
        <v>1</v>
      </c>
      <c r="W24">
        <v>6.4108000000000004E-3</v>
      </c>
    </row>
    <row r="25" spans="1:23" x14ac:dyDescent="0.25">
      <c r="A25">
        <v>28.7</v>
      </c>
      <c r="B25">
        <v>650</v>
      </c>
      <c r="C25">
        <f t="shared" si="0"/>
        <v>18.235581622678396</v>
      </c>
      <c r="D25">
        <v>0.23</v>
      </c>
      <c r="E25" s="2"/>
      <c r="F25">
        <v>471.6</v>
      </c>
      <c r="G25">
        <f t="shared" si="1"/>
        <v>49.385836514431546</v>
      </c>
      <c r="H25">
        <f t="shared" si="2"/>
        <v>592.63003817317849</v>
      </c>
      <c r="J25">
        <f t="shared" si="3"/>
        <v>3.8810047615708159E-4</v>
      </c>
      <c r="K25">
        <f t="shared" si="4"/>
        <v>3.0770599612012225E-2</v>
      </c>
      <c r="M25">
        <f t="shared" si="5"/>
        <v>592.63003817317849</v>
      </c>
      <c r="N25">
        <f t="shared" si="6"/>
        <v>6.5776273717494385E-3</v>
      </c>
      <c r="Q25">
        <v>0.23</v>
      </c>
      <c r="R25">
        <v>592.63</v>
      </c>
      <c r="S25">
        <v>18.236000000000001</v>
      </c>
      <c r="U25">
        <v>592.63</v>
      </c>
      <c r="V25">
        <v>1</v>
      </c>
      <c r="W25">
        <v>6.7022000000000002E-3</v>
      </c>
    </row>
    <row r="26" spans="1:23" x14ac:dyDescent="0.25">
      <c r="A26">
        <v>28.7</v>
      </c>
      <c r="B26">
        <v>700</v>
      </c>
      <c r="C26">
        <f t="shared" si="0"/>
        <v>19.638318670576734</v>
      </c>
      <c r="D26">
        <v>0.24</v>
      </c>
      <c r="E26" s="2"/>
      <c r="F26">
        <v>509.2</v>
      </c>
      <c r="G26">
        <f t="shared" si="1"/>
        <v>53.32329930693075</v>
      </c>
      <c r="H26">
        <f t="shared" si="2"/>
        <v>639.879591683169</v>
      </c>
      <c r="J26">
        <f t="shared" si="3"/>
        <v>3.7507056502410533E-4</v>
      </c>
      <c r="K26">
        <f t="shared" si="4"/>
        <v>3.0690646999569384E-2</v>
      </c>
      <c r="M26">
        <f t="shared" si="5"/>
        <v>639.879591683169</v>
      </c>
      <c r="N26">
        <f t="shared" si="6"/>
        <v>6.8636111705211531E-3</v>
      </c>
      <c r="Q26">
        <v>0.24</v>
      </c>
      <c r="R26">
        <v>639.88</v>
      </c>
      <c r="S26">
        <v>19.638000000000002</v>
      </c>
      <c r="U26">
        <v>639.88</v>
      </c>
      <c r="V26">
        <v>1</v>
      </c>
      <c r="W26">
        <v>6.9936E-3</v>
      </c>
    </row>
    <row r="27" spans="1:23" x14ac:dyDescent="0.25">
      <c r="A27">
        <v>28.7</v>
      </c>
      <c r="B27">
        <v>750</v>
      </c>
      <c r="C27">
        <f t="shared" si="0"/>
        <v>21.041055718475075</v>
      </c>
      <c r="D27">
        <v>0.25</v>
      </c>
      <c r="E27" s="2"/>
      <c r="F27">
        <v>543</v>
      </c>
      <c r="G27">
        <f t="shared" si="1"/>
        <v>56.862827029975257</v>
      </c>
      <c r="H27">
        <f t="shared" si="2"/>
        <v>682.35392435970311</v>
      </c>
      <c r="J27">
        <f t="shared" si="3"/>
        <v>3.6637878243990637E-4</v>
      </c>
      <c r="K27">
        <f t="shared" si="4"/>
        <v>3.083598550154051E-2</v>
      </c>
      <c r="M27">
        <f t="shared" si="5"/>
        <v>682.35392435970311</v>
      </c>
      <c r="N27">
        <f t="shared" si="6"/>
        <v>7.1495949692928678E-3</v>
      </c>
      <c r="Q27">
        <v>0.25</v>
      </c>
      <c r="R27">
        <v>682.35</v>
      </c>
      <c r="S27">
        <v>21.041</v>
      </c>
      <c r="U27">
        <v>682.35</v>
      </c>
      <c r="V27">
        <v>1</v>
      </c>
      <c r="W27">
        <v>7.2849999999999998E-3</v>
      </c>
    </row>
    <row r="28" spans="1:23" x14ac:dyDescent="0.25">
      <c r="A28">
        <v>28.7</v>
      </c>
      <c r="B28">
        <v>800</v>
      </c>
      <c r="C28">
        <f t="shared" si="0"/>
        <v>22.443792766373413</v>
      </c>
      <c r="D28">
        <v>0.27</v>
      </c>
      <c r="E28" s="2"/>
      <c r="F28">
        <v>580</v>
      </c>
      <c r="G28">
        <f t="shared" si="1"/>
        <v>60.737457969402662</v>
      </c>
      <c r="H28">
        <f t="shared" si="2"/>
        <v>728.84949563283192</v>
      </c>
      <c r="J28">
        <f t="shared" si="3"/>
        <v>3.704468503001013E-4</v>
      </c>
      <c r="K28">
        <f t="shared" si="4"/>
        <v>3.0793453107745287E-2</v>
      </c>
      <c r="M28">
        <f t="shared" si="5"/>
        <v>728.84949563283192</v>
      </c>
      <c r="N28">
        <f t="shared" si="6"/>
        <v>7.7215625668362979E-3</v>
      </c>
      <c r="Q28">
        <v>0.27</v>
      </c>
      <c r="R28">
        <v>728.85</v>
      </c>
      <c r="S28">
        <v>22.443999999999999</v>
      </c>
      <c r="U28">
        <v>728.85</v>
      </c>
      <c r="V28">
        <v>1</v>
      </c>
      <c r="W28">
        <v>7.8677999999999994E-3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FC73-F7B5-4DC8-AB5E-DE1C61CE312C}">
  <dimension ref="A1:W20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35</v>
      </c>
    </row>
    <row r="5" spans="1:23" x14ac:dyDescent="0.25">
      <c r="A5" t="s">
        <v>5</v>
      </c>
      <c r="D5">
        <v>0.01</v>
      </c>
      <c r="F5" t="s">
        <v>36</v>
      </c>
    </row>
    <row r="6" spans="1:23" x14ac:dyDescent="0.25">
      <c r="A6" t="s">
        <v>7</v>
      </c>
      <c r="D6">
        <v>1024</v>
      </c>
      <c r="F6" t="s">
        <v>37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LINEST(K13:K20,J13:J20)</f>
        <v>1.8510416714004299</v>
      </c>
      <c r="K10">
        <v>2.6586547072779701E-2</v>
      </c>
      <c r="M10" s="2"/>
      <c r="N10" s="2"/>
      <c r="Q10">
        <v>1.7936183999999999</v>
      </c>
      <c r="R10">
        <v>2.6694708000000001E-2</v>
      </c>
      <c r="U10" s="6"/>
      <c r="V10" s="2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28.9</v>
      </c>
      <c r="B13">
        <v>100</v>
      </c>
      <c r="C13">
        <f>A13*B13/$D$4</f>
        <v>2.8250244379276639</v>
      </c>
      <c r="D13" s="4">
        <v>0.48</v>
      </c>
      <c r="E13" s="5">
        <v>118.58</v>
      </c>
      <c r="F13">
        <f>E13*60/($D$5*$D$6*$D$7)</f>
        <v>57.900390625000007</v>
      </c>
      <c r="G13">
        <f>F13*2*PI()/60</f>
        <v>6.0633147275826458</v>
      </c>
      <c r="H13">
        <f>G13*$D$7</f>
        <v>72.759776730991746</v>
      </c>
      <c r="J13">
        <f>D13/H13</f>
        <v>6.5970515794002678E-3</v>
      </c>
      <c r="K13">
        <f>C13/H13</f>
        <v>3.8826733187656358E-2</v>
      </c>
      <c r="M13" s="2"/>
      <c r="N13" s="2"/>
      <c r="Q13">
        <v>0.48</v>
      </c>
      <c r="R13">
        <v>72.760000000000005</v>
      </c>
      <c r="S13">
        <v>2.8250000000000002</v>
      </c>
      <c r="U13" s="2"/>
      <c r="V13" s="2"/>
      <c r="W13" s="2"/>
    </row>
    <row r="14" spans="1:23" x14ac:dyDescent="0.25">
      <c r="A14">
        <v>29</v>
      </c>
      <c r="B14">
        <v>200</v>
      </c>
      <c r="C14">
        <f t="shared" ref="C14:C20" si="0">A14*B14/$D$4</f>
        <v>5.6695992179863151</v>
      </c>
      <c r="D14" s="4">
        <v>0.62</v>
      </c>
      <c r="E14" s="5">
        <v>277.69</v>
      </c>
      <c r="F14">
        <f t="shared" ref="F14:F20" si="1">E14*60/($D$5*$D$6*$D$7)</f>
        <v>135.59082031250003</v>
      </c>
      <c r="G14">
        <f t="shared" ref="G14:G20" si="2">F14*2*PI()/60</f>
        <v>14.199037499598793</v>
      </c>
      <c r="H14">
        <f t="shared" ref="H14:H20" si="3">G14*$D$7</f>
        <v>170.38844999518551</v>
      </c>
      <c r="J14">
        <f t="shared" ref="J14:J20" si="4">D14/H14</f>
        <v>3.6387442929231334E-3</v>
      </c>
      <c r="K14">
        <f t="shared" ref="K14:K20" si="5">C14/H14</f>
        <v>3.3274551286466392E-2</v>
      </c>
      <c r="M14" s="2"/>
      <c r="N14" s="2"/>
      <c r="Q14">
        <v>0.62</v>
      </c>
      <c r="R14">
        <v>170.39</v>
      </c>
      <c r="S14">
        <v>5.6696</v>
      </c>
      <c r="U14" s="2"/>
      <c r="V14" s="2"/>
      <c r="W14" s="2"/>
    </row>
    <row r="15" spans="1:23" x14ac:dyDescent="0.25">
      <c r="A15">
        <v>28.9</v>
      </c>
      <c r="B15">
        <v>300</v>
      </c>
      <c r="C15">
        <f t="shared" si="0"/>
        <v>8.4750733137829908</v>
      </c>
      <c r="D15" s="4">
        <v>0.71</v>
      </c>
      <c r="E15" s="5">
        <v>439.6</v>
      </c>
      <c r="F15">
        <f t="shared" si="1"/>
        <v>214.6484375</v>
      </c>
      <c r="G15">
        <f t="shared" si="2"/>
        <v>22.477931811817594</v>
      </c>
      <c r="H15">
        <f t="shared" si="3"/>
        <v>269.73518174181112</v>
      </c>
      <c r="J15">
        <f t="shared" si="4"/>
        <v>2.6322113245116378E-3</v>
      </c>
      <c r="K15">
        <f t="shared" si="5"/>
        <v>3.1419977398036564E-2</v>
      </c>
      <c r="M15" s="2"/>
      <c r="N15" s="2"/>
      <c r="Q15">
        <v>0.71</v>
      </c>
      <c r="R15">
        <v>269.74</v>
      </c>
      <c r="S15">
        <v>8.4750999999999994</v>
      </c>
      <c r="U15" s="2"/>
      <c r="V15" s="2"/>
      <c r="W15" s="2"/>
    </row>
    <row r="16" spans="1:23" x14ac:dyDescent="0.25">
      <c r="A16">
        <v>29</v>
      </c>
      <c r="B16">
        <v>400</v>
      </c>
      <c r="C16">
        <f t="shared" si="0"/>
        <v>11.33919843597263</v>
      </c>
      <c r="D16" s="4">
        <v>0.79</v>
      </c>
      <c r="E16" s="5">
        <v>603.36</v>
      </c>
      <c r="F16">
        <f t="shared" si="1"/>
        <v>294.609375</v>
      </c>
      <c r="G16">
        <f t="shared" si="2"/>
        <v>30.851421605956016</v>
      </c>
      <c r="H16">
        <f t="shared" si="3"/>
        <v>370.21705927147218</v>
      </c>
      <c r="J16">
        <f t="shared" si="4"/>
        <v>2.1338832995826647E-3</v>
      </c>
      <c r="K16">
        <f t="shared" si="5"/>
        <v>3.062851414326059E-2</v>
      </c>
      <c r="M16" s="2"/>
      <c r="N16" s="2"/>
      <c r="Q16">
        <v>0.79</v>
      </c>
      <c r="R16">
        <v>370.22</v>
      </c>
      <c r="S16">
        <v>11.339</v>
      </c>
      <c r="U16" s="2"/>
      <c r="V16" s="2"/>
      <c r="W16" s="2"/>
    </row>
    <row r="17" spans="1:23" x14ac:dyDescent="0.25">
      <c r="A17">
        <v>28.8</v>
      </c>
      <c r="B17">
        <v>500</v>
      </c>
      <c r="C17">
        <f t="shared" si="0"/>
        <v>14.07624633431085</v>
      </c>
      <c r="D17" s="4">
        <v>0.84</v>
      </c>
      <c r="E17" s="5">
        <v>769.24</v>
      </c>
      <c r="F17">
        <f t="shared" si="1"/>
        <v>375.60546875</v>
      </c>
      <c r="G17">
        <f t="shared" si="2"/>
        <v>39.333312709105023</v>
      </c>
      <c r="H17">
        <f t="shared" si="3"/>
        <v>471.99975250926025</v>
      </c>
      <c r="J17">
        <f t="shared" si="4"/>
        <v>1.7796619501056197E-3</v>
      </c>
      <c r="K17">
        <f t="shared" si="5"/>
        <v>2.9822571430341345E-2</v>
      </c>
      <c r="M17" s="2"/>
      <c r="N17" s="2"/>
      <c r="Q17">
        <v>0.84</v>
      </c>
      <c r="R17">
        <v>472</v>
      </c>
      <c r="S17">
        <v>14.076000000000001</v>
      </c>
      <c r="U17" s="2"/>
      <c r="V17" s="2"/>
      <c r="W17" s="2"/>
    </row>
    <row r="18" spans="1:23" x14ac:dyDescent="0.25">
      <c r="A18">
        <v>28.8</v>
      </c>
      <c r="B18">
        <v>600</v>
      </c>
      <c r="C18">
        <f t="shared" si="0"/>
        <v>16.89149560117302</v>
      </c>
      <c r="D18" s="4">
        <v>0.88</v>
      </c>
      <c r="E18" s="5">
        <v>937.82</v>
      </c>
      <c r="F18">
        <f t="shared" si="1"/>
        <v>457.91992187500006</v>
      </c>
      <c r="G18">
        <f t="shared" si="2"/>
        <v>47.953262083163736</v>
      </c>
      <c r="H18">
        <f t="shared" si="3"/>
        <v>575.43914499796483</v>
      </c>
      <c r="J18">
        <f t="shared" si="4"/>
        <v>1.5292668349893234E-3</v>
      </c>
      <c r="K18">
        <f t="shared" si="5"/>
        <v>2.9354095473002207E-2</v>
      </c>
      <c r="M18" s="2"/>
      <c r="N18" s="2"/>
      <c r="Q18">
        <v>0.88</v>
      </c>
      <c r="R18">
        <v>575.44000000000005</v>
      </c>
      <c r="S18">
        <v>16.890999999999998</v>
      </c>
      <c r="U18" s="2"/>
      <c r="V18" s="2"/>
      <c r="W18" s="2"/>
    </row>
    <row r="19" spans="1:23" x14ac:dyDescent="0.25">
      <c r="A19">
        <v>28.8</v>
      </c>
      <c r="B19">
        <v>700</v>
      </c>
      <c r="C19">
        <f t="shared" si="0"/>
        <v>19.706744868035191</v>
      </c>
      <c r="D19" s="4">
        <v>0.91</v>
      </c>
      <c r="E19" s="5">
        <v>1107.8</v>
      </c>
      <c r="F19">
        <f t="shared" si="1"/>
        <v>540.91796875</v>
      </c>
      <c r="G19">
        <f t="shared" si="2"/>
        <v>56.644797227323778</v>
      </c>
      <c r="H19">
        <f t="shared" si="3"/>
        <v>679.73756672788534</v>
      </c>
      <c r="J19">
        <f t="shared" si="4"/>
        <v>1.3387519603786943E-3</v>
      </c>
      <c r="K19">
        <f t="shared" si="5"/>
        <v>2.8991695961280092E-2</v>
      </c>
      <c r="M19" s="2"/>
      <c r="N19" s="2"/>
      <c r="Q19">
        <v>0.91</v>
      </c>
      <c r="R19">
        <v>679.74</v>
      </c>
      <c r="S19">
        <v>19.707000000000001</v>
      </c>
      <c r="U19" s="2"/>
      <c r="V19" s="2"/>
      <c r="W19" s="2"/>
    </row>
    <row r="20" spans="1:23" x14ac:dyDescent="0.25">
      <c r="A20">
        <v>28.8</v>
      </c>
      <c r="B20">
        <v>800</v>
      </c>
      <c r="C20">
        <f t="shared" si="0"/>
        <v>22.521994134897362</v>
      </c>
      <c r="D20" s="4">
        <v>0.91</v>
      </c>
      <c r="E20" s="5">
        <v>1269.7</v>
      </c>
      <c r="F20">
        <f t="shared" si="1"/>
        <v>619.970703125</v>
      </c>
      <c r="G20">
        <f t="shared" si="2"/>
        <v>64.923180212613289</v>
      </c>
      <c r="H20">
        <f t="shared" si="3"/>
        <v>779.07816255135947</v>
      </c>
      <c r="J20">
        <f t="shared" si="4"/>
        <v>1.1680471148361956E-3</v>
      </c>
      <c r="K20">
        <f t="shared" si="5"/>
        <v>2.8908516779807231E-2</v>
      </c>
      <c r="M20" s="2"/>
      <c r="N20" s="2"/>
      <c r="Q20">
        <v>0.91</v>
      </c>
      <c r="R20">
        <v>779.08</v>
      </c>
      <c r="S20">
        <v>22.521999999999998</v>
      </c>
      <c r="U20" s="2"/>
      <c r="V20" s="2"/>
      <c r="W20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996C-0243-4285-AE13-4638AE41898E}">
  <dimension ref="A1:W18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35</v>
      </c>
    </row>
    <row r="5" spans="1:23" x14ac:dyDescent="0.25">
      <c r="A5" t="s">
        <v>5</v>
      </c>
      <c r="D5">
        <v>0.01</v>
      </c>
      <c r="F5" t="s">
        <v>36</v>
      </c>
    </row>
    <row r="6" spans="1:23" x14ac:dyDescent="0.25">
      <c r="A6" t="s">
        <v>7</v>
      </c>
      <c r="D6">
        <v>1024</v>
      </c>
      <c r="F6" t="s">
        <v>38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LINEST(K13:K18,J13:J18)</f>
        <v>1.6402520803419827</v>
      </c>
      <c r="K10">
        <v>-4.2980152942507371E-4</v>
      </c>
      <c r="M10" s="2"/>
      <c r="N10" s="2"/>
      <c r="Q10">
        <v>1.5485618999999999</v>
      </c>
      <c r="R10">
        <v>2.4990678000000001E-3</v>
      </c>
      <c r="U10" s="6"/>
      <c r="V10" s="2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28.8</v>
      </c>
      <c r="B13">
        <v>50</v>
      </c>
      <c r="C13">
        <f t="shared" ref="C13:C18" si="0">A13*B13/$D$4</f>
        <v>1.4076246334310851</v>
      </c>
      <c r="D13" s="4">
        <v>0.86</v>
      </c>
      <c r="E13" s="5">
        <v>25</v>
      </c>
      <c r="F13">
        <f t="shared" ref="F13:F18" si="1">E13*60/($D$5*$D$6*$D$7)</f>
        <v>12.20703125</v>
      </c>
      <c r="G13">
        <f t="shared" ref="G13:G18" si="2">F13*2*PI()/60</f>
        <v>1.2783173232380343</v>
      </c>
      <c r="H13">
        <f t="shared" ref="H13:H18" si="3">G13*$D$7</f>
        <v>15.339807878856412</v>
      </c>
      <c r="J13">
        <f t="shared" ref="J13:J18" si="4">D13/H13</f>
        <v>5.6063283633778681E-2</v>
      </c>
      <c r="K13">
        <f t="shared" ref="K13:K18" si="5">C13/H13</f>
        <v>9.1762859388303114E-2</v>
      </c>
      <c r="M13" s="2"/>
      <c r="N13" s="2"/>
      <c r="Q13">
        <v>0.86</v>
      </c>
      <c r="R13">
        <v>15.34</v>
      </c>
      <c r="S13">
        <v>1.4076</v>
      </c>
      <c r="U13" s="2"/>
      <c r="V13" s="2"/>
      <c r="W13" s="2"/>
    </row>
    <row r="14" spans="1:23" x14ac:dyDescent="0.25">
      <c r="A14">
        <v>28.8</v>
      </c>
      <c r="B14">
        <v>100</v>
      </c>
      <c r="C14">
        <f t="shared" si="0"/>
        <v>2.8152492668621703</v>
      </c>
      <c r="D14" s="4">
        <v>1.76</v>
      </c>
      <c r="E14" s="5">
        <v>80</v>
      </c>
      <c r="F14">
        <f t="shared" si="1"/>
        <v>39.0625</v>
      </c>
      <c r="G14">
        <f t="shared" si="2"/>
        <v>4.0906154343617098</v>
      </c>
      <c r="H14">
        <f t="shared" si="3"/>
        <v>49.087385212340521</v>
      </c>
      <c r="J14">
        <f t="shared" si="4"/>
        <v>3.585442557974218E-2</v>
      </c>
      <c r="K14">
        <f t="shared" si="5"/>
        <v>5.7351787117689443E-2</v>
      </c>
      <c r="M14" s="2"/>
      <c r="N14" s="2"/>
      <c r="Q14">
        <v>1.76</v>
      </c>
      <c r="R14">
        <v>49.087000000000003</v>
      </c>
      <c r="S14">
        <v>2.8151999999999999</v>
      </c>
      <c r="U14" s="2"/>
      <c r="V14" s="2"/>
      <c r="W14" s="2"/>
    </row>
    <row r="15" spans="1:23" x14ac:dyDescent="0.25">
      <c r="A15">
        <v>28.75</v>
      </c>
      <c r="B15">
        <v>150</v>
      </c>
      <c r="C15">
        <f t="shared" si="0"/>
        <v>4.2155425219941352</v>
      </c>
      <c r="D15" s="4">
        <v>2.56</v>
      </c>
      <c r="E15" s="5">
        <v>133</v>
      </c>
      <c r="F15">
        <f t="shared" si="1"/>
        <v>64.94140625</v>
      </c>
      <c r="G15">
        <f t="shared" si="2"/>
        <v>6.8006481596263431</v>
      </c>
      <c r="H15">
        <f t="shared" si="3"/>
        <v>81.607777915516124</v>
      </c>
      <c r="J15">
        <f t="shared" si="4"/>
        <v>3.1369558948783315E-2</v>
      </c>
      <c r="K15">
        <f t="shared" si="5"/>
        <v>5.1656136579999103E-2</v>
      </c>
      <c r="M15" s="2"/>
      <c r="N15" s="2"/>
      <c r="Q15">
        <v>2.56</v>
      </c>
      <c r="R15">
        <v>81.608000000000004</v>
      </c>
      <c r="S15">
        <v>4.2154999999999996</v>
      </c>
      <c r="U15" s="2"/>
      <c r="V15" s="2"/>
      <c r="W15" s="2"/>
    </row>
    <row r="16" spans="1:23" x14ac:dyDescent="0.25">
      <c r="A16">
        <v>28.7</v>
      </c>
      <c r="B16">
        <v>200</v>
      </c>
      <c r="C16">
        <f t="shared" si="0"/>
        <v>5.6109481915933532</v>
      </c>
      <c r="D16" s="4">
        <v>3.49</v>
      </c>
      <c r="E16" s="5">
        <v>185</v>
      </c>
      <c r="F16">
        <f t="shared" si="1"/>
        <v>90.33203125</v>
      </c>
      <c r="G16">
        <f t="shared" si="2"/>
        <v>9.4595481919614546</v>
      </c>
      <c r="H16">
        <f t="shared" si="3"/>
        <v>113.51457830353746</v>
      </c>
      <c r="J16">
        <f t="shared" si="4"/>
        <v>3.0744949698599561E-2</v>
      </c>
      <c r="K16">
        <f t="shared" si="5"/>
        <v>4.9429318026356965E-2</v>
      </c>
      <c r="M16" s="2"/>
      <c r="N16" s="2"/>
      <c r="Q16">
        <v>3.49</v>
      </c>
      <c r="R16">
        <v>113.51</v>
      </c>
      <c r="S16">
        <v>5.6109</v>
      </c>
      <c r="U16" s="2"/>
      <c r="V16" s="2"/>
      <c r="W16" s="2"/>
    </row>
    <row r="17" spans="1:23" x14ac:dyDescent="0.25">
      <c r="A17">
        <v>28.7</v>
      </c>
      <c r="B17">
        <v>250</v>
      </c>
      <c r="C17">
        <f t="shared" si="0"/>
        <v>7.0136852394916911</v>
      </c>
      <c r="D17" s="4">
        <v>4.28</v>
      </c>
      <c r="E17" s="5">
        <v>237</v>
      </c>
      <c r="F17">
        <f t="shared" si="1"/>
        <v>115.72265625</v>
      </c>
      <c r="G17">
        <f t="shared" si="2"/>
        <v>12.118448224296566</v>
      </c>
      <c r="H17">
        <f t="shared" si="3"/>
        <v>145.4213786915588</v>
      </c>
      <c r="J17">
        <f t="shared" si="4"/>
        <v>2.9431711062772637E-2</v>
      </c>
      <c r="K17">
        <f t="shared" si="5"/>
        <v>4.8230083517278678E-2</v>
      </c>
      <c r="M17" s="2"/>
      <c r="N17" s="2"/>
      <c r="Q17">
        <v>4.28</v>
      </c>
      <c r="R17">
        <v>145.41999999999999</v>
      </c>
      <c r="S17">
        <v>7.0137</v>
      </c>
      <c r="U17" s="2"/>
      <c r="V17" s="2"/>
      <c r="W17" s="2"/>
    </row>
    <row r="18" spans="1:23" x14ac:dyDescent="0.25">
      <c r="A18">
        <v>28.7</v>
      </c>
      <c r="B18">
        <v>300</v>
      </c>
      <c r="C18">
        <f t="shared" si="0"/>
        <v>8.416422287390029</v>
      </c>
      <c r="D18" s="4">
        <v>5.14</v>
      </c>
      <c r="E18" s="5">
        <v>288</v>
      </c>
      <c r="F18">
        <f t="shared" si="1"/>
        <v>140.625</v>
      </c>
      <c r="G18">
        <f t="shared" si="2"/>
        <v>14.726215563702157</v>
      </c>
      <c r="H18">
        <f t="shared" si="3"/>
        <v>176.71458676442589</v>
      </c>
      <c r="J18">
        <f t="shared" si="4"/>
        <v>2.9086450044172155E-2</v>
      </c>
      <c r="K18">
        <f t="shared" si="5"/>
        <v>4.7627207473312692E-2</v>
      </c>
      <c r="M18" s="2"/>
      <c r="N18" s="2"/>
      <c r="Q18">
        <v>5.14</v>
      </c>
      <c r="R18">
        <v>176.71</v>
      </c>
      <c r="S18">
        <v>8.4163999999999994</v>
      </c>
      <c r="U18" s="2"/>
      <c r="V18" s="2"/>
      <c r="W18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594B-4F87-48C9-B4B8-E94803EF560A}">
  <dimension ref="A1:W36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39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41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LINEST(K13:K36,J13:J36)</f>
        <v>3.4078771773825944</v>
      </c>
      <c r="K10">
        <v>2.6486109448658934E-2</v>
      </c>
      <c r="M10" cm="1">
        <f t="array" ref="M10:N10">LINEST(N13:N36,M13:M36)</f>
        <v>6.3095575543649591E-6</v>
      </c>
      <c r="N10">
        <v>3.013724266278708E-3</v>
      </c>
      <c r="Q10">
        <v>2.5004170999999999</v>
      </c>
      <c r="R10">
        <v>2.7145592999999999E-2</v>
      </c>
      <c r="U10" s="3">
        <v>6.4666606999999996E-6</v>
      </c>
      <c r="V10">
        <v>3.0887636999999998E-3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28.8</v>
      </c>
      <c r="B13">
        <v>25</v>
      </c>
      <c r="C13">
        <f>$A13*$B13/$D$4</f>
        <v>0.70381231671554256</v>
      </c>
      <c r="D13">
        <v>0.09</v>
      </c>
      <c r="E13">
        <v>23.827999999999999</v>
      </c>
      <c r="F13">
        <f>$E13*60/($D$5*$D$6*$D$7)</f>
        <v>11.634765625000002</v>
      </c>
      <c r="G13">
        <f>$F13*2*PI()/60</f>
        <v>1.2183898071246353</v>
      </c>
      <c r="H13">
        <f>$G13*$D$7</f>
        <v>14.620677685495624</v>
      </c>
      <c r="J13">
        <f>$D13/$H13</f>
        <v>6.1556654168831099E-3</v>
      </c>
      <c r="K13">
        <f>$C13/$H13</f>
        <v>4.8138145977580531E-2</v>
      </c>
      <c r="M13">
        <f>$H13</f>
        <v>14.620677685495624</v>
      </c>
      <c r="N13">
        <f>$D13*$K$10</f>
        <v>2.383749850379304E-3</v>
      </c>
      <c r="Q13">
        <v>0.09</v>
      </c>
      <c r="R13">
        <v>14.621</v>
      </c>
      <c r="S13">
        <v>0.70381000000000005</v>
      </c>
      <c r="U13">
        <v>14.621</v>
      </c>
      <c r="V13">
        <v>1</v>
      </c>
      <c r="W13">
        <v>2.4431000000000001E-3</v>
      </c>
    </row>
    <row r="14" spans="1:23" x14ac:dyDescent="0.25">
      <c r="A14">
        <v>28.8</v>
      </c>
      <c r="B14">
        <v>50</v>
      </c>
      <c r="C14">
        <f>$A14*$B14/$D$4</f>
        <v>1.4076246334310851</v>
      </c>
      <c r="D14">
        <v>0.11</v>
      </c>
      <c r="E14">
        <v>65.911000000000001</v>
      </c>
      <c r="F14">
        <f t="shared" ref="F14:F36" si="0">$E14*60/($D$5*$D$6*$D$7)</f>
        <v>32.18310546875</v>
      </c>
      <c r="G14">
        <f t="shared" ref="G14:G36" si="1">$F14*2*PI()/60</f>
        <v>3.3702069236776833</v>
      </c>
      <c r="H14">
        <f t="shared" ref="H14:H36" si="2">$G14*$D$7</f>
        <v>40.442483084132199</v>
      </c>
      <c r="J14">
        <f t="shared" ref="J14:J36" si="3">$D14/$H14</f>
        <v>2.7199121223879306E-3</v>
      </c>
      <c r="K14">
        <f t="shared" ref="K14:K36" si="4">$C14/$H14</f>
        <v>3.4805593674918874E-2</v>
      </c>
      <c r="M14">
        <f t="shared" ref="M14:M36" si="5">$H14</f>
        <v>40.442483084132199</v>
      </c>
      <c r="N14">
        <f t="shared" ref="N14:N36" si="6">$D14*$K$10</f>
        <v>2.9134720393524829E-3</v>
      </c>
      <c r="Q14">
        <v>0.11</v>
      </c>
      <c r="R14">
        <v>40.442</v>
      </c>
      <c r="S14">
        <v>1.4076</v>
      </c>
      <c r="U14">
        <v>40.442</v>
      </c>
      <c r="V14">
        <v>1</v>
      </c>
      <c r="W14">
        <v>2.9859999999999999E-3</v>
      </c>
    </row>
    <row r="15" spans="1:23" x14ac:dyDescent="0.25">
      <c r="A15">
        <v>28.8</v>
      </c>
      <c r="B15">
        <v>75</v>
      </c>
      <c r="C15">
        <f>$A15*$B15/$D$4</f>
        <v>2.1114369501466275</v>
      </c>
      <c r="D15">
        <v>0.12</v>
      </c>
      <c r="E15">
        <v>107.03</v>
      </c>
      <c r="F15">
        <f t="shared" si="0"/>
        <v>52.2607421875</v>
      </c>
      <c r="G15">
        <f t="shared" si="1"/>
        <v>5.4727321242466731</v>
      </c>
      <c r="H15">
        <f t="shared" si="2"/>
        <v>65.672785490960081</v>
      </c>
      <c r="J15">
        <f t="shared" si="3"/>
        <v>1.8272409050856858E-3</v>
      </c>
      <c r="K15">
        <f t="shared" si="4"/>
        <v>3.2150866365144033E-2</v>
      </c>
      <c r="M15">
        <f t="shared" si="5"/>
        <v>65.672785490960081</v>
      </c>
      <c r="N15">
        <f t="shared" si="6"/>
        <v>3.178333133839072E-3</v>
      </c>
      <c r="Q15">
        <v>0.12</v>
      </c>
      <c r="R15">
        <v>65.673000000000002</v>
      </c>
      <c r="S15">
        <v>2.1114000000000002</v>
      </c>
      <c r="U15">
        <v>65.673000000000002</v>
      </c>
      <c r="V15">
        <v>1</v>
      </c>
      <c r="W15">
        <v>3.2575E-3</v>
      </c>
    </row>
    <row r="16" spans="1:23" x14ac:dyDescent="0.25">
      <c r="A16">
        <v>28.8</v>
      </c>
      <c r="B16">
        <v>100</v>
      </c>
      <c r="C16">
        <f>$A16*$B16/$D$4</f>
        <v>2.8152492668621703</v>
      </c>
      <c r="D16">
        <v>0.14000000000000001</v>
      </c>
      <c r="E16">
        <v>147.36000000000001</v>
      </c>
      <c r="F16">
        <f t="shared" si="0"/>
        <v>71.953125</v>
      </c>
      <c r="G16">
        <f t="shared" si="1"/>
        <v>7.5349136300942696</v>
      </c>
      <c r="H16">
        <f t="shared" si="2"/>
        <v>90.418963561131235</v>
      </c>
      <c r="J16">
        <f t="shared" si="3"/>
        <v>1.5483477634130102E-3</v>
      </c>
      <c r="K16">
        <f t="shared" si="4"/>
        <v>3.1135606469972554E-2</v>
      </c>
      <c r="M16">
        <f t="shared" si="5"/>
        <v>90.418963561131235</v>
      </c>
      <c r="N16">
        <f t="shared" si="6"/>
        <v>3.7080553228122509E-3</v>
      </c>
      <c r="Q16">
        <v>0.14000000000000001</v>
      </c>
      <c r="R16">
        <v>90.418999999999997</v>
      </c>
      <c r="S16">
        <v>2.8151999999999999</v>
      </c>
      <c r="U16">
        <v>90.418999999999997</v>
      </c>
      <c r="V16">
        <v>1</v>
      </c>
      <c r="W16">
        <v>3.8003999999999998E-3</v>
      </c>
    </row>
    <row r="17" spans="1:23" x14ac:dyDescent="0.25">
      <c r="A17">
        <v>28.8</v>
      </c>
      <c r="B17">
        <v>125</v>
      </c>
      <c r="C17">
        <f>$A17*$B17/$D$4</f>
        <v>3.5190615835777126</v>
      </c>
      <c r="D17">
        <v>0.14499999999999999</v>
      </c>
      <c r="E17">
        <v>185.06</v>
      </c>
      <c r="F17">
        <f t="shared" si="0"/>
        <v>90.361328125</v>
      </c>
      <c r="G17">
        <f t="shared" si="1"/>
        <v>9.4626161535372244</v>
      </c>
      <c r="H17">
        <f t="shared" si="2"/>
        <v>113.55139384244669</v>
      </c>
      <c r="J17">
        <f t="shared" si="3"/>
        <v>1.2769548227755658E-3</v>
      </c>
      <c r="K17">
        <f t="shared" si="4"/>
        <v>3.0990914902026073E-2</v>
      </c>
      <c r="M17">
        <f t="shared" si="5"/>
        <v>113.55139384244669</v>
      </c>
      <c r="N17">
        <f t="shared" si="6"/>
        <v>3.8404858700555452E-3</v>
      </c>
      <c r="Q17">
        <v>0.14499999999999999</v>
      </c>
      <c r="R17">
        <v>113.55</v>
      </c>
      <c r="S17">
        <v>3.5190999999999999</v>
      </c>
      <c r="U17">
        <v>113.55</v>
      </c>
      <c r="V17">
        <v>1</v>
      </c>
      <c r="W17">
        <v>3.9360999999999997E-3</v>
      </c>
    </row>
    <row r="18" spans="1:23" x14ac:dyDescent="0.25">
      <c r="A18">
        <v>28.8</v>
      </c>
      <c r="B18">
        <v>150</v>
      </c>
      <c r="C18">
        <f t="shared" ref="C18:C36" si="7">$A18*$B18/$D$4</f>
        <v>4.2228739002932549</v>
      </c>
      <c r="D18">
        <v>0.15</v>
      </c>
      <c r="E18">
        <v>227.44</v>
      </c>
      <c r="F18">
        <f t="shared" si="0"/>
        <v>111.0546875</v>
      </c>
      <c r="G18">
        <f t="shared" si="1"/>
        <v>11.629619679890341</v>
      </c>
      <c r="H18">
        <f t="shared" si="2"/>
        <v>139.5554361586841</v>
      </c>
      <c r="J18">
        <f t="shared" si="3"/>
        <v>1.0748416839129055E-3</v>
      </c>
      <c r="K18">
        <f t="shared" si="4"/>
        <v>3.0259472626287073E-2</v>
      </c>
      <c r="M18">
        <f t="shared" si="5"/>
        <v>139.5554361586841</v>
      </c>
      <c r="N18">
        <f t="shared" si="6"/>
        <v>3.9729164172988395E-3</v>
      </c>
      <c r="Q18">
        <v>0.15</v>
      </c>
      <c r="R18">
        <v>139.56</v>
      </c>
      <c r="S18">
        <v>4.2229000000000001</v>
      </c>
      <c r="U18">
        <v>139.56</v>
      </c>
      <c r="V18">
        <v>1</v>
      </c>
      <c r="W18">
        <v>4.0718000000000004E-3</v>
      </c>
    </row>
    <row r="19" spans="1:23" x14ac:dyDescent="0.25">
      <c r="A19">
        <v>28.8</v>
      </c>
      <c r="B19">
        <v>175</v>
      </c>
      <c r="C19">
        <f t="shared" si="7"/>
        <v>4.9266862170087977</v>
      </c>
      <c r="D19">
        <v>0.16</v>
      </c>
      <c r="E19">
        <v>273.83</v>
      </c>
      <c r="F19">
        <f t="shared" si="0"/>
        <v>133.7060546875</v>
      </c>
      <c r="G19">
        <f t="shared" si="1"/>
        <v>14.001665304890839</v>
      </c>
      <c r="H19">
        <f t="shared" si="2"/>
        <v>168.01998365869008</v>
      </c>
      <c r="J19">
        <f t="shared" si="3"/>
        <v>9.5226767980776859E-4</v>
      </c>
      <c r="K19">
        <f t="shared" si="4"/>
        <v>2.9322025331324254E-2</v>
      </c>
      <c r="M19">
        <f t="shared" si="5"/>
        <v>168.01998365869008</v>
      </c>
      <c r="N19">
        <f t="shared" si="6"/>
        <v>4.2377775117854299E-3</v>
      </c>
      <c r="Q19">
        <v>0.16</v>
      </c>
      <c r="R19">
        <v>168.02</v>
      </c>
      <c r="S19">
        <v>4.9267000000000003</v>
      </c>
      <c r="U19">
        <v>168.02</v>
      </c>
      <c r="V19">
        <v>1</v>
      </c>
      <c r="W19">
        <v>4.3432999999999996E-3</v>
      </c>
    </row>
    <row r="20" spans="1:23" x14ac:dyDescent="0.25">
      <c r="A20">
        <v>28.8</v>
      </c>
      <c r="B20">
        <v>200</v>
      </c>
      <c r="C20">
        <f t="shared" si="7"/>
        <v>5.6304985337243405</v>
      </c>
      <c r="D20">
        <v>0.16500000000000001</v>
      </c>
      <c r="E20">
        <v>314.74</v>
      </c>
      <c r="F20">
        <f t="shared" si="0"/>
        <v>153.68164062500003</v>
      </c>
      <c r="G20">
        <f t="shared" si="1"/>
        <v>16.093503772637561</v>
      </c>
      <c r="H20">
        <f t="shared" si="2"/>
        <v>193.12204527165073</v>
      </c>
      <c r="J20">
        <f t="shared" si="3"/>
        <v>8.5438200371121026E-4</v>
      </c>
      <c r="K20">
        <f t="shared" si="4"/>
        <v>2.9155131025069291E-2</v>
      </c>
      <c r="M20">
        <f t="shared" si="5"/>
        <v>193.12204527165073</v>
      </c>
      <c r="N20">
        <f t="shared" si="6"/>
        <v>4.3702080590287242E-3</v>
      </c>
      <c r="Q20">
        <v>0.16500000000000001</v>
      </c>
      <c r="R20">
        <v>193.12</v>
      </c>
      <c r="S20">
        <v>5.6304999999999996</v>
      </c>
      <c r="U20">
        <v>193.12</v>
      </c>
      <c r="V20">
        <v>1</v>
      </c>
      <c r="W20">
        <v>4.4790000000000003E-3</v>
      </c>
    </row>
    <row r="21" spans="1:23" x14ac:dyDescent="0.25">
      <c r="A21">
        <v>28.8</v>
      </c>
      <c r="B21">
        <v>225</v>
      </c>
      <c r="C21">
        <f t="shared" si="7"/>
        <v>6.3343108504398824</v>
      </c>
      <c r="D21">
        <v>0.17</v>
      </c>
      <c r="E21">
        <v>355.4</v>
      </c>
      <c r="F21">
        <f t="shared" si="0"/>
        <v>173.53515625</v>
      </c>
      <c r="G21">
        <f>$F21*2*PI()/60</f>
        <v>18.172559067151894</v>
      </c>
      <c r="H21">
        <f t="shared" si="2"/>
        <v>218.07070880582273</v>
      </c>
      <c r="J21">
        <f t="shared" si="3"/>
        <v>7.7956366047937946E-4</v>
      </c>
      <c r="K21">
        <f t="shared" si="4"/>
        <v>2.9047050312842149E-2</v>
      </c>
      <c r="M21">
        <f t="shared" si="5"/>
        <v>218.07070880582273</v>
      </c>
      <c r="N21">
        <f t="shared" si="6"/>
        <v>4.5026386062720193E-3</v>
      </c>
      <c r="Q21">
        <v>0.17</v>
      </c>
      <c r="R21">
        <v>218.07</v>
      </c>
      <c r="S21">
        <v>6.3342999999999998</v>
      </c>
      <c r="U21">
        <v>218.07</v>
      </c>
      <c r="V21">
        <v>1</v>
      </c>
      <c r="W21">
        <v>4.6147999999999996E-3</v>
      </c>
    </row>
    <row r="22" spans="1:23" x14ac:dyDescent="0.25">
      <c r="A22">
        <v>28.8</v>
      </c>
      <c r="B22">
        <v>250</v>
      </c>
      <c r="C22">
        <f t="shared" si="7"/>
        <v>7.0381231671554252</v>
      </c>
      <c r="D22">
        <v>0.18</v>
      </c>
      <c r="E22">
        <v>396.41</v>
      </c>
      <c r="F22">
        <f t="shared" si="0"/>
        <v>193.55957031250003</v>
      </c>
      <c r="G22">
        <f t="shared" si="1"/>
        <v>20.269510804191569</v>
      </c>
      <c r="H22">
        <f t="shared" si="2"/>
        <v>243.23412965029883</v>
      </c>
      <c r="J22">
        <f t="shared" si="3"/>
        <v>7.4002772661381261E-4</v>
      </c>
      <c r="K22">
        <f t="shared" si="4"/>
        <v>2.8935590483433533E-2</v>
      </c>
      <c r="M22">
        <f t="shared" si="5"/>
        <v>243.23412965029883</v>
      </c>
      <c r="N22">
        <f t="shared" si="6"/>
        <v>4.767499700758608E-3</v>
      </c>
      <c r="Q22">
        <v>0.18</v>
      </c>
      <c r="R22">
        <v>243.23</v>
      </c>
      <c r="S22">
        <v>7.0381</v>
      </c>
      <c r="U22">
        <v>243.23</v>
      </c>
      <c r="V22">
        <v>1</v>
      </c>
      <c r="W22">
        <v>4.8862000000000003E-3</v>
      </c>
    </row>
    <row r="23" spans="1:23" x14ac:dyDescent="0.25">
      <c r="A23">
        <v>28.8</v>
      </c>
      <c r="B23">
        <v>275</v>
      </c>
      <c r="C23">
        <f t="shared" si="7"/>
        <v>7.741935483870968</v>
      </c>
      <c r="D23">
        <v>0.185</v>
      </c>
      <c r="E23">
        <v>438.59</v>
      </c>
      <c r="F23">
        <f t="shared" si="0"/>
        <v>214.1552734375</v>
      </c>
      <c r="G23">
        <f t="shared" si="1"/>
        <v>22.426287791958778</v>
      </c>
      <c r="H23">
        <f t="shared" si="2"/>
        <v>269.11545350350536</v>
      </c>
      <c r="J23">
        <f t="shared" si="3"/>
        <v>6.8743729723269229E-4</v>
      </c>
      <c r="K23">
        <f t="shared" si="4"/>
        <v>2.8768082185849374E-2</v>
      </c>
      <c r="M23">
        <f t="shared" si="5"/>
        <v>269.11545350350536</v>
      </c>
      <c r="N23">
        <f t="shared" si="6"/>
        <v>4.8999302480019023E-3</v>
      </c>
      <c r="Q23">
        <v>0.185</v>
      </c>
      <c r="R23">
        <v>269.12</v>
      </c>
      <c r="S23">
        <v>7.7419000000000002</v>
      </c>
      <c r="U23">
        <v>269.12</v>
      </c>
      <c r="V23">
        <v>1</v>
      </c>
      <c r="W23">
        <v>5.0219000000000001E-3</v>
      </c>
    </row>
    <row r="24" spans="1:23" x14ac:dyDescent="0.25">
      <c r="A24">
        <v>28.8</v>
      </c>
      <c r="B24">
        <v>300</v>
      </c>
      <c r="C24">
        <f t="shared" si="7"/>
        <v>8.4457478005865099</v>
      </c>
      <c r="D24">
        <v>0.19</v>
      </c>
      <c r="E24">
        <v>481.54</v>
      </c>
      <c r="F24">
        <f t="shared" si="0"/>
        <v>235.12695312500003</v>
      </c>
      <c r="G24">
        <f t="shared" si="1"/>
        <v>24.622436953281728</v>
      </c>
      <c r="H24">
        <f t="shared" si="2"/>
        <v>295.46924343938076</v>
      </c>
      <c r="J24">
        <f t="shared" si="3"/>
        <v>6.4304493350415641E-4</v>
      </c>
      <c r="K24">
        <f t="shared" si="4"/>
        <v>2.8584185962215933E-2</v>
      </c>
      <c r="M24">
        <f t="shared" si="5"/>
        <v>295.46924343938076</v>
      </c>
      <c r="N24">
        <f t="shared" si="6"/>
        <v>5.0323607952451974E-3</v>
      </c>
      <c r="Q24">
        <v>0.19</v>
      </c>
      <c r="R24">
        <v>295.47000000000003</v>
      </c>
      <c r="S24">
        <v>8.4457000000000004</v>
      </c>
      <c r="U24">
        <v>295.47000000000003</v>
      </c>
      <c r="V24">
        <v>1</v>
      </c>
      <c r="W24">
        <v>5.1577000000000003E-3</v>
      </c>
    </row>
    <row r="25" spans="1:23" x14ac:dyDescent="0.25">
      <c r="A25">
        <v>28.8</v>
      </c>
      <c r="B25">
        <v>325</v>
      </c>
      <c r="C25">
        <f t="shared" si="7"/>
        <v>9.1495601173020535</v>
      </c>
      <c r="D25">
        <v>0.2</v>
      </c>
      <c r="E25">
        <v>520.48</v>
      </c>
      <c r="F25">
        <f t="shared" si="0"/>
        <v>254.14062500000003</v>
      </c>
      <c r="G25">
        <f t="shared" si="1"/>
        <v>26.613544015957288</v>
      </c>
      <c r="H25">
        <f t="shared" si="2"/>
        <v>319.36252819148746</v>
      </c>
      <c r="J25">
        <f t="shared" si="3"/>
        <v>6.2624754736435916E-4</v>
      </c>
      <c r="K25">
        <f t="shared" si="4"/>
        <v>2.8649447914615843E-2</v>
      </c>
      <c r="M25">
        <f t="shared" si="5"/>
        <v>319.36252819148746</v>
      </c>
      <c r="N25">
        <f t="shared" si="6"/>
        <v>5.2972218897317869E-3</v>
      </c>
      <c r="Q25">
        <v>0.2</v>
      </c>
      <c r="R25">
        <v>319.36</v>
      </c>
      <c r="S25">
        <v>9.1495999999999995</v>
      </c>
      <c r="U25">
        <v>319.36</v>
      </c>
      <c r="V25">
        <v>1</v>
      </c>
      <c r="W25">
        <v>5.4291000000000001E-3</v>
      </c>
    </row>
    <row r="26" spans="1:23" x14ac:dyDescent="0.25">
      <c r="A26">
        <v>28.8</v>
      </c>
      <c r="B26">
        <v>350</v>
      </c>
      <c r="C26">
        <f t="shared" si="7"/>
        <v>9.8533724340175954</v>
      </c>
      <c r="D26">
        <v>0.20499999999999999</v>
      </c>
      <c r="E26">
        <v>562.33000000000004</v>
      </c>
      <c r="F26">
        <f t="shared" si="0"/>
        <v>274.57519531250006</v>
      </c>
      <c r="G26">
        <f t="shared" si="1"/>
        <v>28.753447215057758</v>
      </c>
      <c r="H26">
        <f t="shared" si="2"/>
        <v>345.04136658069308</v>
      </c>
      <c r="J26">
        <f t="shared" si="3"/>
        <v>5.941316603035702E-4</v>
      </c>
      <c r="K26">
        <f t="shared" si="4"/>
        <v>2.8557075725913685E-2</v>
      </c>
      <c r="M26">
        <f t="shared" si="5"/>
        <v>345.04136658069308</v>
      </c>
      <c r="N26">
        <f t="shared" si="6"/>
        <v>5.4296524369750812E-3</v>
      </c>
      <c r="Q26">
        <v>0.20499999999999999</v>
      </c>
      <c r="R26">
        <v>345.04</v>
      </c>
      <c r="S26">
        <v>9.8534000000000006</v>
      </c>
      <c r="U26">
        <v>345.04</v>
      </c>
      <c r="V26">
        <v>1</v>
      </c>
      <c r="W26">
        <v>5.5648E-3</v>
      </c>
    </row>
    <row r="27" spans="1:23" x14ac:dyDescent="0.25">
      <c r="A27">
        <v>28.8</v>
      </c>
      <c r="B27">
        <v>375</v>
      </c>
      <c r="C27">
        <f t="shared" si="7"/>
        <v>10.557184750733137</v>
      </c>
      <c r="D27">
        <v>0.21</v>
      </c>
      <c r="E27">
        <v>605.70000000000005</v>
      </c>
      <c r="F27">
        <f t="shared" si="0"/>
        <v>295.751953125</v>
      </c>
      <c r="G27">
        <f t="shared" si="1"/>
        <v>30.971072107411096</v>
      </c>
      <c r="H27">
        <f t="shared" si="2"/>
        <v>371.65286528893319</v>
      </c>
      <c r="J27">
        <f t="shared" si="3"/>
        <v>5.6504340370614446E-4</v>
      </c>
      <c r="K27">
        <f t="shared" si="4"/>
        <v>2.8406036214804076E-2</v>
      </c>
      <c r="M27">
        <f t="shared" si="5"/>
        <v>371.65286528893319</v>
      </c>
      <c r="N27">
        <f t="shared" si="6"/>
        <v>5.5620829842183755E-3</v>
      </c>
      <c r="Q27">
        <v>0.21</v>
      </c>
      <c r="R27">
        <v>371.65</v>
      </c>
      <c r="S27">
        <v>10.557</v>
      </c>
      <c r="U27">
        <v>371.65</v>
      </c>
      <c r="V27">
        <v>1</v>
      </c>
      <c r="W27">
        <v>5.7006000000000001E-3</v>
      </c>
    </row>
    <row r="28" spans="1:23" x14ac:dyDescent="0.25">
      <c r="A28">
        <v>28.8</v>
      </c>
      <c r="B28">
        <v>400</v>
      </c>
      <c r="C28">
        <f t="shared" si="7"/>
        <v>11.260997067448681</v>
      </c>
      <c r="D28">
        <v>0.215</v>
      </c>
      <c r="E28">
        <v>648.05999999999995</v>
      </c>
      <c r="F28">
        <f t="shared" si="0"/>
        <v>316.435546875</v>
      </c>
      <c r="G28">
        <f t="shared" si="1"/>
        <v>33.137052979905619</v>
      </c>
      <c r="H28">
        <f t="shared" si="2"/>
        <v>397.64463575886742</v>
      </c>
      <c r="J28">
        <f t="shared" si="3"/>
        <v>5.4068376803246122E-4</v>
      </c>
      <c r="K28">
        <f t="shared" si="4"/>
        <v>2.8319248028979761E-2</v>
      </c>
      <c r="M28">
        <f t="shared" si="5"/>
        <v>397.64463575886742</v>
      </c>
      <c r="N28">
        <f t="shared" si="6"/>
        <v>5.6945135314616707E-3</v>
      </c>
      <c r="Q28">
        <v>0.215</v>
      </c>
      <c r="R28">
        <v>397.64</v>
      </c>
      <c r="S28">
        <v>11.260999999999999</v>
      </c>
      <c r="U28">
        <v>397.64</v>
      </c>
      <c r="V28">
        <v>1</v>
      </c>
      <c r="W28">
        <v>5.8363E-3</v>
      </c>
    </row>
    <row r="29" spans="1:23" x14ac:dyDescent="0.25">
      <c r="A29">
        <v>28.8</v>
      </c>
      <c r="B29">
        <v>425</v>
      </c>
      <c r="C29">
        <f t="shared" si="7"/>
        <v>11.964809384164223</v>
      </c>
      <c r="D29">
        <v>0.22</v>
      </c>
      <c r="E29">
        <v>691.25</v>
      </c>
      <c r="F29">
        <f t="shared" si="0"/>
        <v>337.5244140625</v>
      </c>
      <c r="G29">
        <f t="shared" si="1"/>
        <v>35.345473987531655</v>
      </c>
      <c r="H29">
        <f t="shared" si="2"/>
        <v>424.14568785037989</v>
      </c>
      <c r="J29">
        <f t="shared" si="3"/>
        <v>5.1868970097276206E-4</v>
      </c>
      <c r="K29">
        <f t="shared" si="4"/>
        <v>2.8209197280310169E-2</v>
      </c>
      <c r="M29">
        <f t="shared" si="5"/>
        <v>424.14568785037989</v>
      </c>
      <c r="N29">
        <f t="shared" si="6"/>
        <v>5.8269440787049659E-3</v>
      </c>
      <c r="Q29">
        <v>0.22</v>
      </c>
      <c r="R29">
        <v>424.15</v>
      </c>
      <c r="S29">
        <v>11.965</v>
      </c>
      <c r="U29">
        <v>424.15</v>
      </c>
      <c r="V29">
        <v>1</v>
      </c>
      <c r="W29">
        <v>5.9719999999999999E-3</v>
      </c>
    </row>
    <row r="30" spans="1:23" x14ac:dyDescent="0.25">
      <c r="A30">
        <v>28.8</v>
      </c>
      <c r="B30">
        <v>450</v>
      </c>
      <c r="C30">
        <f t="shared" si="7"/>
        <v>12.668621700879765</v>
      </c>
      <c r="D30">
        <v>0.22</v>
      </c>
      <c r="E30">
        <v>729.72</v>
      </c>
      <c r="F30">
        <f t="shared" si="0"/>
        <v>356.30859375000006</v>
      </c>
      <c r="G30">
        <f t="shared" si="1"/>
        <v>37.312548684530341</v>
      </c>
      <c r="H30">
        <f t="shared" si="2"/>
        <v>447.7505842143641</v>
      </c>
      <c r="J30">
        <f t="shared" si="3"/>
        <v>4.9134497587762676E-4</v>
      </c>
      <c r="K30">
        <f t="shared" si="4"/>
        <v>2.8293925563734303E-2</v>
      </c>
      <c r="M30">
        <f t="shared" si="5"/>
        <v>447.7505842143641</v>
      </c>
      <c r="N30">
        <f t="shared" si="6"/>
        <v>5.8269440787049659E-3</v>
      </c>
      <c r="Q30">
        <v>0.22</v>
      </c>
      <c r="R30">
        <v>447.75</v>
      </c>
      <c r="S30">
        <v>12.669</v>
      </c>
      <c r="U30">
        <v>447.75</v>
      </c>
      <c r="V30">
        <v>1</v>
      </c>
      <c r="W30">
        <v>5.9719999999999999E-3</v>
      </c>
    </row>
    <row r="31" spans="1:23" x14ac:dyDescent="0.25">
      <c r="A31">
        <v>28.8</v>
      </c>
      <c r="B31">
        <v>475</v>
      </c>
      <c r="C31">
        <f t="shared" si="7"/>
        <v>13.372434017595308</v>
      </c>
      <c r="D31">
        <v>0.22</v>
      </c>
      <c r="E31">
        <v>768.52</v>
      </c>
      <c r="F31">
        <f t="shared" si="0"/>
        <v>375.25390625</v>
      </c>
      <c r="G31">
        <f t="shared" si="1"/>
        <v>39.296497170195764</v>
      </c>
      <c r="H31">
        <f t="shared" si="2"/>
        <v>471.55796604234916</v>
      </c>
      <c r="J31">
        <f t="shared" si="3"/>
        <v>4.6653861421618416E-4</v>
      </c>
      <c r="K31">
        <f t="shared" si="4"/>
        <v>2.8357985614846704E-2</v>
      </c>
      <c r="M31">
        <f t="shared" si="5"/>
        <v>471.55796604234916</v>
      </c>
      <c r="N31">
        <f t="shared" si="6"/>
        <v>5.8269440787049659E-3</v>
      </c>
      <c r="Q31">
        <v>0.22</v>
      </c>
      <c r="R31">
        <v>471.56</v>
      </c>
      <c r="S31">
        <v>13.372</v>
      </c>
      <c r="U31">
        <v>471.56</v>
      </c>
      <c r="V31">
        <v>1</v>
      </c>
      <c r="W31">
        <v>5.9719999999999999E-3</v>
      </c>
    </row>
    <row r="32" spans="1:23" x14ac:dyDescent="0.25">
      <c r="A32">
        <v>28.8</v>
      </c>
      <c r="B32">
        <v>500</v>
      </c>
      <c r="C32">
        <f t="shared" si="7"/>
        <v>14.07624633431085</v>
      </c>
      <c r="D32">
        <v>0.23</v>
      </c>
      <c r="E32">
        <v>811.23</v>
      </c>
      <c r="F32">
        <f t="shared" si="0"/>
        <v>396.10839843750006</v>
      </c>
      <c r="G32">
        <f t="shared" si="1"/>
        <v>41.480374485215627</v>
      </c>
      <c r="H32">
        <f t="shared" si="2"/>
        <v>497.7644938225875</v>
      </c>
      <c r="J32">
        <f t="shared" si="3"/>
        <v>4.6206590235818682E-4</v>
      </c>
      <c r="K32">
        <f t="shared" si="4"/>
        <v>2.827892810556288E-2</v>
      </c>
      <c r="M32">
        <f t="shared" si="5"/>
        <v>497.7644938225875</v>
      </c>
      <c r="N32">
        <f t="shared" si="6"/>
        <v>6.0918051731915553E-3</v>
      </c>
      <c r="Q32">
        <v>0.23</v>
      </c>
      <c r="R32">
        <v>497.76</v>
      </c>
      <c r="S32">
        <v>14.076000000000001</v>
      </c>
      <c r="U32">
        <v>497.76</v>
      </c>
      <c r="V32">
        <v>1</v>
      </c>
      <c r="W32">
        <v>6.2434999999999999E-3</v>
      </c>
    </row>
    <row r="33" spans="1:23" x14ac:dyDescent="0.25">
      <c r="A33">
        <v>28.8</v>
      </c>
      <c r="B33">
        <v>550</v>
      </c>
      <c r="C33">
        <f t="shared" si="7"/>
        <v>15.483870967741936</v>
      </c>
      <c r="D33">
        <v>0.24</v>
      </c>
      <c r="E33">
        <v>887.27</v>
      </c>
      <c r="F33">
        <f t="shared" si="0"/>
        <v>433.2373046875</v>
      </c>
      <c r="G33">
        <f t="shared" si="1"/>
        <v>45.368504455576428</v>
      </c>
      <c r="H33">
        <f t="shared" si="2"/>
        <v>544.42205346691708</v>
      </c>
      <c r="J33">
        <f t="shared" si="3"/>
        <v>4.4083445641421667E-4</v>
      </c>
      <c r="K33">
        <f t="shared" si="4"/>
        <v>2.8440932671884949E-2</v>
      </c>
      <c r="M33">
        <f t="shared" si="5"/>
        <v>544.42205346691708</v>
      </c>
      <c r="N33">
        <f t="shared" si="6"/>
        <v>6.3566662676781439E-3</v>
      </c>
      <c r="Q33">
        <v>0.24</v>
      </c>
      <c r="R33">
        <v>544.41999999999996</v>
      </c>
      <c r="S33">
        <v>15.484</v>
      </c>
      <c r="U33">
        <v>544.41999999999996</v>
      </c>
      <c r="V33">
        <v>1</v>
      </c>
      <c r="W33">
        <v>6.5148999999999997E-3</v>
      </c>
    </row>
    <row r="34" spans="1:23" x14ac:dyDescent="0.25">
      <c r="A34">
        <v>28.8</v>
      </c>
      <c r="B34">
        <v>600</v>
      </c>
      <c r="C34">
        <f t="shared" si="7"/>
        <v>16.89149560117302</v>
      </c>
      <c r="D34">
        <v>0.25</v>
      </c>
      <c r="E34">
        <v>975.62</v>
      </c>
      <c r="F34">
        <f t="shared" si="0"/>
        <v>476.376953125</v>
      </c>
      <c r="G34">
        <f t="shared" si="1"/>
        <v>49.886077875899645</v>
      </c>
      <c r="H34">
        <f t="shared" si="2"/>
        <v>598.63293451079574</v>
      </c>
      <c r="J34">
        <f t="shared" si="3"/>
        <v>4.1761818568218368E-4</v>
      </c>
      <c r="K34">
        <f t="shared" si="4"/>
        <v>2.8216782985681851E-2</v>
      </c>
      <c r="M34">
        <f t="shared" si="5"/>
        <v>598.63293451079574</v>
      </c>
      <c r="N34">
        <f t="shared" si="6"/>
        <v>6.6215273621647334E-3</v>
      </c>
      <c r="Q34">
        <v>0.25</v>
      </c>
      <c r="R34">
        <v>598.63</v>
      </c>
      <c r="S34">
        <v>16.890999999999998</v>
      </c>
      <c r="U34">
        <v>598.63</v>
      </c>
      <c r="V34">
        <v>1</v>
      </c>
      <c r="W34">
        <v>6.7863999999999997E-3</v>
      </c>
    </row>
    <row r="35" spans="1:23" x14ac:dyDescent="0.25">
      <c r="A35">
        <v>28.8</v>
      </c>
      <c r="B35">
        <v>650</v>
      </c>
      <c r="C35">
        <f t="shared" si="7"/>
        <v>18.299120234604107</v>
      </c>
      <c r="D35">
        <v>0.26</v>
      </c>
      <c r="E35">
        <v>1052.8</v>
      </c>
      <c r="F35">
        <f t="shared" si="0"/>
        <v>514.0625</v>
      </c>
      <c r="G35">
        <f t="shared" si="1"/>
        <v>53.832499116200104</v>
      </c>
      <c r="H35">
        <f t="shared" si="2"/>
        <v>645.98998939440128</v>
      </c>
      <c r="J35">
        <f t="shared" si="3"/>
        <v>4.0248301718072009E-4</v>
      </c>
      <c r="K35">
        <f t="shared" si="4"/>
        <v>2.8327250476062413E-2</v>
      </c>
      <c r="M35">
        <f t="shared" si="5"/>
        <v>645.98998939440128</v>
      </c>
      <c r="N35">
        <f t="shared" si="6"/>
        <v>6.8863884566513229E-3</v>
      </c>
      <c r="Q35">
        <v>0.26</v>
      </c>
      <c r="R35">
        <v>645.99</v>
      </c>
      <c r="S35">
        <v>18.298999999999999</v>
      </c>
      <c r="U35">
        <v>645.99</v>
      </c>
      <c r="V35">
        <v>1</v>
      </c>
      <c r="W35">
        <v>7.0578999999999998E-3</v>
      </c>
    </row>
    <row r="36" spans="1:23" x14ac:dyDescent="0.25">
      <c r="A36">
        <v>28.75</v>
      </c>
      <c r="B36">
        <v>700</v>
      </c>
      <c r="C36">
        <f t="shared" si="7"/>
        <v>19.672531769305962</v>
      </c>
      <c r="D36">
        <v>0.27</v>
      </c>
      <c r="E36">
        <v>1141.0999999999999</v>
      </c>
      <c r="F36">
        <f t="shared" si="0"/>
        <v>557.177734375</v>
      </c>
      <c r="G36">
        <f t="shared" si="1"/>
        <v>58.347515901876839</v>
      </c>
      <c r="H36">
        <f t="shared" si="2"/>
        <v>700.17019082252204</v>
      </c>
      <c r="J36">
        <f t="shared" si="3"/>
        <v>3.8562052989262315E-4</v>
      </c>
      <c r="K36">
        <f t="shared" si="4"/>
        <v>2.8096785648923067E-2</v>
      </c>
      <c r="M36">
        <f t="shared" si="5"/>
        <v>700.17019082252204</v>
      </c>
      <c r="N36">
        <f t="shared" si="6"/>
        <v>7.1512495511379124E-3</v>
      </c>
      <c r="Q36">
        <v>0.27</v>
      </c>
      <c r="R36">
        <v>700.17</v>
      </c>
      <c r="S36">
        <v>19.672999999999998</v>
      </c>
      <c r="U36">
        <v>700.17</v>
      </c>
      <c r="V36">
        <v>1</v>
      </c>
      <c r="W36">
        <v>7.3293000000000004E-3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CFC2-50AD-43A7-B0A2-5F5F9CEFE41E}">
  <dimension ref="A1:W25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42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41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LINEST(K13:K25,J13:J25)</f>
        <v>2.9553551882063744</v>
      </c>
      <c r="K10">
        <v>2.2634183760664429E-2</v>
      </c>
      <c r="M10" s="2"/>
      <c r="N10" s="2"/>
      <c r="Q10">
        <v>2.3698462999999999</v>
      </c>
      <c r="R10">
        <v>2.4078866000000001E-2</v>
      </c>
      <c r="U10" s="6"/>
      <c r="V10" s="2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28.3</v>
      </c>
      <c r="B13">
        <v>800</v>
      </c>
      <c r="C13">
        <f>$A13*$B13/$D$4</f>
        <v>22.130987292277617</v>
      </c>
      <c r="D13">
        <v>1.71</v>
      </c>
      <c r="E13" s="5">
        <v>1220.4000000000001</v>
      </c>
      <c r="F13">
        <f>$E13*60/($D$5*$D$6*$D$7)</f>
        <v>595.8984375</v>
      </c>
      <c r="G13">
        <f>$F13*2*PI()/60</f>
        <v>62.402338451187887</v>
      </c>
      <c r="H13">
        <f>$G13*$D$7</f>
        <v>748.82806141425465</v>
      </c>
      <c r="J13">
        <f>$D13/$H13</f>
        <v>2.2835682690235367E-3</v>
      </c>
      <c r="K13">
        <f>$C13/$H13</f>
        <v>2.9554163943162737E-2</v>
      </c>
      <c r="M13" s="2"/>
      <c r="N13" s="2"/>
      <c r="Q13">
        <v>1.71</v>
      </c>
      <c r="R13">
        <v>748.83</v>
      </c>
      <c r="S13">
        <v>22.131</v>
      </c>
      <c r="U13" s="2"/>
      <c r="V13" s="2"/>
      <c r="W13" s="2"/>
    </row>
    <row r="14" spans="1:23" x14ac:dyDescent="0.25">
      <c r="A14">
        <v>28.3</v>
      </c>
      <c r="B14">
        <v>750</v>
      </c>
      <c r="C14">
        <f t="shared" ref="C14:C25" si="0">$A14*$B14/$D$4</f>
        <v>20.747800586510262</v>
      </c>
      <c r="D14">
        <v>1.63</v>
      </c>
      <c r="E14">
        <v>1140.3</v>
      </c>
      <c r="F14">
        <f t="shared" ref="F14:F25" si="1">$E14*60/($D$5*$D$6*$D$7)</f>
        <v>556.787109375</v>
      </c>
      <c r="G14">
        <f t="shared" ref="G14:G25" si="2">$F14*2*PI()/60</f>
        <v>58.306609747533223</v>
      </c>
      <c r="H14">
        <f t="shared" ref="H14:H25" si="3">$G14*$D$7</f>
        <v>699.67931697039865</v>
      </c>
      <c r="J14">
        <f t="shared" ref="J14:J25" si="4">$D14/$H14</f>
        <v>2.3296386794137013E-3</v>
      </c>
      <c r="K14">
        <f t="shared" ref="K14:K25" si="5">$C14/$H14</f>
        <v>2.9653299852206494E-2</v>
      </c>
      <c r="M14" s="2"/>
      <c r="N14" s="2"/>
      <c r="Q14">
        <v>1.63</v>
      </c>
      <c r="R14">
        <v>699.68</v>
      </c>
      <c r="S14">
        <v>20.748000000000001</v>
      </c>
      <c r="U14" s="2"/>
      <c r="V14" s="2"/>
      <c r="W14" s="2"/>
    </row>
    <row r="15" spans="1:23" x14ac:dyDescent="0.25">
      <c r="A15">
        <v>28.3</v>
      </c>
      <c r="B15">
        <v>700</v>
      </c>
      <c r="C15">
        <f t="shared" si="0"/>
        <v>19.364613880742912</v>
      </c>
      <c r="D15">
        <v>1.55</v>
      </c>
      <c r="E15">
        <v>1064.4000000000001</v>
      </c>
      <c r="F15">
        <f t="shared" si="1"/>
        <v>519.72656250000011</v>
      </c>
      <c r="G15">
        <f t="shared" si="2"/>
        <v>54.42563835418256</v>
      </c>
      <c r="H15">
        <f t="shared" si="3"/>
        <v>653.10766025019075</v>
      </c>
      <c r="J15">
        <f t="shared" si="4"/>
        <v>2.373268749299664E-3</v>
      </c>
      <c r="K15">
        <f t="shared" si="5"/>
        <v>2.9649956751884931E-2</v>
      </c>
      <c r="M15" s="2"/>
      <c r="N15" s="2"/>
      <c r="Q15">
        <v>1.55</v>
      </c>
      <c r="R15">
        <v>653.11</v>
      </c>
      <c r="S15">
        <v>19.364999999999998</v>
      </c>
      <c r="U15" s="2"/>
      <c r="V15" s="2"/>
      <c r="W15" s="2"/>
    </row>
    <row r="16" spans="1:23" x14ac:dyDescent="0.25">
      <c r="A16">
        <v>28.3</v>
      </c>
      <c r="B16">
        <v>650</v>
      </c>
      <c r="C16">
        <f t="shared" si="0"/>
        <v>17.981427174975561</v>
      </c>
      <c r="D16">
        <v>1.46</v>
      </c>
      <c r="E16">
        <v>983.4</v>
      </c>
      <c r="F16">
        <f t="shared" si="1"/>
        <v>480.17578125</v>
      </c>
      <c r="G16">
        <f t="shared" si="2"/>
        <v>50.283890226891316</v>
      </c>
      <c r="H16">
        <f t="shared" si="3"/>
        <v>603.40668272269579</v>
      </c>
      <c r="J16">
        <f t="shared" si="4"/>
        <v>2.4195953439099778E-3</v>
      </c>
      <c r="K16">
        <f t="shared" si="5"/>
        <v>2.979984758179946E-2</v>
      </c>
      <c r="M16" s="2"/>
      <c r="N16" s="2"/>
      <c r="Q16">
        <v>1.46</v>
      </c>
      <c r="R16">
        <v>603.41</v>
      </c>
      <c r="S16">
        <v>17.981000000000002</v>
      </c>
      <c r="U16" s="2"/>
      <c r="V16" s="2"/>
      <c r="W16" s="2"/>
    </row>
    <row r="17" spans="1:23" x14ac:dyDescent="0.25">
      <c r="A17">
        <v>28.3</v>
      </c>
      <c r="B17">
        <v>600</v>
      </c>
      <c r="C17">
        <f t="shared" si="0"/>
        <v>16.598240469208211</v>
      </c>
      <c r="D17">
        <v>1.37</v>
      </c>
      <c r="E17">
        <v>905.97</v>
      </c>
      <c r="F17">
        <f t="shared" si="1"/>
        <v>442.36816406250006</v>
      </c>
      <c r="G17">
        <f t="shared" si="2"/>
        <v>46.324685813358478</v>
      </c>
      <c r="H17">
        <f t="shared" si="3"/>
        <v>555.89622976030171</v>
      </c>
      <c r="J17">
        <f t="shared" si="4"/>
        <v>2.4644887420638452E-3</v>
      </c>
      <c r="K17">
        <f t="shared" si="5"/>
        <v>2.9858523193016163E-2</v>
      </c>
      <c r="M17" s="2"/>
      <c r="N17" s="2"/>
      <c r="Q17">
        <v>1.37</v>
      </c>
      <c r="R17">
        <v>555.9</v>
      </c>
      <c r="S17">
        <v>16.597999999999999</v>
      </c>
      <c r="U17" s="2"/>
      <c r="V17" s="2"/>
      <c r="W17" s="2"/>
    </row>
    <row r="18" spans="1:23" x14ac:dyDescent="0.25">
      <c r="A18">
        <v>28.3</v>
      </c>
      <c r="B18">
        <v>550</v>
      </c>
      <c r="C18">
        <f t="shared" si="0"/>
        <v>15.21505376344086</v>
      </c>
      <c r="D18">
        <v>1.27</v>
      </c>
      <c r="E18">
        <v>825.94</v>
      </c>
      <c r="F18">
        <f t="shared" si="1"/>
        <v>403.291015625</v>
      </c>
      <c r="G18">
        <f t="shared" si="2"/>
        <v>42.232536398208886</v>
      </c>
      <c r="H18">
        <f t="shared" si="3"/>
        <v>506.79043677850666</v>
      </c>
      <c r="J18">
        <f t="shared" si="4"/>
        <v>2.5059667819956415E-3</v>
      </c>
      <c r="K18">
        <f t="shared" si="5"/>
        <v>3.0022377415323282E-2</v>
      </c>
      <c r="M18" s="2"/>
      <c r="N18" s="2"/>
      <c r="Q18">
        <v>1.27</v>
      </c>
      <c r="R18">
        <v>506.79</v>
      </c>
      <c r="S18">
        <v>15.215</v>
      </c>
      <c r="U18" s="2"/>
      <c r="V18" s="2"/>
      <c r="W18" s="2"/>
    </row>
    <row r="19" spans="1:23" x14ac:dyDescent="0.25">
      <c r="A19">
        <v>28.4</v>
      </c>
      <c r="B19">
        <v>500</v>
      </c>
      <c r="C19">
        <f t="shared" si="0"/>
        <v>13.880742913000978</v>
      </c>
      <c r="D19">
        <v>1.17</v>
      </c>
      <c r="E19">
        <v>755.9</v>
      </c>
      <c r="F19">
        <f t="shared" si="1"/>
        <v>369.091796875</v>
      </c>
      <c r="G19">
        <f t="shared" si="2"/>
        <v>38.651202585425203</v>
      </c>
      <c r="H19">
        <f t="shared" si="3"/>
        <v>463.81443102510241</v>
      </c>
      <c r="J19">
        <f t="shared" si="4"/>
        <v>2.5225605797001981E-3</v>
      </c>
      <c r="K19">
        <f t="shared" si="5"/>
        <v>2.9927363153238604E-2</v>
      </c>
      <c r="M19" s="2"/>
      <c r="N19" s="2"/>
      <c r="Q19">
        <v>1.17</v>
      </c>
      <c r="R19">
        <v>463.81</v>
      </c>
      <c r="S19">
        <v>13.881</v>
      </c>
      <c r="U19" s="2"/>
      <c r="V19" s="2"/>
      <c r="W19" s="2"/>
    </row>
    <row r="20" spans="1:23" x14ac:dyDescent="0.25">
      <c r="A20">
        <v>28.4</v>
      </c>
      <c r="B20">
        <v>450</v>
      </c>
      <c r="C20">
        <f t="shared" si="0"/>
        <v>12.492668621700879</v>
      </c>
      <c r="D20">
        <v>1.06</v>
      </c>
      <c r="E20">
        <v>678.17</v>
      </c>
      <c r="F20">
        <f t="shared" si="1"/>
        <v>331.1376953125</v>
      </c>
      <c r="G20">
        <f t="shared" si="2"/>
        <v>34.676658364013512</v>
      </c>
      <c r="H20">
        <f t="shared" si="3"/>
        <v>416.11990036816212</v>
      </c>
      <c r="J20">
        <f t="shared" si="4"/>
        <v>2.5473427227637154E-3</v>
      </c>
      <c r="K20">
        <f t="shared" si="5"/>
        <v>3.0021800473007874E-2</v>
      </c>
      <c r="M20" s="2"/>
      <c r="N20" s="2"/>
      <c r="Q20">
        <v>1.06</v>
      </c>
      <c r="R20">
        <v>416.12</v>
      </c>
      <c r="S20">
        <v>12.493</v>
      </c>
      <c r="U20" s="2"/>
      <c r="V20" s="2"/>
      <c r="W20" s="2"/>
    </row>
    <row r="21" spans="1:23" x14ac:dyDescent="0.25">
      <c r="A21">
        <v>28.4</v>
      </c>
      <c r="B21">
        <v>400</v>
      </c>
      <c r="C21">
        <f t="shared" si="0"/>
        <v>11.104594330400783</v>
      </c>
      <c r="D21">
        <v>0.95</v>
      </c>
      <c r="E21">
        <v>600.54</v>
      </c>
      <c r="F21">
        <f t="shared" si="1"/>
        <v>293.23242187499994</v>
      </c>
      <c r="G21">
        <f t="shared" si="2"/>
        <v>30.707227411894756</v>
      </c>
      <c r="H21">
        <f t="shared" si="3"/>
        <v>368.48672894273705</v>
      </c>
      <c r="J21">
        <f t="shared" si="4"/>
        <v>2.5781118433375935E-3</v>
      </c>
      <c r="K21">
        <f t="shared" si="5"/>
        <v>3.0135669640700791E-2</v>
      </c>
      <c r="M21" s="2"/>
      <c r="N21" s="2"/>
      <c r="Q21">
        <v>0.95</v>
      </c>
      <c r="R21">
        <v>368.49</v>
      </c>
      <c r="S21">
        <v>11.105</v>
      </c>
      <c r="U21" s="2"/>
      <c r="V21" s="2"/>
      <c r="W21" s="2"/>
    </row>
    <row r="22" spans="1:23" x14ac:dyDescent="0.25">
      <c r="A22">
        <v>28.4</v>
      </c>
      <c r="B22">
        <v>350</v>
      </c>
      <c r="C22">
        <f t="shared" si="0"/>
        <v>9.7165200391006845</v>
      </c>
      <c r="D22">
        <v>0.84</v>
      </c>
      <c r="E22">
        <v>522.47</v>
      </c>
      <c r="F22">
        <f t="shared" si="1"/>
        <v>255.11230468750003</v>
      </c>
      <c r="G22">
        <f t="shared" si="2"/>
        <v>26.715298074887034</v>
      </c>
      <c r="H22">
        <f t="shared" si="3"/>
        <v>320.58357689864442</v>
      </c>
      <c r="J22">
        <f t="shared" si="4"/>
        <v>2.6202215600881328E-3</v>
      </c>
      <c r="K22">
        <f t="shared" si="5"/>
        <v>3.0308851542238096E-2</v>
      </c>
      <c r="M22" s="2"/>
      <c r="N22" s="2"/>
      <c r="Q22">
        <v>0.84</v>
      </c>
      <c r="R22">
        <v>320.58</v>
      </c>
      <c r="S22">
        <v>9.7164999999999999</v>
      </c>
      <c r="U22" s="2"/>
      <c r="V22" s="2"/>
      <c r="W22" s="2"/>
    </row>
    <row r="23" spans="1:23" x14ac:dyDescent="0.25">
      <c r="A23">
        <v>28.4</v>
      </c>
      <c r="B23">
        <v>300</v>
      </c>
      <c r="C23">
        <f t="shared" si="0"/>
        <v>8.3284457478005862</v>
      </c>
      <c r="D23">
        <v>0.74</v>
      </c>
      <c r="E23">
        <v>444.42</v>
      </c>
      <c r="F23">
        <f t="shared" si="1"/>
        <v>217.001953125</v>
      </c>
      <c r="G23">
        <f t="shared" si="2"/>
        <v>22.724391391737885</v>
      </c>
      <c r="H23">
        <f t="shared" si="3"/>
        <v>272.69269670085464</v>
      </c>
      <c r="J23">
        <f t="shared" si="4"/>
        <v>2.7136773699949286E-3</v>
      </c>
      <c r="K23">
        <f t="shared" si="5"/>
        <v>3.0541506423022894E-2</v>
      </c>
      <c r="M23" s="2"/>
      <c r="N23" s="2"/>
      <c r="Q23">
        <v>0.74</v>
      </c>
      <c r="R23">
        <v>272.69</v>
      </c>
      <c r="S23">
        <v>8.3284000000000002</v>
      </c>
      <c r="U23" s="2"/>
      <c r="V23" s="2"/>
      <c r="W23" s="2"/>
    </row>
    <row r="24" spans="1:23" x14ac:dyDescent="0.25">
      <c r="A24">
        <v>28.4</v>
      </c>
      <c r="B24">
        <v>250</v>
      </c>
      <c r="C24">
        <f t="shared" si="0"/>
        <v>6.9403714565004888</v>
      </c>
      <c r="D24">
        <v>0.63</v>
      </c>
      <c r="E24">
        <v>363.86</v>
      </c>
      <c r="F24">
        <f t="shared" si="1"/>
        <v>177.66601562500003</v>
      </c>
      <c r="G24">
        <f t="shared" si="2"/>
        <v>18.605141649335646</v>
      </c>
      <c r="H24">
        <f t="shared" si="3"/>
        <v>223.26169979202774</v>
      </c>
      <c r="J24">
        <f t="shared" si="4"/>
        <v>2.8218006070313728E-3</v>
      </c>
      <c r="K24">
        <f t="shared" si="5"/>
        <v>3.1086260934883005E-2</v>
      </c>
      <c r="M24" s="2"/>
      <c r="N24" s="2"/>
      <c r="Q24">
        <v>0.63</v>
      </c>
      <c r="R24">
        <v>223.26</v>
      </c>
      <c r="S24">
        <v>6.9404000000000003</v>
      </c>
      <c r="U24" s="2"/>
      <c r="V24" s="2"/>
      <c r="W24" s="2"/>
    </row>
    <row r="25" spans="1:23" x14ac:dyDescent="0.25">
      <c r="A25">
        <v>28.4</v>
      </c>
      <c r="B25">
        <v>200</v>
      </c>
      <c r="C25">
        <f t="shared" si="0"/>
        <v>5.5522971652003914</v>
      </c>
      <c r="D25">
        <v>0.5</v>
      </c>
      <c r="E25">
        <v>290.26</v>
      </c>
      <c r="F25">
        <f t="shared" si="1"/>
        <v>141.728515625</v>
      </c>
      <c r="G25">
        <f t="shared" si="2"/>
        <v>14.841775449722872</v>
      </c>
      <c r="H25">
        <f t="shared" si="3"/>
        <v>178.10130539667446</v>
      </c>
      <c r="J25">
        <f t="shared" si="4"/>
        <v>2.8073909895628205E-3</v>
      </c>
      <c r="K25">
        <f t="shared" si="5"/>
        <v>3.1174938065917538E-2</v>
      </c>
      <c r="M25" s="2"/>
      <c r="N25" s="2"/>
      <c r="Q25">
        <v>0.5</v>
      </c>
      <c r="R25">
        <v>178.1</v>
      </c>
      <c r="S25">
        <v>5.5522999999999998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F847-3F0F-49D4-BE4A-7573477DAEEB}">
  <dimension ref="A1:W35"/>
  <sheetViews>
    <sheetView workbookViewId="0">
      <selection activeCell="M10" sqref="M10"/>
    </sheetView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39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43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LINEST(K13:K35,J13:J35)</f>
        <v>2.2171768334713233</v>
      </c>
      <c r="K10">
        <v>2.7644748775264523E-2</v>
      </c>
      <c r="M10" cm="1">
        <f t="array" ref="M10:N10">LINEST(N13:N35,M13:M35)</f>
        <v>8.2579283487827932E-6</v>
      </c>
      <c r="N10">
        <v>3.0107251519630451E-3</v>
      </c>
      <c r="Q10">
        <v>1.8293885000000001</v>
      </c>
      <c r="R10">
        <v>2.7963675E-2</v>
      </c>
      <c r="U10" s="3">
        <v>8.3531968000000002E-6</v>
      </c>
      <c r="V10">
        <v>3.0454586999999998E-3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28.7</v>
      </c>
      <c r="B13">
        <v>25</v>
      </c>
      <c r="C13">
        <f>$A13*$B13/$D$4</f>
        <v>0.70136852394916915</v>
      </c>
      <c r="D13">
        <v>0.08</v>
      </c>
      <c r="E13" s="5">
        <v>30.085999999999999</v>
      </c>
      <c r="F13">
        <f>$E13*60/($D$5*$D$6*$D$7)</f>
        <v>14.6904296875</v>
      </c>
      <c r="G13">
        <f>$F13*2*PI()/60</f>
        <v>1.53837819947758</v>
      </c>
      <c r="H13">
        <f>$G13*$D$7</f>
        <v>18.46053839373096</v>
      </c>
      <c r="J13">
        <f>$D13/$H13</f>
        <v>4.3335680841880162E-3</v>
      </c>
      <c r="K13">
        <f>$C13/$H13</f>
        <v>3.799285313300222E-2</v>
      </c>
      <c r="M13">
        <f>$H13</f>
        <v>18.46053839373096</v>
      </c>
      <c r="N13">
        <f>$D13*$K$10</f>
        <v>2.2115799020211617E-3</v>
      </c>
      <c r="Q13">
        <v>0.08</v>
      </c>
      <c r="R13">
        <v>18.460999999999999</v>
      </c>
      <c r="S13">
        <v>0.70137000000000005</v>
      </c>
      <c r="U13">
        <v>18.460999999999999</v>
      </c>
      <c r="V13">
        <v>1</v>
      </c>
      <c r="W13">
        <v>2.2371000000000001E-3</v>
      </c>
    </row>
    <row r="14" spans="1:23" x14ac:dyDescent="0.25">
      <c r="A14">
        <v>28.7</v>
      </c>
      <c r="B14">
        <v>50</v>
      </c>
      <c r="C14">
        <f t="shared" ref="C14:C35" si="0">$A14*$B14/$D$4</f>
        <v>1.4027370478983383</v>
      </c>
      <c r="D14">
        <v>0.1</v>
      </c>
      <c r="E14">
        <v>72.164000000000001</v>
      </c>
      <c r="F14">
        <f t="shared" ref="F14:F35" si="1">$E14*60/($D$5*$D$6*$D$7)</f>
        <v>35.236328125</v>
      </c>
      <c r="G14">
        <f t="shared" ref="G14:G35" si="2">$F14*2*PI()/60</f>
        <v>3.6899396525659807</v>
      </c>
      <c r="H14">
        <f t="shared" ref="H14:H35" si="3">$G14*$D$7</f>
        <v>44.279275830791768</v>
      </c>
      <c r="J14">
        <f t="shared" ref="J14:J35" si="4">$D14/$H14</f>
        <v>2.2583928513677295E-3</v>
      </c>
      <c r="K14">
        <f t="shared" ref="K14:K35" si="5">$C14/$H14</f>
        <v>3.1679313213222794E-2</v>
      </c>
      <c r="M14">
        <f t="shared" ref="M14:M35" si="6">$H14</f>
        <v>44.279275830791768</v>
      </c>
      <c r="N14">
        <f t="shared" ref="N14:N35" si="7">$D14*$K$10</f>
        <v>2.7644748775264524E-3</v>
      </c>
      <c r="Q14">
        <v>0.1</v>
      </c>
      <c r="R14">
        <v>44.279000000000003</v>
      </c>
      <c r="S14">
        <v>1.4027000000000001</v>
      </c>
      <c r="U14">
        <v>44.279000000000003</v>
      </c>
      <c r="V14">
        <v>1</v>
      </c>
      <c r="W14">
        <v>2.7964000000000001E-3</v>
      </c>
    </row>
    <row r="15" spans="1:23" x14ac:dyDescent="0.25">
      <c r="A15">
        <v>28.7</v>
      </c>
      <c r="B15">
        <v>75</v>
      </c>
      <c r="C15">
        <f t="shared" si="0"/>
        <v>2.1041055718475072</v>
      </c>
      <c r="D15">
        <v>0.12</v>
      </c>
      <c r="E15">
        <v>111.19</v>
      </c>
      <c r="F15">
        <f t="shared" si="1"/>
        <v>54.2919921875</v>
      </c>
      <c r="G15">
        <f t="shared" si="2"/>
        <v>5.6854441268334819</v>
      </c>
      <c r="H15">
        <f t="shared" si="3"/>
        <v>68.225329522001786</v>
      </c>
      <c r="J15">
        <f t="shared" si="4"/>
        <v>1.7588775435859426E-3</v>
      </c>
      <c r="K15">
        <f t="shared" si="5"/>
        <v>3.0840533663805323E-2</v>
      </c>
      <c r="M15">
        <f t="shared" si="6"/>
        <v>68.225329522001786</v>
      </c>
      <c r="N15">
        <f t="shared" si="7"/>
        <v>3.3173698530317426E-3</v>
      </c>
      <c r="Q15">
        <v>0.12</v>
      </c>
      <c r="R15">
        <v>68.224999999999994</v>
      </c>
      <c r="S15">
        <v>2.1040999999999999</v>
      </c>
      <c r="U15">
        <v>68.224999999999994</v>
      </c>
      <c r="V15">
        <v>1</v>
      </c>
      <c r="W15">
        <v>3.3555999999999998E-3</v>
      </c>
    </row>
    <row r="16" spans="1:23" x14ac:dyDescent="0.25">
      <c r="A16">
        <v>28.7</v>
      </c>
      <c r="B16">
        <v>100</v>
      </c>
      <c r="C16">
        <f t="shared" si="0"/>
        <v>2.8054740957966766</v>
      </c>
      <c r="D16">
        <v>0.13</v>
      </c>
      <c r="E16">
        <v>151.86000000000001</v>
      </c>
      <c r="F16">
        <f t="shared" si="1"/>
        <v>74.150390625</v>
      </c>
      <c r="G16">
        <f t="shared" si="2"/>
        <v>7.765010748277116</v>
      </c>
      <c r="H16">
        <f t="shared" si="3"/>
        <v>93.180128979325389</v>
      </c>
      <c r="J16">
        <f t="shared" si="4"/>
        <v>1.3951472424860469E-3</v>
      </c>
      <c r="K16">
        <f t="shared" si="5"/>
        <v>3.0108072681667455E-2</v>
      </c>
      <c r="M16">
        <f t="shared" si="6"/>
        <v>93.180128979325389</v>
      </c>
      <c r="N16">
        <f t="shared" si="7"/>
        <v>3.5938173407843881E-3</v>
      </c>
      <c r="Q16">
        <v>0.13</v>
      </c>
      <c r="R16">
        <v>93.18</v>
      </c>
      <c r="S16">
        <v>2.8054999999999999</v>
      </c>
      <c r="U16">
        <v>93.18</v>
      </c>
      <c r="V16">
        <v>1</v>
      </c>
      <c r="W16">
        <v>3.6353000000000002E-3</v>
      </c>
    </row>
    <row r="17" spans="1:23" x14ac:dyDescent="0.25">
      <c r="A17">
        <v>28.7</v>
      </c>
      <c r="B17">
        <v>125</v>
      </c>
      <c r="C17">
        <f t="shared" si="0"/>
        <v>3.5068426197458455</v>
      </c>
      <c r="D17">
        <v>0.14000000000000001</v>
      </c>
      <c r="E17">
        <v>186.86</v>
      </c>
      <c r="F17">
        <f t="shared" si="1"/>
        <v>91.240234375</v>
      </c>
      <c r="G17">
        <f t="shared" si="2"/>
        <v>9.5546550008103637</v>
      </c>
      <c r="H17">
        <f t="shared" si="3"/>
        <v>114.65586000972436</v>
      </c>
      <c r="J17">
        <f t="shared" si="4"/>
        <v>1.2210453088758492E-3</v>
      </c>
      <c r="K17">
        <f t="shared" si="5"/>
        <v>3.0585812355761126E-2</v>
      </c>
      <c r="M17">
        <f t="shared" si="6"/>
        <v>114.65586000972436</v>
      </c>
      <c r="N17">
        <f t="shared" si="7"/>
        <v>3.8702648285370337E-3</v>
      </c>
      <c r="Q17">
        <v>0.14000000000000001</v>
      </c>
      <c r="R17">
        <v>114.66</v>
      </c>
      <c r="S17">
        <v>3.5068000000000001</v>
      </c>
      <c r="U17">
        <v>114.66</v>
      </c>
      <c r="V17">
        <v>1</v>
      </c>
      <c r="W17">
        <v>3.9148999999999998E-3</v>
      </c>
    </row>
    <row r="18" spans="1:23" x14ac:dyDescent="0.25">
      <c r="A18">
        <v>28.7</v>
      </c>
      <c r="B18">
        <v>150</v>
      </c>
      <c r="C18">
        <f t="shared" si="0"/>
        <v>4.2082111436950145</v>
      </c>
      <c r="D18">
        <v>0.15</v>
      </c>
      <c r="E18">
        <v>228.17</v>
      </c>
      <c r="F18">
        <f t="shared" si="1"/>
        <v>111.4111328125</v>
      </c>
      <c r="G18">
        <f t="shared" si="2"/>
        <v>11.666946545728893</v>
      </c>
      <c r="H18">
        <f t="shared" si="3"/>
        <v>140.00335854874672</v>
      </c>
      <c r="J18">
        <f t="shared" si="4"/>
        <v>1.0714028688659824E-3</v>
      </c>
      <c r="K18">
        <f t="shared" si="5"/>
        <v>3.0057929947657571E-2</v>
      </c>
      <c r="M18">
        <f t="shared" si="6"/>
        <v>140.00335854874672</v>
      </c>
      <c r="N18">
        <f t="shared" si="7"/>
        <v>4.1467123162896779E-3</v>
      </c>
      <c r="Q18">
        <v>0.15</v>
      </c>
      <c r="R18">
        <v>140</v>
      </c>
      <c r="S18">
        <v>4.2081999999999997</v>
      </c>
      <c r="U18">
        <v>140</v>
      </c>
      <c r="V18">
        <v>1</v>
      </c>
      <c r="W18">
        <v>4.1945999999999997E-3</v>
      </c>
    </row>
    <row r="19" spans="1:23" x14ac:dyDescent="0.25">
      <c r="A19">
        <v>28.7</v>
      </c>
      <c r="B19">
        <v>175</v>
      </c>
      <c r="C19">
        <f t="shared" si="0"/>
        <v>4.9095796676441834</v>
      </c>
      <c r="D19">
        <v>0.16</v>
      </c>
      <c r="E19">
        <v>269.43</v>
      </c>
      <c r="F19">
        <f t="shared" si="1"/>
        <v>131.5576171875</v>
      </c>
      <c r="G19">
        <f t="shared" si="2"/>
        <v>13.776681456000944</v>
      </c>
      <c r="H19">
        <f t="shared" si="3"/>
        <v>165.32017747201132</v>
      </c>
      <c r="J19">
        <f t="shared" si="4"/>
        <v>9.6781894652325773E-4</v>
      </c>
      <c r="K19">
        <f t="shared" si="5"/>
        <v>2.9697401386321244E-2</v>
      </c>
      <c r="M19">
        <f t="shared" si="6"/>
        <v>165.32017747201132</v>
      </c>
      <c r="N19">
        <f t="shared" si="7"/>
        <v>4.4231598040423235E-3</v>
      </c>
      <c r="Q19">
        <v>0.16</v>
      </c>
      <c r="R19">
        <v>165.32</v>
      </c>
      <c r="S19">
        <v>4.9096000000000002</v>
      </c>
      <c r="U19">
        <v>165.32</v>
      </c>
      <c r="V19">
        <v>1</v>
      </c>
      <c r="W19">
        <v>4.4742000000000002E-3</v>
      </c>
    </row>
    <row r="20" spans="1:23" x14ac:dyDescent="0.25">
      <c r="A20">
        <v>28.7</v>
      </c>
      <c r="B20">
        <v>200</v>
      </c>
      <c r="C20">
        <f t="shared" si="0"/>
        <v>5.6109481915933532</v>
      </c>
      <c r="D20">
        <v>0.17</v>
      </c>
      <c r="E20">
        <v>307.62</v>
      </c>
      <c r="F20">
        <f t="shared" si="1"/>
        <v>150.205078125</v>
      </c>
      <c r="G20">
        <f t="shared" si="2"/>
        <v>15.729438998979365</v>
      </c>
      <c r="H20">
        <f t="shared" si="3"/>
        <v>188.75326798775239</v>
      </c>
      <c r="J20">
        <f t="shared" si="4"/>
        <v>9.006466580013374E-4</v>
      </c>
      <c r="K20">
        <f t="shared" si="5"/>
        <v>2.9726363158689418E-2</v>
      </c>
      <c r="M20">
        <f t="shared" si="6"/>
        <v>188.75326798775239</v>
      </c>
      <c r="N20">
        <f t="shared" si="7"/>
        <v>4.699607291794969E-3</v>
      </c>
      <c r="Q20">
        <v>0.17</v>
      </c>
      <c r="R20">
        <v>188.75</v>
      </c>
      <c r="S20">
        <v>5.6109</v>
      </c>
      <c r="U20">
        <v>188.75</v>
      </c>
      <c r="V20">
        <v>1</v>
      </c>
      <c r="W20">
        <v>4.7537999999999999E-3</v>
      </c>
    </row>
    <row r="21" spans="1:23" x14ac:dyDescent="0.25">
      <c r="A21">
        <v>28.7</v>
      </c>
      <c r="B21">
        <v>225</v>
      </c>
      <c r="C21">
        <f t="shared" si="0"/>
        <v>6.3123167155425222</v>
      </c>
      <c r="D21">
        <v>0.18</v>
      </c>
      <c r="E21">
        <v>344.36</v>
      </c>
      <c r="F21">
        <f t="shared" si="1"/>
        <v>168.14453125000003</v>
      </c>
      <c r="G21">
        <f t="shared" si="2"/>
        <v>17.608054137209983</v>
      </c>
      <c r="H21">
        <f t="shared" si="3"/>
        <v>211.2966496465198</v>
      </c>
      <c r="J21">
        <f t="shared" si="4"/>
        <v>8.5188288740556807E-4</v>
      </c>
      <c r="K21">
        <f t="shared" si="5"/>
        <v>2.9874192165859979E-2</v>
      </c>
      <c r="M21">
        <f t="shared" si="6"/>
        <v>211.2966496465198</v>
      </c>
      <c r="N21">
        <f t="shared" si="7"/>
        <v>4.9760547795476137E-3</v>
      </c>
      <c r="Q21">
        <v>0.18</v>
      </c>
      <c r="R21">
        <v>211.3</v>
      </c>
      <c r="S21">
        <v>6.3122999999999996</v>
      </c>
      <c r="U21">
        <v>211.3</v>
      </c>
      <c r="V21">
        <v>1</v>
      </c>
      <c r="W21">
        <v>5.0334999999999998E-3</v>
      </c>
    </row>
    <row r="22" spans="1:23" x14ac:dyDescent="0.25">
      <c r="A22">
        <v>28.7</v>
      </c>
      <c r="B22">
        <v>250</v>
      </c>
      <c r="C22">
        <f t="shared" si="0"/>
        <v>7.0136852394916911</v>
      </c>
      <c r="D22">
        <v>0.19</v>
      </c>
      <c r="E22">
        <v>385.95</v>
      </c>
      <c r="F22">
        <f t="shared" si="1"/>
        <v>188.4521484375</v>
      </c>
      <c r="G22">
        <f t="shared" si="2"/>
        <v>19.734662836148775</v>
      </c>
      <c r="H22">
        <f t="shared" si="3"/>
        <v>236.81595403378532</v>
      </c>
      <c r="J22">
        <f t="shared" si="4"/>
        <v>8.0231081041479862E-4</v>
      </c>
      <c r="K22">
        <f t="shared" si="5"/>
        <v>2.9616607834162579E-2</v>
      </c>
      <c r="M22">
        <f t="shared" si="6"/>
        <v>236.81595403378532</v>
      </c>
      <c r="N22">
        <f t="shared" si="7"/>
        <v>5.2525022673002592E-3</v>
      </c>
      <c r="Q22">
        <v>0.19</v>
      </c>
      <c r="R22">
        <v>236.82</v>
      </c>
      <c r="S22">
        <v>7.0137</v>
      </c>
      <c r="U22">
        <v>236.82</v>
      </c>
      <c r="V22">
        <v>1</v>
      </c>
      <c r="W22">
        <v>5.3131000000000003E-3</v>
      </c>
    </row>
    <row r="23" spans="1:23" x14ac:dyDescent="0.25">
      <c r="A23">
        <v>28.7</v>
      </c>
      <c r="B23">
        <v>275</v>
      </c>
      <c r="C23">
        <f t="shared" si="0"/>
        <v>7.71505376344086</v>
      </c>
      <c r="D23">
        <v>0.2</v>
      </c>
      <c r="E23">
        <v>429.28</v>
      </c>
      <c r="F23">
        <f t="shared" si="1"/>
        <v>209.609375</v>
      </c>
      <c r="G23">
        <f t="shared" si="2"/>
        <v>21.950242420784935</v>
      </c>
      <c r="H23">
        <f t="shared" si="3"/>
        <v>263.40290904941924</v>
      </c>
      <c r="J23">
        <f t="shared" si="4"/>
        <v>7.5929305686778248E-4</v>
      </c>
      <c r="K23">
        <f t="shared" si="5"/>
        <v>2.9289933779711497E-2</v>
      </c>
      <c r="M23">
        <f t="shared" si="6"/>
        <v>263.40290904941924</v>
      </c>
      <c r="N23">
        <f t="shared" si="7"/>
        <v>5.5289497550529048E-3</v>
      </c>
      <c r="Q23">
        <v>0.2</v>
      </c>
      <c r="R23">
        <v>263.39999999999998</v>
      </c>
      <c r="S23">
        <v>7.7150999999999996</v>
      </c>
      <c r="U23">
        <v>263.39999999999998</v>
      </c>
      <c r="V23">
        <v>1</v>
      </c>
      <c r="W23">
        <v>5.5926999999999999E-3</v>
      </c>
    </row>
    <row r="24" spans="1:23" x14ac:dyDescent="0.25">
      <c r="A24">
        <v>28.7</v>
      </c>
      <c r="B24">
        <v>300</v>
      </c>
      <c r="C24">
        <f t="shared" si="0"/>
        <v>8.416422287390029</v>
      </c>
      <c r="D24">
        <v>0.21</v>
      </c>
      <c r="E24">
        <v>470.27</v>
      </c>
      <c r="F24">
        <f t="shared" si="1"/>
        <v>229.62402343749997</v>
      </c>
      <c r="G24">
        <f t="shared" si="2"/>
        <v>24.046171503966015</v>
      </c>
      <c r="H24">
        <f t="shared" si="3"/>
        <v>288.55405804759221</v>
      </c>
      <c r="J24">
        <f t="shared" si="4"/>
        <v>7.2776658010251921E-4</v>
      </c>
      <c r="K24">
        <f t="shared" si="5"/>
        <v>2.916757554663078E-2</v>
      </c>
      <c r="M24">
        <f t="shared" si="6"/>
        <v>288.55405804759221</v>
      </c>
      <c r="N24">
        <f t="shared" si="7"/>
        <v>5.8053972428055494E-3</v>
      </c>
      <c r="Q24">
        <v>0.21</v>
      </c>
      <c r="R24">
        <v>288.55</v>
      </c>
      <c r="S24">
        <v>8.4163999999999994</v>
      </c>
      <c r="U24">
        <v>288.55</v>
      </c>
      <c r="V24">
        <v>1</v>
      </c>
      <c r="W24">
        <v>5.8723999999999998E-3</v>
      </c>
    </row>
    <row r="25" spans="1:23" x14ac:dyDescent="0.25">
      <c r="A25">
        <v>28.7</v>
      </c>
      <c r="B25">
        <v>325</v>
      </c>
      <c r="C25">
        <f t="shared" si="0"/>
        <v>9.1177908113391979</v>
      </c>
      <c r="D25">
        <v>0.22</v>
      </c>
      <c r="E25">
        <v>505.65</v>
      </c>
      <c r="F25">
        <f t="shared" si="1"/>
        <v>246.8994140625</v>
      </c>
      <c r="G25">
        <f t="shared" si="2"/>
        <v>25.855246179812482</v>
      </c>
      <c r="H25">
        <f t="shared" si="3"/>
        <v>310.26295415774979</v>
      </c>
      <c r="J25">
        <f t="shared" si="4"/>
        <v>7.0907595332230162E-4</v>
      </c>
      <c r="K25">
        <f t="shared" si="5"/>
        <v>2.9387300962471198E-2</v>
      </c>
      <c r="M25">
        <f t="shared" si="6"/>
        <v>310.26295415774979</v>
      </c>
      <c r="N25">
        <f t="shared" si="7"/>
        <v>6.081844730558195E-3</v>
      </c>
      <c r="Q25">
        <v>0.22</v>
      </c>
      <c r="R25">
        <v>310.26</v>
      </c>
      <c r="S25">
        <v>9.1178000000000008</v>
      </c>
      <c r="U25">
        <v>310.26</v>
      </c>
      <c r="V25">
        <v>1</v>
      </c>
      <c r="W25">
        <v>6.1520000000000004E-3</v>
      </c>
    </row>
    <row r="26" spans="1:23" x14ac:dyDescent="0.25">
      <c r="A26">
        <v>28.7</v>
      </c>
      <c r="B26">
        <v>350</v>
      </c>
      <c r="C26">
        <f t="shared" si="0"/>
        <v>9.8191593352883668</v>
      </c>
      <c r="D26">
        <v>0.22500000000000001</v>
      </c>
      <c r="E26">
        <v>549.03</v>
      </c>
      <c r="F26">
        <f t="shared" si="1"/>
        <v>268.0810546875</v>
      </c>
      <c r="G26">
        <f t="shared" si="2"/>
        <v>28.07338239909512</v>
      </c>
      <c r="H26">
        <f t="shared" si="3"/>
        <v>336.88058878914143</v>
      </c>
      <c r="J26">
        <f t="shared" si="4"/>
        <v>6.6789244464551464E-4</v>
      </c>
      <c r="K26">
        <f t="shared" si="5"/>
        <v>2.9147299256931436E-2</v>
      </c>
      <c r="M26">
        <f t="shared" si="6"/>
        <v>336.88058878914143</v>
      </c>
      <c r="N26">
        <f t="shared" si="7"/>
        <v>6.2200684744345182E-3</v>
      </c>
      <c r="Q26">
        <v>0.22500000000000001</v>
      </c>
      <c r="R26">
        <v>336.88</v>
      </c>
      <c r="S26">
        <v>9.8192000000000004</v>
      </c>
      <c r="U26">
        <v>336.88</v>
      </c>
      <c r="V26">
        <v>1</v>
      </c>
      <c r="W26">
        <v>6.2918000000000002E-3</v>
      </c>
    </row>
    <row r="27" spans="1:23" x14ac:dyDescent="0.25">
      <c r="A27">
        <v>28.7</v>
      </c>
      <c r="B27">
        <v>375</v>
      </c>
      <c r="C27">
        <f t="shared" si="0"/>
        <v>10.520527859237538</v>
      </c>
      <c r="D27">
        <v>0.23</v>
      </c>
      <c r="E27">
        <v>591.20000000000005</v>
      </c>
      <c r="F27">
        <f t="shared" si="1"/>
        <v>288.671875</v>
      </c>
      <c r="G27">
        <f t="shared" si="2"/>
        <v>30.229648059933034</v>
      </c>
      <c r="H27">
        <f t="shared" si="3"/>
        <v>362.75577671919643</v>
      </c>
      <c r="J27">
        <f t="shared" si="4"/>
        <v>6.3403538898855201E-4</v>
      </c>
      <c r="K27">
        <f t="shared" si="5"/>
        <v>2.9001682493898128E-2</v>
      </c>
      <c r="M27">
        <f t="shared" si="6"/>
        <v>362.75577671919643</v>
      </c>
      <c r="N27">
        <f t="shared" si="7"/>
        <v>6.3582922183108405E-3</v>
      </c>
      <c r="Q27">
        <v>0.23</v>
      </c>
      <c r="R27">
        <v>362.76</v>
      </c>
      <c r="S27">
        <v>10.521000000000001</v>
      </c>
      <c r="U27">
        <v>362.76</v>
      </c>
      <c r="V27">
        <v>1</v>
      </c>
      <c r="W27">
        <v>6.4316E-3</v>
      </c>
    </row>
    <row r="28" spans="1:23" x14ac:dyDescent="0.25">
      <c r="A28">
        <v>28.7</v>
      </c>
      <c r="B28">
        <v>400</v>
      </c>
      <c r="C28">
        <f t="shared" si="0"/>
        <v>11.221896383186706</v>
      </c>
      <c r="D28">
        <v>0.24</v>
      </c>
      <c r="E28">
        <v>630.04</v>
      </c>
      <c r="F28">
        <f t="shared" si="1"/>
        <v>307.63671874999994</v>
      </c>
      <c r="G28">
        <f t="shared" si="2"/>
        <v>32.215641853315638</v>
      </c>
      <c r="H28">
        <f t="shared" si="3"/>
        <v>386.58770223978763</v>
      </c>
      <c r="J28">
        <f t="shared" si="4"/>
        <v>6.2081643727801745E-4</v>
      </c>
      <c r="K28">
        <f t="shared" si="5"/>
        <v>2.9028073883804337E-2</v>
      </c>
      <c r="M28">
        <f t="shared" si="6"/>
        <v>386.58770223978763</v>
      </c>
      <c r="N28">
        <f t="shared" si="7"/>
        <v>6.6347397060634852E-3</v>
      </c>
      <c r="Q28">
        <v>0.24</v>
      </c>
      <c r="R28">
        <v>386.59</v>
      </c>
      <c r="S28">
        <v>11.222</v>
      </c>
      <c r="U28">
        <v>386.59</v>
      </c>
      <c r="V28">
        <v>1</v>
      </c>
      <c r="W28">
        <v>6.7112999999999999E-3</v>
      </c>
    </row>
    <row r="29" spans="1:23" x14ac:dyDescent="0.25">
      <c r="A29">
        <v>28.7</v>
      </c>
      <c r="B29">
        <v>425</v>
      </c>
      <c r="C29">
        <f t="shared" si="0"/>
        <v>11.923264907135875</v>
      </c>
      <c r="D29">
        <v>0.25</v>
      </c>
      <c r="E29">
        <v>672.09</v>
      </c>
      <c r="F29">
        <f t="shared" si="1"/>
        <v>328.1689453125</v>
      </c>
      <c r="G29">
        <f t="shared" si="2"/>
        <v>34.365771591002023</v>
      </c>
      <c r="H29">
        <f t="shared" si="3"/>
        <v>412.3892590920243</v>
      </c>
      <c r="J29">
        <f t="shared" si="4"/>
        <v>6.0622335448414942E-4</v>
      </c>
      <c r="K29">
        <f t="shared" si="5"/>
        <v>2.8912646593628206E-2</v>
      </c>
      <c r="M29">
        <f t="shared" si="6"/>
        <v>412.3892590920243</v>
      </c>
      <c r="N29">
        <f t="shared" si="7"/>
        <v>6.9111871938161307E-3</v>
      </c>
      <c r="Q29">
        <v>0.25</v>
      </c>
      <c r="R29">
        <v>412.39</v>
      </c>
      <c r="S29">
        <v>11.923</v>
      </c>
      <c r="U29">
        <v>412.39</v>
      </c>
      <c r="V29">
        <v>1</v>
      </c>
      <c r="W29">
        <v>6.9909000000000004E-3</v>
      </c>
    </row>
    <row r="30" spans="1:23" x14ac:dyDescent="0.25">
      <c r="A30">
        <v>28.7</v>
      </c>
      <c r="B30">
        <v>450</v>
      </c>
      <c r="C30">
        <f t="shared" si="0"/>
        <v>12.624633431085044</v>
      </c>
      <c r="D30">
        <v>0.25</v>
      </c>
      <c r="E30">
        <v>710.77</v>
      </c>
      <c r="F30">
        <f t="shared" si="1"/>
        <v>347.0556640625</v>
      </c>
      <c r="G30">
        <f t="shared" si="2"/>
        <v>36.343584153515913</v>
      </c>
      <c r="H30">
        <f t="shared" si="3"/>
        <v>436.12300984219098</v>
      </c>
      <c r="J30">
        <f t="shared" si="4"/>
        <v>5.732327677240907E-4</v>
      </c>
      <c r="K30">
        <f t="shared" si="5"/>
        <v>2.8947414252811856E-2</v>
      </c>
      <c r="M30">
        <f t="shared" si="6"/>
        <v>436.12300984219098</v>
      </c>
      <c r="N30">
        <f t="shared" si="7"/>
        <v>6.9111871938161307E-3</v>
      </c>
      <c r="Q30">
        <v>0.25</v>
      </c>
      <c r="R30">
        <v>436.12</v>
      </c>
      <c r="S30">
        <v>12.625</v>
      </c>
      <c r="U30">
        <v>436.12</v>
      </c>
      <c r="V30">
        <v>1</v>
      </c>
      <c r="W30">
        <v>6.9909000000000004E-3</v>
      </c>
    </row>
    <row r="31" spans="1:23" x14ac:dyDescent="0.25">
      <c r="A31">
        <v>28.7</v>
      </c>
      <c r="B31">
        <v>500</v>
      </c>
      <c r="C31">
        <f t="shared" si="0"/>
        <v>14.027370478983382</v>
      </c>
      <c r="D31">
        <v>0.26</v>
      </c>
      <c r="E31">
        <v>789.58</v>
      </c>
      <c r="F31">
        <f t="shared" si="1"/>
        <v>385.53710937500006</v>
      </c>
      <c r="G31">
        <f t="shared" si="2"/>
        <v>40.373351683291489</v>
      </c>
      <c r="H31">
        <f t="shared" si="3"/>
        <v>484.48022019949786</v>
      </c>
      <c r="J31">
        <f t="shared" si="4"/>
        <v>5.3665761605899609E-4</v>
      </c>
      <c r="K31">
        <f t="shared" si="5"/>
        <v>2.8953443080106001E-2</v>
      </c>
      <c r="M31">
        <f t="shared" si="6"/>
        <v>484.48022019949786</v>
      </c>
      <c r="N31">
        <f t="shared" si="7"/>
        <v>7.1876346815687763E-3</v>
      </c>
      <c r="Q31">
        <v>0.26</v>
      </c>
      <c r="R31">
        <v>484.48</v>
      </c>
      <c r="S31">
        <v>14.026999999999999</v>
      </c>
      <c r="U31">
        <v>484.48</v>
      </c>
      <c r="V31">
        <v>1</v>
      </c>
      <c r="W31">
        <v>7.2706000000000003E-3</v>
      </c>
    </row>
    <row r="32" spans="1:23" x14ac:dyDescent="0.25">
      <c r="A32">
        <v>28.7</v>
      </c>
      <c r="B32">
        <v>550</v>
      </c>
      <c r="C32">
        <f t="shared" si="0"/>
        <v>15.43010752688172</v>
      </c>
      <c r="D32">
        <v>0.26</v>
      </c>
      <c r="E32">
        <v>872.76</v>
      </c>
      <c r="F32">
        <f t="shared" si="1"/>
        <v>426.15234375</v>
      </c>
      <c r="G32">
        <f t="shared" si="2"/>
        <v>44.626569081169073</v>
      </c>
      <c r="H32">
        <f t="shared" si="3"/>
        <v>535.51882897402891</v>
      </c>
      <c r="J32">
        <f t="shared" si="4"/>
        <v>4.8551047308293478E-4</v>
      </c>
      <c r="K32">
        <f t="shared" si="5"/>
        <v>2.8813380019603447E-2</v>
      </c>
      <c r="M32">
        <f t="shared" si="6"/>
        <v>535.51882897402891</v>
      </c>
      <c r="N32">
        <f t="shared" si="7"/>
        <v>7.1876346815687763E-3</v>
      </c>
      <c r="Q32">
        <v>0.26</v>
      </c>
      <c r="R32">
        <v>535.52</v>
      </c>
      <c r="S32">
        <v>15.43</v>
      </c>
      <c r="U32">
        <v>535.52</v>
      </c>
      <c r="V32">
        <v>1</v>
      </c>
      <c r="W32">
        <v>7.2706000000000003E-3</v>
      </c>
    </row>
    <row r="33" spans="1:23" x14ac:dyDescent="0.25">
      <c r="A33">
        <v>28.7</v>
      </c>
      <c r="B33">
        <v>600</v>
      </c>
      <c r="C33">
        <f t="shared" si="0"/>
        <v>16.832844574780058</v>
      </c>
      <c r="D33">
        <v>0.27</v>
      </c>
      <c r="E33">
        <v>950.62</v>
      </c>
      <c r="F33">
        <f t="shared" si="1"/>
        <v>464.169921875</v>
      </c>
      <c r="G33">
        <f t="shared" si="2"/>
        <v>48.60776055266161</v>
      </c>
      <c r="H33">
        <f t="shared" si="3"/>
        <v>583.29312663193934</v>
      </c>
      <c r="J33">
        <f t="shared" si="4"/>
        <v>4.6288904784295748E-4</v>
      </c>
      <c r="K33">
        <f t="shared" si="5"/>
        <v>2.8858294065586789E-2</v>
      </c>
      <c r="M33">
        <f t="shared" si="6"/>
        <v>583.29312663193934</v>
      </c>
      <c r="N33">
        <f t="shared" si="7"/>
        <v>7.4640821693214218E-3</v>
      </c>
      <c r="Q33">
        <v>0.27</v>
      </c>
      <c r="R33">
        <v>583.29</v>
      </c>
      <c r="S33">
        <v>16.832999999999998</v>
      </c>
      <c r="U33">
        <v>583.29</v>
      </c>
      <c r="V33">
        <v>1</v>
      </c>
      <c r="W33">
        <v>7.5502E-3</v>
      </c>
    </row>
    <row r="34" spans="1:23" x14ac:dyDescent="0.25">
      <c r="A34">
        <v>28.7</v>
      </c>
      <c r="B34">
        <v>650</v>
      </c>
      <c r="C34">
        <f t="shared" si="0"/>
        <v>18.235581622678396</v>
      </c>
      <c r="D34">
        <v>0.28000000000000003</v>
      </c>
      <c r="E34">
        <v>1029.4000000000001</v>
      </c>
      <c r="F34">
        <f t="shared" si="1"/>
        <v>502.63671875000006</v>
      </c>
      <c r="G34">
        <f t="shared" si="2"/>
        <v>52.63599410164931</v>
      </c>
      <c r="H34">
        <f t="shared" si="3"/>
        <v>631.63192921979169</v>
      </c>
      <c r="J34">
        <f t="shared" si="4"/>
        <v>4.4329614613666438E-4</v>
      </c>
      <c r="K34">
        <f t="shared" si="5"/>
        <v>2.887058234247826E-2</v>
      </c>
      <c r="M34">
        <f t="shared" si="6"/>
        <v>631.63192921979169</v>
      </c>
      <c r="N34">
        <f t="shared" si="7"/>
        <v>7.7405296570740674E-3</v>
      </c>
      <c r="Q34">
        <v>0.28000000000000003</v>
      </c>
      <c r="R34">
        <v>631.63</v>
      </c>
      <c r="S34">
        <v>18.236000000000001</v>
      </c>
      <c r="U34">
        <v>631.63</v>
      </c>
      <c r="V34">
        <v>1</v>
      </c>
      <c r="W34">
        <v>7.8297999999999996E-3</v>
      </c>
    </row>
    <row r="35" spans="1:23" x14ac:dyDescent="0.25">
      <c r="A35">
        <v>28.7</v>
      </c>
      <c r="B35">
        <v>700</v>
      </c>
      <c r="C35">
        <f t="shared" si="0"/>
        <v>19.638318670576734</v>
      </c>
      <c r="D35">
        <v>0.28000000000000003</v>
      </c>
      <c r="E35">
        <v>1115</v>
      </c>
      <c r="F35">
        <f t="shared" si="1"/>
        <v>544.43359375</v>
      </c>
      <c r="G35">
        <f t="shared" si="2"/>
        <v>57.012952616416328</v>
      </c>
      <c r="H35">
        <f t="shared" si="3"/>
        <v>684.15543139699594</v>
      </c>
      <c r="J35">
        <f t="shared" si="4"/>
        <v>4.0926372451397522E-4</v>
      </c>
      <c r="K35">
        <f t="shared" si="5"/>
        <v>2.8704469436830613E-2</v>
      </c>
      <c r="M35">
        <f t="shared" si="6"/>
        <v>684.15543139699594</v>
      </c>
      <c r="N35">
        <f t="shared" si="7"/>
        <v>7.7405296570740674E-3</v>
      </c>
      <c r="Q35">
        <v>0.28000000000000003</v>
      </c>
      <c r="R35">
        <v>684.16</v>
      </c>
      <c r="S35">
        <v>19.638000000000002</v>
      </c>
      <c r="U35">
        <v>684.16</v>
      </c>
      <c r="V35">
        <v>1</v>
      </c>
      <c r="W35">
        <v>7.8297999999999996E-3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D047-67CC-4B0D-BB69-9682CD6FBBDD}">
  <dimension ref="A1:W25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42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41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LINEST(K13:K25,J13:J25)</f>
        <v>3.561185024477223</v>
      </c>
      <c r="K10">
        <v>2.1694116137013771E-2</v>
      </c>
      <c r="M10" s="2"/>
      <c r="N10" s="2"/>
      <c r="Q10">
        <v>3.1475696000000002</v>
      </c>
      <c r="R10">
        <v>2.2681927000000001E-2</v>
      </c>
      <c r="U10" s="6"/>
      <c r="V10" s="2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28.3</v>
      </c>
      <c r="B13">
        <v>800</v>
      </c>
      <c r="C13">
        <f>$A13*$B13/$D$4</f>
        <v>22.130987292277617</v>
      </c>
      <c r="D13">
        <v>1.67</v>
      </c>
      <c r="E13" s="5">
        <v>1213.8</v>
      </c>
      <c r="F13">
        <f>$E13*60/($D$5*$D$6*$D$7)</f>
        <v>592.67578125</v>
      </c>
      <c r="G13">
        <f>$F13*2*PI()/60</f>
        <v>62.064862677853043</v>
      </c>
      <c r="H13">
        <f>$G13*$D$7</f>
        <v>744.77835213423646</v>
      </c>
      <c r="J13">
        <f>$D13/$H13</f>
        <v>2.2422778471131027E-3</v>
      </c>
      <c r="K13">
        <f>$C13/$H13</f>
        <v>2.9714863796536341E-2</v>
      </c>
      <c r="M13" s="2"/>
      <c r="N13" s="2"/>
      <c r="Q13">
        <v>1.67</v>
      </c>
      <c r="R13">
        <v>744.78</v>
      </c>
      <c r="S13">
        <v>22.131</v>
      </c>
      <c r="U13" s="2"/>
      <c r="V13" s="2"/>
      <c r="W13" s="2"/>
    </row>
    <row r="14" spans="1:23" x14ac:dyDescent="0.25">
      <c r="A14">
        <v>28.3</v>
      </c>
      <c r="B14">
        <v>750</v>
      </c>
      <c r="C14">
        <f t="shared" ref="C14:C25" si="0">$A14*$B14/$D$4</f>
        <v>20.747800586510262</v>
      </c>
      <c r="D14">
        <v>1.58</v>
      </c>
      <c r="E14">
        <v>1133.4000000000001</v>
      </c>
      <c r="F14">
        <f t="shared" ref="F14:F25" si="1">$E14*60/($D$5*$D$6*$D$7)</f>
        <v>553.41796875</v>
      </c>
      <c r="G14">
        <f t="shared" ref="G14:G25" si="2">$F14*2*PI()/60</f>
        <v>57.953794166319526</v>
      </c>
      <c r="H14">
        <f t="shared" ref="H14:H25" si="3">$G14*$D$7</f>
        <v>695.44552999583425</v>
      </c>
      <c r="J14">
        <f t="shared" ref="J14:J25" si="4">$D14/$H14</f>
        <v>2.271924876718187E-3</v>
      </c>
      <c r="K14">
        <f t="shared" ref="K14:K25" si="5">$C14/$H14</f>
        <v>2.983382549979801E-2</v>
      </c>
      <c r="M14" s="2"/>
      <c r="N14" s="2"/>
      <c r="Q14">
        <v>1.58</v>
      </c>
      <c r="R14">
        <v>695.45</v>
      </c>
      <c r="S14">
        <v>20.748000000000001</v>
      </c>
      <c r="U14" s="2"/>
      <c r="V14" s="2"/>
      <c r="W14" s="2"/>
    </row>
    <row r="15" spans="1:23" x14ac:dyDescent="0.25">
      <c r="A15">
        <v>28.4</v>
      </c>
      <c r="B15">
        <v>700</v>
      </c>
      <c r="C15">
        <f t="shared" si="0"/>
        <v>19.433040078201369</v>
      </c>
      <c r="D15">
        <v>1.48</v>
      </c>
      <c r="E15">
        <v>1058.5999999999999</v>
      </c>
      <c r="F15">
        <f t="shared" si="1"/>
        <v>516.89453125</v>
      </c>
      <c r="G15">
        <f t="shared" si="2"/>
        <v>54.129068735191325</v>
      </c>
      <c r="H15">
        <f t="shared" si="3"/>
        <v>649.54882482229596</v>
      </c>
      <c r="J15">
        <f t="shared" si="4"/>
        <v>2.2785046226585035E-3</v>
      </c>
      <c r="K15">
        <f t="shared" si="5"/>
        <v>2.9917751115195804E-2</v>
      </c>
      <c r="M15" s="2"/>
      <c r="N15" s="2"/>
      <c r="Q15">
        <v>1.48</v>
      </c>
      <c r="R15">
        <v>649.54999999999995</v>
      </c>
      <c r="S15">
        <v>19.433</v>
      </c>
      <c r="U15" s="2"/>
      <c r="V15" s="2"/>
      <c r="W15" s="2"/>
    </row>
    <row r="16" spans="1:23" x14ac:dyDescent="0.25">
      <c r="A16">
        <v>28.4</v>
      </c>
      <c r="B16">
        <v>650</v>
      </c>
      <c r="C16">
        <f t="shared" si="0"/>
        <v>18.044965786901273</v>
      </c>
      <c r="D16">
        <v>1.38</v>
      </c>
      <c r="E16">
        <v>980.66</v>
      </c>
      <c r="F16">
        <f t="shared" si="1"/>
        <v>478.837890625</v>
      </c>
      <c r="G16">
        <f t="shared" si="2"/>
        <v>50.143786648264424</v>
      </c>
      <c r="H16">
        <f t="shared" si="3"/>
        <v>601.72543977917303</v>
      </c>
      <c r="J16">
        <f t="shared" si="4"/>
        <v>2.2934047802706256E-3</v>
      </c>
      <c r="K16">
        <f t="shared" si="5"/>
        <v>2.9988703474999472E-2</v>
      </c>
      <c r="M16" s="2"/>
      <c r="N16" s="2"/>
      <c r="Q16">
        <v>1.38</v>
      </c>
      <c r="R16">
        <v>601.73</v>
      </c>
      <c r="S16">
        <v>18.045000000000002</v>
      </c>
      <c r="U16" s="2"/>
      <c r="V16" s="2"/>
      <c r="W16" s="2"/>
    </row>
    <row r="17" spans="1:23" x14ac:dyDescent="0.25">
      <c r="A17">
        <v>28.4</v>
      </c>
      <c r="B17">
        <v>600</v>
      </c>
      <c r="C17">
        <f t="shared" si="0"/>
        <v>16.656891495601172</v>
      </c>
      <c r="D17">
        <v>1.29</v>
      </c>
      <c r="E17">
        <v>906.94</v>
      </c>
      <c r="F17">
        <f t="shared" si="1"/>
        <v>442.841796875</v>
      </c>
      <c r="G17">
        <f t="shared" si="2"/>
        <v>46.374284525500116</v>
      </c>
      <c r="H17">
        <f t="shared" si="3"/>
        <v>556.49141430600139</v>
      </c>
      <c r="J17">
        <f t="shared" si="4"/>
        <v>2.318095062811984E-3</v>
      </c>
      <c r="K17">
        <f t="shared" si="5"/>
        <v>2.993198289747907E-2</v>
      </c>
      <c r="M17" s="2"/>
      <c r="N17" s="2"/>
      <c r="Q17">
        <v>1.29</v>
      </c>
      <c r="R17">
        <v>556.49</v>
      </c>
      <c r="S17">
        <v>16.657</v>
      </c>
      <c r="U17" s="2"/>
      <c r="V17" s="2"/>
      <c r="W17" s="2"/>
    </row>
    <row r="18" spans="1:23" x14ac:dyDescent="0.25">
      <c r="A18">
        <v>28.4</v>
      </c>
      <c r="B18">
        <v>550</v>
      </c>
      <c r="C18">
        <f t="shared" si="0"/>
        <v>15.268817204301076</v>
      </c>
      <c r="D18">
        <v>1.2</v>
      </c>
      <c r="E18">
        <v>824.72</v>
      </c>
      <c r="F18">
        <f t="shared" si="1"/>
        <v>402.69531250000006</v>
      </c>
      <c r="G18">
        <f t="shared" si="2"/>
        <v>42.17015451283487</v>
      </c>
      <c r="H18">
        <f t="shared" si="3"/>
        <v>506.04185415401844</v>
      </c>
      <c r="J18">
        <f t="shared" si="4"/>
        <v>2.3713453544393368E-3</v>
      </c>
      <c r="K18">
        <f t="shared" si="5"/>
        <v>3.0173032287668981E-2</v>
      </c>
      <c r="M18" s="2"/>
      <c r="N18" s="2"/>
      <c r="Q18">
        <v>1.2</v>
      </c>
      <c r="R18">
        <v>506.04</v>
      </c>
      <c r="S18">
        <v>15.269</v>
      </c>
      <c r="U18" s="2"/>
      <c r="V18" s="2"/>
      <c r="W18" s="2"/>
    </row>
    <row r="19" spans="1:23" x14ac:dyDescent="0.25">
      <c r="A19">
        <v>28.4</v>
      </c>
      <c r="B19">
        <v>500</v>
      </c>
      <c r="C19">
        <f t="shared" si="0"/>
        <v>13.880742913000978</v>
      </c>
      <c r="D19">
        <v>1.1200000000000001</v>
      </c>
      <c r="E19">
        <v>749.52</v>
      </c>
      <c r="F19">
        <f t="shared" si="1"/>
        <v>365.9765625</v>
      </c>
      <c r="G19">
        <f t="shared" si="2"/>
        <v>38.324976004534861</v>
      </c>
      <c r="H19">
        <f t="shared" si="3"/>
        <v>459.89971205441833</v>
      </c>
      <c r="J19">
        <f t="shared" si="4"/>
        <v>2.4353135491145391E-3</v>
      </c>
      <c r="K19">
        <f t="shared" si="5"/>
        <v>3.0182108292684726E-2</v>
      </c>
      <c r="M19" s="2"/>
      <c r="N19" s="2"/>
      <c r="Q19">
        <v>1.1200000000000001</v>
      </c>
      <c r="R19">
        <v>459.9</v>
      </c>
      <c r="S19">
        <v>13.881</v>
      </c>
      <c r="U19" s="2"/>
      <c r="V19" s="2"/>
      <c r="W19" s="2"/>
    </row>
    <row r="20" spans="1:23" x14ac:dyDescent="0.25">
      <c r="A20">
        <v>28.4</v>
      </c>
      <c r="B20">
        <v>450</v>
      </c>
      <c r="C20">
        <f t="shared" si="0"/>
        <v>12.492668621700879</v>
      </c>
      <c r="D20">
        <v>1.01</v>
      </c>
      <c r="E20">
        <v>669.93</v>
      </c>
      <c r="F20">
        <f t="shared" si="1"/>
        <v>327.1142578125</v>
      </c>
      <c r="G20">
        <f t="shared" si="2"/>
        <v>34.255324974274252</v>
      </c>
      <c r="H20">
        <f t="shared" si="3"/>
        <v>411.063899691291</v>
      </c>
      <c r="J20">
        <f t="shared" si="4"/>
        <v>2.457038919638796E-3</v>
      </c>
      <c r="K20">
        <f t="shared" si="5"/>
        <v>3.0391062389771697E-2</v>
      </c>
      <c r="M20" s="2"/>
      <c r="N20" s="2"/>
      <c r="Q20">
        <v>1.01</v>
      </c>
      <c r="R20">
        <v>411.06</v>
      </c>
      <c r="S20">
        <v>12.493</v>
      </c>
      <c r="U20" s="2"/>
      <c r="V20" s="2"/>
      <c r="W20" s="2"/>
    </row>
    <row r="21" spans="1:23" x14ac:dyDescent="0.25">
      <c r="A21">
        <v>28.4</v>
      </c>
      <c r="B21">
        <v>400</v>
      </c>
      <c r="C21">
        <f t="shared" si="0"/>
        <v>11.104594330400783</v>
      </c>
      <c r="D21">
        <v>0.92</v>
      </c>
      <c r="E21">
        <v>593.57000000000005</v>
      </c>
      <c r="F21">
        <f t="shared" si="1"/>
        <v>289.82910156250006</v>
      </c>
      <c r="G21">
        <f t="shared" si="2"/>
        <v>30.350832542176008</v>
      </c>
      <c r="H21">
        <f t="shared" si="3"/>
        <v>364.20999050611209</v>
      </c>
      <c r="J21">
        <f t="shared" si="4"/>
        <v>2.5260152768504596E-3</v>
      </c>
      <c r="K21">
        <f t="shared" si="5"/>
        <v>3.0489537958499322E-2</v>
      </c>
      <c r="M21" s="2"/>
      <c r="N21" s="2"/>
      <c r="Q21">
        <v>0.92</v>
      </c>
      <c r="R21">
        <v>364.21</v>
      </c>
      <c r="S21">
        <v>11.105</v>
      </c>
      <c r="U21" s="2"/>
      <c r="V21" s="2"/>
      <c r="W21" s="2"/>
    </row>
    <row r="22" spans="1:23" x14ac:dyDescent="0.25">
      <c r="A22">
        <v>28.4</v>
      </c>
      <c r="B22">
        <v>350</v>
      </c>
      <c r="C22">
        <f t="shared" si="0"/>
        <v>9.7165200391006845</v>
      </c>
      <c r="D22">
        <v>0.81</v>
      </c>
      <c r="E22">
        <v>515</v>
      </c>
      <c r="F22">
        <f t="shared" si="1"/>
        <v>251.46484375</v>
      </c>
      <c r="G22">
        <f t="shared" si="2"/>
        <v>26.333336858703504</v>
      </c>
      <c r="H22">
        <f t="shared" si="3"/>
        <v>316.00004230444205</v>
      </c>
      <c r="J22">
        <f t="shared" si="4"/>
        <v>2.5632907960804214E-3</v>
      </c>
      <c r="K22">
        <f t="shared" si="5"/>
        <v>3.0748477019947849E-2</v>
      </c>
      <c r="M22" s="2"/>
      <c r="N22" s="2"/>
      <c r="Q22">
        <v>0.81</v>
      </c>
      <c r="R22">
        <v>316</v>
      </c>
      <c r="S22">
        <v>9.7164999999999999</v>
      </c>
      <c r="U22" s="2"/>
      <c r="V22" s="2"/>
      <c r="W22" s="2"/>
    </row>
    <row r="23" spans="1:23" x14ac:dyDescent="0.25">
      <c r="A23">
        <v>28.4</v>
      </c>
      <c r="B23">
        <v>300</v>
      </c>
      <c r="C23">
        <f t="shared" si="0"/>
        <v>8.3284457478005862</v>
      </c>
      <c r="D23">
        <v>0.7</v>
      </c>
      <c r="E23">
        <v>440.71</v>
      </c>
      <c r="F23">
        <f t="shared" si="1"/>
        <v>215.1904296875</v>
      </c>
      <c r="G23">
        <f t="shared" si="2"/>
        <v>22.534689100969366</v>
      </c>
      <c r="H23">
        <f t="shared" si="3"/>
        <v>270.41626921163243</v>
      </c>
      <c r="J23">
        <f t="shared" si="4"/>
        <v>2.5886016475294535E-3</v>
      </c>
      <c r="K23">
        <f t="shared" si="5"/>
        <v>3.0798611977308959E-2</v>
      </c>
      <c r="M23" s="2"/>
      <c r="N23" s="2"/>
      <c r="Q23">
        <v>0.7</v>
      </c>
      <c r="R23">
        <v>270.42</v>
      </c>
      <c r="S23">
        <v>8.3284000000000002</v>
      </c>
      <c r="U23" s="2"/>
      <c r="V23" s="2"/>
      <c r="W23" s="2"/>
    </row>
    <row r="24" spans="1:23" x14ac:dyDescent="0.25">
      <c r="A24">
        <v>28.5</v>
      </c>
      <c r="B24">
        <v>250</v>
      </c>
      <c r="C24">
        <f t="shared" si="0"/>
        <v>6.9648093841642229</v>
      </c>
      <c r="D24">
        <v>0.6</v>
      </c>
      <c r="E24">
        <v>361.11</v>
      </c>
      <c r="F24">
        <f t="shared" si="1"/>
        <v>176.32324218750003</v>
      </c>
      <c r="G24">
        <f t="shared" si="2"/>
        <v>18.464526743779466</v>
      </c>
      <c r="H24">
        <f t="shared" si="3"/>
        <v>221.57432092535359</v>
      </c>
      <c r="J24">
        <f t="shared" si="4"/>
        <v>2.7078950191260411E-3</v>
      </c>
      <c r="K24">
        <f t="shared" si="5"/>
        <v>3.1433287734234351E-2</v>
      </c>
      <c r="M24" s="2"/>
      <c r="N24" s="2"/>
      <c r="Q24">
        <v>0.6</v>
      </c>
      <c r="R24">
        <v>221.57</v>
      </c>
      <c r="S24">
        <v>6.9648000000000003</v>
      </c>
      <c r="U24" s="2"/>
      <c r="V24" s="2"/>
      <c r="W24" s="2"/>
    </row>
    <row r="25" spans="1:23" x14ac:dyDescent="0.25">
      <c r="A25">
        <v>28.5</v>
      </c>
      <c r="B25">
        <v>200</v>
      </c>
      <c r="C25">
        <f t="shared" si="0"/>
        <v>5.5718475073313787</v>
      </c>
      <c r="D25">
        <v>0.49</v>
      </c>
      <c r="E25">
        <v>284.97000000000003</v>
      </c>
      <c r="F25">
        <f t="shared" si="1"/>
        <v>139.1455078125</v>
      </c>
      <c r="G25">
        <f t="shared" si="2"/>
        <v>14.571283504125706</v>
      </c>
      <c r="H25">
        <f t="shared" si="3"/>
        <v>174.85540204950848</v>
      </c>
      <c r="J25">
        <f t="shared" si="4"/>
        <v>2.8023154804291467E-3</v>
      </c>
      <c r="K25">
        <f t="shared" si="5"/>
        <v>3.1865458213031175E-2</v>
      </c>
      <c r="M25" s="2"/>
      <c r="N25" s="2"/>
      <c r="Q25">
        <v>0.49</v>
      </c>
      <c r="R25">
        <v>174.86</v>
      </c>
      <c r="S25">
        <v>5.5717999999999996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70A3-35F9-41C8-818B-CBFAE49F764A}">
  <dimension ref="A1:W25"/>
  <sheetViews>
    <sheetView workbookViewId="0"/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42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41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LINEST(K13:K25,J13:J25)</f>
        <v>2.8061054518150397</v>
      </c>
      <c r="K10">
        <v>2.3139528391900966E-2</v>
      </c>
      <c r="M10" s="2"/>
      <c r="N10" s="2"/>
      <c r="Q10">
        <v>2.9872166999999998</v>
      </c>
      <c r="R10">
        <v>2.2619916E-2</v>
      </c>
      <c r="U10" s="6"/>
      <c r="V10" s="2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28.4</v>
      </c>
      <c r="B13">
        <v>800</v>
      </c>
      <c r="C13">
        <f>$A13*$B13/$D$4</f>
        <v>22.209188660801566</v>
      </c>
      <c r="D13">
        <v>1.98</v>
      </c>
      <c r="E13" s="5">
        <v>1180.9000000000001</v>
      </c>
      <c r="F13">
        <f>$E13*60/($D$5*$D$6*$D$7)</f>
        <v>576.611328125</v>
      </c>
      <c r="G13">
        <f>$F13*2*PI()/60</f>
        <v>60.38259708047179</v>
      </c>
      <c r="H13">
        <f>$G13*$D$7</f>
        <v>724.59116496566151</v>
      </c>
      <c r="J13">
        <f>$D13/$H13</f>
        <v>2.7325754104300078E-3</v>
      </c>
      <c r="K13">
        <f>$C13/$H13</f>
        <v>3.0650647888943089E-2</v>
      </c>
      <c r="M13" s="2"/>
      <c r="N13" s="2"/>
      <c r="Q13">
        <v>1.98</v>
      </c>
      <c r="R13">
        <v>724.59</v>
      </c>
      <c r="S13">
        <v>22.209</v>
      </c>
      <c r="U13" s="2"/>
      <c r="V13" s="2"/>
      <c r="W13" s="2"/>
    </row>
    <row r="14" spans="1:23" x14ac:dyDescent="0.25">
      <c r="A14">
        <v>28.4</v>
      </c>
      <c r="B14">
        <v>750</v>
      </c>
      <c r="C14">
        <f t="shared" ref="C14:C25" si="0">$A14*$B14/$D$4</f>
        <v>20.821114369501466</v>
      </c>
      <c r="D14">
        <v>1.82</v>
      </c>
      <c r="E14">
        <v>1107.4000000000001</v>
      </c>
      <c r="F14">
        <f t="shared" ref="F14:F25" si="1">$E14*60/($D$5*$D$6*$D$7)</f>
        <v>540.72265625</v>
      </c>
      <c r="G14">
        <f t="shared" ref="G14:G25" si="2">$F14*2*PI()/60</f>
        <v>56.62434415015197</v>
      </c>
      <c r="H14">
        <f t="shared" ref="H14:H25" si="3">$G14*$D$7</f>
        <v>679.49212980182369</v>
      </c>
      <c r="J14">
        <f t="shared" ref="J14:J25" si="4">$D14/$H14</f>
        <v>2.6784710523885089E-3</v>
      </c>
      <c r="K14">
        <f t="shared" ref="K14:K25" si="5">$C14/$H14</f>
        <v>3.0642171492956095E-2</v>
      </c>
      <c r="M14" s="2"/>
      <c r="N14" s="2"/>
      <c r="Q14">
        <v>1.82</v>
      </c>
      <c r="R14">
        <v>679.49</v>
      </c>
      <c r="S14">
        <v>20.821000000000002</v>
      </c>
      <c r="U14" s="2"/>
      <c r="V14" s="2"/>
      <c r="W14" s="2"/>
    </row>
    <row r="15" spans="1:23" x14ac:dyDescent="0.25">
      <c r="A15">
        <v>28.4</v>
      </c>
      <c r="B15">
        <v>700</v>
      </c>
      <c r="C15">
        <f t="shared" si="0"/>
        <v>19.433040078201369</v>
      </c>
      <c r="D15">
        <v>1.7</v>
      </c>
      <c r="E15">
        <v>1035.2</v>
      </c>
      <c r="F15">
        <f t="shared" si="1"/>
        <v>505.46875</v>
      </c>
      <c r="G15">
        <f t="shared" si="2"/>
        <v>52.932563720640523</v>
      </c>
      <c r="H15">
        <f t="shared" si="3"/>
        <v>635.19076464768625</v>
      </c>
      <c r="J15">
        <f t="shared" si="4"/>
        <v>2.6763613305097705E-3</v>
      </c>
      <c r="K15">
        <f t="shared" si="5"/>
        <v>3.0594021764438064E-2</v>
      </c>
      <c r="M15" s="2"/>
      <c r="N15" s="2"/>
      <c r="Q15">
        <v>1.7</v>
      </c>
      <c r="R15">
        <v>635.19000000000005</v>
      </c>
      <c r="S15">
        <v>19.433</v>
      </c>
      <c r="U15" s="2"/>
      <c r="V15" s="2"/>
      <c r="W15" s="2"/>
    </row>
    <row r="16" spans="1:23" x14ac:dyDescent="0.25">
      <c r="A16">
        <v>28.4</v>
      </c>
      <c r="B16">
        <v>650</v>
      </c>
      <c r="C16">
        <f t="shared" si="0"/>
        <v>18.044965786901273</v>
      </c>
      <c r="D16">
        <v>1.58</v>
      </c>
      <c r="E16">
        <v>956.03</v>
      </c>
      <c r="F16">
        <f t="shared" si="1"/>
        <v>466.8115234375</v>
      </c>
      <c r="G16">
        <f t="shared" si="2"/>
        <v>48.884388421410321</v>
      </c>
      <c r="H16">
        <f t="shared" si="3"/>
        <v>586.6126610569238</v>
      </c>
      <c r="J16">
        <f t="shared" si="4"/>
        <v>2.6934297619032807E-3</v>
      </c>
      <c r="K16">
        <f t="shared" si="5"/>
        <v>3.0761296141117934E-2</v>
      </c>
      <c r="M16" s="2"/>
      <c r="N16" s="2"/>
      <c r="Q16">
        <v>1.58</v>
      </c>
      <c r="R16">
        <v>586.61</v>
      </c>
      <c r="S16">
        <v>18.045000000000002</v>
      </c>
      <c r="U16" s="2"/>
      <c r="V16" s="2"/>
      <c r="W16" s="2"/>
    </row>
    <row r="17" spans="1:23" x14ac:dyDescent="0.25">
      <c r="A17">
        <v>28.4</v>
      </c>
      <c r="B17">
        <v>600</v>
      </c>
      <c r="C17">
        <f t="shared" si="0"/>
        <v>16.656891495601172</v>
      </c>
      <c r="D17">
        <v>1.47</v>
      </c>
      <c r="E17">
        <v>885.22</v>
      </c>
      <c r="F17">
        <f t="shared" si="1"/>
        <v>432.23632812500006</v>
      </c>
      <c r="G17">
        <f t="shared" si="2"/>
        <v>45.263682435070912</v>
      </c>
      <c r="H17">
        <f t="shared" si="3"/>
        <v>543.16418922085097</v>
      </c>
      <c r="J17">
        <f t="shared" si="4"/>
        <v>2.7063639856461466E-3</v>
      </c>
      <c r="K17">
        <f t="shared" si="5"/>
        <v>3.0666402215313329E-2</v>
      </c>
      <c r="M17" s="2"/>
      <c r="N17" s="2"/>
      <c r="Q17">
        <v>1.47</v>
      </c>
      <c r="R17">
        <v>543.16</v>
      </c>
      <c r="S17">
        <v>16.657</v>
      </c>
      <c r="U17" s="2"/>
      <c r="V17" s="2"/>
      <c r="W17" s="2"/>
    </row>
    <row r="18" spans="1:23" x14ac:dyDescent="0.25">
      <c r="A18">
        <v>28.4</v>
      </c>
      <c r="B18">
        <v>550</v>
      </c>
      <c r="C18">
        <f t="shared" si="0"/>
        <v>15.268817204301076</v>
      </c>
      <c r="D18">
        <v>1.36</v>
      </c>
      <c r="E18">
        <v>804.24</v>
      </c>
      <c r="F18">
        <f t="shared" si="1"/>
        <v>392.6953125</v>
      </c>
      <c r="G18">
        <f t="shared" si="2"/>
        <v>41.122956961638266</v>
      </c>
      <c r="H18">
        <f t="shared" si="3"/>
        <v>493.47548353965919</v>
      </c>
      <c r="J18">
        <f t="shared" si="4"/>
        <v>2.7559626473129557E-3</v>
      </c>
      <c r="K18">
        <f t="shared" si="5"/>
        <v>3.0941389620369995E-2</v>
      </c>
      <c r="M18" s="2"/>
      <c r="N18" s="2"/>
      <c r="Q18">
        <v>1.36</v>
      </c>
      <c r="R18">
        <v>493.48</v>
      </c>
      <c r="S18">
        <v>15.269</v>
      </c>
      <c r="U18" s="2"/>
      <c r="V18" s="2"/>
      <c r="W18" s="2"/>
    </row>
    <row r="19" spans="1:23" x14ac:dyDescent="0.25">
      <c r="A19">
        <v>28.4</v>
      </c>
      <c r="B19">
        <v>500</v>
      </c>
      <c r="C19">
        <f t="shared" si="0"/>
        <v>13.880742913000978</v>
      </c>
      <c r="D19">
        <v>1.24</v>
      </c>
      <c r="E19">
        <v>731.87</v>
      </c>
      <c r="F19">
        <f t="shared" si="1"/>
        <v>357.3583984375</v>
      </c>
      <c r="G19">
        <f t="shared" si="2"/>
        <v>37.422483974328806</v>
      </c>
      <c r="H19">
        <f t="shared" si="3"/>
        <v>449.0698076919457</v>
      </c>
      <c r="J19">
        <f t="shared" si="4"/>
        <v>2.7612633465009498E-3</v>
      </c>
      <c r="K19">
        <f t="shared" si="5"/>
        <v>3.0909989216026147E-2</v>
      </c>
      <c r="M19" s="2"/>
      <c r="N19" s="2"/>
      <c r="Q19">
        <v>1.24</v>
      </c>
      <c r="R19">
        <v>449.07</v>
      </c>
      <c r="S19">
        <v>13.881</v>
      </c>
      <c r="U19" s="2"/>
      <c r="V19" s="2"/>
      <c r="W19" s="2"/>
    </row>
    <row r="20" spans="1:23" x14ac:dyDescent="0.25">
      <c r="A20">
        <v>28.4</v>
      </c>
      <c r="B20">
        <v>450</v>
      </c>
      <c r="C20">
        <f t="shared" si="0"/>
        <v>12.492668621700879</v>
      </c>
      <c r="D20">
        <v>1.1299999999999999</v>
      </c>
      <c r="E20">
        <v>655</v>
      </c>
      <c r="F20">
        <f t="shared" si="1"/>
        <v>319.82421875</v>
      </c>
      <c r="G20">
        <f t="shared" si="2"/>
        <v>33.491913868836498</v>
      </c>
      <c r="H20">
        <f t="shared" si="3"/>
        <v>401.90296642603801</v>
      </c>
      <c r="J20">
        <f t="shared" si="4"/>
        <v>2.8116239351220445E-3</v>
      </c>
      <c r="K20">
        <f t="shared" si="5"/>
        <v>3.1083793017984352E-2</v>
      </c>
      <c r="M20" s="2"/>
      <c r="N20" s="2"/>
      <c r="Q20">
        <v>1.1299999999999999</v>
      </c>
      <c r="R20">
        <v>401.9</v>
      </c>
      <c r="S20">
        <v>12.493</v>
      </c>
      <c r="U20" s="2"/>
      <c r="V20" s="2"/>
      <c r="W20" s="2"/>
    </row>
    <row r="21" spans="1:23" x14ac:dyDescent="0.25">
      <c r="A21">
        <v>28.4</v>
      </c>
      <c r="B21">
        <v>400</v>
      </c>
      <c r="C21">
        <f t="shared" si="0"/>
        <v>11.104594330400783</v>
      </c>
      <c r="D21">
        <v>1.02</v>
      </c>
      <c r="E21">
        <v>580.03</v>
      </c>
      <c r="F21">
        <f t="shared" si="1"/>
        <v>283.2177734375</v>
      </c>
      <c r="G21">
        <f t="shared" si="2"/>
        <v>29.65849587991028</v>
      </c>
      <c r="H21">
        <f t="shared" si="3"/>
        <v>355.90195055892337</v>
      </c>
      <c r="J21">
        <f t="shared" si="4"/>
        <v>2.8659578808100071E-3</v>
      </c>
      <c r="K21">
        <f t="shared" si="5"/>
        <v>3.1201274151382595E-2</v>
      </c>
      <c r="M21" s="2"/>
      <c r="N21" s="2"/>
      <c r="Q21">
        <v>1.02</v>
      </c>
      <c r="R21">
        <v>355.9</v>
      </c>
      <c r="S21">
        <v>11.105</v>
      </c>
      <c r="U21" s="2"/>
      <c r="V21" s="2"/>
      <c r="W21" s="2"/>
    </row>
    <row r="22" spans="1:23" x14ac:dyDescent="0.25">
      <c r="A22">
        <v>28.4</v>
      </c>
      <c r="B22">
        <v>350</v>
      </c>
      <c r="C22">
        <f t="shared" si="0"/>
        <v>9.7165200391006845</v>
      </c>
      <c r="D22">
        <v>0.9</v>
      </c>
      <c r="E22">
        <v>504.82</v>
      </c>
      <c r="F22">
        <f t="shared" si="1"/>
        <v>246.49414062500003</v>
      </c>
      <c r="G22">
        <f t="shared" si="2"/>
        <v>25.812806044680983</v>
      </c>
      <c r="H22">
        <f t="shared" si="3"/>
        <v>309.75367253617179</v>
      </c>
      <c r="J22">
        <f t="shared" si="4"/>
        <v>2.9055345579313565E-3</v>
      </c>
      <c r="K22">
        <f t="shared" si="5"/>
        <v>3.136853861826619E-2</v>
      </c>
      <c r="M22" s="2"/>
      <c r="N22" s="2"/>
      <c r="Q22">
        <v>0.9</v>
      </c>
      <c r="R22">
        <v>309.75</v>
      </c>
      <c r="S22">
        <v>9.7164999999999999</v>
      </c>
      <c r="U22" s="2"/>
      <c r="V22" s="2"/>
      <c r="W22" s="2"/>
    </row>
    <row r="23" spans="1:23" x14ac:dyDescent="0.25">
      <c r="A23">
        <v>28.4</v>
      </c>
      <c r="B23">
        <v>300</v>
      </c>
      <c r="C23">
        <f t="shared" si="0"/>
        <v>8.3284457478005862</v>
      </c>
      <c r="D23">
        <v>0.79</v>
      </c>
      <c r="E23">
        <v>430.33</v>
      </c>
      <c r="F23">
        <f t="shared" si="1"/>
        <v>210.1220703125</v>
      </c>
      <c r="G23">
        <f t="shared" si="2"/>
        <v>22.00393174836093</v>
      </c>
      <c r="H23">
        <f t="shared" si="3"/>
        <v>264.04718098033118</v>
      </c>
      <c r="J23">
        <f t="shared" si="4"/>
        <v>2.9918895443873227E-3</v>
      </c>
      <c r="K23">
        <f t="shared" si="5"/>
        <v>3.1541506017521051E-2</v>
      </c>
      <c r="M23" s="2"/>
      <c r="N23" s="2"/>
      <c r="Q23">
        <v>0.79</v>
      </c>
      <c r="R23">
        <v>264.05</v>
      </c>
      <c r="S23">
        <v>8.3284000000000002</v>
      </c>
      <c r="U23" s="2"/>
      <c r="V23" s="2"/>
      <c r="W23" s="2"/>
    </row>
    <row r="24" spans="1:23" x14ac:dyDescent="0.25">
      <c r="A24">
        <v>28.4</v>
      </c>
      <c r="B24">
        <v>250</v>
      </c>
      <c r="C24">
        <f t="shared" si="0"/>
        <v>6.9403714565004888</v>
      </c>
      <c r="D24">
        <v>0.67</v>
      </c>
      <c r="E24">
        <v>354.6</v>
      </c>
      <c r="F24">
        <f t="shared" si="1"/>
        <v>173.14453125</v>
      </c>
      <c r="G24">
        <f t="shared" si="2"/>
        <v>18.131652912808281</v>
      </c>
      <c r="H24">
        <f t="shared" si="3"/>
        <v>217.57983495369939</v>
      </c>
      <c r="J24">
        <f t="shared" si="4"/>
        <v>3.0793294798783853E-3</v>
      </c>
      <c r="K24">
        <f t="shared" si="5"/>
        <v>3.189804541389319E-2</v>
      </c>
      <c r="M24" s="2"/>
      <c r="N24" s="2"/>
      <c r="Q24">
        <v>0.67</v>
      </c>
      <c r="R24">
        <v>217.58</v>
      </c>
      <c r="S24">
        <v>6.9404000000000003</v>
      </c>
      <c r="U24" s="2"/>
      <c r="V24" s="2"/>
      <c r="W24" s="2"/>
    </row>
    <row r="25" spans="1:23" x14ac:dyDescent="0.25">
      <c r="A25">
        <v>28.4</v>
      </c>
      <c r="B25">
        <v>200</v>
      </c>
      <c r="C25">
        <f t="shared" si="0"/>
        <v>5.5522971652003914</v>
      </c>
      <c r="D25">
        <v>0.56000000000000005</v>
      </c>
      <c r="E25">
        <v>282.02</v>
      </c>
      <c r="F25">
        <f t="shared" si="1"/>
        <v>137.70507812499997</v>
      </c>
      <c r="G25">
        <f t="shared" si="2"/>
        <v>14.420442059983616</v>
      </c>
      <c r="H25">
        <f t="shared" si="3"/>
        <v>173.0453047198034</v>
      </c>
      <c r="J25">
        <f t="shared" si="4"/>
        <v>3.2361467472738275E-3</v>
      </c>
      <c r="K25">
        <f t="shared" si="5"/>
        <v>3.2085800734037391E-2</v>
      </c>
      <c r="M25" s="2"/>
      <c r="N25" s="2"/>
      <c r="Q25">
        <v>0.56000000000000005</v>
      </c>
      <c r="R25">
        <v>173.05</v>
      </c>
      <c r="S25">
        <v>5.5522999999999998</v>
      </c>
      <c r="U25" s="2"/>
      <c r="V25" s="2"/>
      <c r="W25" s="2"/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EB64-4281-4E55-903E-8C11F261BB2E}">
  <dimension ref="A1:W34"/>
  <sheetViews>
    <sheetView workbookViewId="0">
      <selection activeCell="N10" sqref="N10"/>
    </sheetView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  <c r="F4" t="s">
        <v>39</v>
      </c>
    </row>
    <row r="5" spans="1:23" x14ac:dyDescent="0.25">
      <c r="A5" t="s">
        <v>5</v>
      </c>
      <c r="D5">
        <v>0.01</v>
      </c>
      <c r="F5" t="s">
        <v>40</v>
      </c>
    </row>
    <row r="6" spans="1:23" x14ac:dyDescent="0.25">
      <c r="A6" t="s">
        <v>7</v>
      </c>
      <c r="D6">
        <v>1024</v>
      </c>
      <c r="F6" t="s">
        <v>43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cm="1">
        <f t="array" ref="J10:K10">LINEST(K13:K34,J13:J34)</f>
        <v>4.9813055797606225</v>
      </c>
      <c r="K10">
        <v>2.5764321927366586E-2</v>
      </c>
      <c r="M10" cm="1">
        <f t="array" ref="M10:N10">LINEST(N13:N34,M13:M34)</f>
        <v>1.2232086999222417E-5</v>
      </c>
      <c r="N10">
        <v>2.7169989592797338E-3</v>
      </c>
      <c r="Q10">
        <v>4.2149637999999996</v>
      </c>
      <c r="R10">
        <v>2.6544933999999999E-2</v>
      </c>
      <c r="U10" s="3">
        <v>1.2602697000000001E-5</v>
      </c>
      <c r="V10">
        <v>2.7993190999999998E-3</v>
      </c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A13">
        <v>28.7</v>
      </c>
      <c r="B13">
        <v>25</v>
      </c>
      <c r="C13">
        <f>$A13*$B13/$D$4</f>
        <v>0.70136852394916915</v>
      </c>
      <c r="D13">
        <v>0.09</v>
      </c>
      <c r="E13" s="5">
        <v>15.762</v>
      </c>
      <c r="F13">
        <f>$E13*60/($D$5*$D$6*$D$7)</f>
        <v>7.6962890625000009</v>
      </c>
      <c r="G13">
        <f>$F13*2*PI()/60</f>
        <v>0.80595350595511606</v>
      </c>
      <c r="H13">
        <f>$G13*$D$7</f>
        <v>9.6714420714613922</v>
      </c>
      <c r="J13">
        <f>$D13/$H13</f>
        <v>9.3057477194195357E-3</v>
      </c>
      <c r="K13">
        <f>$C13/$H13</f>
        <v>7.2519539357918078E-2</v>
      </c>
      <c r="M13">
        <f>$H13</f>
        <v>9.6714420714613922</v>
      </c>
      <c r="N13">
        <f>$D13*$K$10</f>
        <v>2.3187889734629925E-3</v>
      </c>
      <c r="Q13">
        <v>0.09</v>
      </c>
      <c r="R13">
        <v>9.6714000000000002</v>
      </c>
      <c r="S13">
        <v>0.70137000000000005</v>
      </c>
      <c r="U13">
        <v>9.6714000000000002</v>
      </c>
      <c r="V13">
        <v>1</v>
      </c>
      <c r="W13">
        <v>2.3890000000000001E-3</v>
      </c>
    </row>
    <row r="14" spans="1:23" x14ac:dyDescent="0.25">
      <c r="A14">
        <v>28.65</v>
      </c>
      <c r="B14">
        <v>50</v>
      </c>
      <c r="C14">
        <f t="shared" ref="C14:C34" si="0">$A14*$B14/$D$4</f>
        <v>1.4002932551319649</v>
      </c>
      <c r="D14">
        <v>0.11</v>
      </c>
      <c r="E14">
        <v>55.244999999999997</v>
      </c>
      <c r="F14">
        <f t="shared" ref="F14:F34" si="1">$E14*60/($D$5*$D$6*$D$7)</f>
        <v>26.97509765625</v>
      </c>
      <c r="G14">
        <f t="shared" ref="G14:G34" si="2">$F14*2*PI()/60</f>
        <v>2.8248256208914082</v>
      </c>
      <c r="H14">
        <f t="shared" ref="H14:H34" si="3">$G14*$D$7</f>
        <v>33.897907450696898</v>
      </c>
      <c r="J14">
        <f t="shared" ref="J14:J34" si="4">$D14/$H14</f>
        <v>3.2450380649599224E-3</v>
      </c>
      <c r="K14">
        <f t="shared" ref="K14:K34" si="5">$C14/$H14</f>
        <v>4.1309135590998747E-2</v>
      </c>
      <c r="M14">
        <f t="shared" ref="M14:M34" si="6">$H14</f>
        <v>33.897907450696898</v>
      </c>
      <c r="N14">
        <f t="shared" ref="N14:N34" si="7">$D14*$K$10</f>
        <v>2.8340754120103244E-3</v>
      </c>
      <c r="Q14">
        <v>0.11</v>
      </c>
      <c r="R14">
        <v>33.898000000000003</v>
      </c>
      <c r="S14">
        <v>1.4003000000000001</v>
      </c>
      <c r="U14">
        <v>33.898000000000003</v>
      </c>
      <c r="V14">
        <v>1</v>
      </c>
      <c r="W14">
        <v>2.9199E-3</v>
      </c>
    </row>
    <row r="15" spans="1:23" x14ac:dyDescent="0.25">
      <c r="A15">
        <v>28.65</v>
      </c>
      <c r="B15">
        <v>75</v>
      </c>
      <c r="C15">
        <f t="shared" si="0"/>
        <v>2.1004398826979473</v>
      </c>
      <c r="D15">
        <v>0.125</v>
      </c>
      <c r="E15">
        <v>94.867000000000004</v>
      </c>
      <c r="F15">
        <f t="shared" si="1"/>
        <v>46.321777343750007</v>
      </c>
      <c r="G15">
        <f t="shared" si="2"/>
        <v>4.8508051801449046</v>
      </c>
      <c r="H15">
        <f t="shared" si="3"/>
        <v>58.209662161738855</v>
      </c>
      <c r="J15">
        <f t="shared" si="4"/>
        <v>2.147409817508997E-3</v>
      </c>
      <c r="K15">
        <f t="shared" si="5"/>
        <v>3.6084041801544148E-2</v>
      </c>
      <c r="M15">
        <f t="shared" si="6"/>
        <v>58.209662161738855</v>
      </c>
      <c r="N15">
        <f t="shared" si="7"/>
        <v>3.2205402409208233E-3</v>
      </c>
      <c r="Q15">
        <v>0.125</v>
      </c>
      <c r="R15">
        <v>58.21</v>
      </c>
      <c r="S15">
        <v>2.1004</v>
      </c>
      <c r="U15">
        <v>58.21</v>
      </c>
      <c r="V15">
        <v>1</v>
      </c>
      <c r="W15">
        <v>3.3181E-3</v>
      </c>
    </row>
    <row r="16" spans="1:23" x14ac:dyDescent="0.25">
      <c r="A16">
        <v>28.6</v>
      </c>
      <c r="B16">
        <v>100</v>
      </c>
      <c r="C16">
        <f t="shared" si="0"/>
        <v>2.795698924731183</v>
      </c>
      <c r="D16">
        <v>0.14000000000000001</v>
      </c>
      <c r="E16">
        <v>136.38999999999999</v>
      </c>
      <c r="F16">
        <f t="shared" si="1"/>
        <v>66.5966796875</v>
      </c>
      <c r="G16">
        <f t="shared" si="2"/>
        <v>6.9739879886574192</v>
      </c>
      <c r="H16">
        <f t="shared" si="3"/>
        <v>83.687855863889027</v>
      </c>
      <c r="J16">
        <f t="shared" si="4"/>
        <v>1.672883102988058E-3</v>
      </c>
      <c r="K16">
        <f t="shared" si="5"/>
        <v>3.3406267801604841E-2</v>
      </c>
      <c r="M16">
        <f t="shared" si="6"/>
        <v>83.687855863889027</v>
      </c>
      <c r="N16">
        <f t="shared" si="7"/>
        <v>3.6070050698313225E-3</v>
      </c>
      <c r="Q16">
        <v>0.14000000000000001</v>
      </c>
      <c r="R16">
        <v>83.688000000000002</v>
      </c>
      <c r="S16">
        <v>2.7957000000000001</v>
      </c>
      <c r="U16">
        <v>83.688000000000002</v>
      </c>
      <c r="V16">
        <v>1</v>
      </c>
      <c r="W16">
        <v>3.7163000000000001E-3</v>
      </c>
    </row>
    <row r="17" spans="1:23" x14ac:dyDescent="0.25">
      <c r="A17">
        <v>28.6</v>
      </c>
      <c r="B17">
        <v>125</v>
      </c>
      <c r="C17">
        <f t="shared" si="0"/>
        <v>3.4946236559139785</v>
      </c>
      <c r="D17">
        <v>0.155</v>
      </c>
      <c r="E17">
        <v>173.54</v>
      </c>
      <c r="F17">
        <f t="shared" si="1"/>
        <v>84.736328125</v>
      </c>
      <c r="G17">
        <f t="shared" si="2"/>
        <v>8.8735675309891384</v>
      </c>
      <c r="H17">
        <f t="shared" si="3"/>
        <v>106.48281037186966</v>
      </c>
      <c r="J17">
        <f t="shared" si="4"/>
        <v>1.4556340075801331E-3</v>
      </c>
      <c r="K17">
        <f t="shared" si="5"/>
        <v>3.2818664756402584E-2</v>
      </c>
      <c r="M17">
        <f t="shared" si="6"/>
        <v>106.48281037186966</v>
      </c>
      <c r="N17">
        <f t="shared" si="7"/>
        <v>3.9934698987418209E-3</v>
      </c>
      <c r="Q17">
        <v>0.155</v>
      </c>
      <c r="R17">
        <v>106.48</v>
      </c>
      <c r="S17">
        <v>3.4946000000000002</v>
      </c>
      <c r="U17">
        <v>106.48</v>
      </c>
      <c r="V17">
        <v>1</v>
      </c>
      <c r="W17">
        <v>4.1145000000000001E-3</v>
      </c>
    </row>
    <row r="18" spans="1:23" x14ac:dyDescent="0.25">
      <c r="A18">
        <v>28.6</v>
      </c>
      <c r="B18">
        <v>150</v>
      </c>
      <c r="C18">
        <f t="shared" si="0"/>
        <v>4.193548387096774</v>
      </c>
      <c r="D18">
        <v>0.17</v>
      </c>
      <c r="E18">
        <v>213.87</v>
      </c>
      <c r="F18">
        <f t="shared" si="1"/>
        <v>104.42871093750001</v>
      </c>
      <c r="G18">
        <f t="shared" si="2"/>
        <v>10.935749036836738</v>
      </c>
      <c r="H18">
        <f t="shared" si="3"/>
        <v>131.22898844204084</v>
      </c>
      <c r="J18">
        <f t="shared" si="4"/>
        <v>1.2954454805927497E-3</v>
      </c>
      <c r="K18">
        <f t="shared" si="5"/>
        <v>3.1955960621832535E-2</v>
      </c>
      <c r="M18">
        <f t="shared" si="6"/>
        <v>131.22898844204084</v>
      </c>
      <c r="N18">
        <f t="shared" si="7"/>
        <v>4.3799347276523197E-3</v>
      </c>
      <c r="Q18">
        <v>0.17</v>
      </c>
      <c r="R18">
        <v>131.22999999999999</v>
      </c>
      <c r="S18">
        <v>4.1935000000000002</v>
      </c>
      <c r="U18">
        <v>131.22999999999999</v>
      </c>
      <c r="V18">
        <v>1</v>
      </c>
      <c r="W18">
        <v>4.5126000000000003E-3</v>
      </c>
    </row>
    <row r="19" spans="1:23" x14ac:dyDescent="0.25">
      <c r="A19">
        <v>28.6</v>
      </c>
      <c r="B19">
        <v>175</v>
      </c>
      <c r="C19">
        <f t="shared" si="0"/>
        <v>4.89247311827957</v>
      </c>
      <c r="D19">
        <v>0.19</v>
      </c>
      <c r="E19">
        <v>254.12</v>
      </c>
      <c r="F19">
        <f t="shared" si="1"/>
        <v>124.08203125000001</v>
      </c>
      <c r="G19">
        <f t="shared" si="2"/>
        <v>12.993839927249972</v>
      </c>
      <c r="H19">
        <f t="shared" si="3"/>
        <v>155.92607912699967</v>
      </c>
      <c r="J19">
        <f t="shared" si="4"/>
        <v>1.2185261186824789E-3</v>
      </c>
      <c r="K19">
        <f t="shared" si="5"/>
        <v>3.1376875155660892E-2</v>
      </c>
      <c r="M19">
        <f t="shared" si="6"/>
        <v>155.92607912699967</v>
      </c>
      <c r="N19">
        <f t="shared" si="7"/>
        <v>4.8952211661996512E-3</v>
      </c>
      <c r="Q19">
        <v>0.19</v>
      </c>
      <c r="R19">
        <v>155.93</v>
      </c>
      <c r="S19">
        <v>4.8925000000000001</v>
      </c>
      <c r="U19">
        <v>155.93</v>
      </c>
      <c r="V19">
        <v>1</v>
      </c>
      <c r="W19">
        <v>5.0435000000000002E-3</v>
      </c>
    </row>
    <row r="20" spans="1:23" x14ac:dyDescent="0.25">
      <c r="A20">
        <v>28.6</v>
      </c>
      <c r="B20">
        <v>200</v>
      </c>
      <c r="C20">
        <f t="shared" si="0"/>
        <v>5.591397849462366</v>
      </c>
      <c r="D20">
        <v>0.2</v>
      </c>
      <c r="E20">
        <v>293.16000000000003</v>
      </c>
      <c r="F20">
        <f t="shared" si="1"/>
        <v>143.14453125000003</v>
      </c>
      <c r="G20">
        <f t="shared" si="2"/>
        <v>14.990060259218488</v>
      </c>
      <c r="H20">
        <f t="shared" si="3"/>
        <v>179.88072311062186</v>
      </c>
      <c r="J20">
        <f t="shared" si="4"/>
        <v>1.1118478764231192E-3</v>
      </c>
      <c r="K20">
        <f t="shared" si="5"/>
        <v>3.1083919125807633E-2</v>
      </c>
      <c r="M20">
        <f t="shared" si="6"/>
        <v>179.88072311062186</v>
      </c>
      <c r="N20">
        <f t="shared" si="7"/>
        <v>5.1528643854733174E-3</v>
      </c>
      <c r="Q20">
        <v>0.2</v>
      </c>
      <c r="R20">
        <v>179.88</v>
      </c>
      <c r="S20">
        <v>5.5914000000000001</v>
      </c>
      <c r="U20">
        <v>179.88</v>
      </c>
      <c r="V20">
        <v>1</v>
      </c>
      <c r="W20">
        <v>5.3090000000000004E-3</v>
      </c>
    </row>
    <row r="21" spans="1:23" x14ac:dyDescent="0.25">
      <c r="A21">
        <v>28.6</v>
      </c>
      <c r="B21">
        <v>225</v>
      </c>
      <c r="C21">
        <f t="shared" si="0"/>
        <v>6.290322580645161</v>
      </c>
      <c r="D21">
        <v>0.21</v>
      </c>
      <c r="E21">
        <v>329.85</v>
      </c>
      <c r="F21">
        <f t="shared" si="1"/>
        <v>161.0595703125</v>
      </c>
      <c r="G21">
        <f t="shared" si="2"/>
        <v>16.866118762802625</v>
      </c>
      <c r="H21">
        <f t="shared" si="3"/>
        <v>202.39342515363148</v>
      </c>
      <c r="J21">
        <f t="shared" si="4"/>
        <v>1.0375831123990049E-3</v>
      </c>
      <c r="K21">
        <f t="shared" si="5"/>
        <v>3.107967848199784E-2</v>
      </c>
      <c r="M21">
        <f t="shared" si="6"/>
        <v>202.39342515363148</v>
      </c>
      <c r="N21">
        <f t="shared" si="7"/>
        <v>5.4105076047469827E-3</v>
      </c>
      <c r="Q21">
        <v>0.21</v>
      </c>
      <c r="R21">
        <v>202.39</v>
      </c>
      <c r="S21">
        <v>6.2903000000000002</v>
      </c>
      <c r="U21">
        <v>202.39</v>
      </c>
      <c r="V21">
        <v>1</v>
      </c>
      <c r="W21">
        <v>5.5744000000000002E-3</v>
      </c>
    </row>
    <row r="22" spans="1:23" x14ac:dyDescent="0.25">
      <c r="A22">
        <v>28.6</v>
      </c>
      <c r="B22">
        <v>250</v>
      </c>
      <c r="C22">
        <f t="shared" si="0"/>
        <v>6.989247311827957</v>
      </c>
      <c r="D22">
        <v>0.22500000000000001</v>
      </c>
      <c r="E22">
        <v>371.54</v>
      </c>
      <c r="F22">
        <f t="shared" si="1"/>
        <v>181.41601562500003</v>
      </c>
      <c r="G22">
        <f t="shared" si="2"/>
        <v>18.997840731034376</v>
      </c>
      <c r="H22">
        <f t="shared" si="3"/>
        <v>227.97408877241253</v>
      </c>
      <c r="J22">
        <f t="shared" si="4"/>
        <v>9.8695426840643462E-4</v>
      </c>
      <c r="K22">
        <f t="shared" si="5"/>
        <v>3.0658077632696897E-2</v>
      </c>
      <c r="M22">
        <f t="shared" si="6"/>
        <v>227.97408877241253</v>
      </c>
      <c r="N22">
        <f t="shared" si="7"/>
        <v>5.7969724336574824E-3</v>
      </c>
      <c r="Q22">
        <v>0.22500000000000001</v>
      </c>
      <c r="R22">
        <v>227.97</v>
      </c>
      <c r="S22">
        <v>6.9892000000000003</v>
      </c>
      <c r="U22">
        <v>227.97</v>
      </c>
      <c r="V22">
        <v>1</v>
      </c>
      <c r="W22">
        <v>5.9725999999999998E-3</v>
      </c>
    </row>
    <row r="23" spans="1:23" x14ac:dyDescent="0.25">
      <c r="A23">
        <v>28.6</v>
      </c>
      <c r="B23">
        <v>275</v>
      </c>
      <c r="C23">
        <f t="shared" si="0"/>
        <v>7.688172043010753</v>
      </c>
      <c r="D23">
        <v>0.24</v>
      </c>
      <c r="E23">
        <v>413.45</v>
      </c>
      <c r="F23">
        <f t="shared" si="1"/>
        <v>201.8798828125</v>
      </c>
      <c r="G23">
        <f t="shared" si="2"/>
        <v>21.140811891710612</v>
      </c>
      <c r="H23">
        <f t="shared" si="3"/>
        <v>253.68974270052735</v>
      </c>
      <c r="J23">
        <f t="shared" si="4"/>
        <v>9.4603746073924769E-4</v>
      </c>
      <c r="K23">
        <f t="shared" si="5"/>
        <v>3.0305411488734862E-2</v>
      </c>
      <c r="M23">
        <f t="shared" si="6"/>
        <v>253.68974270052735</v>
      </c>
      <c r="N23">
        <f t="shared" si="7"/>
        <v>6.1834372625679803E-3</v>
      </c>
      <c r="Q23">
        <v>0.24</v>
      </c>
      <c r="R23">
        <v>253.69</v>
      </c>
      <c r="S23">
        <v>7.6882000000000001</v>
      </c>
      <c r="U23">
        <v>253.69</v>
      </c>
      <c r="V23">
        <v>1</v>
      </c>
      <c r="W23">
        <v>6.3708000000000002E-3</v>
      </c>
    </row>
    <row r="24" spans="1:23" x14ac:dyDescent="0.25">
      <c r="A24">
        <v>28.6</v>
      </c>
      <c r="B24">
        <v>300</v>
      </c>
      <c r="C24">
        <f t="shared" si="0"/>
        <v>8.387096774193548</v>
      </c>
      <c r="D24">
        <v>0.25</v>
      </c>
      <c r="E24">
        <v>453.39</v>
      </c>
      <c r="F24">
        <f t="shared" si="1"/>
        <v>221.3818359375</v>
      </c>
      <c r="G24">
        <f t="shared" si="2"/>
        <v>23.183051647315697</v>
      </c>
      <c r="H24">
        <f t="shared" si="3"/>
        <v>278.19661976778838</v>
      </c>
      <c r="J24">
        <f t="shared" si="4"/>
        <v>8.9864499507102502E-4</v>
      </c>
      <c r="K24">
        <f t="shared" si="5"/>
        <v>3.0148090157221481E-2</v>
      </c>
      <c r="M24">
        <f t="shared" si="6"/>
        <v>278.19661976778838</v>
      </c>
      <c r="N24">
        <f t="shared" si="7"/>
        <v>6.4410804818416465E-3</v>
      </c>
      <c r="Q24">
        <v>0.25</v>
      </c>
      <c r="R24">
        <v>278.2</v>
      </c>
      <c r="S24">
        <v>8.3871000000000002</v>
      </c>
      <c r="U24">
        <v>278.2</v>
      </c>
      <c r="V24">
        <v>1</v>
      </c>
      <c r="W24">
        <v>6.6362000000000001E-3</v>
      </c>
    </row>
    <row r="25" spans="1:23" x14ac:dyDescent="0.25">
      <c r="A25">
        <v>28.6</v>
      </c>
      <c r="B25">
        <v>325</v>
      </c>
      <c r="C25">
        <f t="shared" si="0"/>
        <v>9.086021505376344</v>
      </c>
      <c r="D25">
        <v>0.26</v>
      </c>
      <c r="E25">
        <v>488.54</v>
      </c>
      <c r="F25">
        <f t="shared" si="1"/>
        <v>238.54492187500003</v>
      </c>
      <c r="G25">
        <f t="shared" si="2"/>
        <v>24.980365803788377</v>
      </c>
      <c r="H25">
        <f t="shared" si="3"/>
        <v>299.76438964546054</v>
      </c>
      <c r="J25">
        <f t="shared" si="4"/>
        <v>8.67347853784464E-4</v>
      </c>
      <c r="K25">
        <f t="shared" si="5"/>
        <v>3.0310543277414063E-2</v>
      </c>
      <c r="M25">
        <f t="shared" si="6"/>
        <v>299.76438964546054</v>
      </c>
      <c r="N25">
        <f t="shared" si="7"/>
        <v>6.6987237011153127E-3</v>
      </c>
      <c r="Q25">
        <v>0.26</v>
      </c>
      <c r="R25">
        <v>299.76</v>
      </c>
      <c r="S25">
        <v>9.0860000000000003</v>
      </c>
      <c r="U25">
        <v>299.76</v>
      </c>
      <c r="V25">
        <v>1</v>
      </c>
      <c r="W25">
        <v>6.9017000000000002E-3</v>
      </c>
    </row>
    <row r="26" spans="1:23" x14ac:dyDescent="0.25">
      <c r="A26">
        <v>28.6</v>
      </c>
      <c r="B26">
        <v>350</v>
      </c>
      <c r="C26">
        <f t="shared" si="0"/>
        <v>9.78494623655914</v>
      </c>
      <c r="D26">
        <v>0.27</v>
      </c>
      <c r="E26">
        <v>529.88</v>
      </c>
      <c r="F26">
        <f t="shared" si="1"/>
        <v>258.73046875</v>
      </c>
      <c r="G26">
        <f t="shared" si="2"/>
        <v>27.094191329494784</v>
      </c>
      <c r="H26">
        <f t="shared" si="3"/>
        <v>325.13029595393743</v>
      </c>
      <c r="J26">
        <f t="shared" si="4"/>
        <v>8.3043630003108672E-4</v>
      </c>
      <c r="K26">
        <f t="shared" si="5"/>
        <v>3.0095461291449181E-2</v>
      </c>
      <c r="M26">
        <f t="shared" si="6"/>
        <v>325.13029595393743</v>
      </c>
      <c r="N26">
        <f t="shared" si="7"/>
        <v>6.9563669203889789E-3</v>
      </c>
      <c r="Q26">
        <v>0.27</v>
      </c>
      <c r="R26">
        <v>325.13</v>
      </c>
      <c r="S26">
        <v>9.7849000000000004</v>
      </c>
      <c r="U26">
        <v>325.13</v>
      </c>
      <c r="V26">
        <v>1</v>
      </c>
      <c r="W26">
        <v>7.1671E-3</v>
      </c>
    </row>
    <row r="27" spans="1:23" x14ac:dyDescent="0.25">
      <c r="A27">
        <v>28.6</v>
      </c>
      <c r="B27">
        <v>375</v>
      </c>
      <c r="C27">
        <f t="shared" si="0"/>
        <v>10.483870967741936</v>
      </c>
      <c r="D27">
        <v>0.28000000000000003</v>
      </c>
      <c r="E27">
        <v>573.04</v>
      </c>
      <c r="F27">
        <f t="shared" si="1"/>
        <v>279.80468749999994</v>
      </c>
      <c r="G27">
        <f t="shared" si="2"/>
        <v>29.301078356332923</v>
      </c>
      <c r="H27">
        <f t="shared" si="3"/>
        <v>351.61294027599507</v>
      </c>
      <c r="J27">
        <f t="shared" si="4"/>
        <v>7.9633019131837644E-4</v>
      </c>
      <c r="K27">
        <f t="shared" si="5"/>
        <v>2.981651061963967E-2</v>
      </c>
      <c r="M27">
        <f t="shared" si="6"/>
        <v>351.61294027599507</v>
      </c>
      <c r="N27">
        <f t="shared" si="7"/>
        <v>7.214010139662645E-3</v>
      </c>
      <c r="Q27">
        <v>0.28000000000000003</v>
      </c>
      <c r="R27">
        <v>351.61</v>
      </c>
      <c r="S27">
        <v>10.484</v>
      </c>
      <c r="U27">
        <v>351.61</v>
      </c>
      <c r="V27">
        <v>1</v>
      </c>
      <c r="W27">
        <v>7.4326000000000001E-3</v>
      </c>
    </row>
    <row r="28" spans="1:23" x14ac:dyDescent="0.25">
      <c r="A28">
        <v>28.6</v>
      </c>
      <c r="B28">
        <v>400</v>
      </c>
      <c r="C28">
        <f t="shared" si="0"/>
        <v>11.182795698924732</v>
      </c>
      <c r="D28">
        <v>0.28000000000000003</v>
      </c>
      <c r="E28">
        <v>613.71</v>
      </c>
      <c r="F28">
        <f t="shared" si="1"/>
        <v>299.66308593750006</v>
      </c>
      <c r="G28">
        <f t="shared" si="2"/>
        <v>31.380644977776569</v>
      </c>
      <c r="H28">
        <f t="shared" si="3"/>
        <v>376.56773973331883</v>
      </c>
      <c r="J28">
        <f t="shared" si="4"/>
        <v>7.4355811838340948E-4</v>
      </c>
      <c r="K28">
        <f t="shared" si="5"/>
        <v>2.9696637600566279E-2</v>
      </c>
      <c r="M28">
        <f t="shared" si="6"/>
        <v>376.56773973331883</v>
      </c>
      <c r="N28">
        <f t="shared" si="7"/>
        <v>7.214010139662645E-3</v>
      </c>
      <c r="Q28">
        <v>0.28000000000000003</v>
      </c>
      <c r="R28">
        <v>376.57</v>
      </c>
      <c r="S28">
        <v>11.183</v>
      </c>
      <c r="U28">
        <v>376.57</v>
      </c>
      <c r="V28">
        <v>1</v>
      </c>
      <c r="W28">
        <v>7.4326000000000001E-3</v>
      </c>
    </row>
    <row r="29" spans="1:23" x14ac:dyDescent="0.25">
      <c r="A29">
        <v>28.6</v>
      </c>
      <c r="B29">
        <v>425</v>
      </c>
      <c r="C29">
        <f t="shared" si="0"/>
        <v>11.881720430107526</v>
      </c>
      <c r="D29">
        <v>0.28000000000000003</v>
      </c>
      <c r="E29">
        <v>658.07</v>
      </c>
      <c r="F29">
        <f t="shared" si="1"/>
        <v>321.32324218750006</v>
      </c>
      <c r="G29">
        <f t="shared" si="2"/>
        <v>33.648891236130133</v>
      </c>
      <c r="H29">
        <f t="shared" si="3"/>
        <v>403.78669483356157</v>
      </c>
      <c r="J29">
        <f t="shared" si="4"/>
        <v>6.9343542910797079E-4</v>
      </c>
      <c r="K29">
        <f t="shared" si="5"/>
        <v>2.9425735374973411E-2</v>
      </c>
      <c r="M29">
        <f t="shared" si="6"/>
        <v>403.78669483356157</v>
      </c>
      <c r="N29">
        <f t="shared" si="7"/>
        <v>7.214010139662645E-3</v>
      </c>
      <c r="Q29">
        <v>0.28000000000000003</v>
      </c>
      <c r="R29">
        <v>403.79</v>
      </c>
      <c r="S29">
        <v>11.882</v>
      </c>
      <c r="U29">
        <v>403.79</v>
      </c>
      <c r="V29">
        <v>1</v>
      </c>
      <c r="W29">
        <v>7.4326000000000001E-3</v>
      </c>
    </row>
    <row r="30" spans="1:23" x14ac:dyDescent="0.25">
      <c r="A30">
        <v>28.6</v>
      </c>
      <c r="B30">
        <v>500</v>
      </c>
      <c r="C30">
        <f t="shared" si="0"/>
        <v>13.978494623655914</v>
      </c>
      <c r="D30">
        <v>0.31</v>
      </c>
      <c r="E30">
        <v>773.59</v>
      </c>
      <c r="F30">
        <f t="shared" si="1"/>
        <v>377.7294921875</v>
      </c>
      <c r="G30">
        <f t="shared" si="2"/>
        <v>39.55573992334844</v>
      </c>
      <c r="H30">
        <f t="shared" si="3"/>
        <v>474.66887908018128</v>
      </c>
      <c r="J30">
        <f t="shared" si="4"/>
        <v>6.5308684361342899E-4</v>
      </c>
      <c r="K30">
        <f t="shared" si="5"/>
        <v>2.9448938491066865E-2</v>
      </c>
      <c r="M30">
        <f t="shared" si="6"/>
        <v>474.66887908018128</v>
      </c>
      <c r="N30">
        <f t="shared" si="7"/>
        <v>7.9869397974836418E-3</v>
      </c>
      <c r="Q30">
        <v>0.31</v>
      </c>
      <c r="R30">
        <v>474.67</v>
      </c>
      <c r="S30">
        <v>13.978</v>
      </c>
      <c r="U30">
        <v>474.67</v>
      </c>
      <c r="V30">
        <v>1</v>
      </c>
      <c r="W30">
        <v>8.2289000000000008E-3</v>
      </c>
    </row>
    <row r="31" spans="1:23" x14ac:dyDescent="0.25">
      <c r="A31">
        <v>28.6</v>
      </c>
      <c r="B31">
        <v>550</v>
      </c>
      <c r="C31">
        <f t="shared" si="0"/>
        <v>15.376344086021506</v>
      </c>
      <c r="D31">
        <v>0.34</v>
      </c>
      <c r="E31">
        <v>852.07</v>
      </c>
      <c r="F31">
        <f t="shared" si="1"/>
        <v>416.04980468750006</v>
      </c>
      <c r="G31">
        <f t="shared" si="2"/>
        <v>43.56863366445728</v>
      </c>
      <c r="H31">
        <f t="shared" si="3"/>
        <v>522.82360397348737</v>
      </c>
      <c r="J31">
        <f t="shared" si="4"/>
        <v>6.5031493875942451E-4</v>
      </c>
      <c r="K31">
        <f t="shared" si="5"/>
        <v>2.9410194890132097E-2</v>
      </c>
      <c r="M31">
        <f t="shared" si="6"/>
        <v>522.82360397348737</v>
      </c>
      <c r="N31">
        <f t="shared" si="7"/>
        <v>8.7598694553046395E-3</v>
      </c>
      <c r="Q31">
        <v>0.34</v>
      </c>
      <c r="R31">
        <v>522.82000000000005</v>
      </c>
      <c r="S31">
        <v>15.375999999999999</v>
      </c>
      <c r="U31">
        <v>522.82000000000005</v>
      </c>
      <c r="V31">
        <v>1</v>
      </c>
      <c r="W31">
        <v>9.0253E-3</v>
      </c>
    </row>
    <row r="32" spans="1:23" x14ac:dyDescent="0.25">
      <c r="A32">
        <v>28.6</v>
      </c>
      <c r="B32">
        <v>600</v>
      </c>
      <c r="C32">
        <f t="shared" si="0"/>
        <v>16.774193548387096</v>
      </c>
      <c r="D32">
        <v>0.375</v>
      </c>
      <c r="E32">
        <v>932.4</v>
      </c>
      <c r="F32">
        <f t="shared" si="1"/>
        <v>455.2734375</v>
      </c>
      <c r="G32">
        <f t="shared" si="2"/>
        <v>47.676122887485725</v>
      </c>
      <c r="H32">
        <f t="shared" si="3"/>
        <v>572.11347464982873</v>
      </c>
      <c r="J32">
        <f t="shared" si="4"/>
        <v>6.5546437309403486E-4</v>
      </c>
      <c r="K32">
        <f t="shared" si="5"/>
        <v>2.9319696688937472E-2</v>
      </c>
      <c r="M32">
        <f t="shared" si="6"/>
        <v>572.11347464982873</v>
      </c>
      <c r="N32">
        <f t="shared" si="7"/>
        <v>9.6616207227624706E-3</v>
      </c>
      <c r="Q32">
        <v>0.375</v>
      </c>
      <c r="R32">
        <v>572.11</v>
      </c>
      <c r="S32">
        <v>16.774000000000001</v>
      </c>
      <c r="U32">
        <v>572.11</v>
      </c>
      <c r="V32">
        <v>1</v>
      </c>
      <c r="W32">
        <v>9.9544000000000004E-3</v>
      </c>
    </row>
    <row r="33" spans="1:23" x14ac:dyDescent="0.25">
      <c r="A33">
        <v>28.6</v>
      </c>
      <c r="B33">
        <v>650</v>
      </c>
      <c r="C33">
        <f t="shared" si="0"/>
        <v>18.172043010752688</v>
      </c>
      <c r="D33">
        <v>0.4</v>
      </c>
      <c r="E33">
        <v>1012</v>
      </c>
      <c r="F33">
        <f t="shared" si="1"/>
        <v>494.140625</v>
      </c>
      <c r="G33">
        <f t="shared" si="2"/>
        <v>51.746285244675626</v>
      </c>
      <c r="H33">
        <f t="shared" si="3"/>
        <v>620.95542293610754</v>
      </c>
      <c r="J33">
        <f t="shared" si="4"/>
        <v>6.4416862342332347E-4</v>
      </c>
      <c r="K33">
        <f t="shared" si="5"/>
        <v>2.9264649827564961E-2</v>
      </c>
      <c r="M33">
        <f t="shared" si="6"/>
        <v>620.95542293610754</v>
      </c>
      <c r="N33">
        <f t="shared" si="7"/>
        <v>1.0305728770946635E-2</v>
      </c>
      <c r="Q33">
        <v>0.4</v>
      </c>
      <c r="R33">
        <v>620.96</v>
      </c>
      <c r="S33">
        <v>18.172000000000001</v>
      </c>
      <c r="U33">
        <v>620.96</v>
      </c>
      <c r="V33">
        <v>1</v>
      </c>
      <c r="W33">
        <v>1.0618000000000001E-2</v>
      </c>
    </row>
    <row r="34" spans="1:23" x14ac:dyDescent="0.25">
      <c r="A34">
        <v>28.6</v>
      </c>
      <c r="B34">
        <v>700</v>
      </c>
      <c r="C34">
        <f t="shared" si="0"/>
        <v>19.56989247311828</v>
      </c>
      <c r="D34">
        <v>0.43</v>
      </c>
      <c r="E34">
        <v>1093.9000000000001</v>
      </c>
      <c r="F34">
        <f t="shared" si="1"/>
        <v>534.130859375</v>
      </c>
      <c r="G34">
        <f t="shared" si="2"/>
        <v>55.934052795603428</v>
      </c>
      <c r="H34">
        <f t="shared" si="3"/>
        <v>671.20863354724111</v>
      </c>
      <c r="J34">
        <f t="shared" si="4"/>
        <v>6.406353829620931E-4</v>
      </c>
      <c r="K34">
        <f t="shared" si="5"/>
        <v>2.9156198974518866E-2</v>
      </c>
      <c r="M34">
        <f t="shared" si="6"/>
        <v>671.20863354724111</v>
      </c>
      <c r="N34">
        <f t="shared" si="7"/>
        <v>1.1078658428767632E-2</v>
      </c>
      <c r="Q34">
        <v>0.43</v>
      </c>
      <c r="R34">
        <v>671.21</v>
      </c>
      <c r="S34">
        <v>19.57</v>
      </c>
      <c r="U34">
        <v>671.21</v>
      </c>
      <c r="V34">
        <v>1</v>
      </c>
      <c r="W34">
        <v>1.1414000000000001E-2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B48B-E636-4A3E-A1E2-D2CCCD53DAA0}">
  <dimension ref="A1:U56"/>
  <sheetViews>
    <sheetView topLeftCell="G1" workbookViewId="0">
      <selection activeCell="O9" sqref="O9"/>
    </sheetView>
  </sheetViews>
  <sheetFormatPr defaultRowHeight="15" x14ac:dyDescent="0.25"/>
  <cols>
    <col min="6" max="6" width="10.28515625" bestFit="1" customWidth="1"/>
    <col min="11" max="11" width="12" bestFit="1" customWidth="1"/>
    <col min="14" max="14" width="8.85546875" customWidth="1"/>
  </cols>
  <sheetData>
    <row r="1" spans="1:21" ht="15.75" x14ac:dyDescent="0.25">
      <c r="A1" s="9" t="s">
        <v>44</v>
      </c>
      <c r="R1" s="9" t="s">
        <v>45</v>
      </c>
    </row>
    <row r="3" spans="1:21" x14ac:dyDescent="0.25">
      <c r="A3" s="1" t="s">
        <v>46</v>
      </c>
      <c r="H3" s="1" t="s">
        <v>47</v>
      </c>
      <c r="M3" s="1"/>
    </row>
    <row r="4" spans="1:21" x14ac:dyDescent="0.25">
      <c r="A4" t="s">
        <v>3</v>
      </c>
      <c r="D4">
        <v>1023</v>
      </c>
      <c r="H4" t="s">
        <v>48</v>
      </c>
      <c r="K4">
        <f>AVERAGE('M1-Run 7'!Q10,'M3-Run 2'!Q10)</f>
        <v>2.6785315000000001</v>
      </c>
      <c r="M4">
        <v>0.3</v>
      </c>
    </row>
    <row r="5" spans="1:21" x14ac:dyDescent="0.25">
      <c r="A5" t="s">
        <v>5</v>
      </c>
      <c r="D5">
        <v>0.01</v>
      </c>
      <c r="H5" t="s">
        <v>49</v>
      </c>
      <c r="K5">
        <f>AVERAGE('M1-Run 7'!R10,'M3-Run 2'!R10)</f>
        <v>2.3349391000000001E-2</v>
      </c>
      <c r="L5">
        <f>K5*D7</f>
        <v>0.28019269200000002</v>
      </c>
      <c r="M5">
        <v>0.28019269200000002</v>
      </c>
    </row>
    <row r="6" spans="1:21" x14ac:dyDescent="0.25">
      <c r="A6" t="s">
        <v>7</v>
      </c>
      <c r="D6">
        <v>1024</v>
      </c>
      <c r="H6" t="s">
        <v>50</v>
      </c>
      <c r="K6">
        <f>AVERAGE('M1-Run 6'!U10,'M2-Run 1'!U10,'M3-Run 1'!U10)</f>
        <v>9.1408515000000015E-6</v>
      </c>
      <c r="L6">
        <f>K6*D7^2</f>
        <v>1.3162826160000001E-3</v>
      </c>
      <c r="M6">
        <v>1.3162826159999999E-3</v>
      </c>
    </row>
    <row r="7" spans="1:21" x14ac:dyDescent="0.25">
      <c r="A7" t="s">
        <v>8</v>
      </c>
      <c r="D7">
        <v>12</v>
      </c>
      <c r="H7" t="s">
        <v>51</v>
      </c>
      <c r="K7">
        <f>AVERAGE('M1-Run 6'!V10,'M2-Run 1'!V10,'M3-Run 1'!V10)</f>
        <v>2.9778471666666666E-3</v>
      </c>
      <c r="L7">
        <f>K7*D7</f>
        <v>3.5734165999999998E-2</v>
      </c>
      <c r="M7">
        <v>3.5734165999999998E-2</v>
      </c>
    </row>
    <row r="9" spans="1:21" x14ac:dyDescent="0.25">
      <c r="A9" s="1" t="s">
        <v>52</v>
      </c>
      <c r="H9" s="1" t="s">
        <v>53</v>
      </c>
    </row>
    <row r="10" spans="1:21" x14ac:dyDescent="0.25">
      <c r="A10" t="s">
        <v>54</v>
      </c>
      <c r="D10">
        <v>317</v>
      </c>
      <c r="E10" t="s">
        <v>55</v>
      </c>
      <c r="F10">
        <f>(1/D10)*60/(2*PI())</f>
        <v>3.0123963992156846E-2</v>
      </c>
      <c r="H10" t="s">
        <v>56</v>
      </c>
      <c r="K10">
        <v>1.3740000000000001</v>
      </c>
    </row>
    <row r="11" spans="1:21" x14ac:dyDescent="0.25">
      <c r="A11" t="s">
        <v>57</v>
      </c>
      <c r="D11" s="8">
        <v>3.0200000000000001E-2</v>
      </c>
      <c r="H11" t="s">
        <v>58</v>
      </c>
      <c r="K11">
        <v>27.1</v>
      </c>
    </row>
    <row r="12" spans="1:21" x14ac:dyDescent="0.25">
      <c r="A12" t="s">
        <v>59</v>
      </c>
      <c r="D12">
        <v>0.29899999999999999</v>
      </c>
      <c r="R12" t="s">
        <v>60</v>
      </c>
      <c r="S12">
        <v>0</v>
      </c>
      <c r="U12" t="s">
        <v>61</v>
      </c>
    </row>
    <row r="13" spans="1:21" x14ac:dyDescent="0.25">
      <c r="A13" t="s">
        <v>62</v>
      </c>
      <c r="D13" s="7">
        <v>8.2000000000000001E-5</v>
      </c>
      <c r="R13" t="s">
        <v>63</v>
      </c>
      <c r="S13">
        <f>$I$35/2</f>
        <v>0.10436805954612061</v>
      </c>
    </row>
    <row r="14" spans="1:21" x14ac:dyDescent="0.25">
      <c r="A14" t="s">
        <v>64</v>
      </c>
      <c r="D14">
        <v>142</v>
      </c>
      <c r="E14" t="s">
        <v>65</v>
      </c>
      <c r="F14" s="7">
        <f>D14/(1000*10000)</f>
        <v>1.42E-5</v>
      </c>
      <c r="R14" t="s">
        <v>66</v>
      </c>
      <c r="S14">
        <f>$I$35/($S$13+$S$12)</f>
        <v>2</v>
      </c>
    </row>
    <row r="15" spans="1:21" x14ac:dyDescent="0.25">
      <c r="R15" t="s">
        <v>67</v>
      </c>
      <c r="S15">
        <f>$S$14/$H$35</f>
        <v>6.0884095527983351E-2</v>
      </c>
    </row>
    <row r="16" spans="1:21" x14ac:dyDescent="0.25">
      <c r="R16" t="s">
        <v>68</v>
      </c>
      <c r="S16">
        <f>$I$35</f>
        <v>0.20873611909224121</v>
      </c>
    </row>
    <row r="18" spans="1:15" ht="15.75" x14ac:dyDescent="0.25">
      <c r="A18" s="9" t="s">
        <v>69</v>
      </c>
    </row>
    <row r="20" spans="1:15" x14ac:dyDescent="0.25">
      <c r="A20" s="10"/>
      <c r="E20" t="s">
        <v>12</v>
      </c>
      <c r="F20" t="s">
        <v>70</v>
      </c>
      <c r="H20" t="s">
        <v>71</v>
      </c>
      <c r="I20" t="s">
        <v>72</v>
      </c>
      <c r="K20" t="s">
        <v>73</v>
      </c>
    </row>
    <row r="21" spans="1:15" x14ac:dyDescent="0.25">
      <c r="A21" s="19" t="s">
        <v>74</v>
      </c>
      <c r="B21" s="19"/>
      <c r="C21" s="19"/>
      <c r="D21" t="s">
        <v>75</v>
      </c>
      <c r="E21">
        <v>33.504284112526172</v>
      </c>
      <c r="F21">
        <v>0.11300773623416552</v>
      </c>
      <c r="H21">
        <f>AVERAGE(TableKTau[K])</f>
        <v>32.853320648645592</v>
      </c>
      <c r="I21">
        <f>AVERAGE(TableKTau[tau])</f>
        <v>0.20593248350579579</v>
      </c>
    </row>
    <row r="22" spans="1:15" x14ac:dyDescent="0.25">
      <c r="A22" s="19"/>
      <c r="B22" s="19"/>
      <c r="C22" s="19"/>
      <c r="D22" t="s">
        <v>76</v>
      </c>
      <c r="E22">
        <v>35.38804096096613</v>
      </c>
      <c r="F22">
        <v>0.12831561004949249</v>
      </c>
    </row>
    <row r="23" spans="1:15" x14ac:dyDescent="0.25">
      <c r="A23" s="19"/>
      <c r="B23" s="19"/>
      <c r="C23" s="19"/>
      <c r="D23" t="s">
        <v>77</v>
      </c>
      <c r="E23">
        <v>34.647669044269691</v>
      </c>
      <c r="F23">
        <v>0.13257938694168003</v>
      </c>
      <c r="H23" t="s">
        <v>78</v>
      </c>
      <c r="I23" t="s">
        <v>79</v>
      </c>
      <c r="K23" t="s">
        <v>80</v>
      </c>
      <c r="L23" t="s">
        <v>71</v>
      </c>
      <c r="M23" t="s">
        <v>72</v>
      </c>
      <c r="O23" t="s">
        <v>81</v>
      </c>
    </row>
    <row r="24" spans="1:15" x14ac:dyDescent="0.25">
      <c r="A24" s="19" t="s">
        <v>82</v>
      </c>
      <c r="B24" s="19"/>
      <c r="C24" s="19"/>
      <c r="D24" t="s">
        <v>75</v>
      </c>
      <c r="E24">
        <v>35.596583808280663</v>
      </c>
      <c r="F24">
        <v>0.11835754393859672</v>
      </c>
      <c r="H24">
        <f>AVERAGE(E27:E36)</f>
        <v>32.780972852940906</v>
      </c>
      <c r="I24">
        <f>AVERAGE(F27:F36)</f>
        <v>0.256397924061813</v>
      </c>
      <c r="L24">
        <f>AVERAGE(AVERAGE(H24,H27),H30)</f>
        <v>33.226465826305059</v>
      </c>
      <c r="M24">
        <f>AVERAGE(AVERAGE(I24,I27),I30)</f>
        <v>0.18657116010195385</v>
      </c>
    </row>
    <row r="25" spans="1:15" x14ac:dyDescent="0.25">
      <c r="A25" s="19"/>
      <c r="B25" s="19"/>
      <c r="C25" s="19"/>
      <c r="D25" t="s">
        <v>76</v>
      </c>
      <c r="E25">
        <v>34.189192848500461</v>
      </c>
      <c r="F25">
        <v>0.11871413386154535</v>
      </c>
    </row>
    <row r="26" spans="1:15" x14ac:dyDescent="0.25">
      <c r="A26" s="19"/>
      <c r="B26" s="19"/>
      <c r="C26" s="19"/>
      <c r="D26" t="s">
        <v>77</v>
      </c>
      <c r="E26">
        <v>33.105756063080399</v>
      </c>
      <c r="F26">
        <v>0.1141781420060177</v>
      </c>
      <c r="H26" t="s">
        <v>83</v>
      </c>
      <c r="I26" t="s">
        <v>84</v>
      </c>
      <c r="K26" t="s">
        <v>85</v>
      </c>
      <c r="L26" t="s">
        <v>71</v>
      </c>
      <c r="M26" t="s">
        <v>72</v>
      </c>
      <c r="O26" t="s">
        <v>86</v>
      </c>
    </row>
    <row r="27" spans="1:15" x14ac:dyDescent="0.25">
      <c r="A27" s="20" t="s">
        <v>87</v>
      </c>
      <c r="B27" s="20"/>
      <c r="C27" s="20"/>
      <c r="D27" t="s">
        <v>88</v>
      </c>
      <c r="E27">
        <v>32.830858265463213</v>
      </c>
      <c r="F27">
        <v>0.23952919227159195</v>
      </c>
      <c r="H27">
        <f>AVERAGE(E37:E48)</f>
        <v>31.408971801810932</v>
      </c>
      <c r="I27">
        <f>AVERAGE(F37:F48)</f>
        <v>0.24973415008381875</v>
      </c>
      <c r="L27">
        <f>AVERAGE(H24,H27,H30)</f>
        <v>32.849301326662008</v>
      </c>
      <c r="M27">
        <f>AVERAGE(I24,I27,I30)</f>
        <v>0.20873611909224121</v>
      </c>
    </row>
    <row r="28" spans="1:15" x14ac:dyDescent="0.25">
      <c r="A28" s="20"/>
      <c r="B28" s="20"/>
      <c r="C28" s="20"/>
      <c r="D28" t="s">
        <v>89</v>
      </c>
      <c r="E28">
        <v>32.947974440702289</v>
      </c>
      <c r="F28">
        <v>0.24502358576622232</v>
      </c>
    </row>
    <row r="29" spans="1:15" x14ac:dyDescent="0.25">
      <c r="A29" s="20"/>
      <c r="B29" s="20"/>
      <c r="C29" s="20"/>
      <c r="D29" t="s">
        <v>90</v>
      </c>
      <c r="E29">
        <v>32.47342865914775</v>
      </c>
      <c r="F29">
        <v>0.27028184730098243</v>
      </c>
      <c r="H29" t="s">
        <v>91</v>
      </c>
      <c r="I29" t="s">
        <v>92</v>
      </c>
      <c r="K29" t="s">
        <v>93</v>
      </c>
    </row>
    <row r="30" spans="1:15" x14ac:dyDescent="0.25">
      <c r="A30" s="20"/>
      <c r="B30" s="20"/>
      <c r="C30" s="20"/>
      <c r="D30" t="s">
        <v>94</v>
      </c>
      <c r="E30">
        <v>33.095362117863637</v>
      </c>
      <c r="F30">
        <v>0.28887046568166619</v>
      </c>
      <c r="H30">
        <f>AVERAGE(E21:E26,E49:E54)</f>
        <v>34.357959325234191</v>
      </c>
      <c r="I30">
        <f>AVERAGE(F21:F26,F49:F54)</f>
        <v>0.12007628313109182</v>
      </c>
    </row>
    <row r="31" spans="1:15" x14ac:dyDescent="0.25">
      <c r="A31" s="20"/>
      <c r="B31" s="20"/>
      <c r="C31" s="20"/>
      <c r="D31" t="s">
        <v>95</v>
      </c>
      <c r="E31">
        <v>30.951022460189961</v>
      </c>
      <c r="F31">
        <v>0.26765440156646719</v>
      </c>
    </row>
    <row r="32" spans="1:15" x14ac:dyDescent="0.25">
      <c r="A32" s="20"/>
      <c r="B32" s="20"/>
      <c r="C32" s="20"/>
      <c r="D32" t="s">
        <v>96</v>
      </c>
      <c r="E32">
        <v>32.760416089402526</v>
      </c>
      <c r="F32">
        <v>0.30673862602611612</v>
      </c>
    </row>
    <row r="33" spans="1:19" x14ac:dyDescent="0.25">
      <c r="A33" s="20" t="s">
        <v>97</v>
      </c>
      <c r="B33" s="20"/>
      <c r="C33" s="20"/>
      <c r="D33" t="s">
        <v>88</v>
      </c>
      <c r="E33">
        <v>32.382822989177519</v>
      </c>
      <c r="F33">
        <v>0.22089332806407641</v>
      </c>
      <c r="H33" s="1" t="s">
        <v>98</v>
      </c>
    </row>
    <row r="34" spans="1:19" x14ac:dyDescent="0.25">
      <c r="A34" s="20"/>
      <c r="B34" s="20"/>
      <c r="C34" s="20"/>
      <c r="D34" t="s">
        <v>89</v>
      </c>
      <c r="E34">
        <v>33.776923536996954</v>
      </c>
      <c r="F34">
        <v>0.22617252526873988</v>
      </c>
      <c r="H34" t="s">
        <v>12</v>
      </c>
      <c r="I34" t="s">
        <v>70</v>
      </c>
    </row>
    <row r="35" spans="1:19" x14ac:dyDescent="0.25">
      <c r="A35" s="20"/>
      <c r="B35" s="20"/>
      <c r="C35" s="20"/>
      <c r="D35" t="s">
        <v>94</v>
      </c>
      <c r="E35">
        <v>32.798537028904036</v>
      </c>
      <c r="F35">
        <v>0.27041016404261886</v>
      </c>
      <c r="H35">
        <v>32.849301326662008</v>
      </c>
      <c r="I35">
        <v>0.20873611909224121</v>
      </c>
    </row>
    <row r="36" spans="1:19" x14ac:dyDescent="0.25">
      <c r="A36" s="20"/>
      <c r="B36" s="20"/>
      <c r="C36" s="20"/>
      <c r="D36" t="s">
        <v>95</v>
      </c>
      <c r="E36">
        <v>33.792382941561172</v>
      </c>
      <c r="F36">
        <v>0.22840510462964883</v>
      </c>
    </row>
    <row r="37" spans="1:19" x14ac:dyDescent="0.25">
      <c r="A37" s="20" t="s">
        <v>99</v>
      </c>
      <c r="B37" s="20"/>
      <c r="C37" s="20"/>
      <c r="D37" t="s">
        <v>88</v>
      </c>
      <c r="E37">
        <v>30.766748329099222</v>
      </c>
      <c r="F37">
        <v>0.29022551216463166</v>
      </c>
    </row>
    <row r="38" spans="1:19" x14ac:dyDescent="0.25">
      <c r="A38" s="20"/>
      <c r="B38" s="20"/>
      <c r="C38" s="20"/>
      <c r="D38" t="s">
        <v>89</v>
      </c>
      <c r="E38">
        <v>29.124133694128442</v>
      </c>
      <c r="F38">
        <v>0.25097722229899871</v>
      </c>
      <c r="H38" s="18" t="s">
        <v>100</v>
      </c>
      <c r="I38" s="18"/>
      <c r="J38" s="18"/>
      <c r="K38" s="18"/>
      <c r="L38" s="18"/>
      <c r="M38" s="18"/>
      <c r="N38" s="18"/>
      <c r="O38" s="18"/>
      <c r="P38" s="18"/>
    </row>
    <row r="39" spans="1:19" x14ac:dyDescent="0.25">
      <c r="A39" s="20"/>
      <c r="B39" s="20"/>
      <c r="C39" s="20"/>
      <c r="D39" t="s">
        <v>94</v>
      </c>
      <c r="E39">
        <v>31.382323900002135</v>
      </c>
      <c r="F39">
        <v>0.28158416065100444</v>
      </c>
      <c r="H39" s="18" t="s">
        <v>101</v>
      </c>
      <c r="I39" s="18"/>
      <c r="J39" s="18"/>
      <c r="K39" s="18"/>
      <c r="L39" s="18"/>
      <c r="M39" s="18"/>
      <c r="N39" s="18"/>
      <c r="O39" s="18"/>
      <c r="P39" s="18"/>
    </row>
    <row r="40" spans="1:19" x14ac:dyDescent="0.25">
      <c r="A40" s="20"/>
      <c r="B40" s="20"/>
      <c r="C40" s="20"/>
      <c r="D40" t="s">
        <v>95</v>
      </c>
      <c r="E40">
        <v>32.013064774212467</v>
      </c>
      <c r="F40">
        <v>0.27786660720498413</v>
      </c>
    </row>
    <row r="41" spans="1:19" x14ac:dyDescent="0.25">
      <c r="A41" s="20"/>
      <c r="B41" s="20"/>
      <c r="C41" s="20"/>
      <c r="D41" t="s">
        <v>102</v>
      </c>
      <c r="E41">
        <v>32.108853225439347</v>
      </c>
      <c r="F41">
        <v>0.21701158366076351</v>
      </c>
      <c r="H41" t="s">
        <v>71</v>
      </c>
      <c r="I41" t="s">
        <v>72</v>
      </c>
      <c r="K41" t="s">
        <v>73</v>
      </c>
      <c r="R41" t="s">
        <v>60</v>
      </c>
      <c r="S41">
        <v>0</v>
      </c>
    </row>
    <row r="42" spans="1:19" x14ac:dyDescent="0.25">
      <c r="A42" s="20"/>
      <c r="B42" s="20"/>
      <c r="C42" s="20"/>
      <c r="D42" t="s">
        <v>103</v>
      </c>
      <c r="E42">
        <v>30.991833201643949</v>
      </c>
      <c r="F42">
        <v>0.22247153068135431</v>
      </c>
      <c r="H42">
        <f>H21/$D$7</f>
        <v>2.7377767207204662</v>
      </c>
      <c r="I42">
        <f>I21</f>
        <v>0.20593248350579579</v>
      </c>
      <c r="R42" t="s">
        <v>63</v>
      </c>
      <c r="S42">
        <f>$I$56/1.5</f>
        <v>0.13915741272816082</v>
      </c>
    </row>
    <row r="43" spans="1:19" x14ac:dyDescent="0.25">
      <c r="A43" s="20" t="s">
        <v>104</v>
      </c>
      <c r="B43" s="20"/>
      <c r="C43" s="20"/>
      <c r="D43" t="s">
        <v>88</v>
      </c>
      <c r="E43">
        <v>31.089928680005684</v>
      </c>
      <c r="F43">
        <v>0.23677761057116098</v>
      </c>
      <c r="R43" t="s">
        <v>66</v>
      </c>
      <c r="S43">
        <f>$I$56/($S$42+$S$41)</f>
        <v>1.5</v>
      </c>
    </row>
    <row r="44" spans="1:19" x14ac:dyDescent="0.25">
      <c r="A44" s="20"/>
      <c r="B44" s="20"/>
      <c r="C44" s="20"/>
      <c r="D44" t="s">
        <v>89</v>
      </c>
      <c r="E44">
        <v>30.398747151219833</v>
      </c>
      <c r="F44">
        <v>0.21720021985441101</v>
      </c>
      <c r="H44" t="s">
        <v>78</v>
      </c>
      <c r="I44" t="s">
        <v>79</v>
      </c>
      <c r="K44" t="s">
        <v>80</v>
      </c>
      <c r="L44" t="s">
        <v>71</v>
      </c>
      <c r="M44" t="s">
        <v>72</v>
      </c>
      <c r="O44" t="s">
        <v>81</v>
      </c>
      <c r="R44" t="s">
        <v>67</v>
      </c>
      <c r="S44">
        <f>$S$43/$H$56</f>
        <v>0.54795685975185016</v>
      </c>
    </row>
    <row r="45" spans="1:19" x14ac:dyDescent="0.25">
      <c r="A45" s="20"/>
      <c r="B45" s="20"/>
      <c r="C45" s="20"/>
      <c r="D45" t="s">
        <v>94</v>
      </c>
      <c r="E45">
        <v>33.838446241199073</v>
      </c>
      <c r="F45">
        <v>0.23660506553423905</v>
      </c>
      <c r="H45">
        <f>H24/$D$7</f>
        <v>2.7317477377450756</v>
      </c>
      <c r="I45">
        <f>I24</f>
        <v>0.256397924061813</v>
      </c>
      <c r="L45">
        <f>AVERAGE(AVERAGE(H45,H48),H51)</f>
        <v>2.7688721521920878</v>
      </c>
      <c r="M45">
        <f>AVERAGE(AVERAGE(I45,I48),I51)</f>
        <v>0.18657116010195385</v>
      </c>
      <c r="R45" t="s">
        <v>68</v>
      </c>
      <c r="S45">
        <f>$I$56</f>
        <v>0.20873611909224121</v>
      </c>
    </row>
    <row r="46" spans="1:19" x14ac:dyDescent="0.25">
      <c r="A46" s="20"/>
      <c r="B46" s="20"/>
      <c r="C46" s="20"/>
      <c r="D46" t="s">
        <v>95</v>
      </c>
      <c r="E46">
        <v>33.420602190968566</v>
      </c>
      <c r="F46">
        <v>0.26613213584225076</v>
      </c>
    </row>
    <row r="47" spans="1:19" x14ac:dyDescent="0.25">
      <c r="A47" s="20"/>
      <c r="B47" s="20"/>
      <c r="C47" s="20"/>
      <c r="D47" t="s">
        <v>102</v>
      </c>
      <c r="E47">
        <v>31.100595424164567</v>
      </c>
      <c r="F47">
        <v>0.24860888758315808</v>
      </c>
      <c r="H47" t="s">
        <v>83</v>
      </c>
      <c r="I47" t="s">
        <v>84</v>
      </c>
      <c r="K47" t="s">
        <v>85</v>
      </c>
      <c r="L47" t="s">
        <v>71</v>
      </c>
      <c r="M47" t="s">
        <v>72</v>
      </c>
      <c r="O47" t="s">
        <v>86</v>
      </c>
    </row>
    <row r="48" spans="1:19" x14ac:dyDescent="0.25">
      <c r="A48" s="20"/>
      <c r="B48" s="20"/>
      <c r="C48" s="20"/>
      <c r="D48" t="s">
        <v>103</v>
      </c>
      <c r="E48">
        <v>30.67238480964788</v>
      </c>
      <c r="F48">
        <v>0.25134926495886883</v>
      </c>
      <c r="H48">
        <f>H27/$D$7</f>
        <v>2.6174143168175776</v>
      </c>
      <c r="I48">
        <f>I27</f>
        <v>0.24973415008381875</v>
      </c>
      <c r="L48">
        <f>AVERAGE(H45,H48,H51)</f>
        <v>2.737441777221834</v>
      </c>
      <c r="M48">
        <f>AVERAGE(I45,I48,I51)</f>
        <v>0.20873611909224121</v>
      </c>
    </row>
    <row r="49" spans="1:11" x14ac:dyDescent="0.25">
      <c r="A49" s="19" t="s">
        <v>105</v>
      </c>
      <c r="B49" s="19"/>
      <c r="C49" s="19"/>
      <c r="D49" t="s">
        <v>88</v>
      </c>
      <c r="E49">
        <v>35.881263369023124</v>
      </c>
      <c r="F49">
        <v>0.1115988005739947</v>
      </c>
    </row>
    <row r="50" spans="1:11" x14ac:dyDescent="0.25">
      <c r="A50" s="19"/>
      <c r="B50" s="19"/>
      <c r="C50" s="19"/>
      <c r="D50" t="s">
        <v>90</v>
      </c>
      <c r="E50">
        <v>36.342572504105988</v>
      </c>
      <c r="F50">
        <v>0.14935221417686353</v>
      </c>
      <c r="H50" t="s">
        <v>91</v>
      </c>
      <c r="I50" t="s">
        <v>92</v>
      </c>
      <c r="K50" t="s">
        <v>93</v>
      </c>
    </row>
    <row r="51" spans="1:11" x14ac:dyDescent="0.25">
      <c r="A51" s="19"/>
      <c r="B51" s="19"/>
      <c r="C51" s="19"/>
      <c r="D51" t="s">
        <v>94</v>
      </c>
      <c r="E51">
        <v>32.008135568083432</v>
      </c>
      <c r="F51">
        <v>9.2750699468103728E-2</v>
      </c>
      <c r="H51">
        <f>H30/$D$7</f>
        <v>2.8631632771028492</v>
      </c>
      <c r="I51">
        <f>I30</f>
        <v>0.12007628313109182</v>
      </c>
    </row>
    <row r="52" spans="1:11" x14ac:dyDescent="0.25">
      <c r="A52" s="19"/>
      <c r="B52" s="19"/>
      <c r="C52" s="19"/>
      <c r="D52" t="s">
        <v>96</v>
      </c>
      <c r="E52">
        <v>35.419321078266144</v>
      </c>
      <c r="F52">
        <v>0.11465973180084084</v>
      </c>
    </row>
    <row r="53" spans="1:11" x14ac:dyDescent="0.25">
      <c r="A53" s="19"/>
      <c r="B53" s="19"/>
      <c r="C53" s="19"/>
      <c r="D53" t="s">
        <v>102</v>
      </c>
      <c r="E53">
        <v>33.490639913475761</v>
      </c>
      <c r="F53">
        <v>0.10643274612274102</v>
      </c>
    </row>
    <row r="54" spans="1:11" x14ac:dyDescent="0.25">
      <c r="A54" s="19"/>
      <c r="B54" s="19"/>
      <c r="C54" s="19"/>
      <c r="D54" t="s">
        <v>106</v>
      </c>
      <c r="E54">
        <v>32.722052632232334</v>
      </c>
      <c r="F54">
        <v>0.14096865239906034</v>
      </c>
      <c r="H54" s="1" t="s">
        <v>98</v>
      </c>
    </row>
    <row r="55" spans="1:11" x14ac:dyDescent="0.25">
      <c r="H55" t="s">
        <v>12</v>
      </c>
      <c r="I55" t="s">
        <v>70</v>
      </c>
    </row>
    <row r="56" spans="1:11" x14ac:dyDescent="0.25">
      <c r="H56">
        <v>2.737441777221834</v>
      </c>
      <c r="I56">
        <v>0.20873611909224121</v>
      </c>
    </row>
  </sheetData>
  <mergeCells count="9">
    <mergeCell ref="H38:P38"/>
    <mergeCell ref="H39:P39"/>
    <mergeCell ref="A49:C54"/>
    <mergeCell ref="A21:C23"/>
    <mergeCell ref="A24:C26"/>
    <mergeCell ref="A27:C32"/>
    <mergeCell ref="A33:C36"/>
    <mergeCell ref="A43:C48"/>
    <mergeCell ref="A37:C42"/>
  </mergeCells>
  <phoneticPr fontId="3" type="noConversion"/>
  <pageMargins left="0.7" right="0.7" top="0.75" bottom="0.75" header="0.3" footer="0.3"/>
  <pageSetup paperSize="9" orientation="portrait" r:id="rId1"/>
  <ignoredErrors>
    <ignoredError sqref="H24:I24 H27:I27" formulaRange="1"/>
  </ignoredErrors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2FDE-9275-404F-AD82-8FB1E68906A6}">
  <dimension ref="A1:O44"/>
  <sheetViews>
    <sheetView topLeftCell="A25" workbookViewId="0">
      <selection activeCell="K28" sqref="K28"/>
    </sheetView>
  </sheetViews>
  <sheetFormatPr defaultRowHeight="15" x14ac:dyDescent="0.25"/>
  <sheetData>
    <row r="1" spans="1:15" x14ac:dyDescent="0.25">
      <c r="A1" s="1" t="s">
        <v>47</v>
      </c>
    </row>
    <row r="2" spans="1:15" x14ac:dyDescent="0.25">
      <c r="A2" t="s">
        <v>48</v>
      </c>
      <c r="B2">
        <v>2.6785315000000001</v>
      </c>
      <c r="C2" t="s">
        <v>107</v>
      </c>
      <c r="D2">
        <v>1.3740000000000001</v>
      </c>
    </row>
    <row r="3" spans="1:15" x14ac:dyDescent="0.25">
      <c r="A3" t="s">
        <v>49</v>
      </c>
      <c r="B3">
        <v>0.28019269200000002</v>
      </c>
      <c r="C3" t="s">
        <v>108</v>
      </c>
      <c r="D3">
        <v>27.1</v>
      </c>
    </row>
    <row r="4" spans="1:15" x14ac:dyDescent="0.25">
      <c r="A4" t="s">
        <v>50</v>
      </c>
      <c r="B4">
        <v>1.3162826159999999E-3</v>
      </c>
    </row>
    <row r="5" spans="1:15" x14ac:dyDescent="0.25">
      <c r="A5" t="s">
        <v>51</v>
      </c>
      <c r="B5">
        <v>3.5734165999999998E-2</v>
      </c>
    </row>
    <row r="7" spans="1:15" x14ac:dyDescent="0.25">
      <c r="A7" s="1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12</v>
      </c>
      <c r="J7" t="s">
        <v>70</v>
      </c>
      <c r="L7" t="s">
        <v>114</v>
      </c>
      <c r="M7" t="s">
        <v>115</v>
      </c>
      <c r="N7" t="s">
        <v>116</v>
      </c>
      <c r="O7" t="s">
        <v>117</v>
      </c>
    </row>
    <row r="8" spans="1:15" x14ac:dyDescent="0.25">
      <c r="A8" t="s">
        <v>48</v>
      </c>
      <c r="B8">
        <v>2.6785315000000001</v>
      </c>
      <c r="D8" t="s">
        <v>118</v>
      </c>
      <c r="E8">
        <v>2.7565982404692089</v>
      </c>
      <c r="F8">
        <v>4.6862170087976542</v>
      </c>
      <c r="G8">
        <v>7.6699000000000002</v>
      </c>
      <c r="H8">
        <v>14.01</v>
      </c>
      <c r="I8">
        <v>3.2858999999999998</v>
      </c>
      <c r="J8">
        <v>1.6</v>
      </c>
      <c r="K8" s="2"/>
      <c r="L8">
        <v>3.8016626010904901</v>
      </c>
      <c r="M8">
        <v>9.0794891995693856</v>
      </c>
      <c r="N8">
        <v>2.7351654560506122</v>
      </c>
      <c r="O8">
        <v>0.24836984591137898</v>
      </c>
    </row>
    <row r="9" spans="1:15" x14ac:dyDescent="0.25">
      <c r="A9" t="s">
        <v>49</v>
      </c>
      <c r="B9">
        <v>0.28019269200000002</v>
      </c>
      <c r="D9" t="s">
        <v>119</v>
      </c>
      <c r="E9">
        <v>4.1348973607038122</v>
      </c>
      <c r="F9">
        <v>6.6158357771261</v>
      </c>
      <c r="G9">
        <v>11.965</v>
      </c>
      <c r="H9">
        <v>20.044</v>
      </c>
      <c r="I9">
        <v>3.2564000000000002</v>
      </c>
      <c r="J9">
        <v>1.605</v>
      </c>
      <c r="K9" s="2"/>
      <c r="L9">
        <v>5.2009344620555771</v>
      </c>
      <c r="M9">
        <v>11.655181895774897</v>
      </c>
      <c r="N9">
        <v>2.6015347221019947</v>
      </c>
      <c r="O9">
        <v>0.23486031672103619</v>
      </c>
    </row>
    <row r="10" spans="1:15" x14ac:dyDescent="0.25">
      <c r="A10" t="s">
        <v>50</v>
      </c>
      <c r="B10">
        <v>1.3162826159999999E-3</v>
      </c>
      <c r="D10" t="s">
        <v>120</v>
      </c>
      <c r="E10">
        <v>1.6598240469208212</v>
      </c>
      <c r="F10">
        <v>4.4261974584555199</v>
      </c>
      <c r="G10">
        <v>1.8918999999999999</v>
      </c>
      <c r="H10">
        <v>6.0336999999999996</v>
      </c>
      <c r="I10">
        <v>1.4972000000000001</v>
      </c>
      <c r="J10">
        <v>0.505</v>
      </c>
      <c r="K10" s="2"/>
      <c r="L10">
        <v>2.5404591140494355</v>
      </c>
      <c r="M10">
        <v>10.471940879967685</v>
      </c>
      <c r="N10">
        <v>2.8671045394114376</v>
      </c>
      <c r="O10">
        <v>0.12085875883858295</v>
      </c>
    </row>
    <row r="11" spans="1:15" x14ac:dyDescent="0.25">
      <c r="A11" t="s">
        <v>51</v>
      </c>
      <c r="B11">
        <v>3.5734165999999998E-2</v>
      </c>
    </row>
    <row r="13" spans="1:15" x14ac:dyDescent="0.25">
      <c r="A13" s="1" t="s">
        <v>121</v>
      </c>
      <c r="E13" t="s">
        <v>110</v>
      </c>
      <c r="F13" t="s">
        <v>111</v>
      </c>
      <c r="G13" t="s">
        <v>112</v>
      </c>
      <c r="H13" t="s">
        <v>113</v>
      </c>
      <c r="I13" t="s">
        <v>12</v>
      </c>
      <c r="J13" t="s">
        <v>70</v>
      </c>
      <c r="L13" t="s">
        <v>114</v>
      </c>
      <c r="M13" t="s">
        <v>115</v>
      </c>
      <c r="N13" t="s">
        <v>116</v>
      </c>
      <c r="O13" t="s">
        <v>117</v>
      </c>
    </row>
    <row r="14" spans="1:15" x14ac:dyDescent="0.25">
      <c r="A14" t="s">
        <v>48</v>
      </c>
      <c r="B14">
        <v>0.3</v>
      </c>
      <c r="D14" t="s">
        <v>118</v>
      </c>
      <c r="E14">
        <v>2.7565982404692089</v>
      </c>
      <c r="F14">
        <v>4.6862170087976542</v>
      </c>
      <c r="G14">
        <v>7.4653999999999998</v>
      </c>
      <c r="H14">
        <v>12.782999999999999</v>
      </c>
      <c r="I14">
        <v>2.7284000000000002</v>
      </c>
      <c r="J14">
        <v>0.125</v>
      </c>
      <c r="K14" s="2"/>
      <c r="L14">
        <v>3.8016626010904901</v>
      </c>
      <c r="M14">
        <v>9.0794891995693856</v>
      </c>
      <c r="N14">
        <v>2.7351654560506122</v>
      </c>
      <c r="O14">
        <v>0.24836984591137898</v>
      </c>
    </row>
    <row r="15" spans="1:15" x14ac:dyDescent="0.25">
      <c r="A15" t="s">
        <v>49</v>
      </c>
      <c r="B15">
        <v>0.3624</v>
      </c>
      <c r="D15" t="s">
        <v>119</v>
      </c>
      <c r="E15">
        <v>4.1348973607038122</v>
      </c>
      <c r="F15">
        <v>6.6158357771261</v>
      </c>
      <c r="G15">
        <v>11.198</v>
      </c>
      <c r="H15">
        <v>18.05</v>
      </c>
      <c r="I15">
        <v>2.7204999999999999</v>
      </c>
      <c r="J15">
        <v>0.127</v>
      </c>
      <c r="K15" s="2"/>
      <c r="L15">
        <v>5.2009344620555771</v>
      </c>
      <c r="M15">
        <v>11.655181895774897</v>
      </c>
      <c r="N15">
        <v>2.6015347221019947</v>
      </c>
      <c r="O15">
        <v>0.23486031672103619</v>
      </c>
    </row>
    <row r="16" spans="1:15" x14ac:dyDescent="0.25">
      <c r="A16" s="11" t="s">
        <v>50</v>
      </c>
      <c r="B16" s="11">
        <v>1.3162826159999999E-3</v>
      </c>
      <c r="D16" t="s">
        <v>120</v>
      </c>
      <c r="E16">
        <v>1.6598240469208212</v>
      </c>
      <c r="F16">
        <v>4.4261974584555199</v>
      </c>
      <c r="G16">
        <v>4.0906000000000002</v>
      </c>
      <c r="H16">
        <v>11.198</v>
      </c>
      <c r="I16">
        <v>2.5507</v>
      </c>
      <c r="J16">
        <v>0.92</v>
      </c>
      <c r="K16" s="2"/>
      <c r="L16">
        <v>2.5404591140494355</v>
      </c>
      <c r="M16">
        <v>10.471940879967685</v>
      </c>
      <c r="N16">
        <v>2.8671045394114376</v>
      </c>
      <c r="O16">
        <v>0.12085875883858295</v>
      </c>
    </row>
    <row r="17" spans="1:15" x14ac:dyDescent="0.25">
      <c r="A17" s="11" t="s">
        <v>51</v>
      </c>
      <c r="B17" s="11">
        <v>3.5734165999999998E-2</v>
      </c>
    </row>
    <row r="19" spans="1:15" x14ac:dyDescent="0.25">
      <c r="A19" s="1" t="s">
        <v>122</v>
      </c>
      <c r="E19" t="s">
        <v>110</v>
      </c>
      <c r="F19" t="s">
        <v>111</v>
      </c>
      <c r="G19" t="s">
        <v>112</v>
      </c>
      <c r="H19" t="s">
        <v>113</v>
      </c>
      <c r="I19" t="s">
        <v>12</v>
      </c>
      <c r="J19" t="s">
        <v>70</v>
      </c>
      <c r="L19" t="s">
        <v>114</v>
      </c>
      <c r="M19" t="s">
        <v>115</v>
      </c>
      <c r="N19" t="s">
        <v>116</v>
      </c>
      <c r="O19" t="s">
        <v>117</v>
      </c>
    </row>
    <row r="20" spans="1:15" x14ac:dyDescent="0.25">
      <c r="A20" t="s">
        <v>48</v>
      </c>
      <c r="B20">
        <v>0.9</v>
      </c>
      <c r="D20" t="s">
        <v>118</v>
      </c>
      <c r="E20">
        <v>2.7565982404692089</v>
      </c>
      <c r="F20">
        <v>4.6862170087976542</v>
      </c>
      <c r="G20">
        <v>6.2382</v>
      </c>
      <c r="H20">
        <v>10.789</v>
      </c>
      <c r="I20">
        <v>2.3319000000000001</v>
      </c>
      <c r="J20">
        <v>0.26</v>
      </c>
      <c r="K20" s="2"/>
      <c r="L20">
        <v>3.8016626010904901</v>
      </c>
      <c r="M20">
        <v>9.0794891995693856</v>
      </c>
      <c r="N20">
        <v>2.7351654560506122</v>
      </c>
      <c r="O20">
        <v>0.24836984591137898</v>
      </c>
    </row>
    <row r="21" spans="1:15" x14ac:dyDescent="0.25">
      <c r="A21" t="s">
        <v>49</v>
      </c>
      <c r="B21">
        <v>0.420289038</v>
      </c>
      <c r="D21" t="s">
        <v>119</v>
      </c>
      <c r="E21">
        <v>4.1348973607038122</v>
      </c>
      <c r="F21">
        <v>6.6158357771261</v>
      </c>
      <c r="G21">
        <v>9.5106999999999999</v>
      </c>
      <c r="H21">
        <v>15.289</v>
      </c>
      <c r="I21">
        <v>2.3496000000000001</v>
      </c>
      <c r="J21">
        <v>0.26200000000000001</v>
      </c>
      <c r="K21" s="2"/>
      <c r="L21">
        <v>5.2009344620555771</v>
      </c>
      <c r="M21">
        <v>11.655181895774897</v>
      </c>
      <c r="N21">
        <v>2.6015347221019947</v>
      </c>
      <c r="O21">
        <v>0.23486031672103619</v>
      </c>
    </row>
    <row r="22" spans="1:15" x14ac:dyDescent="0.25">
      <c r="A22" t="s">
        <v>50</v>
      </c>
      <c r="B22">
        <v>1.3162826159999999E-3</v>
      </c>
      <c r="D22" t="s">
        <v>120</v>
      </c>
      <c r="E22">
        <v>1.6598240469208212</v>
      </c>
      <c r="F22">
        <v>4.4261974584555199</v>
      </c>
      <c r="G22">
        <v>3.1191</v>
      </c>
      <c r="H22">
        <v>8.6414000000000009</v>
      </c>
      <c r="I22">
        <v>2.0146999999999999</v>
      </c>
      <c r="J22">
        <v>0.15</v>
      </c>
      <c r="K22" s="2"/>
      <c r="L22">
        <v>2.5404591140494355</v>
      </c>
      <c r="M22">
        <v>10.471940879967685</v>
      </c>
      <c r="N22">
        <v>2.8671045394114376</v>
      </c>
      <c r="O22">
        <v>0.12085875883858295</v>
      </c>
    </row>
    <row r="23" spans="1:15" x14ac:dyDescent="0.25">
      <c r="A23" t="s">
        <v>51</v>
      </c>
      <c r="B23">
        <v>3.5734165999999998E-2</v>
      </c>
    </row>
    <row r="25" spans="1:15" x14ac:dyDescent="0.25">
      <c r="A25" s="1" t="s">
        <v>123</v>
      </c>
      <c r="E25" t="s">
        <v>110</v>
      </c>
      <c r="F25" t="s">
        <v>111</v>
      </c>
      <c r="G25" t="s">
        <v>112</v>
      </c>
      <c r="H25" t="s">
        <v>113</v>
      </c>
      <c r="I25" t="s">
        <v>12</v>
      </c>
      <c r="J25" t="s">
        <v>70</v>
      </c>
      <c r="L25" t="s">
        <v>114</v>
      </c>
      <c r="M25" t="s">
        <v>115</v>
      </c>
      <c r="N25" t="s">
        <v>116</v>
      </c>
      <c r="O25" t="s">
        <v>117</v>
      </c>
    </row>
    <row r="26" spans="1:15" x14ac:dyDescent="0.25">
      <c r="A26" t="s">
        <v>48</v>
      </c>
      <c r="B26">
        <v>0.6</v>
      </c>
      <c r="D26" t="s">
        <v>118</v>
      </c>
      <c r="E26">
        <v>2.7565982404692089</v>
      </c>
      <c r="F26">
        <v>4.6862170087976542</v>
      </c>
      <c r="G26">
        <v>7.3631000000000002</v>
      </c>
      <c r="H26">
        <v>12.579000000000001</v>
      </c>
      <c r="I26" s="12">
        <v>2.7029000000000001</v>
      </c>
      <c r="J26" s="12">
        <v>0.24</v>
      </c>
      <c r="K26" s="2"/>
      <c r="L26">
        <v>3.8016626010904901</v>
      </c>
      <c r="M26">
        <v>9.0794891995693856</v>
      </c>
      <c r="N26" s="12">
        <v>2.7351654560506122</v>
      </c>
      <c r="O26" s="12">
        <v>0.24836984591137898</v>
      </c>
    </row>
    <row r="27" spans="1:15" x14ac:dyDescent="0.25">
      <c r="A27" t="s">
        <v>49</v>
      </c>
      <c r="B27">
        <v>0.3624</v>
      </c>
      <c r="D27" t="s">
        <v>119</v>
      </c>
      <c r="E27">
        <v>4.1348973607038122</v>
      </c>
      <c r="F27">
        <v>6.6158357771261</v>
      </c>
      <c r="G27">
        <v>11.045</v>
      </c>
      <c r="H27">
        <v>17.844999999999999</v>
      </c>
      <c r="I27" s="12">
        <v>2.7412000000000001</v>
      </c>
      <c r="J27" s="12">
        <v>0.23699999999999999</v>
      </c>
      <c r="K27" s="2"/>
      <c r="L27">
        <v>5.2009344620555771</v>
      </c>
      <c r="M27">
        <v>11.655181895774897</v>
      </c>
      <c r="N27" s="12">
        <v>2.6015347221019947</v>
      </c>
      <c r="O27" s="12">
        <v>0.23486031672103619</v>
      </c>
    </row>
    <row r="28" spans="1:15" x14ac:dyDescent="0.25">
      <c r="A28" t="s">
        <v>50</v>
      </c>
      <c r="B28">
        <v>1.3162826159999999E-3</v>
      </c>
      <c r="D28" t="s">
        <v>120</v>
      </c>
      <c r="E28">
        <v>1.6598240469208201</v>
      </c>
      <c r="F28">
        <v>4.4261974584555226</v>
      </c>
      <c r="G28">
        <v>3.7326999999999999</v>
      </c>
      <c r="H28">
        <v>10.278</v>
      </c>
      <c r="I28" s="13">
        <v>2.3658999999999999</v>
      </c>
      <c r="J28" s="13">
        <v>0.14199999999999999</v>
      </c>
      <c r="K28" s="14"/>
      <c r="L28" s="13">
        <v>2.5404591140494355</v>
      </c>
      <c r="M28" s="13">
        <v>10.471940879967685</v>
      </c>
      <c r="N28" s="13">
        <v>2.8671045394114376</v>
      </c>
      <c r="O28" s="13">
        <v>0.12085875883858295</v>
      </c>
    </row>
    <row r="29" spans="1:15" x14ac:dyDescent="0.25">
      <c r="A29" t="s">
        <v>51</v>
      </c>
      <c r="B29">
        <v>3.5734165999999998E-2</v>
      </c>
    </row>
    <row r="31" spans="1:15" x14ac:dyDescent="0.25">
      <c r="A31" s="1" t="s">
        <v>124</v>
      </c>
      <c r="E31" t="s">
        <v>110</v>
      </c>
      <c r="F31" t="s">
        <v>111</v>
      </c>
      <c r="G31" t="s">
        <v>112</v>
      </c>
      <c r="H31" t="s">
        <v>113</v>
      </c>
      <c r="I31" t="s">
        <v>12</v>
      </c>
      <c r="J31" t="s">
        <v>70</v>
      </c>
      <c r="L31" t="s">
        <v>114</v>
      </c>
      <c r="M31" t="s">
        <v>115</v>
      </c>
      <c r="N31" t="s">
        <v>116</v>
      </c>
      <c r="O31" t="s">
        <v>117</v>
      </c>
    </row>
    <row r="32" spans="1:15" x14ac:dyDescent="0.25">
      <c r="A32" t="s">
        <v>48</v>
      </c>
      <c r="B32">
        <v>0.6</v>
      </c>
      <c r="D32" t="s">
        <v>118</v>
      </c>
      <c r="E32">
        <v>2.7565982404692089</v>
      </c>
      <c r="F32">
        <v>4.6862170087976542</v>
      </c>
      <c r="G32">
        <v>7.3120000000000003</v>
      </c>
      <c r="H32">
        <v>12.579000000000001</v>
      </c>
      <c r="I32" s="12">
        <v>2.7294</v>
      </c>
      <c r="J32" s="12">
        <v>0.23549999999999999</v>
      </c>
      <c r="K32" s="2"/>
      <c r="L32">
        <v>3.8016626010904901</v>
      </c>
      <c r="M32">
        <v>9.0794891995693856</v>
      </c>
      <c r="N32" s="12">
        <v>2.7351654560506122</v>
      </c>
      <c r="O32" s="12">
        <v>0.24836984591137898</v>
      </c>
    </row>
    <row r="33" spans="1:15" x14ac:dyDescent="0.25">
      <c r="A33" t="s">
        <v>49</v>
      </c>
      <c r="B33">
        <v>0.3624</v>
      </c>
      <c r="D33" t="s">
        <v>119</v>
      </c>
      <c r="E33">
        <v>4.1348973607038122</v>
      </c>
      <c r="F33">
        <v>6.6158357771261</v>
      </c>
      <c r="G33">
        <v>11.096</v>
      </c>
      <c r="H33">
        <v>17.844999999999999</v>
      </c>
      <c r="I33" s="12">
        <v>2.7204999999999999</v>
      </c>
      <c r="J33" s="12">
        <v>0.23699999999999999</v>
      </c>
      <c r="K33" s="2"/>
      <c r="L33">
        <v>5.2009344620555771</v>
      </c>
      <c r="M33">
        <v>11.655181895774897</v>
      </c>
      <c r="N33" s="12">
        <v>2.6015347221019947</v>
      </c>
      <c r="O33" s="12">
        <v>0.23486031672103619</v>
      </c>
    </row>
    <row r="34" spans="1:15" x14ac:dyDescent="0.25">
      <c r="A34" t="s">
        <v>50</v>
      </c>
      <c r="B34">
        <v>1.3162826159999999E-3</v>
      </c>
      <c r="D34" t="s">
        <v>120</v>
      </c>
      <c r="E34">
        <v>1.6598240469208212</v>
      </c>
      <c r="F34">
        <v>4.4261974584555199</v>
      </c>
      <c r="G34">
        <v>3.7837999999999998</v>
      </c>
      <c r="H34">
        <v>10.532999999999999</v>
      </c>
      <c r="I34">
        <v>2.4398</v>
      </c>
      <c r="J34" s="12">
        <v>0.11799999999999999</v>
      </c>
      <c r="K34" s="2"/>
      <c r="L34">
        <v>2.5404591140494355</v>
      </c>
      <c r="M34">
        <v>10.471940879967685</v>
      </c>
      <c r="N34">
        <v>2.8671045394114376</v>
      </c>
      <c r="O34" s="12">
        <v>0.12085875883858295</v>
      </c>
    </row>
    <row r="35" spans="1:15" x14ac:dyDescent="0.25">
      <c r="A35" t="s">
        <v>51</v>
      </c>
      <c r="B35">
        <v>3.5734165999999998E-2</v>
      </c>
    </row>
    <row r="36" spans="1:15" x14ac:dyDescent="0.25">
      <c r="A36" s="12" t="s">
        <v>107</v>
      </c>
      <c r="B36" s="12">
        <v>1.1000000000000001</v>
      </c>
    </row>
    <row r="38" spans="1:15" x14ac:dyDescent="0.25">
      <c r="A38" s="1" t="s">
        <v>125</v>
      </c>
      <c r="E38" t="s">
        <v>110</v>
      </c>
      <c r="F38" t="s">
        <v>111</v>
      </c>
      <c r="G38" t="s">
        <v>112</v>
      </c>
      <c r="H38" t="s">
        <v>113</v>
      </c>
      <c r="I38" t="s">
        <v>12</v>
      </c>
      <c r="J38" t="s">
        <v>70</v>
      </c>
      <c r="L38" t="s">
        <v>114</v>
      </c>
      <c r="M38" t="s">
        <v>115</v>
      </c>
      <c r="N38" t="s">
        <v>116</v>
      </c>
      <c r="O38" t="s">
        <v>117</v>
      </c>
    </row>
    <row r="39" spans="1:15" x14ac:dyDescent="0.25">
      <c r="A39" t="s">
        <v>48</v>
      </c>
      <c r="B39">
        <v>0.6</v>
      </c>
      <c r="D39" t="s">
        <v>118</v>
      </c>
      <c r="E39">
        <v>2.7565982404692089</v>
      </c>
      <c r="F39">
        <v>4.6862170087976542</v>
      </c>
      <c r="G39" s="13">
        <v>7.2096999999999998</v>
      </c>
      <c r="H39" s="13">
        <v>12.425000000000001</v>
      </c>
      <c r="I39" s="13">
        <v>2.7029000000000001</v>
      </c>
      <c r="J39" s="13">
        <v>0.8</v>
      </c>
      <c r="K39" s="2"/>
      <c r="L39" s="13">
        <v>3.8016626010904901</v>
      </c>
      <c r="M39" s="13">
        <v>9.0794891995693856</v>
      </c>
      <c r="N39" s="13">
        <v>2.7351654560506122</v>
      </c>
      <c r="O39" s="13">
        <v>0.24836984591137898</v>
      </c>
    </row>
    <row r="40" spans="1:15" x14ac:dyDescent="0.25">
      <c r="A40" t="s">
        <v>49</v>
      </c>
      <c r="B40">
        <v>0.3624</v>
      </c>
      <c r="D40" t="s">
        <v>119</v>
      </c>
      <c r="E40">
        <v>4.1348973607038122</v>
      </c>
      <c r="F40">
        <v>6.6158357771261</v>
      </c>
      <c r="G40" s="13">
        <v>10.942</v>
      </c>
      <c r="H40" s="13">
        <v>17.640999999999998</v>
      </c>
      <c r="I40" s="13">
        <v>2.6999</v>
      </c>
      <c r="J40" s="13">
        <v>0.79</v>
      </c>
      <c r="K40" s="2"/>
      <c r="L40" s="13">
        <v>5.2009344620555771</v>
      </c>
      <c r="M40" s="13">
        <v>11.655181895774897</v>
      </c>
      <c r="N40" s="13">
        <v>2.6015347221019947</v>
      </c>
      <c r="O40" s="13">
        <v>0.23486031672103619</v>
      </c>
    </row>
    <row r="41" spans="1:15" x14ac:dyDescent="0.25">
      <c r="A41" t="s">
        <v>50</v>
      </c>
      <c r="B41">
        <v>1.3162826159999999E-3</v>
      </c>
      <c r="D41" t="s">
        <v>120</v>
      </c>
      <c r="E41">
        <v>1.6598240469208212</v>
      </c>
      <c r="F41">
        <v>4.4261974584555199</v>
      </c>
      <c r="G41" s="13">
        <v>3.7326999999999999</v>
      </c>
      <c r="H41" s="13">
        <v>10.227</v>
      </c>
      <c r="I41" s="13">
        <v>2.3658999999999999</v>
      </c>
      <c r="J41" s="13">
        <v>0.11799999999999999</v>
      </c>
      <c r="K41" s="2"/>
      <c r="L41" s="13">
        <v>2.5404591140494355</v>
      </c>
      <c r="M41" s="13">
        <v>10.471940879967685</v>
      </c>
      <c r="N41" s="13">
        <v>2.8671045394114376</v>
      </c>
      <c r="O41" s="13">
        <v>0.12085875883858295</v>
      </c>
    </row>
    <row r="42" spans="1:15" x14ac:dyDescent="0.25">
      <c r="A42" t="s">
        <v>51</v>
      </c>
      <c r="B42">
        <v>3.5734165999999998E-2</v>
      </c>
      <c r="G42" s="13"/>
      <c r="H42" s="13"/>
      <c r="I42" s="13"/>
      <c r="J42" s="13"/>
    </row>
    <row r="43" spans="1:15" x14ac:dyDescent="0.25">
      <c r="A43" s="13" t="s">
        <v>107</v>
      </c>
      <c r="B43" s="13">
        <v>1.1000000000000001</v>
      </c>
    </row>
    <row r="44" spans="1:15" x14ac:dyDescent="0.25">
      <c r="A44" t="s">
        <v>108</v>
      </c>
      <c r="B4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B5B9-FD29-40E5-8BFD-68F4AFFDF1A7}">
  <dimension ref="A1:J38"/>
  <sheetViews>
    <sheetView tabSelected="1" zoomScale="85" zoomScaleNormal="85" workbookViewId="0"/>
  </sheetViews>
  <sheetFormatPr defaultColWidth="8.85546875" defaultRowHeight="15" x14ac:dyDescent="0.25"/>
  <cols>
    <col min="1" max="16384" width="8.85546875" style="13"/>
  </cols>
  <sheetData>
    <row r="1" spans="1:10" x14ac:dyDescent="0.25">
      <c r="A1" s="13" t="s">
        <v>48</v>
      </c>
      <c r="B1" s="13">
        <v>0.6</v>
      </c>
      <c r="E1" s="13" t="s">
        <v>110</v>
      </c>
      <c r="F1" s="13" t="s">
        <v>111</v>
      </c>
      <c r="G1" s="13" t="s">
        <v>112</v>
      </c>
      <c r="H1" s="13" t="s">
        <v>113</v>
      </c>
      <c r="I1" s="13" t="s">
        <v>12</v>
      </c>
      <c r="J1" s="13" t="s">
        <v>70</v>
      </c>
    </row>
    <row r="2" spans="1:10" x14ac:dyDescent="0.25">
      <c r="A2" s="13" t="s">
        <v>49</v>
      </c>
      <c r="B2" s="13">
        <v>0.3624</v>
      </c>
      <c r="D2" s="13" t="s">
        <v>118</v>
      </c>
      <c r="E2" s="13">
        <v>2.7565982404692089</v>
      </c>
      <c r="F2" s="13">
        <v>4.6862170087976542</v>
      </c>
      <c r="G2" s="13">
        <v>7.3120000000000003</v>
      </c>
      <c r="H2" s="13">
        <v>12.579000000000001</v>
      </c>
      <c r="I2" s="13">
        <v>2.7294</v>
      </c>
      <c r="J2" s="13">
        <v>0.23549999999999999</v>
      </c>
    </row>
    <row r="3" spans="1:10" x14ac:dyDescent="0.25">
      <c r="A3" s="13" t="s">
        <v>50</v>
      </c>
      <c r="B3" s="13">
        <v>1.3162826159999999E-3</v>
      </c>
      <c r="D3" s="13" t="s">
        <v>119</v>
      </c>
      <c r="E3" s="13">
        <v>4.1348973607038122</v>
      </c>
      <c r="F3" s="13">
        <v>6.6158357771261</v>
      </c>
      <c r="G3" s="13">
        <v>11.096</v>
      </c>
      <c r="H3" s="13">
        <v>17.844999999999999</v>
      </c>
      <c r="I3" s="13">
        <v>2.7204999999999999</v>
      </c>
      <c r="J3" s="13">
        <v>0.23699999999999999</v>
      </c>
    </row>
    <row r="4" spans="1:10" x14ac:dyDescent="0.25">
      <c r="A4" s="13" t="s">
        <v>51</v>
      </c>
      <c r="B4" s="13">
        <v>3.5734165999999998E-2</v>
      </c>
      <c r="D4" s="13" t="s">
        <v>120</v>
      </c>
      <c r="E4" s="13">
        <v>1.6598240469208212</v>
      </c>
      <c r="F4" s="13">
        <v>4.4261974584555199</v>
      </c>
      <c r="G4" s="13">
        <v>3.7837999999999998</v>
      </c>
      <c r="H4" s="13">
        <v>10.532999999999999</v>
      </c>
      <c r="I4" s="13">
        <v>2.4398</v>
      </c>
      <c r="J4" s="13">
        <v>0.11799999999999999</v>
      </c>
    </row>
    <row r="5" spans="1:10" x14ac:dyDescent="0.25">
      <c r="A5" s="13" t="s">
        <v>107</v>
      </c>
      <c r="B5" s="13">
        <v>1.1000000000000001</v>
      </c>
    </row>
    <row r="6" spans="1:10" x14ac:dyDescent="0.25">
      <c r="A6" s="13" t="s">
        <v>108</v>
      </c>
      <c r="B6" s="13">
        <v>27.1</v>
      </c>
    </row>
    <row r="8" spans="1:10" x14ac:dyDescent="0.25">
      <c r="A8" s="15" t="s">
        <v>126</v>
      </c>
    </row>
    <row r="10" spans="1:10" x14ac:dyDescent="0.25">
      <c r="A10" s="13" t="s">
        <v>127</v>
      </c>
      <c r="B10" s="13">
        <f>AVERAGE(B17:D17)</f>
        <v>2.6181000000000001</v>
      </c>
      <c r="D10" t="s">
        <v>60</v>
      </c>
      <c r="E10" s="13">
        <v>0</v>
      </c>
    </row>
    <row r="11" spans="1:10" x14ac:dyDescent="0.25">
      <c r="A11" s="13" t="s">
        <v>70</v>
      </c>
      <c r="B11" s="13">
        <f>AVERAGE(B18:D18)</f>
        <v>0.19831333333333334</v>
      </c>
      <c r="D11" t="s">
        <v>63</v>
      </c>
      <c r="E11" s="13">
        <f>$B$11/$B$12</f>
        <v>0.1322088888888889</v>
      </c>
    </row>
    <row r="12" spans="1:10" x14ac:dyDescent="0.25">
      <c r="A12" s="13" t="s">
        <v>128</v>
      </c>
      <c r="B12" s="13">
        <v>1.5</v>
      </c>
      <c r="D12" t="s">
        <v>66</v>
      </c>
      <c r="E12" s="13">
        <f>$B$11/($E$11+$E$10)</f>
        <v>1.5</v>
      </c>
    </row>
    <row r="13" spans="1:10" x14ac:dyDescent="0.25">
      <c r="D13" t="s">
        <v>67</v>
      </c>
      <c r="E13" s="13">
        <f>$E$12/$B$10</f>
        <v>0.57293457087200639</v>
      </c>
    </row>
    <row r="14" spans="1:10" x14ac:dyDescent="0.25">
      <c r="D14" t="s">
        <v>68</v>
      </c>
      <c r="E14" s="13">
        <f>B11</f>
        <v>0.19831333333333334</v>
      </c>
    </row>
    <row r="16" spans="1:10" x14ac:dyDescent="0.25">
      <c r="B16" s="13" t="s">
        <v>129</v>
      </c>
      <c r="C16" s="13" t="s">
        <v>130</v>
      </c>
      <c r="D16" s="13" t="s">
        <v>131</v>
      </c>
      <c r="E16" s="13" t="s">
        <v>132</v>
      </c>
    </row>
    <row r="17" spans="1:9" x14ac:dyDescent="0.25">
      <c r="A17" s="13" t="s">
        <v>12</v>
      </c>
      <c r="B17" s="13">
        <v>2.7294</v>
      </c>
      <c r="C17" s="13">
        <v>2.7343000000000002</v>
      </c>
      <c r="D17" s="13">
        <v>2.3906000000000001</v>
      </c>
    </row>
    <row r="18" spans="1:9" x14ac:dyDescent="0.25">
      <c r="A18" s="13" t="s">
        <v>70</v>
      </c>
      <c r="B18" s="13">
        <v>0.2379</v>
      </c>
      <c r="C18" s="13">
        <v>0.23673</v>
      </c>
      <c r="D18" s="13">
        <v>0.12031</v>
      </c>
    </row>
    <row r="22" spans="1:9" x14ac:dyDescent="0.25">
      <c r="A22" s="15" t="s">
        <v>133</v>
      </c>
    </row>
    <row r="24" spans="1:9" x14ac:dyDescent="0.25">
      <c r="B24" s="13" t="s">
        <v>129</v>
      </c>
      <c r="C24" s="13" t="s">
        <v>130</v>
      </c>
      <c r="D24" s="13" t="s">
        <v>131</v>
      </c>
      <c r="G24" s="13" t="s">
        <v>129</v>
      </c>
      <c r="H24" s="13" t="s">
        <v>130</v>
      </c>
      <c r="I24" s="13" t="s">
        <v>131</v>
      </c>
    </row>
    <row r="25" spans="1:9" x14ac:dyDescent="0.25">
      <c r="A25" s="13" t="s">
        <v>12</v>
      </c>
      <c r="B25" s="13">
        <v>1.0012000000000001</v>
      </c>
      <c r="C25" s="13">
        <v>0.99095</v>
      </c>
      <c r="D25" s="13">
        <v>0.99853000000000003</v>
      </c>
      <c r="F25" s="13" t="s">
        <v>70</v>
      </c>
      <c r="G25" s="13">
        <v>0.13008</v>
      </c>
      <c r="H25" s="13">
        <v>0.12645000000000001</v>
      </c>
      <c r="I25" s="13">
        <v>9.9501999999999993E-2</v>
      </c>
    </row>
    <row r="26" spans="1:9" x14ac:dyDescent="0.25">
      <c r="B26" s="13">
        <v>0.97863999999999995</v>
      </c>
      <c r="C26" s="13">
        <v>1.0083</v>
      </c>
      <c r="D26" s="13">
        <v>0.99853000000000003</v>
      </c>
      <c r="G26" s="13">
        <v>0.12859999999999999</v>
      </c>
      <c r="H26" s="13">
        <v>0.1283</v>
      </c>
      <c r="I26" s="13">
        <v>0.10023</v>
      </c>
    </row>
    <row r="27" spans="1:9" x14ac:dyDescent="0.25">
      <c r="B27" s="13">
        <v>1.0086999999999999</v>
      </c>
      <c r="C27" s="13">
        <v>0.98660999999999999</v>
      </c>
      <c r="D27" s="13">
        <v>0.99853000000000003</v>
      </c>
      <c r="G27" s="13">
        <v>0.12853999999999999</v>
      </c>
      <c r="H27" s="13">
        <v>0.12945999999999999</v>
      </c>
      <c r="I27" s="13">
        <v>9.8732E-2</v>
      </c>
    </row>
    <row r="28" spans="1:9" x14ac:dyDescent="0.25">
      <c r="A28" s="13" t="s">
        <v>134</v>
      </c>
      <c r="B28" s="13">
        <f>AVERAGE(B25:B27)</f>
        <v>0.99617999999999995</v>
      </c>
      <c r="C28" s="13">
        <f t="shared" ref="C28:D28" si="0">AVERAGE(C25:C27)</f>
        <v>0.99528666666666654</v>
      </c>
      <c r="D28" s="13">
        <f t="shared" si="0"/>
        <v>0.99853000000000003</v>
      </c>
      <c r="F28" s="13" t="s">
        <v>135</v>
      </c>
      <c r="G28" s="13">
        <f t="shared" ref="G28:I28" si="1">AVERAGE(G25:G27)</f>
        <v>0.12907333333333335</v>
      </c>
      <c r="H28" s="13">
        <f t="shared" si="1"/>
        <v>0.12807000000000002</v>
      </c>
      <c r="I28" s="13">
        <f t="shared" si="1"/>
        <v>9.9488000000000007E-2</v>
      </c>
    </row>
    <row r="29" spans="1:9" x14ac:dyDescent="0.25">
      <c r="A29" s="13" t="s">
        <v>12</v>
      </c>
      <c r="B29" s="12">
        <v>1</v>
      </c>
      <c r="C29" s="12">
        <v>1</v>
      </c>
      <c r="D29" s="12">
        <v>1</v>
      </c>
      <c r="E29" s="13" t="s">
        <v>136</v>
      </c>
    </row>
    <row r="31" spans="1:9" x14ac:dyDescent="0.25">
      <c r="B31" s="13" t="s">
        <v>129</v>
      </c>
      <c r="C31" s="13" t="s">
        <v>130</v>
      </c>
      <c r="D31" s="13" t="s">
        <v>131</v>
      </c>
      <c r="G31" s="13" t="s">
        <v>137</v>
      </c>
      <c r="H31" s="13" t="s">
        <v>138</v>
      </c>
    </row>
    <row r="32" spans="1:9" x14ac:dyDescent="0.25">
      <c r="A32" s="13" t="s">
        <v>139</v>
      </c>
      <c r="B32" s="13" cm="1">
        <f t="array" ref="B32:D32">B29:D29</f>
        <v>1</v>
      </c>
      <c r="C32" s="13">
        <v>1</v>
      </c>
      <c r="D32" s="13">
        <v>1</v>
      </c>
      <c r="F32" s="13" t="s">
        <v>140</v>
      </c>
      <c r="G32" s="13">
        <v>-4.0529999999999999</v>
      </c>
      <c r="H32" s="13">
        <v>-2.34</v>
      </c>
    </row>
    <row r="33" spans="1:8" x14ac:dyDescent="0.25">
      <c r="A33" s="13" t="s">
        <v>141</v>
      </c>
      <c r="B33" s="13" cm="1">
        <f t="array" ref="B33:D33">G28:I28</f>
        <v>0.12907333333333335</v>
      </c>
      <c r="C33" s="13">
        <v>0.12807000000000002</v>
      </c>
      <c r="D33" s="13">
        <v>9.9488000000000007E-2</v>
      </c>
      <c r="F33" s="13" t="s">
        <v>142</v>
      </c>
      <c r="G33" s="13">
        <v>-4.0529999999999999</v>
      </c>
      <c r="H33" s="13">
        <v>2.34</v>
      </c>
    </row>
    <row r="35" spans="1:8" x14ac:dyDescent="0.25">
      <c r="A35" s="13" t="s">
        <v>143</v>
      </c>
      <c r="F35" s="13" t="s">
        <v>144</v>
      </c>
      <c r="G35" s="13">
        <v>0.8</v>
      </c>
    </row>
    <row r="36" spans="1:8" x14ac:dyDescent="0.25">
      <c r="B36" s="13" t="s">
        <v>129</v>
      </c>
      <c r="C36" s="13" t="s">
        <v>130</v>
      </c>
      <c r="D36" s="13" t="s">
        <v>131</v>
      </c>
    </row>
    <row r="37" spans="1:8" x14ac:dyDescent="0.25">
      <c r="A37" s="13" t="s">
        <v>67</v>
      </c>
      <c r="B37" s="13">
        <f>$H$38*B33/B32</f>
        <v>4.4172139650937492</v>
      </c>
      <c r="C37" s="13">
        <f t="shared" ref="C37:D37" si="2">$H$38*C33/C32</f>
        <v>4.382877375984374</v>
      </c>
      <c r="D37" s="13">
        <f t="shared" si="2"/>
        <v>3.4047294790499993</v>
      </c>
      <c r="F37" s="13" t="s">
        <v>145</v>
      </c>
      <c r="G37" s="13" t="s">
        <v>146</v>
      </c>
      <c r="H37" s="13" t="s">
        <v>147</v>
      </c>
    </row>
    <row r="38" spans="1:8" x14ac:dyDescent="0.25">
      <c r="A38" s="13" t="s">
        <v>148</v>
      </c>
      <c r="B38" s="13">
        <f>($G$38*B33-1)/(B32*B37)</f>
        <v>6.9689979347302561E-2</v>
      </c>
      <c r="C38" s="13">
        <f t="shared" ref="C38:D38" si="3">($G$38*C33-1)/(C32*C37)</f>
        <v>6.7916405015357048E-2</v>
      </c>
      <c r="D38" s="13">
        <f t="shared" si="3"/>
        <v>2.3679296841667033E-3</v>
      </c>
      <c r="F38" s="13">
        <v>1</v>
      </c>
      <c r="G38" s="13">
        <f>-2*G32/G35</f>
        <v>10.132499999999999</v>
      </c>
      <c r="H38" s="13">
        <f>(G33^2+H33^2)/G35^2</f>
        <v>34.22251406249999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0B83-B84B-413B-89C9-5B51BC8D0738}">
  <dimension ref="A1:W13"/>
  <sheetViews>
    <sheetView workbookViewId="0">
      <selection activeCell="K13" sqref="K13"/>
    </sheetView>
  </sheetViews>
  <sheetFormatPr defaultRowHeight="15" x14ac:dyDescent="0.25"/>
  <cols>
    <col min="9" max="9" width="2.7109375" customWidth="1"/>
    <col min="10" max="11" width="12.7109375" customWidth="1"/>
    <col min="12" max="12" width="2.7109375" customWidth="1"/>
    <col min="13" max="14" width="12.7109375" customWidth="1"/>
    <col min="15" max="16" width="2.7109375" customWidth="1"/>
    <col min="17" max="19" width="12.7109375" customWidth="1"/>
    <col min="20" max="20" width="2.7109375" customWidth="1"/>
    <col min="21" max="23" width="12.7109375" customWidth="1"/>
  </cols>
  <sheetData>
    <row r="1" spans="1:23" x14ac:dyDescent="0.25">
      <c r="A1" s="1" t="s">
        <v>0</v>
      </c>
    </row>
    <row r="3" spans="1:23" x14ac:dyDescent="0.25">
      <c r="A3" s="1" t="s">
        <v>1</v>
      </c>
      <c r="F3" s="1" t="s">
        <v>2</v>
      </c>
    </row>
    <row r="4" spans="1:23" x14ac:dyDescent="0.25">
      <c r="A4" t="s">
        <v>3</v>
      </c>
      <c r="D4">
        <v>1023</v>
      </c>
    </row>
    <row r="5" spans="1:23" x14ac:dyDescent="0.25">
      <c r="A5" t="s">
        <v>5</v>
      </c>
      <c r="D5">
        <v>0.01</v>
      </c>
    </row>
    <row r="6" spans="1:23" x14ac:dyDescent="0.25">
      <c r="A6" t="s">
        <v>7</v>
      </c>
      <c r="D6">
        <v>1024</v>
      </c>
    </row>
    <row r="7" spans="1:23" x14ac:dyDescent="0.25">
      <c r="A7" t="s">
        <v>8</v>
      </c>
      <c r="D7">
        <v>12</v>
      </c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7" t="s">
        <v>9</v>
      </c>
      <c r="K8" s="17"/>
      <c r="L8" s="17"/>
      <c r="M8" s="17"/>
      <c r="N8" s="17"/>
      <c r="Q8" s="18" t="s">
        <v>10</v>
      </c>
      <c r="R8" s="18"/>
      <c r="S8" s="18"/>
      <c r="T8" s="18"/>
      <c r="U8" s="18"/>
      <c r="V8" s="18"/>
      <c r="W8" s="18"/>
    </row>
    <row r="9" spans="1:23" x14ac:dyDescent="0.25">
      <c r="J9" t="s">
        <v>11</v>
      </c>
      <c r="K9" t="s">
        <v>12</v>
      </c>
      <c r="M9" t="s">
        <v>13</v>
      </c>
      <c r="N9" t="s">
        <v>14</v>
      </c>
      <c r="Q9" t="s">
        <v>11</v>
      </c>
      <c r="R9" t="s">
        <v>12</v>
      </c>
      <c r="U9" t="s">
        <v>13</v>
      </c>
      <c r="V9" t="s">
        <v>14</v>
      </c>
    </row>
    <row r="10" spans="1:23" x14ac:dyDescent="0.25">
      <c r="J10" t="e" cm="1">
        <f t="array" ref="J10">LINEST(K13:K13,J13:J13)</f>
        <v>#VALUE!</v>
      </c>
      <c r="M10" cm="1">
        <f t="array" ref="M10:N10">LINEST(N13:N13,M13:M13)</f>
        <v>0</v>
      </c>
      <c r="N10">
        <v>0</v>
      </c>
      <c r="U10" s="3"/>
    </row>
    <row r="12" spans="1:23" x14ac:dyDescent="0.2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  <c r="F12" s="16" t="s">
        <v>20</v>
      </c>
      <c r="G12" s="16" t="s">
        <v>21</v>
      </c>
      <c r="H12" s="16" t="s">
        <v>22</v>
      </c>
      <c r="I12" s="16"/>
      <c r="J12" s="16" t="s">
        <v>23</v>
      </c>
      <c r="K12" s="16" t="s">
        <v>24</v>
      </c>
      <c r="L12" s="16"/>
      <c r="M12" s="16" t="s">
        <v>22</v>
      </c>
      <c r="N12" s="16" t="s">
        <v>25</v>
      </c>
      <c r="O12" s="16"/>
      <c r="P12" s="16"/>
      <c r="Q12" s="18" t="s">
        <v>26</v>
      </c>
      <c r="R12" s="18"/>
      <c r="S12" s="16" t="s">
        <v>27</v>
      </c>
      <c r="T12" s="16"/>
      <c r="U12" s="18" t="s">
        <v>28</v>
      </c>
      <c r="V12" s="18"/>
      <c r="W12" s="16" t="s">
        <v>29</v>
      </c>
    </row>
    <row r="13" spans="1:23" x14ac:dyDescent="0.25">
      <c r="E13" s="5"/>
      <c r="F13">
        <f>E13*60/($D$5*$D$6*$D$7)</f>
        <v>0</v>
      </c>
      <c r="G13">
        <f>F13*2*PI()/60</f>
        <v>0</v>
      </c>
      <c r="H13">
        <f>G13*$D$7</f>
        <v>0</v>
      </c>
      <c r="J13" t="e">
        <f>D13/H13</f>
        <v>#DIV/0!</v>
      </c>
      <c r="K13" t="e">
        <f>C13/H13</f>
        <v>#DIV/0!</v>
      </c>
      <c r="M13">
        <f>H13</f>
        <v>0</v>
      </c>
      <c r="N13">
        <f>D13*$K$10</f>
        <v>0</v>
      </c>
    </row>
  </sheetData>
  <mergeCells count="4">
    <mergeCell ref="J8:N8"/>
    <mergeCell ref="Q8:W8"/>
    <mergeCell ref="Q12:R12"/>
    <mergeCell ref="U12: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M1-Run 1</vt:lpstr>
      <vt:lpstr>M1-Run 2</vt:lpstr>
      <vt:lpstr>M1-Run 3</vt:lpstr>
      <vt:lpstr>M1-Run 4</vt:lpstr>
      <vt:lpstr>M1-Run 5</vt:lpstr>
      <vt:lpstr>M1-Run 6</vt:lpstr>
      <vt:lpstr>M1-Run 7</vt:lpstr>
      <vt:lpstr>M2-Run 1</vt:lpstr>
      <vt:lpstr>M2-Run 2</vt:lpstr>
      <vt:lpstr>M3-Run 2</vt:lpstr>
      <vt:lpstr>M3-Run 1</vt:lpstr>
      <vt:lpstr>Simulation Parameters</vt:lpstr>
      <vt:lpstr>Adjust Simulation</vt:lpstr>
      <vt:lpstr>Simulation Controllers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Barbosa Sousa</dc:creator>
  <cp:keywords/>
  <dc:description/>
  <cp:lastModifiedBy>Ricardo Barbosa Sousa</cp:lastModifiedBy>
  <cp:revision/>
  <dcterms:created xsi:type="dcterms:W3CDTF">2020-11-16T12:31:31Z</dcterms:created>
  <dcterms:modified xsi:type="dcterms:W3CDTF">2021-09-05T18:19:47Z</dcterms:modified>
  <cp:category/>
  <cp:contentStatus/>
</cp:coreProperties>
</file>