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sousa\Dev\slr-ltlm-mr\data\discussion\"/>
    </mc:Choice>
  </mc:AlternateContent>
  <xr:revisionPtr revIDLastSave="0" documentId="13_ncr:1_{62CBAD58-67CA-4D22-BBAD-EF59ABEEF8C2}" xr6:coauthVersionLast="47" xr6:coauthVersionMax="47" xr10:uidLastSave="{00000000-0000-0000-0000-000000000000}"/>
  <bookViews>
    <workbookView xWindow="2730" yWindow="2730" windowWidth="21600" windowHeight="11235" firstSheet="1" activeTab="4" xr2:uid="{00000000-000D-0000-FFFF-FFFF00000000}"/>
  </bookViews>
  <sheets>
    <sheet name="datasets" sheetId="2" r:id="rId1"/>
    <sheet name="analysis" sheetId="1" r:id="rId2"/>
    <sheet name="dist-t-analysis" sheetId="4" r:id="rId3"/>
    <sheet name="gt-analysis" sheetId="5" r:id="rId4"/>
    <sheet name="organization"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5" i="2" l="1"/>
  <c r="AM18" i="2"/>
  <c r="AM35" i="2"/>
  <c r="AM43" i="2"/>
  <c r="AM26" i="2"/>
  <c r="AM46" i="2"/>
  <c r="AM21" i="2"/>
  <c r="AM27" i="2"/>
  <c r="AM33" i="2"/>
  <c r="AM36" i="2"/>
  <c r="AM44" i="2"/>
  <c r="AM16" i="2"/>
  <c r="AM17" i="2"/>
  <c r="AM31" i="2"/>
  <c r="AM45" i="2"/>
  <c r="AM47" i="2"/>
  <c r="AM19" i="2"/>
  <c r="AM25" i="2"/>
  <c r="AM32" i="2"/>
  <c r="AM42" i="2"/>
  <c r="AM9" i="2"/>
  <c r="AM10" i="2"/>
  <c r="AM13" i="2"/>
  <c r="AM20" i="2"/>
  <c r="AM22" i="2"/>
  <c r="AM24" i="2"/>
  <c r="AM28" i="2"/>
  <c r="AM30" i="2"/>
  <c r="AM38" i="2"/>
  <c r="AM39" i="2"/>
  <c r="AM41" i="2"/>
  <c r="AM5" i="2"/>
  <c r="AM6" i="2"/>
  <c r="AM7" i="2"/>
  <c r="AM8" i="2"/>
  <c r="AM11" i="2"/>
  <c r="AM12" i="2"/>
  <c r="AM14" i="2"/>
  <c r="AM23" i="2"/>
  <c r="AM29" i="2"/>
  <c r="AM34" i="2"/>
  <c r="AM37" i="2"/>
  <c r="AM40" i="2"/>
  <c r="AS25" i="1" l="1"/>
  <c r="AS5" i="1"/>
  <c r="AS6" i="1"/>
  <c r="AS7" i="1"/>
  <c r="AS8" i="1"/>
  <c r="AS9" i="1"/>
  <c r="AS10" i="1"/>
  <c r="AS11" i="1"/>
  <c r="AS12" i="1"/>
  <c r="AS13" i="1"/>
  <c r="AS14" i="1"/>
  <c r="AS15" i="1"/>
  <c r="AS16" i="1"/>
  <c r="AS17" i="1"/>
  <c r="AS18" i="1"/>
  <c r="AS19" i="1"/>
  <c r="AS20" i="1"/>
  <c r="AS21" i="1"/>
  <c r="AS22" i="1"/>
  <c r="AS23" i="1"/>
  <c r="AS24" i="1"/>
  <c r="AS4" i="1"/>
  <c r="AP4" i="1"/>
  <c r="AQ4" i="1" s="1"/>
  <c r="AP5" i="1" l="1"/>
  <c r="AQ5" i="1" s="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4" i="1"/>
  <c r="AR4" i="1" s="1"/>
  <c r="E9" i="5"/>
  <c r="E14" i="5"/>
  <c r="E7" i="5"/>
  <c r="E15" i="5"/>
  <c r="E10" i="5"/>
  <c r="E4" i="5"/>
  <c r="E16" i="5"/>
  <c r="E12" i="5"/>
  <c r="E11" i="5"/>
  <c r="E13" i="5"/>
  <c r="E5" i="5"/>
  <c r="E8" i="5"/>
  <c r="E6" i="5"/>
  <c r="E17" i="5"/>
  <c r="E18" i="5"/>
  <c r="AP6" i="1" l="1"/>
  <c r="AQ6" i="1" s="1"/>
  <c r="AR5" i="1"/>
  <c r="E48" i="2"/>
  <c r="F48" i="2"/>
  <c r="G48" i="2"/>
  <c r="H48" i="2"/>
  <c r="I48" i="2"/>
  <c r="D48" i="2"/>
  <c r="AC7" i="1"/>
  <c r="AC25" i="1"/>
  <c r="S7" i="1"/>
  <c r="S26" i="1"/>
  <c r="I8" i="1"/>
  <c r="I10" i="1"/>
  <c r="I13" i="1"/>
  <c r="I12" i="1"/>
  <c r="I21" i="1"/>
  <c r="I16" i="1"/>
  <c r="I6" i="1"/>
  <c r="I7" i="1"/>
  <c r="I11" i="1"/>
  <c r="I22" i="1"/>
  <c r="I5" i="1"/>
  <c r="I17" i="1"/>
  <c r="I23" i="1"/>
  <c r="I9" i="1"/>
  <c r="I14" i="1"/>
  <c r="I18" i="1"/>
  <c r="I24" i="1"/>
  <c r="I19" i="1"/>
  <c r="I25" i="1"/>
  <c r="I26" i="1"/>
  <c r="I27" i="1"/>
  <c r="I15" i="1"/>
  <c r="I28" i="1"/>
  <c r="I29" i="1"/>
  <c r="I30" i="1"/>
  <c r="I31" i="1"/>
  <c r="I20" i="1"/>
  <c r="I32" i="1"/>
  <c r="I33" i="1"/>
  <c r="I34" i="1"/>
  <c r="I35" i="1"/>
  <c r="I36" i="1"/>
  <c r="D7" i="1"/>
  <c r="D20" i="1"/>
  <c r="D12" i="1"/>
  <c r="D31" i="1"/>
  <c r="D32" i="1"/>
  <c r="D13" i="1"/>
  <c r="D21" i="1"/>
  <c r="D8" i="1"/>
  <c r="D11" i="1"/>
  <c r="D22" i="1"/>
  <c r="D16" i="1"/>
  <c r="D33" i="1"/>
  <c r="D9" i="1"/>
  <c r="D26" i="1"/>
  <c r="D23" i="1"/>
  <c r="D6" i="1"/>
  <c r="D4" i="1"/>
  <c r="D34" i="1"/>
  <c r="D17" i="1"/>
  <c r="D5" i="1"/>
  <c r="D14" i="1"/>
  <c r="D18" i="1"/>
  <c r="D24" i="1"/>
  <c r="D15" i="1"/>
  <c r="D35" i="1"/>
  <c r="D10" i="1"/>
  <c r="D19" i="1"/>
  <c r="D27" i="1"/>
  <c r="D36" i="1"/>
  <c r="D28" i="1"/>
  <c r="D37" i="1"/>
  <c r="D38" i="1"/>
  <c r="D25" i="1"/>
  <c r="D39" i="1"/>
  <c r="D40" i="1"/>
  <c r="D29" i="1"/>
  <c r="D30" i="1"/>
  <c r="D41" i="1"/>
  <c r="D42" i="1"/>
  <c r="D43" i="1"/>
  <c r="D44" i="1"/>
  <c r="D45" i="1"/>
  <c r="D46" i="1"/>
  <c r="AH3" i="1"/>
  <c r="AB3" i="1"/>
  <c r="W3" i="1"/>
  <c r="R3" i="1"/>
  <c r="M3" i="1"/>
  <c r="H3" i="1"/>
  <c r="C2" i="1"/>
  <c r="AP7" i="1" l="1"/>
  <c r="AQ7" i="1" s="1"/>
  <c r="AR6" i="1"/>
  <c r="AC18" i="1"/>
  <c r="AC19" i="1"/>
  <c r="AC10" i="1"/>
  <c r="AC24" i="1"/>
  <c r="AC6" i="1"/>
  <c r="AC11" i="1"/>
  <c r="AC12" i="1"/>
  <c r="AC20" i="1"/>
  <c r="AC15" i="1"/>
  <c r="AC5" i="1"/>
  <c r="AC21" i="1"/>
  <c r="AC16" i="1"/>
  <c r="AC8" i="1"/>
  <c r="AC9" i="1"/>
  <c r="AC22" i="1"/>
  <c r="AC17" i="1"/>
  <c r="AC13" i="1"/>
  <c r="AC14" i="1"/>
  <c r="AC23" i="1"/>
  <c r="X7" i="1"/>
  <c r="X5" i="1"/>
  <c r="X8" i="1"/>
  <c r="X9" i="1"/>
  <c r="X10" i="1"/>
  <c r="X6" i="1"/>
  <c r="X11" i="1"/>
  <c r="X12" i="1"/>
  <c r="X14" i="1"/>
  <c r="X15" i="1"/>
  <c r="X13" i="1"/>
  <c r="S18" i="1"/>
  <c r="S5" i="1"/>
  <c r="S16" i="1"/>
  <c r="S19" i="1"/>
  <c r="S17" i="1"/>
  <c r="S13" i="1"/>
  <c r="S14" i="1"/>
  <c r="S21" i="1"/>
  <c r="S11" i="1"/>
  <c r="S15" i="1"/>
  <c r="S6" i="1"/>
  <c r="S24" i="1"/>
  <c r="S12" i="1"/>
  <c r="S22" i="1"/>
  <c r="S8" i="1"/>
  <c r="S23" i="1"/>
  <c r="S10" i="1"/>
  <c r="S20" i="1"/>
  <c r="S25" i="1"/>
  <c r="S9" i="1"/>
  <c r="AP8" i="1" l="1"/>
  <c r="AQ8" i="1" s="1"/>
  <c r="AR7" i="1"/>
  <c r="C1" i="2"/>
  <c r="D1" i="2" s="1"/>
  <c r="E1" i="2" s="1"/>
  <c r="F1" i="2" s="1"/>
  <c r="G1" i="2" s="1"/>
  <c r="H1" i="2" s="1"/>
  <c r="I1" i="2" s="1"/>
  <c r="J1" i="2" s="1"/>
  <c r="K1" i="2" s="1"/>
  <c r="L1" i="2" s="1"/>
  <c r="M1" i="2" s="1"/>
  <c r="N1" i="2" s="1"/>
  <c r="O1" i="2" s="1"/>
  <c r="P1" i="2" s="1"/>
  <c r="Q1" i="2" s="1"/>
  <c r="R1" i="2" s="1"/>
  <c r="S1" i="2" s="1"/>
  <c r="T1" i="2" s="1"/>
  <c r="U1" i="2" s="1"/>
  <c r="V1" i="2" s="1"/>
  <c r="W1" i="2" s="1"/>
  <c r="X1" i="2" s="1"/>
  <c r="Y1" i="2" s="1"/>
  <c r="Z1" i="2" s="1"/>
  <c r="AA1" i="2" s="1"/>
  <c r="AB1" i="2" s="1"/>
  <c r="AC1" i="2" s="1"/>
  <c r="AD1" i="2" s="1"/>
  <c r="AE1" i="2" s="1"/>
  <c r="AF1" i="2" s="1"/>
  <c r="AG1" i="2" s="1"/>
  <c r="AH1" i="2" s="1"/>
  <c r="G4" i="5"/>
  <c r="G5" i="5"/>
  <c r="G15" i="5"/>
  <c r="G8" i="5"/>
  <c r="G6" i="5"/>
  <c r="G12" i="5"/>
  <c r="G9" i="5"/>
  <c r="G17" i="5"/>
  <c r="G11" i="5"/>
  <c r="G16" i="5"/>
  <c r="G13" i="5"/>
  <c r="G14" i="5"/>
  <c r="G10" i="5"/>
  <c r="G7" i="5"/>
  <c r="G18" i="5"/>
  <c r="F4" i="5"/>
  <c r="F5" i="5"/>
  <c r="F15" i="5"/>
  <c r="F8" i="5"/>
  <c r="F6" i="5"/>
  <c r="F12" i="5"/>
  <c r="F9" i="5"/>
  <c r="F17" i="5"/>
  <c r="F11" i="5"/>
  <c r="F16" i="5"/>
  <c r="F13" i="5"/>
  <c r="F14" i="5"/>
  <c r="F10" i="5"/>
  <c r="F7" i="5"/>
  <c r="F18" i="5"/>
  <c r="AP9" i="1" l="1"/>
  <c r="AQ9" i="1" s="1"/>
  <c r="AR8" i="1"/>
  <c r="AN19" i="2"/>
  <c r="AN23" i="2"/>
  <c r="AN15" i="2"/>
  <c r="AN40" i="2"/>
  <c r="AN41" i="2"/>
  <c r="AN10" i="2"/>
  <c r="AN37" i="2"/>
  <c r="AN20" i="2"/>
  <c r="AN25" i="2"/>
  <c r="AN16" i="2"/>
  <c r="AN32" i="2"/>
  <c r="AN38" i="2"/>
  <c r="AN5" i="2"/>
  <c r="AN21" i="2"/>
  <c r="AN6" i="2"/>
  <c r="AN7" i="2"/>
  <c r="AN29" i="2"/>
  <c r="AN8" i="2"/>
  <c r="AN45" i="2"/>
  <c r="AN31" i="2"/>
  <c r="AN26" i="2"/>
  <c r="AN34" i="2"/>
  <c r="AN11" i="2"/>
  <c r="AN12" i="2"/>
  <c r="AN17" i="2"/>
  <c r="AN9" i="2"/>
  <c r="AN27" i="2"/>
  <c r="AN42" i="2"/>
  <c r="AN33" i="2"/>
  <c r="AN18" i="2"/>
  <c r="AN13" i="2"/>
  <c r="AN28" i="2"/>
  <c r="AN47" i="2"/>
  <c r="AN43" i="2"/>
  <c r="AN35" i="2"/>
  <c r="AN46" i="2"/>
  <c r="AN39" i="2"/>
  <c r="AN14" i="2"/>
  <c r="AN24" i="2"/>
  <c r="AN44" i="2"/>
  <c r="AN22" i="2"/>
  <c r="AN30" i="2"/>
  <c r="AN36" i="2"/>
  <c r="AP10" i="1" l="1"/>
  <c r="AQ10" i="1" s="1"/>
  <c r="AR9" i="1"/>
  <c r="AN48" i="2"/>
  <c r="AP11" i="1" l="1"/>
  <c r="AQ11" i="1" s="1"/>
  <c r="AR10" i="1"/>
  <c r="G10" i="3"/>
  <c r="H10" i="3"/>
  <c r="I10" i="3"/>
  <c r="J10" i="3"/>
  <c r="K10" i="3"/>
  <c r="L10" i="3"/>
  <c r="M10" i="3"/>
  <c r="N10" i="3"/>
  <c r="O10" i="3"/>
  <c r="P10" i="3"/>
  <c r="Q10" i="3"/>
  <c r="R10" i="3"/>
  <c r="S10" i="3"/>
  <c r="T10" i="3"/>
  <c r="U10" i="3"/>
  <c r="F10" i="3"/>
  <c r="M48" i="2"/>
  <c r="N48" i="2"/>
  <c r="O48" i="2"/>
  <c r="P48" i="2"/>
  <c r="Q48" i="2"/>
  <c r="R48" i="2"/>
  <c r="S48" i="2"/>
  <c r="T48" i="2"/>
  <c r="U48" i="2"/>
  <c r="V48" i="2"/>
  <c r="W48" i="2"/>
  <c r="X48" i="2"/>
  <c r="Y48" i="2"/>
  <c r="Z48" i="2"/>
  <c r="AA48" i="2"/>
  <c r="L48" i="2"/>
  <c r="AI5" i="1"/>
  <c r="AI6" i="1"/>
  <c r="N8" i="1"/>
  <c r="N6" i="1"/>
  <c r="N11" i="1"/>
  <c r="N5" i="1"/>
  <c r="N7" i="1"/>
  <c r="N9" i="1"/>
  <c r="N12" i="1"/>
  <c r="N13" i="1"/>
  <c r="N10" i="1"/>
  <c r="N14" i="1"/>
  <c r="AH26" i="2"/>
  <c r="AP12" i="1" l="1"/>
  <c r="AQ12" i="1" s="1"/>
  <c r="AR11" i="1"/>
  <c r="AP13" i="1" l="1"/>
  <c r="AQ13" i="1" s="1"/>
  <c r="AR12" i="1"/>
  <c r="AP14" i="1" l="1"/>
  <c r="AQ14" i="1" s="1"/>
  <c r="AR13" i="1"/>
  <c r="AP15" i="1" l="1"/>
  <c r="AQ15" i="1" s="1"/>
  <c r="AR14" i="1"/>
  <c r="AP16" i="1" l="1"/>
  <c r="AQ16" i="1" s="1"/>
  <c r="AR15" i="1"/>
  <c r="AP17" i="1" l="1"/>
  <c r="AQ17" i="1" s="1"/>
  <c r="AR16" i="1"/>
  <c r="AP18" i="1" l="1"/>
  <c r="AQ18" i="1" s="1"/>
  <c r="AR17" i="1"/>
  <c r="AP19" i="1" l="1"/>
  <c r="AQ19" i="1" s="1"/>
  <c r="AR18" i="1"/>
  <c r="AP20" i="1" l="1"/>
  <c r="AQ20" i="1" s="1"/>
  <c r="AR19" i="1"/>
  <c r="AP21" i="1" l="1"/>
  <c r="AQ21" i="1" s="1"/>
  <c r="AR20" i="1"/>
  <c r="AP22" i="1" l="1"/>
  <c r="AQ22" i="1" s="1"/>
  <c r="AR21" i="1"/>
  <c r="AP23" i="1" l="1"/>
  <c r="AQ23" i="1" s="1"/>
  <c r="AR22" i="1"/>
  <c r="AP24" i="1" l="1"/>
  <c r="AR23" i="1"/>
  <c r="AR24" i="1" l="1"/>
  <c r="AR25" i="1" s="1"/>
  <c r="AQ24" i="1"/>
  <c r="AQ25" i="1" s="1"/>
</calcChain>
</file>

<file path=xl/sharedStrings.xml><?xml version="1.0" encoding="utf-8"?>
<sst xmlns="http://schemas.openxmlformats.org/spreadsheetml/2006/main" count="2374" uniqueCount="729">
  <si>
    <t>dataset</t>
  </si>
  <si>
    <t>sensors</t>
  </si>
  <si>
    <t>calib</t>
  </si>
  <si>
    <t>(km)</t>
  </si>
  <si>
    <t>(h)</t>
  </si>
  <si>
    <t>(d/m/y)</t>
  </si>
  <si>
    <t>camera</t>
  </si>
  <si>
    <t>laser</t>
  </si>
  <si>
    <t>name</t>
  </si>
  <si>
    <t>biblatex id</t>
  </si>
  <si>
    <t>long-term</t>
  </si>
  <si>
    <t>environ</t>
  </si>
  <si>
    <t>domain</t>
  </si>
  <si>
    <t xml:space="preserve">      odo</t>
  </si>
  <si>
    <t xml:space="preserve">      gray</t>
  </si>
  <si>
    <t xml:space="preserve">      color</t>
  </si>
  <si>
    <t xml:space="preserve">      mono</t>
  </si>
  <si>
    <t xml:space="preserve">      stereo</t>
  </si>
  <si>
    <t xml:space="preserve">      omni</t>
  </si>
  <si>
    <t xml:space="preserve">      rgbd</t>
  </si>
  <si>
    <t xml:space="preserve">      thermal</t>
  </si>
  <si>
    <t xml:space="preserve">      2d</t>
  </si>
  <si>
    <t xml:space="preserve">      3d</t>
  </si>
  <si>
    <t xml:space="preserve">      radar</t>
  </si>
  <si>
    <t xml:space="preserve">      sonar</t>
  </si>
  <si>
    <t xml:space="preserve">      imu</t>
  </si>
  <si>
    <t xml:space="preserve">      gps</t>
  </si>
  <si>
    <t xml:space="preserve">      intrinsic</t>
  </si>
  <si>
    <t xml:space="preserve">      extrinsic</t>
  </si>
  <si>
    <t>ground-truth</t>
  </si>
  <si>
    <t>file format</t>
  </si>
  <si>
    <t xml:space="preserve">      total dist.</t>
  </si>
  <si>
    <t xml:space="preserve">      path</t>
  </si>
  <si>
    <t xml:space="preserve">      total time</t>
  </si>
  <si>
    <t xml:space="preserve">      time interv.</t>
  </si>
  <si>
    <t xml:space="preserve">      #seq.</t>
  </si>
  <si>
    <t>doi</t>
  </si>
  <si>
    <t>url</t>
  </si>
  <si>
    <t>observations</t>
  </si>
  <si>
    <t>St Lucia 2007</t>
  </si>
  <si>
    <t>\citetitle{dataset:stlucia07}</t>
  </si>
  <si>
    <t>outdoor (urban)</t>
  </si>
  <si>
    <t>ground (car)</t>
  </si>
  <si>
    <t>x</t>
  </si>
  <si>
    <t>--</t>
  </si>
  <si>
    <t>10.4225/09/543DE62F1105C
10.1109/TRO.2008.2004520</t>
  </si>
  <si>
    <t>https://researchdatafinder.qut.edu.au/display/n6234 (only metadata)
https://wiki.qut.edu.au/display/cyphy/OpenRatSLAM+datasets (broken, only VPN, requires athentication)
https://svn.openslam.org/data/svn/openratslam (broken)</t>
  </si>
  <si>
    <t>no more information found, the link to the datasets does not work generally. When using an Australian VPN, even so, the dataset requires authentification</t>
  </si>
  <si>
    <t>Intel 2003</t>
  </si>
  <si>
    <t>\citetitle{dataset:intel03}</t>
  </si>
  <si>
    <t>indoor (office)</t>
  </si>
  <si>
    <t>ground (robot)</t>
  </si>
  <si>
    <t>CARMEN</t>
  </si>
  <si>
    <t>http://ais.informatik.uni-freiburg.de/slamevaluation/datasets.php
http://www2.informatik.uni-freiburg.de/~stachnis/datasets.html
http://www.ipb.uni-bonn.de/datasets/</t>
  </si>
  <si>
    <t>total distance info retrieved from https://www.mrpt.org/robotics_datasets. For CARMEN formats, total time retrieved from seeing log files</t>
  </si>
  <si>
    <t>FHW</t>
  </si>
  <si>
    <t>\citetitle{dataset:fhw}</t>
  </si>
  <si>
    <t>indoor (museum)</t>
  </si>
  <si>
    <t>ground (TOURBOT)</t>
  </si>
  <si>
    <t>http://www.ipb.uni-bonn.de/datasets/
http://www2.informatik.uni-freiburg.de/~stachnis/datasets.html
https://www.aaai.org/Papers/AAAI/1998/AAAI98-002.pdf
10.1023/A:1026272605502 (TOURBOT)</t>
  </si>
  <si>
    <t>FR079</t>
  </si>
  <si>
    <t>\citetitle{dataset:fr079}</t>
  </si>
  <si>
    <t>https://dspace.mit.edu/handle/1721.1/62236
http://www.ipb.uni-bonn.de/datasets/
http://www2.informatik.uni-freiburg.de/~stachnis/datasets.html</t>
  </si>
  <si>
    <t>FR101</t>
  </si>
  <si>
    <t>\citetitle{dataset:fr101}</t>
  </si>
  <si>
    <t>http://www.ipb.uni-bonn.de/datasets/
http://www2.informatik.uni-freiburg.de/~stachnis/datasets.html</t>
  </si>
  <si>
    <t>New College</t>
  </si>
  <si>
    <t>\citetitle{dataset:newcollege}</t>
  </si>
  <si>
    <t>outdoor (campus)</t>
  </si>
  <si>
    <t>ground (Segway)</t>
  </si>
  <si>
    <t>GPS</t>
  </si>
  <si>
    <t>10.1177/0278364909103911</t>
  </si>
  <si>
    <t>https://ori.ox.ac.uk/publications/datasets/
https://ori.ox.ac.uk/media/4682/ijrrdatapaper09.pdf
https://academictorrents.com/details/9e738f5ef5f1412974ab793f315450bc8da76e73
http://www.robots.ox.ac.uk/NewCollegeData (broken)</t>
  </si>
  <si>
    <t>TUM RGBD</t>
  </si>
  <si>
    <t>\citetitle{dataset:tum-rgbd}</t>
  </si>
  <si>
    <t>indoor (office, industrial hall)</t>
  </si>
  <si>
    <t>ground (handheld, Pioneer 3)</t>
  </si>
  <si>
    <t>10.1109/IROS.2012.6385773</t>
  </si>
  <si>
    <t>https://vision.in.tum.de/data/datasets/rgbd-dataset
https://www.mrpt.org/Collection_of_Kinect_RGBD_datasets_with_ground_truth_CVPR_TUM_2011</t>
  </si>
  <si>
    <t>COLD</t>
  </si>
  <si>
    <t>\citetitle{dataset:cold}</t>
  </si>
  <si>
    <t>ground (Pioneer 3, ATRV Mini, PeopleBot)</t>
  </si>
  <si>
    <t>10.1177/0278364909103912</t>
  </si>
  <si>
    <t>https://www.cas.kth.se/COLD/
https://doi.org/10.1177/0278364909103912</t>
  </si>
  <si>
    <t>Bicocca (indoor)</t>
  </si>
  <si>
    <t>\citetitle{dataset:bicocca-indoor}</t>
  </si>
  <si>
    <t>ground (Robocom)</t>
  </si>
  <si>
    <t>3d</t>
  </si>
  <si>
    <t>http://www.rawseeds.org/rs/datasets/view/6</t>
  </si>
  <si>
    <t>New College (FAB-MAP)</t>
  </si>
  <si>
    <t>\citetitle{dataset:new-college-fabmap}</t>
  </si>
  <si>
    <t>10.1177/0278364908090961</t>
  </si>
  <si>
    <t>https://www.robots.ox.ac.uk/~mobile/IJRR_2008_Dataset/data.html</t>
  </si>
  <si>
    <t>this dataset is not the same as the original New College!</t>
  </si>
  <si>
    <t>City Center (FAB-MAP)</t>
  </si>
  <si>
    <t>\citetitle{dataset:city-center-fabmap}</t>
  </si>
  <si>
    <t>MIT Kilian Court</t>
  </si>
  <si>
    <t>\citetitle{dataset:mit-kilian}</t>
  </si>
  <si>
    <t>10.1177/0278364904049393</t>
  </si>
  <si>
    <t>http://ais.informatik.uni-freiburg.de/slamevaluation/datasets.php
https://lucacarlone.mit.edu/datasets/</t>
  </si>
  <si>
    <t>albert-b-laser-vision</t>
  </si>
  <si>
    <t>\citetitle{dataset:albert-b}</t>
  </si>
  <si>
    <t>ground (iRobot B21r)</t>
  </si>
  <si>
    <t>http://hdl.handle.net/1721.1/62291</t>
  </si>
  <si>
    <t>CoBots</t>
  </si>
  <si>
    <t>\citetitle{dataset:cobot}</t>
  </si>
  <si>
    <t>ROS bag</t>
  </si>
  <si>
    <t>2y3m</t>
  </si>
  <si>
    <t>10.1177/0278364913503892</t>
  </si>
  <si>
    <t>https://www.cs.cmu.edu/~coral/cobot/data.html</t>
  </si>
  <si>
    <t>MIT Stata Center</t>
  </si>
  <si>
    <t>\citetitle{dataset:mit-stata}</t>
  </si>
  <si>
    <t>ground (PR2)</t>
  </si>
  <si>
    <t>1y9m</t>
  </si>
  <si>
    <t>10.1177/0278364913509035</t>
  </si>
  <si>
    <t>http://projects.csail.mit.edu/stata/</t>
  </si>
  <si>
    <t>KITTI</t>
  </si>
  <si>
    <t>\citetitle{dataset:kitti}</t>
  </si>
  <si>
    <t>8d</t>
  </si>
  <si>
    <t>10.1177/0278364913491297</t>
  </si>
  <si>
    <t>http://www.cvlibs.net/datasets/kitti/</t>
  </si>
  <si>
    <t>considered city + residential + road</t>
  </si>
  <si>
    <t>CMU-VL</t>
  </si>
  <si>
    <t>\citetitle{dataset:cmu-vl}</t>
  </si>
  <si>
    <t>1y</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</si>
  <si>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</si>
  <si>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</si>
  <si>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</si>
  <si>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Oxford RobotCar</t>
  </si>
  <si>
    <t>\citetitle{dataset:oxford-robotcar}</t>
  </si>
  <si>
    <t>1y8m</t>
  </si>
  <si>
    <t>10.1177/0278364916679498</t>
  </si>
  <si>
    <t>https://robotcar-dataset.robots.ox.ac.uk/
https://ori.ox.ac.uk/publications/datasets/</t>
  </si>
  <si>
    <t>CMU-Seasons</t>
  </si>
  <si>
    <t>\citetitle{dataset:cmu-seasons}</t>
  </si>
  <si>
    <t>330d</t>
  </si>
  <si>
    <t>10.1109/CVPR.2018.00897</t>
  </si>
  <si>
    <t>https://www.visuallocalization.net/datasets/</t>
  </si>
  <si>
    <t>subset of CMU-VL dataset</t>
  </si>
  <si>
    <t>RobotCar Seasons</t>
  </si>
  <si>
    <t>\citetitle{dataset:robotcar-seasons}</t>
  </si>
  <si>
    <t>178d</t>
  </si>
  <si>
    <t>subset of Oxford RobotCar dataset</t>
  </si>
  <si>
    <t>Nordlandsbanen</t>
  </si>
  <si>
    <t>\citetitle{dataset:nordlandsbanen}</t>
  </si>
  <si>
    <t>outdoor (railway)</t>
  </si>
  <si>
    <t>ground (train)</t>
  </si>
  <si>
    <t>mp4 (video stream), plain text (gps)</t>
  </si>
  <si>
    <t>https://nrkbeta.no/2013/01/15/nordlandsbanen-minute-by-minute-season-by-season/</t>
  </si>
  <si>
    <t>4 seasons (time interval not clear)</t>
  </si>
  <si>
    <t>Malaga 2009</t>
  </si>
  <si>
    <t>\citetitle{dataset:malaga-2009}</t>
  </si>
  <si>
    <t>outdoor (parking, campus)</t>
  </si>
  <si>
    <t>Rawlog MRPT</t>
  </si>
  <si>
    <t>10.1007/s10514-009-9138-7</t>
  </si>
  <si>
    <t>https://www.mrpt.org/malaga_dataset_2009</t>
  </si>
  <si>
    <t>Ford Campus</t>
  </si>
  <si>
    <t>\citetitle{dataset:ford}</t>
  </si>
  <si>
    <t>outdoor (campus, urban)</t>
  </si>
  <si>
    <t>LCM log</t>
  </si>
  <si>
    <t>2m</t>
  </si>
  <si>
    <t>10.1177/0278364911400640</t>
  </si>
  <si>
    <t>http://robots.engin.umich.edu/SoftwareData/Ford
https://academictorrents.com/details/9aeefe49b754722eb5c051e77bacc5d75eca3ef2</t>
  </si>
  <si>
    <t>NCLT</t>
  </si>
  <si>
    <t>\citetitle{dataset:nclt}</t>
  </si>
  <si>
    <t>indoor, outdoor (campus)</t>
  </si>
  <si>
    <t>1y4m</t>
  </si>
  <si>
    <t>10.1177/0278364915614638</t>
  </si>
  <si>
    <t>http://robots.engin.umich.edu/nclt/</t>
  </si>
  <si>
    <t>Gardens Point Campus</t>
  </si>
  <si>
    <t>\citetitle{dataset:gardens-qut}</t>
  </si>
  <si>
    <t>ground (handheld)</t>
  </si>
  <si>
    <t>ground-plane position</t>
  </si>
  <si>
    <t>10.5281/zenodo.4561862</t>
  </si>
  <si>
    <t>https://wiki.qut.edu.au/display/raq/Day+and+Night+with+Lateral+Pose+Change+Datasets (broken)
https://zenodo.org/record/4561862#.YujxxmPMK3A</t>
  </si>
  <si>
    <t>Witham Wharf RGB-D</t>
  </si>
  <si>
    <t>\citetitle{dataset:lcas-strands}</t>
  </si>
  <si>
    <t>ground (SCITOS-G5)</t>
  </si>
  <si>
    <t>1y1m</t>
  </si>
  <si>
    <t>10.1109/IROS.2014.6943205</t>
  </si>
  <si>
    <t>https://lcas.lincoln.ac.uk/nextcloud/shared/datasets/</t>
  </si>
  <si>
    <t>EuRoC</t>
  </si>
  <si>
    <t>\citetitle{dataset:euroc}</t>
  </si>
  <si>
    <t>indoor (industrial hall, office)</t>
  </si>
  <si>
    <t>air (AscTec Firefly)</t>
  </si>
  <si>
    <t>10.1177/0278364915620033</t>
  </si>
  <si>
    <t>https://projects.asl.ethz.ch/datasets/doku.php?id=kmavvisualinertialdatasets</t>
  </si>
  <si>
    <t>UTIAS Multi-Robot</t>
  </si>
  <si>
    <t>\citetitle{dataset:utias}</t>
  </si>
  <si>
    <t>indoor (empty space)</t>
  </si>
  <si>
    <t>ground (iRobot Create)</t>
  </si>
  <si>
    <t>10.1177/0278364911398404</t>
  </si>
  <si>
    <t>http://asrl.utias.utoronto.ca/datasets/mrclam/
ftp://asrl3.utias.utoronto.ca/MRCLAM/</t>
  </si>
  <si>
    <t>Alderley</t>
  </si>
  <si>
    <t>\citetitle{dataset:alderley}</t>
  </si>
  <si>
    <t>10.1109/ICRA.2012.6224623</t>
  </si>
  <si>
    <t>https://researchdata.edu.au/vehicle-dataset-vision-frame-correspondences/448386 (only metadata)
https://researchdatafinder.qut.edu.au/display/n5850 (only metadata)
https://wiki.qut.edu.au/display/cyphy/Michael+Milford+Datasets+and+Downloads (broken)</t>
  </si>
  <si>
    <t>no link was found to download the data and verify the format</t>
  </si>
  <si>
    <t>FAS</t>
  </si>
  <si>
    <t>\citetitle{dataset:fas}</t>
  </si>
  <si>
    <t>3y</t>
  </si>
  <si>
    <t>10.1109/TRO.2017.2788045</t>
  </si>
  <si>
    <t>https://goo.gl/1Jf3kI (requires access)
https://goo.gl/AvZvjc (requires access)
https://goo.gl/Y2I6CI (requires access)</t>
  </si>
  <si>
    <t>none of the Drive links are possible to access it, even when sending message through the Drive form</t>
  </si>
  <si>
    <t>Kudamm</t>
  </si>
  <si>
    <t>\citetitle{dataset:kudamm}</t>
  </si>
  <si>
    <t>10.15607/RSS.2015.XI.022
10.1109/IROS.2017.8202131</t>
  </si>
  <si>
    <t>http://imr.ciirc.cvut.cz/Datasets/Ssm-vpr
https://github.com/Ahmedest61/CNN-Region-VLAD-VPR/tree/master/berlin_kudamm
https://arxiv.org/pdf/1903.09107.pdf</t>
  </si>
  <si>
    <t>MulRan</t>
  </si>
  <si>
    <t>\citetitle{dataset:mulran}</t>
  </si>
  <si>
    <t>dynamic</t>
  </si>
  <si>
    <t>2m15d</t>
  </si>
  <si>
    <t>10.1109/ICRA40945.2020.9197298</t>
  </si>
  <si>
    <t>https://sites.google.com/view/mulran-pr</t>
  </si>
  <si>
    <t>YQ21</t>
  </si>
  <si>
    <t>\citetitle{dataset:yq21}</t>
  </si>
  <si>
    <t>RTK-GPS</t>
  </si>
  <si>
    <t>1w</t>
  </si>
  <si>
    <t>https://tangli.site/projects/academic/yq21/</t>
  </si>
  <si>
    <t>CBD</t>
  </si>
  <si>
    <t>\citetitle{dataset:cbd}</t>
  </si>
  <si>
    <t>ground</t>
  </si>
  <si>
    <t>10.1109/ACCESS.2019.2937967</t>
  </si>
  <si>
    <t>https://dataverse.harvard.edu/dataset.xhtml?persistentId=doi:10.7910/DVN/NZETVT</t>
  </si>
  <si>
    <t>USyd Campus</t>
  </si>
  <si>
    <t>\citetitle{dataset:usyd}</t>
  </si>
  <si>
    <t>10.1109/MITS.2020.2990183
10.21227/sk74-7419</t>
  </si>
  <si>
    <t>http://its.acfr.usyd.edu.au/datasets-2/usyd-campus-dataset/
https://ieee-dataport.org/open-access/usyd-campus-dataset</t>
  </si>
  <si>
    <t>Lip6Indoor</t>
  </si>
  <si>
    <t>\citetitle{dataset:lip6indoor}</t>
  </si>
  <si>
    <t>10.1109/TRO.2008.2004514</t>
  </si>
  <si>
    <t>http://cogrob.ensta-paris.fr/loopclosure.html</t>
  </si>
  <si>
    <t>Lip6Outdoor</t>
  </si>
  <si>
    <t>\citetitle{dataset:lip6outdoor}</t>
  </si>
  <si>
    <t>KAIST</t>
  </si>
  <si>
    <t>\citetitle{dataset:kaist}</t>
  </si>
  <si>
    <t>18d</t>
  </si>
  <si>
    <t>https://sites.google.com/site/alldaydataset/ (requires registration through Google form)
https://www.researchgate.net/publication/282147318_All-Day_Visual_Place_Recognition_Benchmark_Dataset_and_Baseline</t>
  </si>
  <si>
    <t>Bonn RGB-D Dynamic</t>
  </si>
  <si>
    <t>\citetitle{dataset:bonn}</t>
  </si>
  <si>
    <t>10.1109/IROS40897.2019.8967590</t>
  </si>
  <si>
    <t>http://www.ipb.uni-bonn.de/data/rgbd-dynamic-dataset/</t>
  </si>
  <si>
    <t>IPLT</t>
  </si>
  <si>
    <t>\citetitle{dataset:iplt}</t>
  </si>
  <si>
    <t>outdoor (parking)</t>
  </si>
  <si>
    <t>2y</t>
  </si>
  <si>
    <t>10.5220/0010518303830387
10.1007/s11042-021-11870-4</t>
  </si>
  <si>
    <t>http://ipltuser:iplt_ro@iplt.ip.uca.fr/datasets/
https://www.scitepress.org/Papers/2021/105183/105183.pdf</t>
  </si>
  <si>
    <t>RADIATE</t>
  </si>
  <si>
    <t>\citetitle{dataset:radiate}</t>
  </si>
  <si>
    <t>outdoor (parking, urban)</t>
  </si>
  <si>
    <t>10.1109/ICRA48506.2021.9562089</t>
  </si>
  <si>
    <t>http://pro.hw.ac.uk/radiate/ (requires registration through a Google forms)</t>
  </si>
  <si>
    <t>NTU VIRAL</t>
  </si>
  <si>
    <t>\citetitle{dataset:ntu}</t>
  </si>
  <si>
    <t>air (DJI M600)</t>
  </si>
  <si>
    <t>10.1177/02783649211052312</t>
  </si>
  <si>
    <t>https://ntu-aris.github.io/ntu_viral_dataset/</t>
  </si>
  <si>
    <t>Oxford Radar RobotCar</t>
  </si>
  <si>
    <t>\citetitle{dataset:robotcar-radar}</t>
  </si>
  <si>
    <t>1m</t>
  </si>
  <si>
    <t>10.1109/ICRA40945.2020.9196884</t>
  </si>
  <si>
    <t>https://oxford-robotics-institute.github.io/radar-robotcar-dataset/
https://ori.ox.ac.uk/news/the-oxford-radar-robotcar-dataset/</t>
  </si>
  <si>
    <t>extension of the original Oxford RobotCar dataset</t>
  </si>
  <si>
    <t>Analysis of the datasets used in the included works by the article's categorization</t>
  </si>
  <si>
    <t>all</t>
  </si>
  <si>
    <t>unique</t>
  </si>
  <si>
    <t>count</t>
  </si>
  <si>
    <t>Berlin Kudamm</t>
  </si>
  <si>
    <t>appearance</t>
  </si>
  <si>
    <t>sparsity</t>
  </si>
  <si>
    <t>multi-session</t>
  </si>
  <si>
    <t>computational</t>
  </si>
  <si>
    <t>multi-robot</t>
  </si>
  <si>
    <t>use datasets</t>
  </si>
  <si>
    <t>total</t>
  </si>
  <si>
    <t>public datasets</t>
  </si>
  <si>
    <t>datasets comparison table</t>
  </si>
  <si>
    <t>see sheet datasets</t>
  </si>
  <si>
    <t>relation of datasets usage with categorization</t>
  </si>
  <si>
    <t>datasets used in &gt; 1 work</t>
  </si>
  <si>
    <t>usage</t>
  </si>
  <si>
    <t>KITTI, Nordlandsbanen, NCLT, Oxford RobotCar, St Lucia 2007, New College, City Center (FAB-MAP), CMU-VL, YQ21, New College (FAB-MAP), MulRan, Alderley, Gardens Point Campus, Malaga 2009, COLD, Oxford Radar RobotCar</t>
  </si>
  <si>
    <t>outdoor vs indoor</t>
  </si>
  <si>
    <t>all except COLD of the datasets above have data from outdoor environments, contributes to argument appearance change is more studied and affects more in outdoor environments</t>
  </si>
  <si>
    <t>14/32 (~43.8%) of dynamic-related works used public datasets, possibly due authors wanting to have control of the tested environment dynamics and consequent impact on localization and mapping performance</t>
  </si>
  <si>
    <t>KITTI, Intel 2003, EuRoC, FR079, MIT Kilian Court, New College, MIT Stata Center, City Center (FAB-MAP), New College (FAB-MAP), NCLT, Witham Wharf RGB-D</t>
  </si>
  <si>
    <t>indoor</t>
  </si>
  <si>
    <t>KITTI, TUM RGBD, Witham Wharf RGB-D; KITTI outdoor + other two office environment with people moving for high periods of time</t>
  </si>
  <si>
    <t>percentage</t>
  </si>
  <si>
    <t>TUM RGBD, Witham Wharf RGB-D, Bonn RGB-D Dynamic, CoBots, EuRoC, MIT Stata Center, NCLT (also has outdoor); advantage of indoor environments is possibility of having motion tracking systems / external systems to have high confidence gt data over robot's pose and its behavior within dynamic environ</t>
  </si>
  <si>
    <t>7/10 (70%) of the datasets used in dynamic-related works have indoor, with 6 of them exclusivly in that type of environments</t>
  </si>
  <si>
    <t>type of environment</t>
  </si>
  <si>
    <t>6 of exclusively indoor are from office (regular office, university, laboratory, etc.) environments</t>
  </si>
  <si>
    <t>other datasets not used</t>
  </si>
  <si>
    <t xml:space="preserve">32/43 (~74.4%) datasets we considered having dynamic elements, based on their description; from these 25 have outdoor and 9 have indoor environments data; the 11 datasets we considered not having dynamic elements </t>
  </si>
  <si>
    <t>TUM RGBD, Witham Wharf RGB-D, Bonn RGB-D Dynamic are highly dynamic; CoBots and MIT Stata Center, given their acquisition over 1y at least and in indoor environments, are also useful to evalute behavior in dynamic environ</t>
  </si>
  <si>
    <t>useful</t>
  </si>
  <si>
    <t>possibly useful</t>
  </si>
  <si>
    <t>possibly most useful</t>
  </si>
  <si>
    <t>seasonal data</t>
  </si>
  <si>
    <t>KITTI (benchmarking, but probably not most useful in long-term timeframe), NCLT, St Lucia 2007, New College, City Center and New College (due to being used in several articles + given benchmark results), CMU-VL, YQ21, MulRan, Oxford Radar RobotCar (add radar to original dataset)</t>
  </si>
  <si>
    <t>Nordlandsbanen, FAS, CMU-VL (superset relative to CMU Seasons), COLD (seasonal + diff locations) + IPLT (recent method of over than 2y of time interval containing 127 runs</t>
  </si>
  <si>
    <t>indoor vs outdoor</t>
  </si>
  <si>
    <t>sensorization</t>
  </si>
  <si>
    <t>experiment data</t>
  </si>
  <si>
    <t>distance and timeframe long-term considerations</t>
  </si>
  <si>
    <t>total distance</t>
  </si>
  <si>
    <t>path</t>
  </si>
  <si>
    <t>total time</t>
  </si>
  <si>
    <t>time interval</t>
  </si>
  <si>
    <t>self-experiments OR non-public datasets (other experiments)</t>
  </si>
  <si>
    <t>multi-session and computational</t>
  </si>
  <si>
    <t>does not make sense to talk these topics here, given that these two catogories are more related ; even so, a multi-session dataset can be viewed as a multiple runs dataset (however, multiple runs does not mean that the dataset tests the kidnapped robot problem / global localization)</t>
  </si>
  <si>
    <t>although none of the multi-robot methods found used the UTIAS Multi-Robot, this dataset acquires data from 5 robots in an indoor environment subject to lighting variance and other issues related to vision localization (e.g., motion bluer or contrast, etc.)</t>
  </si>
  <si>
    <t>accessibility</t>
  </si>
  <si>
    <t>problem with broken links (CMU-VL, Alderley, St. Lucia - latter two probably network accessibility…, only worked with an Australian VPN but was asking for registration), registration (RADIATE, KITTI - but available instantly, FAS - no response, ) requirements</t>
  </si>
  <si>
    <t>alternative to evaluate map merging</t>
  </si>
  <si>
    <t>segment datasets by sequence or within runs and run separate mapping algorithms on each sequence / run and then merge into single map to evaluate multi-robot map merging of the algorithm (zhang-et-al:2018:1729881418780178)</t>
  </si>
  <si>
    <t>indoor exclusively: 11/21 (52.4%) datasets</t>
  </si>
  <si>
    <t>pose graph maintenance</t>
  </si>
  <si>
    <t>Intel 2003, FR079, MIT Kilian Court, FHW, FR101 used to evaluate graph node reduction performance; problem is that these datasets are mostly only 1 run of data acquisition</t>
  </si>
  <si>
    <t>although it would seem MIT Stata Center as a good candidate, "ound that the various changes in the robot hardware and calibration as well as minor issues like a broken inter-computer time synchronisation lead to this dataset being less consistent than the authors would have liked"</t>
  </si>
  <si>
    <t>possibly highest distance to evaluate the relation of map size if it is dependent only on the environment area size, or also related to operation time: Oxford RobotCar, CoBots (but the calibration does not seem to be well documented), maybe MulRan or YQ21 (different sensor setup)</t>
  </si>
  <si>
    <t>calibration</t>
  </si>
  <si>
    <t>for old datasets, CARMEN used given that is a Robot Navigation Toolkit (no update since 2008, http://carmen.sourceforge.net/news.html)</t>
  </si>
  <si>
    <t>ROSbag</t>
  </si>
  <si>
    <t>specific formats</t>
  </si>
  <si>
    <t>no format</t>
  </si>
  <si>
    <t>datasets that their metadata / readme / publication does not describe the file format neither has a valid link to access the files</t>
  </si>
  <si>
    <t>CSV / plain text, binary (given its efficiency and very low overhead), images; advantage that is not operating system / framework / … specific giving more liberty to the user</t>
  </si>
  <si>
    <t>9 datasets use this format the ain format, more comum now given the increasing use of ROS within the academy community; MulRan includes a ROSplayer for its specific format</t>
  </si>
  <si>
    <t>% distribution</t>
  </si>
  <si>
    <t>27 outdoor, 19 indoor, 16 urban, 14 office, 10 campus, 3 parking, 2 industrial hall</t>
  </si>
  <si>
    <t>other statistics</t>
  </si>
  <si>
    <t xml:space="preserve">odo can included wheel, inertial, laser, visual odometries or fusion of any of these; </t>
  </si>
  <si>
    <t>%camera</t>
  </si>
  <si>
    <t>Column1</t>
  </si>
  <si>
    <t xml:space="preserve">      uses camera?</t>
  </si>
  <si>
    <t>37/43 (86.0%) has available image data (see distribution above)</t>
  </si>
  <si>
    <t>thermal</t>
  </si>
  <si>
    <t>not very comum sensor, only 1 in the dataset, but can be useful for, e.g., buildings / installation inspections (pipes, etc.)</t>
  </si>
  <si>
    <t>radar</t>
  </si>
  <si>
    <t>more recently gaining relevance due to weather invariance</t>
  </si>
  <si>
    <t>sonar</t>
  </si>
  <si>
    <t>in the datasets used, was for ground robots; however, these sensors are more relevant in underwater environments</t>
  </si>
  <si>
    <t>omni</t>
  </si>
  <si>
    <t>interesting due to 360deg of FOV; latter obtained using an hyperbolic mirror (Biccoca hyperbolic mirror, COLD catadioptric system), joining the image of several monocular cameras + extrinsic calibration between them, or an omni camera (NCLT and Ford Campus Ladybug3 Omnidirectional Vision, New College 5-view Point Grey LadyBug 2)</t>
  </si>
  <si>
    <t>out of the 37 datasets with camera data, 25 provide intrinsic parameters - possibly due to some of them focused only on loop detection and giving only the images (CBD, City Center, CMU-VL + CMU Seasons, FAS)</t>
  </si>
  <si>
    <t>single sensor</t>
  </si>
  <si>
    <t>CARMEN (pose graph)</t>
  </si>
  <si>
    <t>tf ROS</t>
  </si>
  <si>
    <t>Bonn RGBD, Witham Wharf RGB-D, CoBots etc can have extrinsic parameters specified in the dataset, hoever, none of these specified the way they obtained these parameters</t>
  </si>
  <si>
    <t xml:space="preserve">extrinsic calibration defines the relative translation between sensors AND / OR method used for calibration; 24 of 43 provide </t>
  </si>
  <si>
    <t>12/19 (albert-b-vision, Alderley, CBD, City Center (FAB-MAP), FAS, Gardens Point Campus, Kudamm, Lip6Indoor, Lip6Outdoor, New College (FAB-MAP), Nordlandsbanen, St Lucia 2007)</t>
  </si>
  <si>
    <t>5/19 (FHW, FR079, FR101, Intel 2003, MIT Kilian Court)</t>
  </si>
  <si>
    <t>no info given relative to these</t>
  </si>
  <si>
    <t>COLD, UTIAS Multi-Robot?</t>
  </si>
  <si>
    <t>intro</t>
  </si>
  <si>
    <t>explain distinction in data extraction items as a way to differentiate long-term characteristics of the authors that performed self-experiments and/or used non-public datasets</t>
  </si>
  <si>
    <t>self-experiments</t>
  </si>
  <si>
    <t>bibtex id</t>
  </si>
  <si>
    <t>bosse-zlot:2009:009</t>
  </si>
  <si>
    <t>yin-et-al:2021:3061375</t>
  </si>
  <si>
    <t>naseer-et-al:2017:7989305</t>
  </si>
  <si>
    <t>griffith-pradalier:2017:21664</t>
  </si>
  <si>
    <t>gadd-newman:2016:7759843</t>
  </si>
  <si>
    <t>ikeda-tanaka:2010:5509579</t>
  </si>
  <si>
    <t>churchill-newman:2013:0278364913499193</t>
  </si>
  <si>
    <t>paul-newman:2013:0278364913509859</t>
  </si>
  <si>
    <t>mactavish-et-al:2018:21838</t>
  </si>
  <si>
    <t>zhang-et-al:2018:8460674</t>
  </si>
  <si>
    <t>mühlfellner-et-al:2016:21595</t>
  </si>
  <si>
    <t>siva-zhang:2018:8461042</t>
  </si>
  <si>
    <t>pérez-et-al:2015:y</t>
  </si>
  <si>
    <t>ozog-et-al:2016:21582</t>
  </si>
  <si>
    <t>biber-duckett:2009:0278364908096286</t>
  </si>
  <si>
    <t>walcott-bryant-et-al:2012:6385561</t>
  </si>
  <si>
    <t>einhorn-gross:2013:6698849</t>
  </si>
  <si>
    <t>einhorn-gross:2015:008</t>
  </si>
  <si>
    <t>wang-et-al:2021:9739599</t>
  </si>
  <si>
    <t>saarinen-et-al:2013:0278364913499415</t>
  </si>
  <si>
    <t>boniardi-et-al:2019:003</t>
  </si>
  <si>
    <t>dymczyk-et-al:2016:66</t>
  </si>
  <si>
    <t>nuske-et-al:2009:20306</t>
  </si>
  <si>
    <t>pomerleau-et-al:2014:6907397</t>
  </si>
  <si>
    <t>vysotska-et-al:2015:7139576</t>
  </si>
  <si>
    <t>coulin-et-al:2022:3136241</t>
  </si>
  <si>
    <t>bacca-et-al:2013:003</t>
  </si>
  <si>
    <t>pirker-et-al:2011:6048253</t>
  </si>
  <si>
    <t>dymczyk-et-al:2015:7139575</t>
  </si>
  <si>
    <t>sun-et-al:2021:9635886</t>
  </si>
  <si>
    <t>karaoguz-bozma:2016:4</t>
  </si>
  <si>
    <t>qin-et-al:2020:9340939</t>
  </si>
  <si>
    <t>an-et-al:2016:0</t>
  </si>
  <si>
    <t>derner-et-al:2021:103676</t>
  </si>
  <si>
    <t>hochdorfer-et-al:2009:5339626</t>
  </si>
  <si>
    <t>hochdorfer-schlegel:2009</t>
  </si>
  <si>
    <t>dymczyk-et-al:2016:7759673</t>
  </si>
  <si>
    <t>ding-et-al:2019:8968550</t>
  </si>
  <si>
    <t>ali-et-al:2020:3389033</t>
  </si>
  <si>
    <t>total time (h)</t>
  </si>
  <si>
    <t>path (km)</t>
  </si>
  <si>
    <t>total dist. (km)</t>
  </si>
  <si>
    <t>berrio-et-al:2019:8814289</t>
  </si>
  <si>
    <t>santos-et-al:2016:2516594</t>
  </si>
  <si>
    <t>konolige-bowman:2009:5354121</t>
  </si>
  <si>
    <t>li-et-al:2015:7139706</t>
  </si>
  <si>
    <t>pan-et-al:2019:s19194252</t>
  </si>
  <si>
    <t>dayoub-et-al:2011:013</t>
  </si>
  <si>
    <t>sun-et-al:2018:2856268</t>
  </si>
  <si>
    <t>egger-et-al:2018:8593854</t>
  </si>
  <si>
    <t>bürki-et-al:2019:21870</t>
  </si>
  <si>
    <t>murphy-sibley:2014:6907022</t>
  </si>
  <si>
    <t>chebrolu-et-al:2018:2849603</t>
  </si>
  <si>
    <t>filliat:2007:364080</t>
  </si>
  <si>
    <t>tipaldi-et-al:2013:0278364913502830</t>
  </si>
  <si>
    <t>cao-et-al:2018:2815956</t>
  </si>
  <si>
    <t>krajník-et-al:2017:2665664</t>
  </si>
  <si>
    <t>m7</t>
  </si>
  <si>
    <t>m6</t>
  </si>
  <si>
    <t>w5</t>
  </si>
  <si>
    <t>m4</t>
  </si>
  <si>
    <t>d4</t>
  </si>
  <si>
    <t>y3</t>
  </si>
  <si>
    <t>m3</t>
  </si>
  <si>
    <t>w2</t>
  </si>
  <si>
    <t>y1m6</t>
  </si>
  <si>
    <t>y1m2</t>
  </si>
  <si>
    <t>y1</t>
  </si>
  <si>
    <t>w1</t>
  </si>
  <si>
    <t>m1</t>
  </si>
  <si>
    <t>d112</t>
  </si>
  <si>
    <t>d10</t>
  </si>
  <si>
    <t>d1</t>
  </si>
  <si>
    <t>d2</t>
  </si>
  <si>
    <t>d3</t>
  </si>
  <si>
    <t>d5</t>
  </si>
  <si>
    <t>time interv. (d/w/m/y)</t>
  </si>
  <si>
    <t>datasets</t>
  </si>
  <si>
    <t>43 datasets</t>
  </si>
  <si>
    <t>d8</t>
  </si>
  <si>
    <t>d330</t>
  </si>
  <si>
    <t>y2m3</t>
  </si>
  <si>
    <t>y2</t>
  </si>
  <si>
    <t>m2d15</t>
  </si>
  <si>
    <t>m2</t>
  </si>
  <si>
    <t>y1m9</t>
  </si>
  <si>
    <t>y1m8</t>
  </si>
  <si>
    <t>y1m4</t>
  </si>
  <si>
    <t>y1m1</t>
  </si>
  <si>
    <t>d18</t>
  </si>
  <si>
    <t>d178</t>
  </si>
  <si>
    <t>year</t>
  </si>
  <si>
    <t>external tracking system</t>
  </si>
  <si>
    <t>map model</t>
  </si>
  <si>
    <t>feature labels</t>
  </si>
  <si>
    <t>manual</t>
  </si>
  <si>
    <t>initial position</t>
  </si>
  <si>
    <t>laser-based</t>
  </si>
  <si>
    <t>no pruning</t>
  </si>
  <si>
    <t>simulation</t>
  </si>
  <si>
    <t>SLAM-based</t>
  </si>
  <si>
    <t>map</t>
  </si>
  <si>
    <t>targeted speed</t>
  </si>
  <si>
    <t>position</t>
  </si>
  <si>
    <t>map model, laser-based</t>
  </si>
  <si>
    <t>GPS, manual</t>
  </si>
  <si>
    <t>laser-based, manual</t>
  </si>
  <si>
    <t>RTK-GPS, SLAM-based</t>
  </si>
  <si>
    <t>bosse-zlot:2009:009, yin-et-al:2021:3061375, naseer-et-al:2017:7989305, griffith-pradalier:2017:21664, gadd-newman:2016:7759843 + Nordlandsbanen, Oxford RobotCar, Oxford Radar RobotCar, NCLT, CoBots, FAS</t>
  </si>
  <si>
    <t>&gt;= 100km</t>
  </si>
  <si>
    <t>specified?</t>
  </si>
  <si>
    <t>repetitive path for data acquisition</t>
  </si>
  <si>
    <t>&gt;= 1km</t>
  </si>
  <si>
    <t>ikeda-tanaka:2010:5509579, yin-et-al:2021:3061375, pomerleau-et-al:2014:6907397 + Nordlandsbanen, RobotCar Seasons, Oxford RobotCar, Oxford Radar RobotCar, CMU-Seasons, CMU-VL, Alderley</t>
  </si>
  <si>
    <t>36 / 77 + 22 / 43</t>
  </si>
  <si>
    <t>8 / 77 + 8 / 43, however, this parameters does not mean incomplete information - a data acquisition can be performed on non-repetitive paths or a composition of different paths taken at different time instants</t>
  </si>
  <si>
    <t>&gt;= 1y</t>
  </si>
  <si>
    <t>&gt;= 1h</t>
  </si>
  <si>
    <t xml:space="preserve">can be interesting for map maintenance algorithms (sparsity), </t>
  </si>
  <si>
    <t>naseer-et-al:2017:7989305, ozog-et-al:2016:21582, li-et-al:2015:7139706, egger-et-al:2018:8593854, griffith-pradalier:2017:21664, mühlfellner-et-al:2016:21595, siva-zhang:2018:8461042, coulin-et-al:2022:3136241, bacca-et-al:2013:003, bürki-et-al:2019:21870, ding-et-al:2019:8968550 + FAS, CoBots, IPLT, MIT Stata Center, Oxford RobotCar, NCLT, Witham Wharf RGB-D, USyd Campus, CMU-VL</t>
  </si>
  <si>
    <t>10/77 + 23/43</t>
  </si>
  <si>
    <t>41/77 + 18/43</t>
  </si>
  <si>
    <t>saarinen-et-al:2013:0278364913499415, nuske-et-al:2009:20306, bosse-zlot:2009:009, pérez-et-al:2015:y, einhorn-gross:2013:6698849, einhorn-gross:2015:008, boniardi-et-al:2019:003, ding-et-al:2019:8968550 + CoBots, Nordlandsbanen, MIT Stata Center, NCLT, YQ21, RADIATE, UTIAS Multi-Robot, Bicocca (indoor), MIT Kilian Court, FHW, St Lucia 2007, KITTI</t>
  </si>
  <si>
    <t>manual annotation of the images (image segmentation, image to image correspondence, manual alignment, …)</t>
  </si>
  <si>
    <t>much higher precision than GPS, given the inclusion of inertial data for ground-truth pose estimation</t>
  </si>
  <si>
    <t>consider original map obtained when not using pruning mechanism (e.g., sparsity-related methods)</t>
  </si>
  <si>
    <t>full pose SLAM, batch optimization, consider all sessions to provide pose ground-truth, etc.</t>
  </si>
  <si>
    <t>self-experiments probably to test concept of the algorithm while having access to ground-truth data (especially for pose gt data)</t>
  </si>
  <si>
    <t>indoor environments, markers put on the robot and external tracking by systems such as OptiTrack, Vicon, Leica, etc.</t>
  </si>
  <si>
    <t>mostly used for testing vision-based algorithms and having another estimate for reference</t>
  </si>
  <si>
    <t>floor plans, CAD, etc.</t>
  </si>
  <si>
    <t>final observation</t>
  </si>
  <si>
    <t>manual and GPS-based are the most used gt data in datasets, and also in self-experiments / non-public data; problem of GPS is within buildings and similar environments that can lead to reflections of the signal and add noise measurements (that is why RTK improves this part)</t>
  </si>
  <si>
    <t xml:space="preserve">      lighting</t>
  </si>
  <si>
    <t xml:space="preserve">      weather</t>
  </si>
  <si>
    <t xml:space="preserve">      seasonal</t>
  </si>
  <si>
    <t xml:space="preserve">      dynamics</t>
  </si>
  <si>
    <t xml:space="preserve">      maintenance</t>
  </si>
  <si>
    <t xml:space="preserve">      day/night</t>
  </si>
  <si>
    <t>RTK-GPS using a virtual reference station GPS (VRS-GPS); datasets does not have variance due to the sensors used!</t>
  </si>
  <si>
    <t>plain text (non-img), jpg (img)</t>
  </si>
  <si>
    <t>ppm (imgs)</t>
  </si>
  <si>
    <t>plain text (non-img), png (img)</t>
  </si>
  <si>
    <t>CARMEN (non-img), jpg (img)</t>
  </si>
  <si>
    <t>jpg (img), dat (non-img)</t>
  </si>
  <si>
    <t>plain text (non-img), png (img + depth), ROS bag</t>
  </si>
  <si>
    <t>png (img), binary (laser), plain text (imu, gps)</t>
  </si>
  <si>
    <t>png (imgs), plain text (ground plane)</t>
  </si>
  <si>
    <t>png (imgs), plain text (imu, gps)</t>
  </si>
  <si>
    <t>binary (laser), tiff (img), plain text (non-laser or img)</t>
  </si>
  <si>
    <t>jpg (img)</t>
  </si>
  <si>
    <t>png (img), binary (laser), plain text (imu, gps, odo)</t>
  </si>
  <si>
    <t>binary (laser), jpg (imgs), plain text (gps)</t>
  </si>
  <si>
    <t>png (imgs, depth), plain text (imu, gps)</t>
  </si>
  <si>
    <t>png (imgs)</t>
  </si>
  <si>
    <t>binary (laser), CSV (global pose, radar ray), png (radar polar img)</t>
  </si>
  <si>
    <t>png (img, raw laser, radar), binary (laser), plain text (imu, gps, odo)</t>
  </si>
  <si>
    <t>plain text (non-img), png, jpg (img)</t>
  </si>
  <si>
    <t>St Lucia 07</t>
  </si>
  <si>
    <t>City Center</t>
  </si>
  <si>
    <t>Malaga 09</t>
  </si>
  <si>
    <t>Nordland</t>
  </si>
  <si>
    <t>Lip6Ind</t>
  </si>
  <si>
    <t>77/142 works performed self-experiments and/or used non-public data</t>
  </si>
  <si>
    <t>Lip6Out</t>
  </si>
  <si>
    <t>89/142 (~62.68%) of the included works in the review used public datasets; importance of public datasets given by "direct" comparison between methods (even though it can depend on the authors' experimental configuration, also existence of differences when authors implement previous works for comparisons)</t>
  </si>
  <si>
    <t>77/142 (54.22%) performed self-experiments and / or used non-public datasets; out of the 77, 53/144 (36.8%) did not use any public dataset</t>
  </si>
  <si>
    <t>50/75 (~66.67%) of appearance-related works used public datasets</t>
  </si>
  <si>
    <t>23/45 (~51.1%) of sparsity-related works used public datasets</t>
  </si>
  <si>
    <t>work/dataset</t>
  </si>
  <si>
    <t>work</t>
  </si>
  <si>
    <t>Analysis of the datasets over time</t>
  </si>
  <si>
    <t>bibtex entry</t>
  </si>
  <si>
    <t>\cite{davison-murray:2002:1017615}</t>
  </si>
  <si>
    <t>\cite{filliat:2007:364080}</t>
  </si>
  <si>
    <t>\cite{konolige-bowman:2009:5354121}</t>
  </si>
  <si>
    <t>\cite{bosse-zlot:2009:009}</t>
  </si>
  <si>
    <t>\cite{biber-duckett:2009:0278364908096286}</t>
  </si>
  <si>
    <t>\cite{hochdorfer-schlegel:2009}</t>
  </si>
  <si>
    <t>\cite{hochdorfer-et-al:2009:5339626}</t>
  </si>
  <si>
    <t>\cite{nuske-et-al:2009:20306}</t>
  </si>
  <si>
    <t>\cite{glover-et-al:2010:5509547}</t>
  </si>
  <si>
    <t>\cite{kretzschmar-et-al:2010:2}</t>
  </si>
  <si>
    <t>\cite{ikeda-tanaka:2010:5509579}</t>
  </si>
  <si>
    <t>\cite{dayoub-et-al:2011:013}</t>
  </si>
  <si>
    <t>\cite{pirker-et-al:2011:6048253}</t>
  </si>
  <si>
    <t>\cite{walcott-bryant-et-al:2012:6385561}</t>
  </si>
  <si>
    <t>\cite{kretzschmar-stachniss:2012:0278364912455072}</t>
  </si>
  <si>
    <t>\cite{maddern-et-al:2012:6224622}</t>
  </si>
  <si>
    <t>\cite{latif-et-al:2012:6385879}</t>
  </si>
  <si>
    <t>\cite{kawewong-et-al:2013:826410}</t>
  </si>
  <si>
    <t>\cite{bacca-et-al:2013:003}</t>
  </si>
  <si>
    <t>\cite{ball-et-al:2013:9}</t>
  </si>
  <si>
    <t>\cite{einhorn-gross:2013:6698849}</t>
  </si>
  <si>
    <t>\cite{tipaldi-et-al:2013:0278364913502830}</t>
  </si>
  <si>
    <t>\cite{huang-et-al:2013:6698835}</t>
  </si>
  <si>
    <t>\cite{johannsson-et-al:2013:6630556}</t>
  </si>
  <si>
    <t>\cite{oberländer-et-al:2013:6766479}</t>
  </si>
  <si>
    <t>\cite{saarinen-et-al:2013:0278364913499415}</t>
  </si>
  <si>
    <t>\cite{biswas-veloso:2013:0278364913503892}</t>
  </si>
  <si>
    <t>\cite{paul-newman:2013:0278364913509859}</t>
  </si>
  <si>
    <t>\cite{nguyen-et-al:2013:004}</t>
  </si>
  <si>
    <t>\cite{churchill-newman:2013:0278364913499193}</t>
  </si>
  <si>
    <t>\cite{pomerleau-et-al:2014:6907397}</t>
  </si>
  <si>
    <t>\cite{murphy-sibley:2014:6907022}</t>
  </si>
  <si>
    <t>\cite{carlevaris-bianco-et-al:2014:2347571}</t>
  </si>
  <si>
    <t>\cite{williams-et-al:2014:0278364914531056}</t>
  </si>
  <si>
    <t>\cite{einhorn-gross:2015:008}</t>
  </si>
  <si>
    <t>\cite{pérez-et-al:2015:y}</t>
  </si>
  <si>
    <t>\cite{li-et-al:2015:7139706}</t>
  </si>
  <si>
    <t>\cite{mohan-et-al:2015:7139966}</t>
  </si>
  <si>
    <t>\cite{dymczyk-et-al:2015:7139575}</t>
  </si>
  <si>
    <t>\cite{rapp-et-al:2015:77}</t>
  </si>
  <si>
    <t>\cite{vysotska-et-al:2015:7139576}</t>
  </si>
  <si>
    <t>\cite{neubert-et-al:2015:005}</t>
  </si>
  <si>
    <t>\cite{mur-artal-et-al:2015:2463671}</t>
  </si>
  <si>
    <t>\cite{naseer-et-al:2015:7324181}</t>
  </si>
  <si>
    <t>\cite{karaoguz-bozma:2016:4}</t>
  </si>
  <si>
    <t>\cite{santos-et-al:2016:2516594}</t>
  </si>
  <si>
    <t>\cite{dymczyk-et-al:2016:66}</t>
  </si>
  <si>
    <t>\cite{dymczyk-et-al:2016:7759673}</t>
  </si>
  <si>
    <t>\cite{gadd-newman:2016:7759843}</t>
  </si>
  <si>
    <t>\cite{mazuran-et-al:2016:0278364915581629}</t>
  </si>
  <si>
    <t>\cite{ozog-et-al:2016:21582}</t>
  </si>
  <si>
    <t>\cite{mühlfellner-et-al:2016:21595}</t>
  </si>
  <si>
    <t>\cite{an-et-al:2016:0}</t>
  </si>
  <si>
    <t>\cite{taisho-kanji:2016:7866383}</t>
  </si>
  <si>
    <t>\cite{han-et-al:2017:2662061}</t>
  </si>
  <si>
    <t>\cite{biswas-veloso:2017:005}</t>
  </si>
  <si>
    <t>\cite{griffith-pradalier:2017:21664}</t>
  </si>
  <si>
    <t>\cite{naseer-et-al:2017:7989305}</t>
  </si>
  <si>
    <t>\cite{krajník-et-al:2017:2665664}</t>
  </si>
  <si>
    <t>\cite{ila-et-al:2017:0278364917691110}</t>
  </si>
  <si>
    <t>\cite{latif-et-al:2017:016}</t>
  </si>
  <si>
    <t>\cite{xin-et-al:2017:8310121}</t>
  </si>
  <si>
    <t>\cite{bescos-et-al:2018:2860039}</t>
  </si>
  <si>
    <t>\cite{opdenbosch-et-al:2018:00114}</t>
  </si>
  <si>
    <t>\cite{han-et-al:2018:3}</t>
  </si>
  <si>
    <t>\cite{han-et-al:2018:2856274}</t>
  </si>
  <si>
    <t>\cite{cao-et-al:2018:2815956}</t>
  </si>
  <si>
    <t>\cite{nobre-et-al:2018:8461111}</t>
  </si>
  <si>
    <t>\cite{zhang-et-al:2018:1729881418780178}</t>
  </si>
  <si>
    <t>\cite{zhu-et-al:2018:8500686}</t>
  </si>
  <si>
    <t>\cite{mactavish-et-al:2018:21838}</t>
  </si>
  <si>
    <t>\cite{sun-et-al:2018:2856268}</t>
  </si>
  <si>
    <t>\cite{lázaro-et-al:2018:8594310}</t>
  </si>
  <si>
    <t>\cite{zhang-et-al:2018:8460674}</t>
  </si>
  <si>
    <t>\cite{chebrolu-et-al:2018:2849603}</t>
  </si>
  <si>
    <t>\cite{yin-et-al:2018:8593562}</t>
  </si>
  <si>
    <t>\cite{egger-et-al:2018:8593854}</t>
  </si>
  <si>
    <t>\cite{arroyo-et-al:2018:7}</t>
  </si>
  <si>
    <t>\cite{ouerghi-et-al:2018:s18040939}</t>
  </si>
  <si>
    <t>\cite{siva-zhang:2018:8461042}</t>
  </si>
  <si>
    <t>\cite{luthardt-et-al:2018:8569323}</t>
  </si>
  <si>
    <t>\cite{chen-et-al:2018:2859916}</t>
  </si>
  <si>
    <t>\cite{yu-et-al:2019:8961714}</t>
  </si>
  <si>
    <t>\cite{boniardi-et-al:2019:003}</t>
  </si>
  <si>
    <t>\cite{kim-et-al:2019:2897340}</t>
  </si>
  <si>
    <t>\cite{berrio-et-al:2019:8814289}</t>
  </si>
  <si>
    <t>\cite{wang-et-al:2019:8793499}</t>
  </si>
  <si>
    <t>\cite{wu-wu:2019:8968599}</t>
  </si>
  <si>
    <t>\cite{tang-et-al:2019:7}</t>
  </si>
  <si>
    <t>\cite{bürki-et-al:2019:21870}</t>
  </si>
  <si>
    <t>\cite{labbé-michaud:2019:21831}</t>
  </si>
  <si>
    <t>\cite{zhang-et-al:2019:8814347}</t>
  </si>
  <si>
    <t>\cite{schmuck-chli:2019:00071}</t>
  </si>
  <si>
    <t>\cite{ganti-waslander:2019:00024}</t>
  </si>
  <si>
    <t>\cite{ding-et-al:2019:8968550}</t>
  </si>
  <si>
    <t>\cite{song-et-al:2019:8967749}</t>
  </si>
  <si>
    <t>\cite{pan-et-al:2019:s19194252}</t>
  </si>
  <si>
    <t>\cite{ali-et-al:2020:3389033}</t>
  </si>
  <si>
    <t>\cite{qin-et-al:2020:103561}</t>
  </si>
  <si>
    <t>\cite{martini-et-al:2020:s20216002}</t>
  </si>
  <si>
    <t>\cite{karaoguz-bozma:2020:2}</t>
  </si>
  <si>
    <t>\cite{yin-et-al:2020:2905046}</t>
  </si>
  <si>
    <t>\cite{clement-et-al:2020:2967659}</t>
  </si>
  <si>
    <t>\cite{wang-et-al:2020:9468884}</t>
  </si>
  <si>
    <t>\cite{camara-et-al:2020:9196967}</t>
  </si>
  <si>
    <t>\cite{gao-zhang:2020:9196906}</t>
  </si>
  <si>
    <t>\cite{yang-et-al:2020:s20082432}</t>
  </si>
  <si>
    <t>\cite{siva-et-al:2020:9340992}</t>
  </si>
  <si>
    <t>\cite{qin-et-al:2020:9340939}</t>
  </si>
  <si>
    <t>\cite{ding-et-al:2020:2942760}</t>
  </si>
  <si>
    <t>\cite{yue-et-al:2020:9197072}</t>
  </si>
  <si>
    <t>\cite{schaefer-et-al:2021:103709}</t>
  </si>
  <si>
    <t>\cite{liu-et-al:2021:9561126}</t>
  </si>
  <si>
    <t>\cite{kim-et-al:2021:3047421}</t>
  </si>
  <si>
    <t>\cite{derner-et-al:2021:103676}</t>
  </si>
  <si>
    <t>\cite{cao-et-al:2021:2962416}</t>
  </si>
  <si>
    <t>\cite{singh-et-al:2021:9564866}</t>
  </si>
  <si>
    <t>\cite{kurz-et-al:2021:9636530}</t>
  </si>
  <si>
    <t>\cite{yin-et-al:2021:661199}</t>
  </si>
  <si>
    <t>\cite{thomas-et-al:2021:9561701}</t>
  </si>
  <si>
    <t>\cite{berrio-et-al:2021:3094485}</t>
  </si>
  <si>
    <t>\cite{oh-eoh:2021:app11198976}</t>
  </si>
  <si>
    <t>\cite{tsintotas-et-al:2021:103782}</t>
  </si>
  <si>
    <t>\cite{sun-et-al:2021:9635886}</t>
  </si>
  <si>
    <t>\cite{tang-et-al:2021:17298814211037497}</t>
  </si>
  <si>
    <t>\cite{piasco-et-al:2021:6}</t>
  </si>
  <si>
    <t>\cite{yin-et-al:2021:3061375}</t>
  </si>
  <si>
    <t>\cite{meng-et-al:2021:3062647}</t>
  </si>
  <si>
    <t>\cite{zhu-et-al:2021:9561584}</t>
  </si>
  <si>
    <t>\cite{zeng-si:2021:6}</t>
  </si>
  <si>
    <t>\cite{ali-et-al:2021:3100882}</t>
  </si>
  <si>
    <t>\cite{xu-et-al:2021:3060741}</t>
  </si>
  <si>
    <t>\cite{yang-et-al:2021:12054}</t>
  </si>
  <si>
    <t>\cite{wang-et-al:2021:9739599}</t>
  </si>
  <si>
    <t>\cite{hu-et-al:2022:1003907}</t>
  </si>
  <si>
    <t>\cite{coulin-et-al:2022:3136241}</t>
  </si>
  <si>
    <t>\cite{zhang-et-al:2022:3086822}</t>
  </si>
  <si>
    <t>\cite{nguyen-et-al:2022:3094157}</t>
  </si>
  <si>
    <t>\cite{bouaziz-et-al:2022:4}</t>
  </si>
  <si>
    <t>\cite{du-et-al:2022:3028218}</t>
  </si>
  <si>
    <t>\cite{xing-et-al:2022:22062}</t>
  </si>
  <si>
    <t>\cite{hong-et-al:2022:02783649221080483}</t>
  </si>
  <si>
    <t>FR079, Intel 2003</t>
  </si>
  <si>
    <t>FHW, FR079, FR101, Intel 2003</t>
  </si>
  <si>
    <t>Bicocca (indoor), Intel 2003, New College</t>
  </si>
  <si>
    <t>City Center, New College (FAB-MAP)</t>
  </si>
  <si>
    <t>New College, St Lucia 07</t>
  </si>
  <si>
    <t>Intel 2003, MIT Kilian Court</t>
  </si>
  <si>
    <t>albert-b-laser-vision, FR079, Intel 2003</t>
  </si>
  <si>
    <t>Intel 2003, MIT Kilian Court, NCLT</t>
  </si>
  <si>
    <t>Bicocca (indoor), Ford Campus, Malaga 09, New College, Nordland, St Lucia 07</t>
  </si>
  <si>
    <t>KITTI, New College, TUM RGBD</t>
  </si>
  <si>
    <t>COLD, New College</t>
  </si>
  <si>
    <t>CMU-VL, Nordland, St Lucia 07</t>
  </si>
  <si>
    <t>NCLT, Witham Wharf RGB-D</t>
  </si>
  <si>
    <t>Bicocca (indoor), KITTI, New College</t>
  </si>
  <si>
    <t>CMU-VL, Gardens Point Campus</t>
  </si>
  <si>
    <t>KITTI, TUM RGBD</t>
  </si>
  <si>
    <t>CMU-VL, Nordland</t>
  </si>
  <si>
    <t>City Center, Nordland</t>
  </si>
  <si>
    <t>MIT Stata Center, Witham Wharf RGB-D</t>
  </si>
  <si>
    <t>KITTI, NCLT</t>
  </si>
  <si>
    <t>KITTI, New College, Nordland</t>
  </si>
  <si>
    <t>Nordland, St Lucia 07</t>
  </si>
  <si>
    <t>NCLT, Oxford RobotCar</t>
  </si>
  <si>
    <t>Gardens Point Campus, Nordland</t>
  </si>
  <si>
    <t>EuRoC, KITTI, MIT Stata Center, TUM RGBD</t>
  </si>
  <si>
    <t>Alderley, FAS, Nordland, Oxford RobotCar, St Lucia 07</t>
  </si>
  <si>
    <t>KITTI, YQ21</t>
  </si>
  <si>
    <t>Berlin Kudamm, Gardens Point Campus, Nordland</t>
  </si>
  <si>
    <t>CMU-VL, St Lucia 07</t>
  </si>
  <si>
    <t>City Center, KITTI, New College (FAB-MAP)</t>
  </si>
  <si>
    <t>CBD, KITTI</t>
  </si>
  <si>
    <t>MulRan, Oxford Radar RobotCar</t>
  </si>
  <si>
    <t>KAIST, Nordland</t>
  </si>
  <si>
    <t>City Center, EuRoC, KITTI, Lip6Ind, Lip6Out, Malaga 09</t>
  </si>
  <si>
    <t>Alderley, Nordland, Oxford RobotCar, YQ21</t>
  </si>
  <si>
    <t>CMU-VL, Oxford RobotCar</t>
  </si>
  <si>
    <t>MulRan, NCLT, Oxford RobotCar</t>
  </si>
  <si>
    <t>City Center, KITTI, Lip6Ind, Lip6Out, Malaga 09, New College</t>
  </si>
  <si>
    <t>CMU-Seasons, RobotCar Seasons</t>
  </si>
  <si>
    <t>City Center, KITTI, Malaga 09, St Lucia 07</t>
  </si>
  <si>
    <t>EuRoC, NTU VIRAL</t>
  </si>
  <si>
    <t>IPLT, Oxford RobotCar</t>
  </si>
  <si>
    <t>Bonn RGB-D Dynamic, TUM RGBD</t>
  </si>
  <si>
    <t>EuRoC, KITTI, TUM RGBD</t>
  </si>
  <si>
    <t>MulRan, Oxford RobotCar, RADIATE</t>
  </si>
  <si>
    <t>uses?</t>
  </si>
  <si>
    <t>use dataset</t>
  </si>
  <si>
    <t>published</t>
  </si>
  <si>
    <t>%use dataset</t>
  </si>
  <si>
    <t xml:space="preserve">      #type of sensors</t>
  </si>
  <si>
    <t>34/43 datasets define ground-truth data</t>
  </si>
  <si>
    <t>56/77 works with self-experiments define ground-truth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</si>
</sst>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8"/>
      <color theme="1"/>
      <name val="Arial"/>
      <family val="2"/>
    </font>
    <font>
      <sz val="11"/>
      <color theme="1"/>
      <name val="Calibri"/>
      <family val="2"/>
      <scheme val="minor"/>
    </font>
    <font>
      <b/>
      <sz val="8"/>
      <color theme="1"/>
      <name val="Arial"/>
      <family val="2"/>
    </font>
    <font>
      <b/>
      <i/>
      <sz val="8"/>
      <color theme="1"/>
      <name val="Arial"/>
      <family val="2"/>
    </font>
    <font>
      <i/>
      <sz val="8"/>
      <color theme="1"/>
      <name val="Arial"/>
      <family val="2"/>
    </font>
    <font>
      <sz val="8"/>
      <name val="Calibri"/>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8" tint="0.79998168889431442"/>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36">
    <xf numFmtId="0" fontId="0" fillId="0" borderId="0" xfId="0"/>
    <xf numFmtId="0" fontId="1" fillId="0" borderId="0" xfId="0" applyFont="1"/>
    <xf numFmtId="0" fontId="3" fillId="0" borderId="0" xfId="0" applyFont="1"/>
    <xf numFmtId="0" fontId="1" fillId="0" borderId="0" xfId="0" applyFont="1" applyAlignment="1">
      <alignment horizontal="center"/>
    </xf>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applyAlignment="1">
      <alignment horizontal="center" vertical="top" wrapText="1"/>
    </xf>
    <xf numFmtId="0" fontId="1" fillId="0" borderId="0" xfId="0" quotePrefix="1" applyFont="1" applyAlignment="1">
      <alignment horizontal="center" vertical="top" wrapText="1"/>
    </xf>
    <xf numFmtId="0" fontId="1" fillId="0" borderId="0" xfId="0" quotePrefix="1" applyFont="1" applyAlignment="1">
      <alignment horizontal="left" vertical="top" wrapText="1"/>
    </xf>
    <xf numFmtId="0" fontId="3" fillId="2" borderId="0" xfId="0" applyFont="1" applyFill="1"/>
    <xf numFmtId="0" fontId="1" fillId="2" borderId="0" xfId="0" applyFont="1" applyFill="1"/>
    <xf numFmtId="0" fontId="3" fillId="4" borderId="0" xfId="0" applyFont="1" applyFill="1"/>
    <xf numFmtId="0" fontId="4" fillId="0" borderId="0" xfId="0" applyFont="1"/>
    <xf numFmtId="0" fontId="1" fillId="0" borderId="0" xfId="0" applyFont="1" applyAlignment="1">
      <alignment horizontal="left" indent="2"/>
    </xf>
    <xf numFmtId="0" fontId="5" fillId="0" borderId="0" xfId="0" applyFont="1"/>
    <xf numFmtId="10" fontId="1" fillId="0" borderId="0" xfId="0" applyNumberFormat="1" applyFont="1"/>
    <xf numFmtId="164" fontId="1" fillId="0" borderId="0" xfId="1" applyNumberFormat="1" applyFont="1"/>
    <xf numFmtId="0" fontId="3" fillId="5" borderId="0" xfId="0" applyFont="1" applyFill="1"/>
    <xf numFmtId="0" fontId="3" fillId="5" borderId="0" xfId="0" applyFont="1" applyFill="1" applyAlignment="1">
      <alignment textRotation="90"/>
    </xf>
    <xf numFmtId="0" fontId="1" fillId="5" borderId="0" xfId="0" quotePrefix="1" applyFont="1" applyFill="1" applyAlignment="1">
      <alignment horizontal="left" vertical="top" wrapText="1"/>
    </xf>
    <xf numFmtId="0" fontId="1" fillId="5" borderId="0" xfId="0" applyFont="1" applyFill="1" applyAlignment="1">
      <alignment horizontal="left" vertical="top" wrapText="1"/>
    </xf>
    <xf numFmtId="0" fontId="1" fillId="5" borderId="0" xfId="0" applyFont="1" applyFill="1" applyAlignment="1">
      <alignment vertical="top" wrapText="1"/>
    </xf>
    <xf numFmtId="0" fontId="3" fillId="0" borderId="0" xfId="0" applyFont="1" applyAlignment="1">
      <alignment horizontal="center"/>
    </xf>
    <xf numFmtId="0" fontId="3" fillId="0" borderId="0" xfId="0" applyFont="1" applyAlignment="1">
      <alignment horizontal="center" textRotation="90"/>
    </xf>
    <xf numFmtId="0" fontId="5" fillId="0" borderId="0" xfId="0" applyFont="1" applyAlignment="1">
      <alignment horizontal="center" vertical="top" wrapText="1"/>
    </xf>
    <xf numFmtId="0" fontId="5" fillId="5" borderId="0" xfId="0" applyFont="1" applyFill="1" applyAlignment="1">
      <alignment horizontal="center" vertical="top" wrapText="1"/>
    </xf>
    <xf numFmtId="0" fontId="3" fillId="6" borderId="0" xfId="0" applyFont="1" applyFill="1"/>
    <xf numFmtId="164" fontId="1" fillId="0" borderId="0" xfId="0" applyNumberFormat="1" applyFont="1"/>
    <xf numFmtId="0" fontId="1" fillId="4" borderId="0" xfId="0" applyFont="1" applyFill="1" applyAlignment="1">
      <alignment horizontal="left" indent="1"/>
    </xf>
    <xf numFmtId="0" fontId="1" fillId="4" borderId="0" xfId="0" applyFont="1" applyFill="1" applyAlignment="1">
      <alignment horizontal="left" indent="2"/>
    </xf>
    <xf numFmtId="0" fontId="1" fillId="4" borderId="0" xfId="0" applyFont="1" applyFill="1" applyAlignment="1">
      <alignment horizontal="left" indent="3"/>
    </xf>
    <xf numFmtId="0" fontId="1" fillId="4" borderId="0" xfId="0" applyFont="1" applyFill="1"/>
    <xf numFmtId="0" fontId="3" fillId="0" borderId="0" xfId="0" applyFont="1" applyAlignment="1">
      <alignment horizontal="center"/>
    </xf>
    <xf numFmtId="0" fontId="3" fillId="3" borderId="0" xfId="0" applyFont="1" applyFill="1" applyAlignment="1">
      <alignment horizontal="center"/>
    </xf>
    <xf numFmtId="0" fontId="3" fillId="7" borderId="0" xfId="0" applyFont="1" applyFill="1" applyAlignment="1">
      <alignment horizontal="center"/>
    </xf>
    <xf numFmtId="0" fontId="1" fillId="4" borderId="0" xfId="0" applyFont="1" applyFill="1" applyAlignment="1">
      <alignment horizontal="left" indent="4"/>
    </xf>
  </cellXfs>
  <cellStyles count="2">
    <cellStyle name="Normal" xfId="0" builtinId="0"/>
    <cellStyle name="Percent" xfId="1" builtinId="5"/>
  </cellStyles>
  <dxfs count="120">
    <dxf>
      <font>
        <b val="0"/>
        <i val="0"/>
        <strike val="0"/>
        <condense val="0"/>
        <extend val="0"/>
        <outline val="0"/>
        <shadow val="0"/>
        <u val="none"/>
        <vertAlign val="baseline"/>
        <sz val="8"/>
        <color theme="1"/>
        <name val="Arial"/>
        <family val="2"/>
        <scheme val="none"/>
      </font>
      <numFmt numFmtId="0" formatCode="General"/>
    </dxf>
    <dxf>
      <font>
        <b val="0"/>
        <i val="0"/>
        <strike val="0"/>
        <condense val="0"/>
        <extend val="0"/>
        <outline val="0"/>
        <shadow val="0"/>
        <u val="none"/>
        <vertAlign val="baseline"/>
        <sz val="8"/>
        <color theme="1"/>
        <name val="Arial"/>
        <family val="2"/>
        <scheme val="none"/>
      </font>
      <numFmt numFmtId="0" formatCode="General"/>
    </dxf>
    <dxf>
      <font>
        <b val="0"/>
        <i val="0"/>
        <strike val="0"/>
        <condense val="0"/>
        <extend val="0"/>
        <outline val="0"/>
        <shadow val="0"/>
        <u val="none"/>
        <vertAlign val="baseline"/>
        <sz val="8"/>
        <color theme="1"/>
        <name val="Arial"/>
        <family val="2"/>
        <scheme val="none"/>
      </font>
      <numFmt numFmtId="0" formatCode="General"/>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dxf>
    <dxf>
      <font>
        <b/>
        <i val="0"/>
        <strike val="0"/>
        <condense val="0"/>
        <extend val="0"/>
        <outline val="0"/>
        <shadow val="0"/>
        <u val="none"/>
        <vertAlign val="baseline"/>
        <sz val="8"/>
        <color theme="1"/>
        <name val="Arial"/>
        <family val="2"/>
        <scheme val="none"/>
      </font>
      <fill>
        <patternFill patternType="solid">
          <fgColor indexed="64"/>
          <bgColor theme="8" tint="0.7999816888943144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numFmt numFmtId="0" formatCode="General"/>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val="0"/>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ont>
        <b/>
        <i val="0"/>
        <strike val="0"/>
        <condense val="0"/>
        <extend val="0"/>
        <outline val="0"/>
        <shadow val="0"/>
        <u val="none"/>
        <vertAlign val="baseline"/>
        <sz val="8"/>
        <color theme="1"/>
        <name val="Arial"/>
        <family val="2"/>
        <scheme val="none"/>
      </font>
      <fill>
        <patternFill patternType="solid">
          <fgColor indexed="64"/>
          <bgColor theme="0" tint="-4.9989318521683403E-2"/>
        </patternFill>
      </fill>
    </dxf>
    <dxf>
      <fill>
        <patternFill>
          <bgColor theme="9" tint="0.79998168889431442"/>
        </patternFill>
      </fill>
    </dxf>
    <dxf>
      <fill>
        <patternFill>
          <bgColor theme="5" tint="0.79998168889431442"/>
        </patternFill>
      </fill>
    </dxf>
    <dxf>
      <font>
        <b val="0"/>
        <i val="0"/>
        <strike val="0"/>
        <condense val="0"/>
        <extend val="0"/>
        <outline val="0"/>
        <shadow val="0"/>
        <u val="none"/>
        <vertAlign val="baseline"/>
        <sz val="8"/>
        <color theme="1"/>
        <name val="Arial"/>
        <family val="2"/>
        <scheme val="none"/>
      </font>
      <numFmt numFmtId="0" formatCode="Genera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solid">
          <fgColor indexed="64"/>
          <bgColor theme="1"/>
        </patternFill>
      </fill>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fill>
        <patternFill patternType="none">
          <fgColor indexed="64"/>
          <bgColor auto="1"/>
        </patternFill>
      </fill>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s>
  <tableStyles count="0"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a:t>Usage</a:t>
            </a:r>
            <a:r>
              <a:rPr lang="en-GB" baseline="0"/>
              <a:t> of Public Datasets in the Included Works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analysis!$AQ$3</c:f>
              <c:strCache>
                <c:ptCount val="1"/>
                <c:pt idx="0">
                  <c:v>published</c:v>
                </c:pt>
              </c:strCache>
            </c:strRef>
          </c:tx>
          <c:spPr>
            <a:ln w="19050" cap="rnd">
              <a:solidFill>
                <a:schemeClr val="accent1"/>
              </a:solidFill>
              <a:round/>
            </a:ln>
            <a:effectLst/>
          </c:spPr>
          <c:marker>
            <c:symbol val="circle"/>
            <c:size val="5"/>
            <c:spPr>
              <a:solidFill>
                <a:srgbClr val="6C8EBF"/>
              </a:solidFill>
              <a:ln w="9525">
                <a:solidFill>
                  <a:srgbClr val="6C8EBF"/>
                </a:solidFill>
              </a:ln>
              <a:effectLst/>
            </c:spPr>
          </c:marker>
          <c:dPt>
            <c:idx val="20"/>
            <c:marker>
              <c:symbol val="circle"/>
              <c:size val="5"/>
              <c:spPr>
                <a:noFill/>
                <a:ln w="9525">
                  <a:solidFill>
                    <a:srgbClr val="6C8EBF"/>
                  </a:solidFill>
                  <a:prstDash val="sysDot"/>
                </a:ln>
                <a:effectLst/>
              </c:spPr>
            </c:marker>
            <c:bubble3D val="0"/>
            <c:spPr>
              <a:ln w="19050" cap="rnd">
                <a:solidFill>
                  <a:schemeClr val="accent1"/>
                </a:solidFill>
                <a:prstDash val="sysDot"/>
                <a:round/>
              </a:ln>
              <a:effectLst/>
            </c:spPr>
            <c:extLst>
              <c:ext xmlns:c16="http://schemas.microsoft.com/office/drawing/2014/chart" uri="{C3380CC4-5D6E-409C-BE32-E72D297353CC}">
                <c16:uniqueId val="{00000007-3B35-4206-AFCF-399D7B0D039D}"/>
              </c:ext>
            </c:extLst>
          </c:dPt>
          <c:xVal>
            <c:numRef>
              <c:f>analysis!$AP$4:$AP$24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xVal>
          <c:yVal>
            <c:numRef>
              <c:f>analysis!$AQ$4:$AQ$24</c:f>
              <c:numCache>
                <c:formatCode>General</c:formatCode>
                <c:ptCount val="21"/>
                <c:pt idx="0">
                  <c:v>1</c:v>
                </c:pt>
                <c:pt idx="1">
                  <c:v>0</c:v>
                </c:pt>
                <c:pt idx="2">
                  <c:v>0</c:v>
                </c:pt>
                <c:pt idx="3">
                  <c:v>0</c:v>
                </c:pt>
                <c:pt idx="4">
                  <c:v>0</c:v>
                </c:pt>
                <c:pt idx="5">
                  <c:v>1</c:v>
                </c:pt>
                <c:pt idx="6">
                  <c:v>0</c:v>
                </c:pt>
                <c:pt idx="7">
                  <c:v>6</c:v>
                </c:pt>
                <c:pt idx="8">
                  <c:v>3</c:v>
                </c:pt>
                <c:pt idx="9">
                  <c:v>2</c:v>
                </c:pt>
                <c:pt idx="10">
                  <c:v>4</c:v>
                </c:pt>
                <c:pt idx="11">
                  <c:v>13</c:v>
                </c:pt>
                <c:pt idx="12">
                  <c:v>4</c:v>
                </c:pt>
                <c:pt idx="13">
                  <c:v>10</c:v>
                </c:pt>
                <c:pt idx="14">
                  <c:v>10</c:v>
                </c:pt>
                <c:pt idx="15">
                  <c:v>8</c:v>
                </c:pt>
                <c:pt idx="16">
                  <c:v>20</c:v>
                </c:pt>
                <c:pt idx="17">
                  <c:v>15</c:v>
                </c:pt>
                <c:pt idx="18">
                  <c:v>14</c:v>
                </c:pt>
                <c:pt idx="19">
                  <c:v>23</c:v>
                </c:pt>
                <c:pt idx="20">
                  <c:v>8</c:v>
                </c:pt>
              </c:numCache>
            </c:numRef>
          </c:yVal>
          <c:smooth val="0"/>
          <c:extLst>
            <c:ext xmlns:c16="http://schemas.microsoft.com/office/drawing/2014/chart" uri="{C3380CC4-5D6E-409C-BE32-E72D297353CC}">
              <c16:uniqueId val="{00000000-3B35-4206-AFCF-399D7B0D039D}"/>
            </c:ext>
          </c:extLst>
        </c:ser>
        <c:ser>
          <c:idx val="2"/>
          <c:order val="1"/>
          <c:tx>
            <c:strRef>
              <c:f>analysis!$AR$3</c:f>
              <c:strCache>
                <c:ptCount val="1"/>
                <c:pt idx="0">
                  <c:v>use dataset</c:v>
                </c:pt>
              </c:strCache>
            </c:strRef>
          </c:tx>
          <c:spPr>
            <a:ln w="19050" cap="rnd">
              <a:solidFill>
                <a:srgbClr val="ED7D31"/>
              </a:solidFill>
              <a:round/>
            </a:ln>
            <a:effectLst/>
          </c:spPr>
          <c:marker>
            <c:symbol val="circle"/>
            <c:size val="5"/>
            <c:spPr>
              <a:solidFill>
                <a:srgbClr val="ED7D31"/>
              </a:solidFill>
              <a:ln w="9525">
                <a:solidFill>
                  <a:srgbClr val="ED7D31"/>
                </a:solidFill>
              </a:ln>
              <a:effectLst/>
            </c:spPr>
          </c:marker>
          <c:dPt>
            <c:idx val="20"/>
            <c:marker>
              <c:symbol val="circle"/>
              <c:size val="5"/>
              <c:spPr>
                <a:noFill/>
                <a:ln w="9525">
                  <a:solidFill>
                    <a:srgbClr val="ED7D31"/>
                  </a:solidFill>
                  <a:prstDash val="sysDot"/>
                </a:ln>
                <a:effectLst/>
              </c:spPr>
            </c:marker>
            <c:bubble3D val="0"/>
            <c:spPr>
              <a:ln w="19050" cap="rnd">
                <a:solidFill>
                  <a:srgbClr val="ED7D31"/>
                </a:solidFill>
                <a:prstDash val="sysDot"/>
                <a:round/>
              </a:ln>
              <a:effectLst/>
            </c:spPr>
            <c:extLst>
              <c:ext xmlns:c16="http://schemas.microsoft.com/office/drawing/2014/chart" uri="{C3380CC4-5D6E-409C-BE32-E72D297353CC}">
                <c16:uniqueId val="{00000003-6F98-4015-B717-A410D17158C6}"/>
              </c:ext>
            </c:extLst>
          </c:dPt>
          <c:xVal>
            <c:numRef>
              <c:f>analysis!$AP$4:$AP$24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xVal>
          <c:yVal>
            <c:numRef>
              <c:f>analysis!$AR$4:$AR$24</c:f>
              <c:numCache>
                <c:formatCode>General</c:formatCode>
                <c:ptCount val="21"/>
                <c:pt idx="0">
                  <c:v>0</c:v>
                </c:pt>
                <c:pt idx="1">
                  <c:v>0</c:v>
                </c:pt>
                <c:pt idx="2">
                  <c:v>0</c:v>
                </c:pt>
                <c:pt idx="3">
                  <c:v>0</c:v>
                </c:pt>
                <c:pt idx="4">
                  <c:v>0</c:v>
                </c:pt>
                <c:pt idx="5">
                  <c:v>0</c:v>
                </c:pt>
                <c:pt idx="6">
                  <c:v>0</c:v>
                </c:pt>
                <c:pt idx="7">
                  <c:v>0</c:v>
                </c:pt>
                <c:pt idx="8">
                  <c:v>2</c:v>
                </c:pt>
                <c:pt idx="9">
                  <c:v>0</c:v>
                </c:pt>
                <c:pt idx="10">
                  <c:v>3</c:v>
                </c:pt>
                <c:pt idx="11">
                  <c:v>9</c:v>
                </c:pt>
                <c:pt idx="12">
                  <c:v>3</c:v>
                </c:pt>
                <c:pt idx="13">
                  <c:v>4</c:v>
                </c:pt>
                <c:pt idx="14">
                  <c:v>3</c:v>
                </c:pt>
                <c:pt idx="15">
                  <c:v>6</c:v>
                </c:pt>
                <c:pt idx="16">
                  <c:v>13</c:v>
                </c:pt>
                <c:pt idx="17">
                  <c:v>10</c:v>
                </c:pt>
                <c:pt idx="18">
                  <c:v>11</c:v>
                </c:pt>
                <c:pt idx="19">
                  <c:v>18</c:v>
                </c:pt>
                <c:pt idx="20">
                  <c:v>7</c:v>
                </c:pt>
              </c:numCache>
            </c:numRef>
          </c:yVal>
          <c:smooth val="0"/>
          <c:extLst>
            <c:ext xmlns:c16="http://schemas.microsoft.com/office/drawing/2014/chart" uri="{C3380CC4-5D6E-409C-BE32-E72D297353CC}">
              <c16:uniqueId val="{00000004-3B35-4206-AFCF-399D7B0D039D}"/>
            </c:ext>
          </c:extLst>
        </c:ser>
        <c:dLbls>
          <c:showLegendKey val="0"/>
          <c:showVal val="0"/>
          <c:showCatName val="0"/>
          <c:showSerName val="0"/>
          <c:showPercent val="0"/>
          <c:showBubbleSize val="0"/>
        </c:dLbls>
        <c:axId val="1562487728"/>
        <c:axId val="1562488144"/>
      </c:scatterChart>
      <c:valAx>
        <c:axId val="1562487728"/>
        <c:scaling>
          <c:orientation val="minMax"/>
          <c:max val="2022"/>
          <c:min val="200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62488144"/>
        <c:crosses val="autoZero"/>
        <c:crossBetween val="midCat"/>
        <c:majorUnit val="2"/>
        <c:minorUnit val="1"/>
      </c:valAx>
      <c:valAx>
        <c:axId val="1562488144"/>
        <c:scaling>
          <c:orientation val="minMax"/>
          <c:max val="2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#records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62487728"/>
        <c:crosses val="autoZero"/>
        <c:crossBetween val="midCat"/>
        <c:majorUnit val="4"/>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a:t>Usage</a:t>
            </a:r>
            <a:r>
              <a:rPr lang="en-GB" baseline="0"/>
              <a:t> of Public Datasets in the Included Works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analysis!$AQ$3</c:f>
              <c:strCache>
                <c:ptCount val="1"/>
                <c:pt idx="0">
                  <c:v>published</c:v>
                </c:pt>
              </c:strCache>
            </c:strRef>
          </c:tx>
          <c:spPr>
            <a:ln w="19050" cap="rnd">
              <a:solidFill>
                <a:schemeClr val="accent1"/>
              </a:solidFill>
              <a:round/>
            </a:ln>
            <a:effectLst/>
          </c:spPr>
          <c:marker>
            <c:symbol val="circle"/>
            <c:size val="5"/>
            <c:spPr>
              <a:solidFill>
                <a:srgbClr val="6C8EBF"/>
              </a:solidFill>
              <a:ln w="9525">
                <a:solidFill>
                  <a:srgbClr val="6C8EBF"/>
                </a:solidFill>
              </a:ln>
              <a:effectLst/>
            </c:spPr>
          </c:marker>
          <c:dPt>
            <c:idx val="20"/>
            <c:marker>
              <c:symbol val="circle"/>
              <c:size val="5"/>
              <c:spPr>
                <a:noFill/>
                <a:ln w="9525">
                  <a:solidFill>
                    <a:srgbClr val="6C8EBF"/>
                  </a:solidFill>
                  <a:prstDash val="sysDot"/>
                </a:ln>
                <a:effectLst/>
              </c:spPr>
            </c:marker>
            <c:bubble3D val="0"/>
            <c:extLst>
              <c:ext xmlns:c16="http://schemas.microsoft.com/office/drawing/2014/chart" uri="{C3380CC4-5D6E-409C-BE32-E72D297353CC}">
                <c16:uniqueId val="{00000001-00E2-422C-87C4-5014D664122C}"/>
              </c:ext>
            </c:extLst>
          </c:dPt>
          <c:xVal>
            <c:numRef>
              <c:f>analysis!$AP$4:$AP$24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xVal>
          <c:yVal>
            <c:numRef>
              <c:f>analysis!$AS$4:$AS$24</c:f>
              <c:numCache>
                <c:formatCode>0.0%</c:formatCode>
                <c:ptCount val="21"/>
                <c:pt idx="0">
                  <c:v>0</c:v>
                </c:pt>
                <c:pt idx="1">
                  <c:v>0</c:v>
                </c:pt>
                <c:pt idx="2">
                  <c:v>0</c:v>
                </c:pt>
                <c:pt idx="3">
                  <c:v>0</c:v>
                </c:pt>
                <c:pt idx="4">
                  <c:v>0</c:v>
                </c:pt>
                <c:pt idx="5">
                  <c:v>0</c:v>
                </c:pt>
                <c:pt idx="6">
                  <c:v>0</c:v>
                </c:pt>
                <c:pt idx="7">
                  <c:v>0</c:v>
                </c:pt>
                <c:pt idx="8">
                  <c:v>0.66666666666666663</c:v>
                </c:pt>
                <c:pt idx="9">
                  <c:v>0</c:v>
                </c:pt>
                <c:pt idx="10">
                  <c:v>0.75</c:v>
                </c:pt>
                <c:pt idx="11">
                  <c:v>0.69230769230769229</c:v>
                </c:pt>
                <c:pt idx="12">
                  <c:v>0.75</c:v>
                </c:pt>
                <c:pt idx="13">
                  <c:v>0.4</c:v>
                </c:pt>
                <c:pt idx="14">
                  <c:v>0.3</c:v>
                </c:pt>
                <c:pt idx="15">
                  <c:v>0.75</c:v>
                </c:pt>
                <c:pt idx="16">
                  <c:v>0.65</c:v>
                </c:pt>
                <c:pt idx="17">
                  <c:v>0.66666666666666663</c:v>
                </c:pt>
                <c:pt idx="18">
                  <c:v>0.7857142857142857</c:v>
                </c:pt>
                <c:pt idx="19">
                  <c:v>0.78260869565217395</c:v>
                </c:pt>
                <c:pt idx="20">
                  <c:v>0.875</c:v>
                </c:pt>
              </c:numCache>
            </c:numRef>
          </c:yVal>
          <c:smooth val="0"/>
          <c:extLst>
            <c:ext xmlns:c16="http://schemas.microsoft.com/office/drawing/2014/chart" uri="{C3380CC4-5D6E-409C-BE32-E72D297353CC}">
              <c16:uniqueId val="{00000002-00E2-422C-87C4-5014D664122C}"/>
            </c:ext>
          </c:extLst>
        </c:ser>
        <c:dLbls>
          <c:showLegendKey val="0"/>
          <c:showVal val="0"/>
          <c:showCatName val="0"/>
          <c:showSerName val="0"/>
          <c:showPercent val="0"/>
          <c:showBubbleSize val="0"/>
        </c:dLbls>
        <c:axId val="1562487728"/>
        <c:axId val="1562488144"/>
      </c:scatterChart>
      <c:valAx>
        <c:axId val="1562487728"/>
        <c:scaling>
          <c:orientation val="minMax"/>
          <c:max val="2022"/>
          <c:min val="200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62488144"/>
        <c:crosses val="autoZero"/>
        <c:crossBetween val="midCat"/>
        <c:majorUnit val="2"/>
        <c:minorUnit val="1"/>
      </c:valAx>
      <c:valAx>
        <c:axId val="1562488144"/>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#use</a:t>
                </a:r>
                <a:r>
                  <a:rPr lang="en-GB" baseline="0"/>
                  <a:t> dataset</a:t>
                </a:r>
                <a:r>
                  <a:rPr lang="en-GB"/>
                  <a:t> / #records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0%"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62487728"/>
        <c:crosses val="autoZero"/>
        <c:crossBetween val="midCat"/>
        <c:majorUnit val="0.2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a:t>Usage</a:t>
            </a:r>
            <a:r>
              <a:rPr lang="en-GB" baseline="0"/>
              <a:t> of Public Datasets in the Included Works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scatterChart>
        <c:scatterStyle val="lineMarker"/>
        <c:varyColors val="0"/>
        <c:ser>
          <c:idx val="0"/>
          <c:order val="0"/>
          <c:tx>
            <c:strRef>
              <c:f>analysis!$AQ$3</c:f>
              <c:strCache>
                <c:ptCount val="1"/>
                <c:pt idx="0">
                  <c:v>published</c:v>
                </c:pt>
              </c:strCache>
            </c:strRef>
          </c:tx>
          <c:spPr>
            <a:ln w="19050" cap="rnd">
              <a:solidFill>
                <a:schemeClr val="accent1"/>
              </a:solidFill>
              <a:round/>
            </a:ln>
            <a:effectLst/>
          </c:spPr>
          <c:marker>
            <c:symbol val="circle"/>
            <c:size val="5"/>
            <c:spPr>
              <a:solidFill>
                <a:srgbClr val="6C8EBF"/>
              </a:solidFill>
              <a:ln w="9525">
                <a:solidFill>
                  <a:srgbClr val="6C8EBF"/>
                </a:solidFill>
              </a:ln>
              <a:effectLst/>
            </c:spPr>
          </c:marker>
          <c:dPt>
            <c:idx val="20"/>
            <c:marker>
              <c:symbol val="circle"/>
              <c:size val="5"/>
              <c:spPr>
                <a:noFill/>
                <a:ln w="9525">
                  <a:solidFill>
                    <a:srgbClr val="6C8EBF"/>
                  </a:solidFill>
                  <a:prstDash val="sysDot"/>
                </a:ln>
                <a:effectLst/>
              </c:spPr>
            </c:marker>
            <c:bubble3D val="0"/>
            <c:spPr>
              <a:ln w="19050" cap="rnd">
                <a:solidFill>
                  <a:schemeClr val="accent1"/>
                </a:solidFill>
                <a:prstDash val="sysDot"/>
                <a:round/>
              </a:ln>
              <a:effectLst/>
            </c:spPr>
            <c:extLst>
              <c:ext xmlns:c16="http://schemas.microsoft.com/office/drawing/2014/chart" uri="{C3380CC4-5D6E-409C-BE32-E72D297353CC}">
                <c16:uniqueId val="{00000001-062D-4896-B69A-7883DD386FEC}"/>
              </c:ext>
            </c:extLst>
          </c:dPt>
          <c:xVal>
            <c:numRef>
              <c:f>analysis!$AP$4:$AP$24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xVal>
          <c:yVal>
            <c:numRef>
              <c:f>analysis!$AQ$4:$AQ$24</c:f>
              <c:numCache>
                <c:formatCode>General</c:formatCode>
                <c:ptCount val="21"/>
                <c:pt idx="0">
                  <c:v>1</c:v>
                </c:pt>
                <c:pt idx="1">
                  <c:v>0</c:v>
                </c:pt>
                <c:pt idx="2">
                  <c:v>0</c:v>
                </c:pt>
                <c:pt idx="3">
                  <c:v>0</c:v>
                </c:pt>
                <c:pt idx="4">
                  <c:v>0</c:v>
                </c:pt>
                <c:pt idx="5">
                  <c:v>1</c:v>
                </c:pt>
                <c:pt idx="6">
                  <c:v>0</c:v>
                </c:pt>
                <c:pt idx="7">
                  <c:v>6</c:v>
                </c:pt>
                <c:pt idx="8">
                  <c:v>3</c:v>
                </c:pt>
                <c:pt idx="9">
                  <c:v>2</c:v>
                </c:pt>
                <c:pt idx="10">
                  <c:v>4</c:v>
                </c:pt>
                <c:pt idx="11">
                  <c:v>13</c:v>
                </c:pt>
                <c:pt idx="12">
                  <c:v>4</c:v>
                </c:pt>
                <c:pt idx="13">
                  <c:v>10</c:v>
                </c:pt>
                <c:pt idx="14">
                  <c:v>10</c:v>
                </c:pt>
                <c:pt idx="15">
                  <c:v>8</c:v>
                </c:pt>
                <c:pt idx="16">
                  <c:v>20</c:v>
                </c:pt>
                <c:pt idx="17">
                  <c:v>15</c:v>
                </c:pt>
                <c:pt idx="18">
                  <c:v>14</c:v>
                </c:pt>
                <c:pt idx="19">
                  <c:v>23</c:v>
                </c:pt>
                <c:pt idx="20">
                  <c:v>8</c:v>
                </c:pt>
              </c:numCache>
            </c:numRef>
          </c:yVal>
          <c:smooth val="0"/>
          <c:extLst>
            <c:ext xmlns:c16="http://schemas.microsoft.com/office/drawing/2014/chart" uri="{C3380CC4-5D6E-409C-BE32-E72D297353CC}">
              <c16:uniqueId val="{00000002-062D-4896-B69A-7883DD386FEC}"/>
            </c:ext>
          </c:extLst>
        </c:ser>
        <c:ser>
          <c:idx val="2"/>
          <c:order val="1"/>
          <c:tx>
            <c:strRef>
              <c:f>analysis!$AR$3</c:f>
              <c:strCache>
                <c:ptCount val="1"/>
                <c:pt idx="0">
                  <c:v>use dataset</c:v>
                </c:pt>
              </c:strCache>
            </c:strRef>
          </c:tx>
          <c:spPr>
            <a:ln w="19050" cap="rnd">
              <a:solidFill>
                <a:srgbClr val="ED7D31"/>
              </a:solidFill>
              <a:round/>
            </a:ln>
            <a:effectLst/>
          </c:spPr>
          <c:marker>
            <c:symbol val="circle"/>
            <c:size val="5"/>
            <c:spPr>
              <a:solidFill>
                <a:srgbClr val="ED7D31"/>
              </a:solidFill>
              <a:ln w="9525">
                <a:solidFill>
                  <a:srgbClr val="ED7D31"/>
                </a:solidFill>
              </a:ln>
              <a:effectLst/>
            </c:spPr>
          </c:marker>
          <c:dPt>
            <c:idx val="20"/>
            <c:marker>
              <c:symbol val="circle"/>
              <c:size val="5"/>
              <c:spPr>
                <a:noFill/>
                <a:ln w="9525">
                  <a:solidFill>
                    <a:srgbClr val="ED7D31"/>
                  </a:solidFill>
                  <a:prstDash val="sysDot"/>
                </a:ln>
                <a:effectLst/>
              </c:spPr>
            </c:marker>
            <c:bubble3D val="0"/>
            <c:spPr>
              <a:ln w="19050" cap="rnd">
                <a:solidFill>
                  <a:srgbClr val="ED7D31"/>
                </a:solidFill>
                <a:prstDash val="sysDot"/>
                <a:round/>
              </a:ln>
              <a:effectLst/>
            </c:spPr>
            <c:extLst>
              <c:ext xmlns:c16="http://schemas.microsoft.com/office/drawing/2014/chart" uri="{C3380CC4-5D6E-409C-BE32-E72D297353CC}">
                <c16:uniqueId val="{00000004-062D-4896-B69A-7883DD386FEC}"/>
              </c:ext>
            </c:extLst>
          </c:dPt>
          <c:xVal>
            <c:numRef>
              <c:f>analysis!$AP$4:$AP$24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xVal>
          <c:yVal>
            <c:numRef>
              <c:f>analysis!$AR$4:$AR$24</c:f>
              <c:numCache>
                <c:formatCode>General</c:formatCode>
                <c:ptCount val="21"/>
                <c:pt idx="0">
                  <c:v>0</c:v>
                </c:pt>
                <c:pt idx="1">
                  <c:v>0</c:v>
                </c:pt>
                <c:pt idx="2">
                  <c:v>0</c:v>
                </c:pt>
                <c:pt idx="3">
                  <c:v>0</c:v>
                </c:pt>
                <c:pt idx="4">
                  <c:v>0</c:v>
                </c:pt>
                <c:pt idx="5">
                  <c:v>0</c:v>
                </c:pt>
                <c:pt idx="6">
                  <c:v>0</c:v>
                </c:pt>
                <c:pt idx="7">
                  <c:v>0</c:v>
                </c:pt>
                <c:pt idx="8">
                  <c:v>2</c:v>
                </c:pt>
                <c:pt idx="9">
                  <c:v>0</c:v>
                </c:pt>
                <c:pt idx="10">
                  <c:v>3</c:v>
                </c:pt>
                <c:pt idx="11">
                  <c:v>9</c:v>
                </c:pt>
                <c:pt idx="12">
                  <c:v>3</c:v>
                </c:pt>
                <c:pt idx="13">
                  <c:v>4</c:v>
                </c:pt>
                <c:pt idx="14">
                  <c:v>3</c:v>
                </c:pt>
                <c:pt idx="15">
                  <c:v>6</c:v>
                </c:pt>
                <c:pt idx="16">
                  <c:v>13</c:v>
                </c:pt>
                <c:pt idx="17">
                  <c:v>10</c:v>
                </c:pt>
                <c:pt idx="18">
                  <c:v>11</c:v>
                </c:pt>
                <c:pt idx="19">
                  <c:v>18</c:v>
                </c:pt>
                <c:pt idx="20">
                  <c:v>7</c:v>
                </c:pt>
              </c:numCache>
            </c:numRef>
          </c:yVal>
          <c:smooth val="0"/>
          <c:extLst>
            <c:ext xmlns:c16="http://schemas.microsoft.com/office/drawing/2014/chart" uri="{C3380CC4-5D6E-409C-BE32-E72D297353CC}">
              <c16:uniqueId val="{00000005-062D-4896-B69A-7883DD386FEC}"/>
            </c:ext>
          </c:extLst>
        </c:ser>
        <c:dLbls>
          <c:showLegendKey val="0"/>
          <c:showVal val="0"/>
          <c:showCatName val="0"/>
          <c:showSerName val="0"/>
          <c:showPercent val="0"/>
          <c:showBubbleSize val="0"/>
        </c:dLbls>
        <c:axId val="1562487728"/>
        <c:axId val="1562488144"/>
      </c:scatterChart>
      <c:scatterChart>
        <c:scatterStyle val="lineMarker"/>
        <c:varyColors val="0"/>
        <c:ser>
          <c:idx val="1"/>
          <c:order val="2"/>
          <c:tx>
            <c:strRef>
              <c:f>analysis!$AS$3</c:f>
              <c:strCache>
                <c:ptCount val="1"/>
                <c:pt idx="0">
                  <c:v>%use dataset</c:v>
                </c:pt>
              </c:strCache>
            </c:strRef>
          </c:tx>
          <c:spPr>
            <a:ln w="15875" cap="rnd">
              <a:solidFill>
                <a:sysClr val="windowText" lastClr="000000">
                  <a:lumMod val="50000"/>
                  <a:lumOff val="50000"/>
                </a:sysClr>
              </a:solidFill>
              <a:prstDash val="solid"/>
              <a:round/>
            </a:ln>
            <a:effectLst/>
          </c:spPr>
          <c:marker>
            <c:symbol val="none"/>
          </c:marker>
          <c:dPt>
            <c:idx val="20"/>
            <c:marker>
              <c:symbol val="none"/>
            </c:marker>
            <c:bubble3D val="0"/>
            <c:spPr>
              <a:ln w="15875" cap="rnd">
                <a:solidFill>
                  <a:sysClr val="windowText" lastClr="000000">
                    <a:lumMod val="50000"/>
                    <a:lumOff val="50000"/>
                  </a:sysClr>
                </a:solidFill>
                <a:prstDash val="sysDot"/>
                <a:round/>
              </a:ln>
              <a:effectLst/>
            </c:spPr>
            <c:extLst>
              <c:ext xmlns:c16="http://schemas.microsoft.com/office/drawing/2014/chart" uri="{C3380CC4-5D6E-409C-BE32-E72D297353CC}">
                <c16:uniqueId val="{00000007-062D-4896-B69A-7883DD386FEC}"/>
              </c:ext>
            </c:extLst>
          </c:dPt>
          <c:xVal>
            <c:numRef>
              <c:f>analysis!$AP$4:$AP$24</c:f>
              <c:numCache>
                <c:formatCode>General</c:formatCode>
                <c:ptCount val="21"/>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pt idx="15">
                  <c:v>2017</c:v>
                </c:pt>
                <c:pt idx="16">
                  <c:v>2018</c:v>
                </c:pt>
                <c:pt idx="17">
                  <c:v>2019</c:v>
                </c:pt>
                <c:pt idx="18">
                  <c:v>2020</c:v>
                </c:pt>
                <c:pt idx="19">
                  <c:v>2021</c:v>
                </c:pt>
                <c:pt idx="20">
                  <c:v>2022</c:v>
                </c:pt>
              </c:numCache>
            </c:numRef>
          </c:xVal>
          <c:yVal>
            <c:numRef>
              <c:f>analysis!$AS$4:$AS$24</c:f>
              <c:numCache>
                <c:formatCode>0.0%</c:formatCode>
                <c:ptCount val="21"/>
                <c:pt idx="0">
                  <c:v>0</c:v>
                </c:pt>
                <c:pt idx="1">
                  <c:v>0</c:v>
                </c:pt>
                <c:pt idx="2">
                  <c:v>0</c:v>
                </c:pt>
                <c:pt idx="3">
                  <c:v>0</c:v>
                </c:pt>
                <c:pt idx="4">
                  <c:v>0</c:v>
                </c:pt>
                <c:pt idx="5">
                  <c:v>0</c:v>
                </c:pt>
                <c:pt idx="6">
                  <c:v>0</c:v>
                </c:pt>
                <c:pt idx="7">
                  <c:v>0</c:v>
                </c:pt>
                <c:pt idx="8">
                  <c:v>0.66666666666666663</c:v>
                </c:pt>
                <c:pt idx="9">
                  <c:v>0</c:v>
                </c:pt>
                <c:pt idx="10">
                  <c:v>0.75</c:v>
                </c:pt>
                <c:pt idx="11">
                  <c:v>0.69230769230769229</c:v>
                </c:pt>
                <c:pt idx="12">
                  <c:v>0.75</c:v>
                </c:pt>
                <c:pt idx="13">
                  <c:v>0.4</c:v>
                </c:pt>
                <c:pt idx="14">
                  <c:v>0.3</c:v>
                </c:pt>
                <c:pt idx="15">
                  <c:v>0.75</c:v>
                </c:pt>
                <c:pt idx="16">
                  <c:v>0.65</c:v>
                </c:pt>
                <c:pt idx="17">
                  <c:v>0.66666666666666663</c:v>
                </c:pt>
                <c:pt idx="18">
                  <c:v>0.7857142857142857</c:v>
                </c:pt>
                <c:pt idx="19">
                  <c:v>0.78260869565217395</c:v>
                </c:pt>
                <c:pt idx="20">
                  <c:v>0.875</c:v>
                </c:pt>
              </c:numCache>
            </c:numRef>
          </c:yVal>
          <c:smooth val="0"/>
          <c:extLst>
            <c:ext xmlns:c16="http://schemas.microsoft.com/office/drawing/2014/chart" uri="{C3380CC4-5D6E-409C-BE32-E72D297353CC}">
              <c16:uniqueId val="{00000006-062D-4896-B69A-7883DD386FEC}"/>
            </c:ext>
          </c:extLst>
        </c:ser>
        <c:dLbls>
          <c:showLegendKey val="0"/>
          <c:showVal val="0"/>
          <c:showCatName val="0"/>
          <c:showSerName val="0"/>
          <c:showPercent val="0"/>
          <c:showBubbleSize val="0"/>
        </c:dLbls>
        <c:axId val="475142976"/>
        <c:axId val="475135488"/>
      </c:scatterChart>
      <c:valAx>
        <c:axId val="1562487728"/>
        <c:scaling>
          <c:orientation val="minMax"/>
          <c:max val="2022"/>
          <c:min val="200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62488144"/>
        <c:crosses val="autoZero"/>
        <c:crossBetween val="midCat"/>
        <c:majorUnit val="2"/>
        <c:minorUnit val="1"/>
      </c:valAx>
      <c:valAx>
        <c:axId val="1562488144"/>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records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1562487728"/>
        <c:crosses val="autoZero"/>
        <c:crossBetween val="midCat"/>
        <c:majorUnit val="4"/>
      </c:valAx>
      <c:valAx>
        <c:axId val="475135488"/>
        <c:scaling>
          <c:orientation val="minMax"/>
        </c:scaling>
        <c:delete val="0"/>
        <c:axPos val="r"/>
        <c:numFmt formatCode="0.0%" sourceLinked="1"/>
        <c:majorTickMark val="out"/>
        <c:minorTickMark val="out"/>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75142976"/>
        <c:crosses val="max"/>
        <c:crossBetween val="midCat"/>
        <c:majorUnit val="0.25"/>
        <c:minorUnit val="5.000000000000001E-2"/>
      </c:valAx>
      <c:valAx>
        <c:axId val="475142976"/>
        <c:scaling>
          <c:orientation val="minMax"/>
        </c:scaling>
        <c:delete val="1"/>
        <c:axPos val="b"/>
        <c:numFmt formatCode="General" sourceLinked="1"/>
        <c:majorTickMark val="out"/>
        <c:minorTickMark val="none"/>
        <c:tickLblPos val="nextTo"/>
        <c:crossAx val="475135488"/>
        <c:crosses val="autoZero"/>
        <c:crossBetween val="midCat"/>
      </c:valAx>
      <c:spPr>
        <a:noFill/>
        <a:ln>
          <a:noFill/>
        </a:ln>
        <a:effectLst/>
      </c:spPr>
    </c:plotArea>
    <c:legend>
      <c:legendPos val="r"/>
      <c:layout>
        <c:manualLayout>
          <c:xMode val="edge"/>
          <c:yMode val="edge"/>
          <c:x val="0.81294471807108082"/>
          <c:y val="0.41195936015207385"/>
          <c:w val="0.18491824574569943"/>
          <c:h val="0.20117716002450339"/>
        </c:manualLayout>
      </c:layout>
      <c:overlay val="0"/>
      <c:spPr>
        <a:noFill/>
        <a:ln>
          <a:noFill/>
        </a:ln>
        <a:effectLst/>
      </c:spPr>
      <c:txPr>
        <a:bodyPr rot="0" spcFirstLastPara="1" vertOverflow="ellipsis" vert="horz" wrap="square" anchor="ctr" anchorCtr="1"/>
        <a:lstStyle/>
        <a:p>
          <a:pPr>
            <a:defRPr sz="7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chemeClr val="tx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46</xdr:col>
      <xdr:colOff>0</xdr:colOff>
      <xdr:row>2</xdr:row>
      <xdr:rowOff>0</xdr:rowOff>
    </xdr:from>
    <xdr:to>
      <xdr:col>55</xdr:col>
      <xdr:colOff>428107</xdr:colOff>
      <xdr:row>24</xdr:row>
      <xdr:rowOff>100970</xdr:rowOff>
    </xdr:to>
    <xdr:graphicFrame macro="">
      <xdr:nvGraphicFramePr>
        <xdr:cNvPr id="12" name="Chart 11">
          <a:extLst>
            <a:ext uri="{FF2B5EF4-FFF2-40B4-BE49-F238E27FC236}">
              <a16:creationId xmlns:a16="http://schemas.microsoft.com/office/drawing/2014/main" id="{13C56BDB-B3FD-44FB-A3E7-E91718314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46</xdr:col>
      <xdr:colOff>0</xdr:colOff>
      <xdr:row>26</xdr:row>
      <xdr:rowOff>0</xdr:rowOff>
    </xdr:from>
    <xdr:to>
      <xdr:col>55</xdr:col>
      <xdr:colOff>430012</xdr:colOff>
      <xdr:row>48</xdr:row>
      <xdr:rowOff>97159</xdr:rowOff>
    </xdr:to>
    <xdr:graphicFrame macro="">
      <xdr:nvGraphicFramePr>
        <xdr:cNvPr id="13" name="Chart 12">
          <a:extLst>
            <a:ext uri="{FF2B5EF4-FFF2-40B4-BE49-F238E27FC236}">
              <a16:creationId xmlns:a16="http://schemas.microsoft.com/office/drawing/2014/main" id="{71997895-2322-4425-AAD5-328062AA1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46</xdr:col>
      <xdr:colOff>0</xdr:colOff>
      <xdr:row>50</xdr:row>
      <xdr:rowOff>0</xdr:rowOff>
    </xdr:from>
    <xdr:to>
      <xdr:col>55</xdr:col>
      <xdr:colOff>430012</xdr:colOff>
      <xdr:row>72</xdr:row>
      <xdr:rowOff>97159</xdr:rowOff>
    </xdr:to>
    <xdr:graphicFrame macro="">
      <xdr:nvGraphicFramePr>
        <xdr:cNvPr id="14" name="Chart 13">
          <a:extLst>
            <a:ext uri="{FF2B5EF4-FFF2-40B4-BE49-F238E27FC236}">
              <a16:creationId xmlns:a16="http://schemas.microsoft.com/office/drawing/2014/main" id="{9B252123-9442-48C2-B508-012F13565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BA510F-C0C8-405F-A50C-51AD5C5192D2}" name="Table5" displayName="Table5" ref="A4:AN47" totalsRowShown="0" headerRowDxfId="119" dataDxfId="118">
  <autoFilter ref="A4:AN47" xr:uid="{DEF9231C-1949-4B69-B6D8-DD55888B63FF}"/>
  <sortState xmlns:xlrd2="http://schemas.microsoft.com/office/spreadsheetml/2017/richdata2" ref="A5:AN47">
    <sortCondition ref="C5:C47"/>
    <sortCondition ref="A5:A47"/>
  </sortState>
  <tableColumns count="40">
    <tableColumn id="1" xr3:uid="{7ED9B867-1B2B-41DA-B5D5-4E74CD414514}" name="name" dataDxfId="117"/>
    <tableColumn id="2" xr3:uid="{842CCFAD-B74F-4505-A9B3-6F7979E2C9DD}" name="biblatex id" dataDxfId="116"/>
    <tableColumn id="34" xr3:uid="{5BCD88E3-CE54-400A-BAA3-37B3D3B737F1}" name="year" dataDxfId="115"/>
    <tableColumn id="39" xr3:uid="{52BCE91E-EEFC-4F4C-983F-FC22E801F7A0}" name="      lighting" dataDxfId="114"/>
    <tableColumn id="41" xr3:uid="{2194AC3C-959B-4CA5-B493-71C59927444D}" name="      day/night" dataDxfId="113"/>
    <tableColumn id="37" xr3:uid="{F344EA4D-4EB2-48DE-91F2-F750679AB9C0}" name="      weather" dataDxfId="112"/>
    <tableColumn id="36" xr3:uid="{E65BB5EB-68B8-4F6C-8A10-E732B82B07A9}" name="      seasonal" dataDxfId="111"/>
    <tableColumn id="35" xr3:uid="{6E748CEA-BCDA-4D00-AACD-E4DEC9C7A7CA}" name="      dynamics" dataDxfId="110"/>
    <tableColumn id="40" xr3:uid="{B2D56F8B-C051-47EA-8D5A-06AB0060DBC2}" name="      maintenance" dataDxfId="109"/>
    <tableColumn id="4" xr3:uid="{CFFAE8A6-FBF4-43C0-95CE-162B0C9AC9EA}" name="environ" dataDxfId="108"/>
    <tableColumn id="5" xr3:uid="{99DEE03D-13E3-4BA1-8CFB-AAAA06201BA6}" name="domain" dataDxfId="107"/>
    <tableColumn id="6" xr3:uid="{A2C4CBA6-35CF-4557-A2D8-60E81212CCE1}" name="      odo" dataDxfId="106"/>
    <tableColumn id="7" xr3:uid="{B74AE1A2-CB9C-46EA-A54D-F743513EBA85}" name="      gray" dataDxfId="105"/>
    <tableColumn id="8" xr3:uid="{0583D145-3FC8-44A4-9D91-303E387AB77F}" name="      color" dataDxfId="104"/>
    <tableColumn id="31" xr3:uid="{FEB2D5B0-6E14-42E3-B3B1-9B6C3AE80A7D}" name="      mono" dataDxfId="103"/>
    <tableColumn id="30" xr3:uid="{3D1D47CF-6C29-45F1-8689-3EE25F6C0CA6}" name="      stereo" dataDxfId="102"/>
    <tableColumn id="32" xr3:uid="{E81DEA19-3723-4A83-92FB-62A346F79D38}" name="      omni" dataDxfId="101"/>
    <tableColumn id="9" xr3:uid="{851B4857-DB69-4399-B238-BEA08DE82A10}" name="      rgbd" dataDxfId="100"/>
    <tableColumn id="10" xr3:uid="{1E621ADA-396C-4BD4-9BCA-65FFAD5A4ACF}" name="      thermal" dataDxfId="99"/>
    <tableColumn id="12" xr3:uid="{C4EE9AA3-D42D-4D0A-9708-8428369CEA38}" name="      2d" dataDxfId="98"/>
    <tableColumn id="13" xr3:uid="{CFB50697-076B-4353-80BC-09B168AAE621}" name="      3d" dataDxfId="97"/>
    <tableColumn id="14" xr3:uid="{5759E5F5-0158-43BA-85C5-C2054CE32E0F}" name="      radar" dataDxfId="96"/>
    <tableColumn id="15" xr3:uid="{046101CD-CED9-485C-8DDD-D357A3ED5FA8}" name="      sonar" dataDxfId="95"/>
    <tableColumn id="16" xr3:uid="{31A73E89-6082-4438-9ECF-3A83E63DDF13}" name="      imu" dataDxfId="94"/>
    <tableColumn id="17" xr3:uid="{292D9EC0-CA7A-4D25-8347-81EA3C79B801}" name="      gps" dataDxfId="93"/>
    <tableColumn id="18" xr3:uid="{99E6ECD1-AF9F-4511-AF12-BEFBA70B1E2F}" name="      intrinsic" dataDxfId="92"/>
    <tableColumn id="19" xr3:uid="{C4F469E5-8A91-4BA2-B9DF-408D2A8D48B4}" name="      extrinsic" dataDxfId="91"/>
    <tableColumn id="20" xr3:uid="{B4D267EE-4836-43F0-B20D-E345E018C85E}" name="ground-truth" dataDxfId="90"/>
    <tableColumn id="21" xr3:uid="{8BB978C5-A469-45C1-BDDA-265A539A6BD6}" name="file format" dataDxfId="89"/>
    <tableColumn id="22" xr3:uid="{A9D3645E-0D6B-4EDB-B4D5-9304718C2E3B}" name="      total dist." dataDxfId="88"/>
    <tableColumn id="23" xr3:uid="{118F2CC9-4E29-46F7-AC71-4466C093E775}" name="      path" dataDxfId="87"/>
    <tableColumn id="24" xr3:uid="{B2EECBEB-0CD6-4E56-A62C-481F8A6EDA3A}" name="      total time" dataDxfId="86"/>
    <tableColumn id="25" xr3:uid="{D1067FA9-5938-4861-B40A-1AE56836A652}" name="      time interv." dataDxfId="85"/>
    <tableColumn id="26" xr3:uid="{BB341DDA-25AC-47B3-BD2B-142C5587DFB8}" name="      #seq." dataDxfId="84"/>
    <tableColumn id="27" xr3:uid="{B3744D07-2C93-4E9F-BFA2-C9CAA27BD531}" name="doi" dataDxfId="83"/>
    <tableColumn id="28" xr3:uid="{F317CB79-AA1B-41EE-84DD-ED2B4B2F3CE5}" name="url" dataDxfId="82"/>
    <tableColumn id="29" xr3:uid="{F8FCD2B8-9F82-4025-8535-B064F90ABD07}" name="observations" dataDxfId="81"/>
    <tableColumn id="11" xr3:uid="{F881B71C-822A-4CBC-8F42-CE40654AF8C0}" name="Column1" dataDxfId="80"/>
    <tableColumn id="38" xr3:uid="{26999910-F00A-45D0-A5D8-057D5D528A01}" name="      #type of sensors" dataDxfId="79">
      <calculatedColumnFormula>COUNTIF(L5,"x")+COUNTIF(O5:X5,"x")</calculatedColumnFormula>
    </tableColumn>
    <tableColumn id="33" xr3:uid="{DAB96FE7-9B04-425B-B37E-FEFCF61285D0}" name="      uses camera?" dataDxfId="78">
      <calculatedColumnFormula>IF(COUNTA(Table5[[#This Row],[      gray]:[      thermal]])&gt;0,"x","")</calculatedColumnFormula>
    </tableColumn>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0C7DC3C-F46E-4607-88B5-7436B0885FF7}" name="Table11" displayName="Table11" ref="A4:B40" totalsRowShown="0" headerRowDxfId="41" dataDxfId="40">
  <autoFilter ref="A4:B40" xr:uid="{F0C7DC3C-F46E-4607-88B5-7436B0885FF7}"/>
  <sortState xmlns:xlrd2="http://schemas.microsoft.com/office/spreadsheetml/2017/richdata2" ref="A5:B40">
    <sortCondition descending="1" ref="B4:B40"/>
  </sortState>
  <tableColumns count="2">
    <tableColumn id="1" xr3:uid="{15D30ED1-ECD9-4619-9387-2F0E78E2A367}" name="bibtex id" dataDxfId="39"/>
    <tableColumn id="2" xr3:uid="{C26CC9D2-05CD-4FB9-9F13-8E9040020A73}" name="total" dataDxfId="38"/>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DD9D0BD-10C9-4B4D-8063-3A89F27AE4CE}" name="Table12" displayName="Table12" ref="D4:E12" totalsRowShown="0" headerRowDxfId="37" dataDxfId="36">
  <autoFilter ref="D4:E12" xr:uid="{0DD9D0BD-10C9-4B4D-8063-3A89F27AE4CE}"/>
  <sortState xmlns:xlrd2="http://schemas.microsoft.com/office/spreadsheetml/2017/richdata2" ref="D5:E12">
    <sortCondition descending="1" ref="E4:E12"/>
  </sortState>
  <tableColumns count="2">
    <tableColumn id="1" xr3:uid="{BA44B215-8A7E-4F52-99F2-BCA59409173B}" name="bibtex id" dataDxfId="35"/>
    <tableColumn id="2" xr3:uid="{3000F160-789C-4727-B8ED-5363D66B698C}" name="total" dataDxfId="34"/>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3074940-465A-4EA3-A1C3-B6A70CFD0B85}" name="Table13" displayName="Table13" ref="G4:H14" totalsRowShown="0" headerRowDxfId="33" dataDxfId="32">
  <autoFilter ref="G4:H14" xr:uid="{93074940-465A-4EA3-A1C3-B6A70CFD0B85}"/>
  <sortState xmlns:xlrd2="http://schemas.microsoft.com/office/spreadsheetml/2017/richdata2" ref="G5:H14">
    <sortCondition descending="1" ref="H4:H14"/>
  </sortState>
  <tableColumns count="2">
    <tableColumn id="1" xr3:uid="{137CFF0E-55E0-4A63-8EEF-5C74DE03B43C}" name="bibtex id" dataDxfId="31"/>
    <tableColumn id="2" xr3:uid="{0CE1F9A8-9EFD-4DF8-8DC0-345CAEAC31FD}" name="total" dataDxfId="30"/>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D283489-34DB-448D-A0C4-45F7A76C8037}" name="Table14" displayName="Table14" ref="J4:K45" totalsRowShown="0" headerRowDxfId="29" dataDxfId="28">
  <autoFilter ref="J4:K45" xr:uid="{CD283489-34DB-448D-A0C4-45F7A76C8037}"/>
  <sortState xmlns:xlrd2="http://schemas.microsoft.com/office/spreadsheetml/2017/richdata2" ref="J5:K45">
    <sortCondition descending="1" ref="K4:K45"/>
  </sortState>
  <tableColumns count="2">
    <tableColumn id="1" xr3:uid="{7930FF86-1B96-48CC-9825-C649ED1E40F5}" name="bibtex id" dataDxfId="27"/>
    <tableColumn id="2" xr3:uid="{B756493F-39A5-4ED5-A772-81F0B5F1284D}" name="total" dataDxfId="26"/>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C8E4100-7D9A-485F-ABE5-FF2890556B1D}" name="Table15" displayName="Table15" ref="N4:O26" totalsRowShown="0" headerRowDxfId="25" dataDxfId="24">
  <autoFilter ref="N4:O26" xr:uid="{6C8E4100-7D9A-485F-ABE5-FF2890556B1D}"/>
  <sortState xmlns:xlrd2="http://schemas.microsoft.com/office/spreadsheetml/2017/richdata2" ref="N5:O26">
    <sortCondition descending="1" ref="O4:O26"/>
  </sortState>
  <tableColumns count="2">
    <tableColumn id="1" xr3:uid="{0A2D74C1-EB7B-482A-91F5-6E17CDBE604E}" name="bibtex id" dataDxfId="23"/>
    <tableColumn id="2" xr3:uid="{C72BA835-C1EC-40A4-8FC1-54D0887F24B8}" name="total" dataDxfId="22"/>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18201FB-7F49-4C41-ADE1-A7D6ECC86BB4}" name="Table16" displayName="Table16" ref="Q4:R12" totalsRowShown="0" headerRowDxfId="21" dataDxfId="20">
  <autoFilter ref="Q4:R12" xr:uid="{E18201FB-7F49-4C41-ADE1-A7D6ECC86BB4}"/>
  <sortState xmlns:xlrd2="http://schemas.microsoft.com/office/spreadsheetml/2017/richdata2" ref="Q5:R12">
    <sortCondition descending="1" ref="R4:R12"/>
  </sortState>
  <tableColumns count="2">
    <tableColumn id="1" xr3:uid="{D9197DE4-EAEC-42E3-AEFE-D7B00EA5186C}" name="bibtex id" dataDxfId="19"/>
    <tableColumn id="2" xr3:uid="{496D733F-4F93-4ACC-91D6-256DAFC8E312}" name="total" dataDxfId="18"/>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2B04100-073C-4AE7-9BB4-0C1E17B0CC2F}" name="Table17" displayName="Table17" ref="T4:U27" totalsRowShown="0" headerRowDxfId="17" dataDxfId="16">
  <autoFilter ref="T4:U27" xr:uid="{C2B04100-073C-4AE7-9BB4-0C1E17B0CC2F}"/>
  <sortState xmlns:xlrd2="http://schemas.microsoft.com/office/spreadsheetml/2017/richdata2" ref="T5:U27">
    <sortCondition descending="1" ref="U4:U27"/>
  </sortState>
  <tableColumns count="2">
    <tableColumn id="1" xr3:uid="{816A98B2-6172-46F7-BA4E-9614EA451ADC}" name="bibtex id" dataDxfId="15"/>
    <tableColumn id="2" xr3:uid="{5247D1A6-F476-4596-BC97-FD2CB676E258}" name="total" dataDxfId="14"/>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CAE55F1-B489-4967-8BEE-ADEB719B3AB1}" name="Table18" displayName="Table18" ref="W4:X22" totalsRowShown="0" headerRowDxfId="13" dataDxfId="12">
  <autoFilter ref="W4:X22" xr:uid="{5CAE55F1-B489-4967-8BEE-ADEB719B3AB1}"/>
  <sortState xmlns:xlrd2="http://schemas.microsoft.com/office/spreadsheetml/2017/richdata2" ref="W5:X22">
    <sortCondition descending="1" ref="X4:X22"/>
  </sortState>
  <tableColumns count="2">
    <tableColumn id="1" xr3:uid="{ADADE0AC-16AE-48A0-8091-1DB5D994548D}" name="bibtex id" dataDxfId="11"/>
    <tableColumn id="2" xr3:uid="{FA96596B-3261-4215-ADA5-7D609B6A6F18}" name="total" dataDxfId="10"/>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1B9083E-81CD-4DF4-832E-B0F3E399AB59}" name="Table19" displayName="Table19" ref="A2:B119" totalsRowShown="0" headerRowDxfId="9" dataDxfId="8">
  <autoFilter ref="A2:B119" xr:uid="{91B9083E-81CD-4DF4-832E-B0F3E399AB59}"/>
  <tableColumns count="2">
    <tableColumn id="1" xr3:uid="{F0D14ED2-85D2-4CA7-8A9F-FE69758A5308}" name="name" dataDxfId="7"/>
    <tableColumn id="2" xr3:uid="{3534686F-B47E-4BF7-A596-DB6DE20605F0}" name="work/dataset" dataDxfId="6"/>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41E0823-4E95-4C19-8C19-8C88446B2FCE}" name="Table20" displayName="Table20" ref="D3:G18" totalsRowShown="0" headerRowDxfId="5" dataDxfId="4">
  <autoFilter ref="D3:G18" xr:uid="{C41E0823-4E95-4C19-8C19-8C88446B2FCE}"/>
  <sortState xmlns:xlrd2="http://schemas.microsoft.com/office/spreadsheetml/2017/richdata2" ref="D4:G18">
    <sortCondition descending="1" ref="G3:G18"/>
  </sortState>
  <tableColumns count="4">
    <tableColumn id="1" xr3:uid="{D2FACAF4-29DA-4745-A4E6-EABA032B40F8}" name="name" dataDxfId="3"/>
    <tableColumn id="2" xr3:uid="{086B14CF-B75E-4FC2-BE31-5ADB9CD86986}" name="work" dataDxfId="2">
      <calculatedColumnFormula>COUNTIFS(Table19[name],Table20[[#This Row],[name]],Table19[work/dataset],"work")</calculatedColumnFormula>
    </tableColumn>
    <tableColumn id="3" xr3:uid="{2647C910-8001-49E1-B0C3-06D01241DB80}" name="dataset" dataDxfId="1">
      <calculatedColumnFormula>COUNTIFS(Table19[name],Table20[[#This Row],[name]],Table19[work/dataset],"dataset")</calculatedColumnFormula>
    </tableColumn>
    <tableColumn id="4" xr3:uid="{ED84AA04-2DA9-4875-AF78-CDC69EC0EC67}" name="total" dataDxfId="0">
      <calculatedColumnFormula>COUNTIF(Table19[name],Table20[[#This Row],[name]])</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307F9E9-44ED-4519-B5A3-64257D8850E8}" name="Table3" displayName="Table3" ref="C3:D46" totalsRowShown="0" headerRowDxfId="75" dataDxfId="74">
  <autoFilter ref="C3:D46" xr:uid="{C307F9E9-44ED-4519-B5A3-64257D8850E8}"/>
  <sortState xmlns:xlrd2="http://schemas.microsoft.com/office/spreadsheetml/2017/richdata2" ref="C4:D46">
    <sortCondition descending="1" ref="D3:D46"/>
  </sortState>
  <tableColumns count="2">
    <tableColumn id="1" xr3:uid="{B47731C3-041D-4D4F-85D7-A596F3A47778}" name="unique" dataDxfId="73"/>
    <tableColumn id="2" xr3:uid="{859169E5-F6EC-46E6-9721-344122191183}" name="count" dataDxfId="72">
      <calculatedColumnFormula>COUNTIF($A$4:$A$182,Table3[[#This Row],[unique]])</calculatedColumnFormula>
    </tableColumn>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B56368B-7E81-459E-B0B2-552EA8C59C1F}" name="Table4" displayName="Table4" ref="H4:I36" totalsRowShown="0" headerRowDxfId="71" dataDxfId="70">
  <autoFilter ref="H4:I36" xr:uid="{DB56368B-7E81-459E-B0B2-552EA8C59C1F}"/>
  <sortState xmlns:xlrd2="http://schemas.microsoft.com/office/spreadsheetml/2017/richdata2" ref="H5:I36">
    <sortCondition descending="1" ref="I4:I36"/>
  </sortState>
  <tableColumns count="2">
    <tableColumn id="1" xr3:uid="{123846B2-88CE-48C0-AE67-DE455CD9E24C}" name="unique" dataDxfId="69"/>
    <tableColumn id="2" xr3:uid="{598B925B-9EB0-406D-ACBD-05D1025AEDD5}" name="count" dataDxfId="68">
      <calculatedColumnFormula>COUNTIF($F$5:$F$107,Table4[[#This Row],[unique]])</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47ECF7-8C33-4AAD-A5D4-6439DD2931E7}" name="Table6" displayName="Table6" ref="M4:N14" totalsRowShown="0" headerRowDxfId="67" dataDxfId="66">
  <autoFilter ref="M4:N14" xr:uid="{9C47ECF7-8C33-4AAD-A5D4-6439DD2931E7}"/>
  <sortState xmlns:xlrd2="http://schemas.microsoft.com/office/spreadsheetml/2017/richdata2" ref="M5:N14">
    <sortCondition descending="1" ref="N4:N14"/>
  </sortState>
  <tableColumns count="2">
    <tableColumn id="1" xr3:uid="{DE335AF3-7682-441C-90C2-3FEC8CB59611}" name="unique" dataDxfId="65"/>
    <tableColumn id="2" xr3:uid="{17EFC72B-88BD-44C7-8F10-C0573188936B}" name="count" dataDxfId="64">
      <calculatedColumnFormula>COUNTIF(K$5:K$26,Table6[[#This Row],[unique]])</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5276D66-C256-45BF-9502-9B1C47752A46}" name="Table7" displayName="Table7" ref="R4:S26" totalsRowShown="0" headerRowDxfId="63" dataDxfId="62">
  <autoFilter ref="R4:S26" xr:uid="{25276D66-C256-45BF-9502-9B1C47752A46}"/>
  <sortState xmlns:xlrd2="http://schemas.microsoft.com/office/spreadsheetml/2017/richdata2" ref="R5:S26">
    <sortCondition descending="1" ref="S4:S26"/>
  </sortState>
  <tableColumns count="2">
    <tableColumn id="1" xr3:uid="{7E756BC0-77F5-4B85-AE7A-ABBCE0A07625}" name="unique" dataDxfId="61"/>
    <tableColumn id="2" xr3:uid="{ECAD2D4B-AF09-4D2B-B85E-43BC8A08FF05}" name="count" dataDxfId="60">
      <calculatedColumnFormula>COUNTIF(P$5:P$47,Table7[[#This Row],[unique]])</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9239029-263B-412D-9C70-6CFB01412698}" name="Table8" displayName="Table8" ref="W4:X15" totalsRowShown="0" headerRowDxfId="59" dataDxfId="58">
  <autoFilter ref="W4:X15" xr:uid="{B9239029-263B-412D-9C70-6CFB01412698}"/>
  <sortState xmlns:xlrd2="http://schemas.microsoft.com/office/spreadsheetml/2017/richdata2" ref="W5:X15">
    <sortCondition descending="1" ref="X4:X15"/>
  </sortState>
  <tableColumns count="2">
    <tableColumn id="1" xr3:uid="{0C1EA0C8-9242-4C8F-975C-5557B57B71A1}" name="unique" dataDxfId="57"/>
    <tableColumn id="2" xr3:uid="{21953D6F-CAC6-4FD8-9850-1CB35A075F26}" name="count" dataDxfId="56">
      <calculatedColumnFormula>COUNTIF(U$5:U$17,Table8[[#This Row],[unique]])</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F9E91DE-70CF-4551-9BF8-D96F3A848A8C}" name="Table9" displayName="Table9" ref="AB4:AC25" totalsRowShown="0" headerRowDxfId="55" dataDxfId="54">
  <autoFilter ref="AB4:AC25" xr:uid="{1F9E91DE-70CF-4551-9BF8-D96F3A848A8C}"/>
  <sortState xmlns:xlrd2="http://schemas.microsoft.com/office/spreadsheetml/2017/richdata2" ref="AB5:AC24">
    <sortCondition descending="1" ref="AC4:AC24"/>
  </sortState>
  <tableColumns count="2">
    <tableColumn id="1" xr3:uid="{8455AF75-2C26-48A1-80B2-46B614B83E2C}" name="unique" dataDxfId="53"/>
    <tableColumn id="2" xr3:uid="{13988BAE-F063-4CDE-AFAF-5896E8A1A8F2}" name="count" dataDxfId="52">
      <calculatedColumnFormula>COUNTIF(Z$5:Z$40,Table9[[#This Row],[unique]])</calculatedColumnFormula>
    </tableColumn>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62ABA77-DDE9-4972-A3D5-9625500309CA}" name="Table10" displayName="Table10" ref="AH4:AI6" totalsRowShown="0" headerRowDxfId="51" dataDxfId="50">
  <autoFilter ref="AH4:AI6" xr:uid="{862ABA77-DDE9-4972-A3D5-9625500309CA}"/>
  <sortState xmlns:xlrd2="http://schemas.microsoft.com/office/spreadsheetml/2017/richdata2" ref="AH5:AI6">
    <sortCondition descending="1" ref="AI4:AI6"/>
  </sortState>
  <tableColumns count="2">
    <tableColumn id="1" xr3:uid="{C9CE8733-F5A5-47D1-8691-F5AC4243053F}" name="unique" dataDxfId="49"/>
    <tableColumn id="2" xr3:uid="{8BB73EBD-6DF2-4445-B511-077E3BFBACB9}" name="count" dataDxfId="48">
      <calculatedColumnFormula>COUNTIF(AF$5:AF$6,Table10[[#This Row],[unique]])</calculatedColumnFormula>
    </tableColumn>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BCD0A7-A9A7-47FA-8AB1-DA7D744DE7AF}" name="Table2" displayName="Table2" ref="AK3:AN145" totalsRowShown="0" headerRowDxfId="47" dataDxfId="46">
  <autoFilter ref="AK3:AN145" xr:uid="{2FBCD0A7-A9A7-47FA-8AB1-DA7D744DE7AF}"/>
  <tableColumns count="4">
    <tableColumn id="1" xr3:uid="{6A3D7496-8D26-433B-BEDC-70A81682EE68}" name="bibtex entry" dataDxfId="45"/>
    <tableColumn id="2" xr3:uid="{2A2E3A6D-5C3B-4614-94CB-D94D3D198A54}" name="year" dataDxfId="44"/>
    <tableColumn id="3" xr3:uid="{A2B844BD-B9E4-4C9C-ADA7-11470419A6D2}" name="datasets" dataDxfId="43"/>
    <tableColumn id="4" xr3:uid="{D272D232-74A4-49A7-A41C-82AD7E37D29B}" name="uses?" dataDxfId="42">
      <calculatedColumnFormula>NOT(ISBLANK(AM4))</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7.xml"/><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table" Target="../tables/table10.xml"/><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table" Target="../tables/table18.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D1A3C-3E11-43CD-B319-C3D4EF12F6EC}">
  <dimension ref="A1:AN48"/>
  <sheetViews>
    <sheetView zoomScale="80" zoomScaleNormal="80" workbookViewId="0">
      <pane xSplit="1" ySplit="4" topLeftCell="B5" activePane="bottomRight" state="frozen"/>
      <selection sqref="A1:E1"/>
      <selection pane="topRight" sqref="A1:E1"/>
      <selection pane="bottomLeft" sqref="A1:E1"/>
      <selection pane="bottomRight" activeCell="B5" sqref="B5"/>
    </sheetView>
  </sheetViews>
  <sheetFormatPr defaultColWidth="20.7109375" defaultRowHeight="11.25" x14ac:dyDescent="0.25"/>
  <cols>
    <col min="1" max="1" width="15.7109375" style="4" customWidth="1"/>
    <col min="2" max="2" width="10.7109375" style="4" customWidth="1"/>
    <col min="3" max="3" width="6.7109375" style="6" bestFit="1" customWidth="1"/>
    <col min="4" max="4" width="3" style="6" bestFit="1" customWidth="1"/>
    <col min="5" max="5" width="3" style="6" customWidth="1"/>
    <col min="6" max="8" width="3" style="6" bestFit="1" customWidth="1"/>
    <col min="9" max="9" width="3" style="6" customWidth="1"/>
    <col min="10" max="11" width="10.7109375" style="4" customWidth="1"/>
    <col min="12" max="14" width="3" style="6" bestFit="1" customWidth="1"/>
    <col min="15" max="17" width="3" style="6" customWidth="1"/>
    <col min="18" max="27" width="3" style="6" bestFit="1" customWidth="1"/>
    <col min="28" max="29" width="15.7109375" style="4" customWidth="1"/>
    <col min="30" max="34" width="5.7109375" style="6" customWidth="1"/>
    <col min="35" max="35" width="10.7109375" style="4" customWidth="1"/>
    <col min="36" max="36" width="50.7109375" style="4" customWidth="1"/>
    <col min="37" max="37" width="20.7109375" style="5"/>
    <col min="38" max="38" width="1.7109375" style="21" customWidth="1"/>
    <col min="39" max="39" width="3.28515625" style="6" bestFit="1" customWidth="1"/>
    <col min="40" max="40" width="3" style="6" bestFit="1" customWidth="1"/>
    <col min="41" max="16384" width="20.7109375" style="4"/>
  </cols>
  <sheetData>
    <row r="1" spans="1:40" s="24" customFormat="1" x14ac:dyDescent="0.25">
      <c r="B1" s="24">
        <v>1</v>
      </c>
      <c r="C1" s="24">
        <f>B1+1</f>
        <v>2</v>
      </c>
      <c r="D1" s="24">
        <f t="shared" ref="D1:AH1" si="0">C1+1</f>
        <v>3</v>
      </c>
      <c r="E1" s="24">
        <f t="shared" si="0"/>
        <v>4</v>
      </c>
      <c r="F1" s="24">
        <f t="shared" si="0"/>
        <v>5</v>
      </c>
      <c r="G1" s="24">
        <f t="shared" si="0"/>
        <v>6</v>
      </c>
      <c r="H1" s="24">
        <f t="shared" si="0"/>
        <v>7</v>
      </c>
      <c r="I1" s="24">
        <f t="shared" si="0"/>
        <v>8</v>
      </c>
      <c r="J1" s="24">
        <f t="shared" si="0"/>
        <v>9</v>
      </c>
      <c r="K1" s="24">
        <f t="shared" si="0"/>
        <v>10</v>
      </c>
      <c r="L1" s="24">
        <f t="shared" si="0"/>
        <v>11</v>
      </c>
      <c r="M1" s="24">
        <f t="shared" si="0"/>
        <v>12</v>
      </c>
      <c r="N1" s="24">
        <f t="shared" si="0"/>
        <v>13</v>
      </c>
      <c r="O1" s="24">
        <f t="shared" si="0"/>
        <v>14</v>
      </c>
      <c r="P1" s="24">
        <f t="shared" si="0"/>
        <v>15</v>
      </c>
      <c r="Q1" s="24">
        <f t="shared" si="0"/>
        <v>16</v>
      </c>
      <c r="R1" s="24">
        <f t="shared" si="0"/>
        <v>17</v>
      </c>
      <c r="S1" s="24">
        <f t="shared" si="0"/>
        <v>18</v>
      </c>
      <c r="T1" s="24">
        <f t="shared" si="0"/>
        <v>19</v>
      </c>
      <c r="U1" s="24">
        <f t="shared" si="0"/>
        <v>20</v>
      </c>
      <c r="V1" s="24">
        <f t="shared" si="0"/>
        <v>21</v>
      </c>
      <c r="W1" s="24">
        <f t="shared" si="0"/>
        <v>22</v>
      </c>
      <c r="X1" s="24">
        <f t="shared" si="0"/>
        <v>23</v>
      </c>
      <c r="Y1" s="24">
        <f t="shared" si="0"/>
        <v>24</v>
      </c>
      <c r="Z1" s="24">
        <f t="shared" si="0"/>
        <v>25</v>
      </c>
      <c r="AA1" s="24">
        <f t="shared" si="0"/>
        <v>26</v>
      </c>
      <c r="AB1" s="24">
        <f>AA1+1</f>
        <v>27</v>
      </c>
      <c r="AC1" s="24">
        <f t="shared" si="0"/>
        <v>28</v>
      </c>
      <c r="AD1" s="24">
        <f t="shared" si="0"/>
        <v>29</v>
      </c>
      <c r="AE1" s="24">
        <f t="shared" si="0"/>
        <v>30</v>
      </c>
      <c r="AF1" s="24">
        <f t="shared" si="0"/>
        <v>31</v>
      </c>
      <c r="AG1" s="24">
        <f t="shared" si="0"/>
        <v>32</v>
      </c>
      <c r="AH1" s="24">
        <f t="shared" si="0"/>
        <v>33</v>
      </c>
      <c r="AL1" s="25"/>
    </row>
    <row r="2" spans="1:40" s="2" customFormat="1" x14ac:dyDescent="0.2">
      <c r="A2" s="32" t="s">
        <v>0</v>
      </c>
      <c r="B2" s="32"/>
      <c r="C2" s="32"/>
      <c r="D2" s="32"/>
      <c r="E2" s="32"/>
      <c r="F2" s="32"/>
      <c r="G2" s="32"/>
      <c r="H2" s="32"/>
      <c r="I2" s="32"/>
      <c r="J2" s="32"/>
      <c r="K2" s="32"/>
      <c r="L2" s="32" t="s">
        <v>1</v>
      </c>
      <c r="M2" s="32"/>
      <c r="N2" s="32"/>
      <c r="O2" s="32"/>
      <c r="P2" s="32"/>
      <c r="Q2" s="32"/>
      <c r="R2" s="32"/>
      <c r="S2" s="32"/>
      <c r="T2" s="32"/>
      <c r="U2" s="32"/>
      <c r="V2" s="32"/>
      <c r="W2" s="32"/>
      <c r="X2" s="32"/>
      <c r="Y2" s="32"/>
      <c r="Z2" s="32" t="s">
        <v>2</v>
      </c>
      <c r="AA2" s="32"/>
      <c r="AD2" s="3" t="s">
        <v>3</v>
      </c>
      <c r="AE2" s="3" t="s">
        <v>3</v>
      </c>
      <c r="AF2" s="3" t="s">
        <v>4</v>
      </c>
      <c r="AG2" s="3" t="s">
        <v>5</v>
      </c>
      <c r="AL2" s="17"/>
      <c r="AM2" s="22"/>
      <c r="AN2" s="22"/>
    </row>
    <row r="3" spans="1:40" s="2" customFormat="1" x14ac:dyDescent="0.2">
      <c r="C3" s="22"/>
      <c r="D3" s="32" t="s">
        <v>10</v>
      </c>
      <c r="E3" s="32"/>
      <c r="F3" s="32"/>
      <c r="G3" s="32"/>
      <c r="H3" s="32"/>
      <c r="I3" s="32"/>
      <c r="M3" s="32" t="s">
        <v>6</v>
      </c>
      <c r="N3" s="32"/>
      <c r="O3" s="32"/>
      <c r="P3" s="32"/>
      <c r="Q3" s="32"/>
      <c r="R3" s="32"/>
      <c r="S3" s="32"/>
      <c r="T3" s="32" t="s">
        <v>7</v>
      </c>
      <c r="U3" s="32"/>
      <c r="AL3" s="17"/>
      <c r="AM3" s="22"/>
      <c r="AN3" s="22"/>
    </row>
    <row r="4" spans="1:40" s="2" customFormat="1" ht="84.6" customHeight="1" x14ac:dyDescent="0.2">
      <c r="A4" s="2" t="s">
        <v>8</v>
      </c>
      <c r="B4" s="2" t="s">
        <v>9</v>
      </c>
      <c r="C4" s="22" t="s">
        <v>453</v>
      </c>
      <c r="D4" s="23" t="s">
        <v>495</v>
      </c>
      <c r="E4" s="23" t="s">
        <v>500</v>
      </c>
      <c r="F4" s="23" t="s">
        <v>496</v>
      </c>
      <c r="G4" s="23" t="s">
        <v>497</v>
      </c>
      <c r="H4" s="23" t="s">
        <v>498</v>
      </c>
      <c r="I4" s="23" t="s">
        <v>499</v>
      </c>
      <c r="J4" s="2" t="s">
        <v>11</v>
      </c>
      <c r="K4" s="2" t="s">
        <v>12</v>
      </c>
      <c r="L4" s="23" t="s">
        <v>13</v>
      </c>
      <c r="M4" s="23" t="s">
        <v>14</v>
      </c>
      <c r="N4" s="23" t="s">
        <v>15</v>
      </c>
      <c r="O4" s="23" t="s">
        <v>16</v>
      </c>
      <c r="P4" s="23" t="s">
        <v>17</v>
      </c>
      <c r="Q4" s="23" t="s">
        <v>18</v>
      </c>
      <c r="R4" s="23" t="s">
        <v>19</v>
      </c>
      <c r="S4" s="23" t="s">
        <v>20</v>
      </c>
      <c r="T4" s="23" t="s">
        <v>21</v>
      </c>
      <c r="U4" s="23" t="s">
        <v>22</v>
      </c>
      <c r="V4" s="23" t="s">
        <v>23</v>
      </c>
      <c r="W4" s="23" t="s">
        <v>24</v>
      </c>
      <c r="X4" s="23" t="s">
        <v>25</v>
      </c>
      <c r="Y4" s="23" t="s">
        <v>26</v>
      </c>
      <c r="Z4" s="23" t="s">
        <v>27</v>
      </c>
      <c r="AA4" s="23" t="s">
        <v>28</v>
      </c>
      <c r="AB4" s="2" t="s">
        <v>29</v>
      </c>
      <c r="AC4" s="2" t="s">
        <v>30</v>
      </c>
      <c r="AD4" s="23" t="s">
        <v>31</v>
      </c>
      <c r="AE4" s="23" t="s">
        <v>32</v>
      </c>
      <c r="AF4" s="23" t="s">
        <v>33</v>
      </c>
      <c r="AG4" s="23" t="s">
        <v>34</v>
      </c>
      <c r="AH4" s="23" t="s">
        <v>35</v>
      </c>
      <c r="AI4" s="2" t="s">
        <v>36</v>
      </c>
      <c r="AJ4" s="2" t="s">
        <v>37</v>
      </c>
      <c r="AK4" s="2" t="s">
        <v>38</v>
      </c>
      <c r="AL4" s="18" t="s">
        <v>337</v>
      </c>
      <c r="AM4" s="23" t="s">
        <v>726</v>
      </c>
      <c r="AN4" s="23" t="s">
        <v>338</v>
      </c>
    </row>
    <row r="5" spans="1:40" ht="45" x14ac:dyDescent="0.25">
      <c r="A5" s="4" t="s">
        <v>55</v>
      </c>
      <c r="B5" s="4" t="s">
        <v>56</v>
      </c>
      <c r="C5" s="6">
        <v>2001</v>
      </c>
      <c r="I5" s="6" t="s">
        <v>43</v>
      </c>
      <c r="J5" s="4" t="s">
        <v>57</v>
      </c>
      <c r="K5" s="4" t="s">
        <v>58</v>
      </c>
      <c r="L5" s="6" t="s">
        <v>43</v>
      </c>
      <c r="T5" s="6" t="s">
        <v>43</v>
      </c>
      <c r="AB5" s="7" t="s">
        <v>44</v>
      </c>
      <c r="AC5" s="4" t="s">
        <v>52</v>
      </c>
      <c r="AD5" s="7" t="s">
        <v>44</v>
      </c>
      <c r="AE5" s="7" t="s">
        <v>44</v>
      </c>
      <c r="AF5" s="6">
        <v>1.98</v>
      </c>
      <c r="AG5" s="7" t="s">
        <v>44</v>
      </c>
      <c r="AH5" s="6">
        <v>1</v>
      </c>
      <c r="AI5" s="7" t="s">
        <v>44</v>
      </c>
      <c r="AJ5" s="4" t="s">
        <v>59</v>
      </c>
      <c r="AK5" s="7" t="s">
        <v>44</v>
      </c>
      <c r="AL5" s="19"/>
      <c r="AM5" s="7">
        <f>COUNTIF(L5,"x")+COUNTIF(O5:X5,"x")</f>
        <v>2</v>
      </c>
      <c r="AN5" s="7" t="str">
        <f>IF(COUNTA(Table5[[#This Row],[      gray]:[      thermal]])&gt;0,"x","")</f>
        <v/>
      </c>
    </row>
    <row r="6" spans="1:40" ht="33.75" x14ac:dyDescent="0.25">
      <c r="A6" s="4" t="s">
        <v>60</v>
      </c>
      <c r="B6" s="4" t="s">
        <v>61</v>
      </c>
      <c r="C6" s="6">
        <v>2003</v>
      </c>
      <c r="I6" s="6" t="s">
        <v>43</v>
      </c>
      <c r="J6" s="4" t="s">
        <v>50</v>
      </c>
      <c r="K6" s="4" t="s">
        <v>51</v>
      </c>
      <c r="L6" s="6" t="s">
        <v>43</v>
      </c>
      <c r="T6" s="6" t="s">
        <v>43</v>
      </c>
      <c r="AB6" s="7" t="s">
        <v>44</v>
      </c>
      <c r="AC6" s="4" t="s">
        <v>52</v>
      </c>
      <c r="AD6" s="7" t="s">
        <v>44</v>
      </c>
      <c r="AE6" s="7" t="s">
        <v>44</v>
      </c>
      <c r="AF6" s="6">
        <v>0.28999999999999998</v>
      </c>
      <c r="AG6" s="7" t="s">
        <v>44</v>
      </c>
      <c r="AH6" s="6">
        <v>1</v>
      </c>
      <c r="AI6" s="7" t="s">
        <v>44</v>
      </c>
      <c r="AJ6" s="4" t="s">
        <v>62</v>
      </c>
      <c r="AK6" s="7" t="s">
        <v>44</v>
      </c>
      <c r="AL6" s="19"/>
      <c r="AM6" s="7">
        <f>COUNTIF(L6,"x")+COUNTIF(O6:X6,"x")</f>
        <v>2</v>
      </c>
      <c r="AN6" s="7" t="str">
        <f>IF(COUNTA(Table5[[#This Row],[      gray]:[      thermal]])&gt;0,"x","")</f>
        <v/>
      </c>
    </row>
    <row r="7" spans="1:40" ht="22.5" x14ac:dyDescent="0.25">
      <c r="A7" s="4" t="s">
        <v>63</v>
      </c>
      <c r="B7" s="4" t="s">
        <v>64</v>
      </c>
      <c r="C7" s="6">
        <v>2003</v>
      </c>
      <c r="I7" s="6" t="s">
        <v>43</v>
      </c>
      <c r="J7" s="4" t="s">
        <v>50</v>
      </c>
      <c r="K7" s="4" t="s">
        <v>51</v>
      </c>
      <c r="L7" s="6" t="s">
        <v>43</v>
      </c>
      <c r="T7" s="6" t="s">
        <v>43</v>
      </c>
      <c r="AB7" s="7" t="s">
        <v>44</v>
      </c>
      <c r="AC7" s="4" t="s">
        <v>52</v>
      </c>
      <c r="AD7" s="7" t="s">
        <v>44</v>
      </c>
      <c r="AE7" s="7" t="s">
        <v>44</v>
      </c>
      <c r="AF7" s="6">
        <v>0.28999999999999998</v>
      </c>
      <c r="AG7" s="7" t="s">
        <v>44</v>
      </c>
      <c r="AH7" s="6">
        <v>1</v>
      </c>
      <c r="AI7" s="7" t="s">
        <v>44</v>
      </c>
      <c r="AJ7" s="4" t="s">
        <v>65</v>
      </c>
      <c r="AK7" s="7" t="s">
        <v>44</v>
      </c>
      <c r="AL7" s="19"/>
      <c r="AM7" s="7">
        <f>COUNTIF(L7,"x")+COUNTIF(O7:X7,"x")</f>
        <v>2</v>
      </c>
      <c r="AN7" s="7" t="str">
        <f>IF(COUNTA(Table5[[#This Row],[      gray]:[      thermal]])&gt;0,"x","")</f>
        <v/>
      </c>
    </row>
    <row r="8" spans="1:40" ht="67.5" x14ac:dyDescent="0.25">
      <c r="A8" s="4" t="s">
        <v>48</v>
      </c>
      <c r="B8" s="4" t="s">
        <v>49</v>
      </c>
      <c r="C8" s="6">
        <v>2003</v>
      </c>
      <c r="I8" s="6" t="s">
        <v>43</v>
      </c>
      <c r="J8" s="4" t="s">
        <v>50</v>
      </c>
      <c r="K8" s="4" t="s">
        <v>51</v>
      </c>
      <c r="L8" s="6" t="s">
        <v>43</v>
      </c>
      <c r="T8" s="6" t="s">
        <v>43</v>
      </c>
      <c r="AB8" s="7" t="s">
        <v>44</v>
      </c>
      <c r="AC8" s="4" t="s">
        <v>52</v>
      </c>
      <c r="AD8" s="6">
        <v>0.50600000000000001</v>
      </c>
      <c r="AE8" s="7" t="s">
        <v>44</v>
      </c>
      <c r="AF8" s="7">
        <v>0.75</v>
      </c>
      <c r="AG8" s="7" t="s">
        <v>44</v>
      </c>
      <c r="AH8" s="6">
        <v>1</v>
      </c>
      <c r="AI8" s="7" t="s">
        <v>44</v>
      </c>
      <c r="AJ8" s="4" t="s">
        <v>53</v>
      </c>
      <c r="AK8" s="5" t="s">
        <v>54</v>
      </c>
      <c r="AL8" s="20"/>
      <c r="AM8" s="6">
        <f>COUNTIF(L8,"x")+COUNTIF(O8:X8,"x")</f>
        <v>2</v>
      </c>
      <c r="AN8" s="6" t="str">
        <f>IF(COUNTA(Table5[[#This Row],[      gray]:[      thermal]])&gt;0,"x","")</f>
        <v/>
      </c>
    </row>
    <row r="9" spans="1:40" ht="33.75" x14ac:dyDescent="0.25">
      <c r="A9" s="4" t="s">
        <v>96</v>
      </c>
      <c r="B9" s="4" t="s">
        <v>97</v>
      </c>
      <c r="C9" s="6">
        <v>2004</v>
      </c>
      <c r="I9" s="6" t="s">
        <v>43</v>
      </c>
      <c r="J9" s="4" t="s">
        <v>50</v>
      </c>
      <c r="K9" s="4" t="s">
        <v>51</v>
      </c>
      <c r="L9" s="6" t="s">
        <v>43</v>
      </c>
      <c r="T9" s="6" t="s">
        <v>43</v>
      </c>
      <c r="W9" s="6" t="s">
        <v>43</v>
      </c>
      <c r="AB9" s="7" t="s">
        <v>44</v>
      </c>
      <c r="AC9" s="4" t="s">
        <v>52</v>
      </c>
      <c r="AD9" s="7">
        <v>2.2000000000000002</v>
      </c>
      <c r="AE9" s="7" t="s">
        <v>44</v>
      </c>
      <c r="AF9" s="6">
        <v>2.5</v>
      </c>
      <c r="AG9" s="7" t="s">
        <v>44</v>
      </c>
      <c r="AH9" s="6">
        <v>1</v>
      </c>
      <c r="AI9" s="8" t="s">
        <v>98</v>
      </c>
      <c r="AJ9" s="4" t="s">
        <v>99</v>
      </c>
      <c r="AK9" s="7" t="s">
        <v>44</v>
      </c>
      <c r="AL9" s="19"/>
      <c r="AM9" s="7">
        <f>COUNTIF(L9,"x")+COUNTIF(O9:X9,"x")</f>
        <v>3</v>
      </c>
      <c r="AN9" s="7" t="str">
        <f>IF(COUNTA(Table5[[#This Row],[      gray]:[      thermal]])&gt;0,"x","")</f>
        <v/>
      </c>
    </row>
    <row r="10" spans="1:40" ht="33.75" x14ac:dyDescent="0.25">
      <c r="A10" s="4" t="s">
        <v>94</v>
      </c>
      <c r="B10" s="4" t="s">
        <v>95</v>
      </c>
      <c r="C10" s="6">
        <v>2008</v>
      </c>
      <c r="D10" s="6" t="s">
        <v>43</v>
      </c>
      <c r="H10" s="6" t="s">
        <v>43</v>
      </c>
      <c r="J10" s="4" t="s">
        <v>41</v>
      </c>
      <c r="K10" s="4" t="s">
        <v>51</v>
      </c>
      <c r="N10" s="6" t="s">
        <v>43</v>
      </c>
      <c r="O10" s="6" t="s">
        <v>43</v>
      </c>
      <c r="Y10" s="6" t="s">
        <v>43</v>
      </c>
      <c r="Z10" s="6" t="s">
        <v>43</v>
      </c>
      <c r="AB10" s="4" t="s">
        <v>467</v>
      </c>
      <c r="AC10" s="4" t="s">
        <v>502</v>
      </c>
      <c r="AD10" s="6">
        <v>2</v>
      </c>
      <c r="AE10" s="7" t="s">
        <v>44</v>
      </c>
      <c r="AF10" s="7" t="s">
        <v>44</v>
      </c>
      <c r="AG10" s="7" t="s">
        <v>44</v>
      </c>
      <c r="AH10" s="6">
        <v>1</v>
      </c>
      <c r="AI10" s="4" t="s">
        <v>91</v>
      </c>
      <c r="AJ10" s="4" t="s">
        <v>92</v>
      </c>
      <c r="AK10" s="7" t="s">
        <v>44</v>
      </c>
      <c r="AL10" s="19"/>
      <c r="AM10" s="7">
        <f>COUNTIF(L10,"x")+COUNTIF(O10:X10,"x")</f>
        <v>1</v>
      </c>
      <c r="AN10" s="7" t="str">
        <f>IF(COUNTA(Table5[[#This Row],[      gray]:[      thermal]])&gt;0,"x","")</f>
        <v>x</v>
      </c>
    </row>
    <row r="11" spans="1:40" ht="33.75" x14ac:dyDescent="0.25">
      <c r="A11" s="4" t="s">
        <v>228</v>
      </c>
      <c r="B11" s="4" t="s">
        <v>229</v>
      </c>
      <c r="C11" s="6">
        <v>2008</v>
      </c>
      <c r="J11" s="4" t="s">
        <v>50</v>
      </c>
      <c r="K11" s="4" t="s">
        <v>171</v>
      </c>
      <c r="N11" s="6" t="s">
        <v>43</v>
      </c>
      <c r="O11" s="6" t="s">
        <v>43</v>
      </c>
      <c r="Z11" s="6" t="s">
        <v>43</v>
      </c>
      <c r="AB11" s="4" t="s">
        <v>457</v>
      </c>
      <c r="AC11" s="4" t="s">
        <v>503</v>
      </c>
      <c r="AD11" s="7" t="s">
        <v>44</v>
      </c>
      <c r="AE11" s="7" t="s">
        <v>44</v>
      </c>
      <c r="AF11" s="6">
        <v>0.11</v>
      </c>
      <c r="AG11" s="7" t="s">
        <v>44</v>
      </c>
      <c r="AH11" s="6">
        <v>1</v>
      </c>
      <c r="AI11" s="4" t="s">
        <v>230</v>
      </c>
      <c r="AJ11" s="4" t="s">
        <v>231</v>
      </c>
      <c r="AK11" s="7" t="s">
        <v>44</v>
      </c>
      <c r="AL11" s="19"/>
      <c r="AM11" s="7">
        <f>COUNTIF(L11,"x")+COUNTIF(O11:X11,"x")</f>
        <v>1</v>
      </c>
      <c r="AN11" s="7" t="str">
        <f>IF(COUNTA(Table5[[#This Row],[      gray]:[      thermal]])&gt;0,"x","")</f>
        <v>x</v>
      </c>
    </row>
    <row r="12" spans="1:40" ht="33.75" x14ac:dyDescent="0.25">
      <c r="A12" s="4" t="s">
        <v>232</v>
      </c>
      <c r="B12" s="4" t="s">
        <v>233</v>
      </c>
      <c r="C12" s="6">
        <v>2008</v>
      </c>
      <c r="D12" s="6" t="s">
        <v>43</v>
      </c>
      <c r="H12" s="6" t="s">
        <v>43</v>
      </c>
      <c r="J12" s="4" t="s">
        <v>68</v>
      </c>
      <c r="K12" s="4" t="s">
        <v>171</v>
      </c>
      <c r="N12" s="6" t="s">
        <v>43</v>
      </c>
      <c r="O12" s="6" t="s">
        <v>43</v>
      </c>
      <c r="Z12" s="6" t="s">
        <v>43</v>
      </c>
      <c r="AB12" s="4" t="s">
        <v>457</v>
      </c>
      <c r="AC12" s="4" t="s">
        <v>503</v>
      </c>
      <c r="AD12" s="7" t="s">
        <v>44</v>
      </c>
      <c r="AE12" s="7" t="s">
        <v>44</v>
      </c>
      <c r="AF12" s="6">
        <v>0.3</v>
      </c>
      <c r="AG12" s="7" t="s">
        <v>44</v>
      </c>
      <c r="AH12" s="6">
        <v>1</v>
      </c>
      <c r="AI12" s="4" t="s">
        <v>230</v>
      </c>
      <c r="AJ12" s="4" t="s">
        <v>231</v>
      </c>
      <c r="AK12" s="7" t="s">
        <v>44</v>
      </c>
      <c r="AL12" s="19"/>
      <c r="AM12" s="7">
        <f>COUNTIF(L12,"x")+COUNTIF(O12:X12,"x")</f>
        <v>1</v>
      </c>
      <c r="AN12" s="7" t="str">
        <f>IF(COUNTA(Table5[[#This Row],[      gray]:[      thermal]])&gt;0,"x","")</f>
        <v>x</v>
      </c>
    </row>
    <row r="13" spans="1:40" ht="45" x14ac:dyDescent="0.25">
      <c r="A13" s="4" t="s">
        <v>89</v>
      </c>
      <c r="B13" s="4" t="s">
        <v>90</v>
      </c>
      <c r="C13" s="6">
        <v>2008</v>
      </c>
      <c r="D13" s="6" t="s">
        <v>43</v>
      </c>
      <c r="H13" s="6" t="s">
        <v>43</v>
      </c>
      <c r="J13" s="4" t="s">
        <v>68</v>
      </c>
      <c r="K13" s="4" t="s">
        <v>51</v>
      </c>
      <c r="N13" s="6" t="s">
        <v>43</v>
      </c>
      <c r="O13" s="6" t="s">
        <v>43</v>
      </c>
      <c r="Y13" s="6" t="s">
        <v>43</v>
      </c>
      <c r="Z13" s="6" t="s">
        <v>43</v>
      </c>
      <c r="AB13" s="4" t="s">
        <v>467</v>
      </c>
      <c r="AC13" s="4" t="s">
        <v>502</v>
      </c>
      <c r="AD13" s="6">
        <v>1.9</v>
      </c>
      <c r="AE13" s="7" t="s">
        <v>44</v>
      </c>
      <c r="AF13" s="7" t="s">
        <v>44</v>
      </c>
      <c r="AG13" s="7" t="s">
        <v>44</v>
      </c>
      <c r="AH13" s="6">
        <v>1</v>
      </c>
      <c r="AI13" s="4" t="s">
        <v>91</v>
      </c>
      <c r="AJ13" s="4" t="s">
        <v>92</v>
      </c>
      <c r="AK13" s="8" t="s">
        <v>93</v>
      </c>
      <c r="AL13" s="19"/>
      <c r="AM13" s="7">
        <f>COUNTIF(L13,"x")+COUNTIF(O13:X13,"x")</f>
        <v>1</v>
      </c>
      <c r="AN13" s="7" t="str">
        <f>IF(COUNTA(Table5[[#This Row],[      gray]:[      thermal]])&gt;0,"x","")</f>
        <v>x</v>
      </c>
    </row>
    <row r="14" spans="1:40" ht="67.5" x14ac:dyDescent="0.25">
      <c r="A14" s="4" t="s">
        <v>39</v>
      </c>
      <c r="B14" s="4" t="s">
        <v>40</v>
      </c>
      <c r="C14" s="6">
        <v>2008</v>
      </c>
      <c r="D14" s="6" t="s">
        <v>43</v>
      </c>
      <c r="H14" s="6" t="s">
        <v>43</v>
      </c>
      <c r="J14" s="4" t="s">
        <v>41</v>
      </c>
      <c r="K14" s="4" t="s">
        <v>42</v>
      </c>
      <c r="M14" s="6" t="s">
        <v>43</v>
      </c>
      <c r="O14" s="6" t="s">
        <v>43</v>
      </c>
      <c r="AB14" s="7" t="s">
        <v>44</v>
      </c>
      <c r="AC14" s="7" t="s">
        <v>44</v>
      </c>
      <c r="AD14" s="6">
        <v>66</v>
      </c>
      <c r="AE14" s="7" t="s">
        <v>44</v>
      </c>
      <c r="AF14" s="6">
        <v>1.67</v>
      </c>
      <c r="AG14" s="7" t="s">
        <v>44</v>
      </c>
      <c r="AH14" s="6">
        <v>1</v>
      </c>
      <c r="AI14" s="4" t="s">
        <v>45</v>
      </c>
      <c r="AJ14" s="4" t="s">
        <v>46</v>
      </c>
      <c r="AK14" s="8" t="s">
        <v>47</v>
      </c>
      <c r="AL14" s="19"/>
      <c r="AM14" s="7">
        <f>COUNTIF(L14,"x")+COUNTIF(O14:X14,"x")</f>
        <v>1</v>
      </c>
      <c r="AN14" s="7" t="str">
        <f>IF(COUNTA(Table5[[#This Row],[      gray]:[      thermal]])&gt;0,"x","")</f>
        <v>x</v>
      </c>
    </row>
    <row r="15" spans="1:40" ht="33.75" x14ac:dyDescent="0.25">
      <c r="A15" s="4" t="s">
        <v>84</v>
      </c>
      <c r="B15" s="4" t="s">
        <v>85</v>
      </c>
      <c r="C15" s="6">
        <v>2009</v>
      </c>
      <c r="D15" s="6" t="s">
        <v>43</v>
      </c>
      <c r="H15" s="6" t="s">
        <v>43</v>
      </c>
      <c r="I15" s="6" t="s">
        <v>43</v>
      </c>
      <c r="J15" s="4" t="s">
        <v>50</v>
      </c>
      <c r="K15" s="4" t="s">
        <v>86</v>
      </c>
      <c r="L15" s="6" t="s">
        <v>43</v>
      </c>
      <c r="M15" s="6" t="s">
        <v>43</v>
      </c>
      <c r="N15" s="6" t="s">
        <v>43</v>
      </c>
      <c r="O15" s="6" t="s">
        <v>43</v>
      </c>
      <c r="P15" s="6" t="s">
        <v>43</v>
      </c>
      <c r="Q15" s="6" t="s">
        <v>43</v>
      </c>
      <c r="T15" s="6" t="s">
        <v>43</v>
      </c>
      <c r="W15" s="6" t="s">
        <v>43</v>
      </c>
      <c r="X15" s="6" t="s">
        <v>43</v>
      </c>
      <c r="Z15" s="6" t="s">
        <v>43</v>
      </c>
      <c r="AA15" s="6" t="s">
        <v>43</v>
      </c>
      <c r="AB15" s="4" t="s">
        <v>466</v>
      </c>
      <c r="AC15" s="4" t="s">
        <v>504</v>
      </c>
      <c r="AD15" s="7" t="s">
        <v>44</v>
      </c>
      <c r="AE15" s="7" t="s">
        <v>44</v>
      </c>
      <c r="AF15" s="7">
        <v>2.5</v>
      </c>
      <c r="AG15" s="6" t="s">
        <v>87</v>
      </c>
      <c r="AH15" s="6">
        <v>5</v>
      </c>
      <c r="AI15" s="7" t="s">
        <v>44</v>
      </c>
      <c r="AJ15" s="4" t="s">
        <v>88</v>
      </c>
      <c r="AK15" s="7" t="s">
        <v>44</v>
      </c>
      <c r="AL15" s="19"/>
      <c r="AM15" s="7">
        <f>COUNTIF(L15,"x")+COUNTIF(O15:X15,"x")</f>
        <v>7</v>
      </c>
      <c r="AN15" s="7" t="str">
        <f>IF(COUNTA(Table5[[#This Row],[      gray]:[      thermal]])&gt;0,"x","")</f>
        <v>x</v>
      </c>
    </row>
    <row r="16" spans="1:40" ht="45" x14ac:dyDescent="0.25">
      <c r="A16" s="4" t="s">
        <v>79</v>
      </c>
      <c r="B16" s="4" t="s">
        <v>80</v>
      </c>
      <c r="C16" s="6">
        <v>2009</v>
      </c>
      <c r="D16" s="6" t="s">
        <v>43</v>
      </c>
      <c r="E16" s="6" t="s">
        <v>43</v>
      </c>
      <c r="F16" s="6" t="s">
        <v>43</v>
      </c>
      <c r="H16" s="6" t="s">
        <v>43</v>
      </c>
      <c r="J16" s="4" t="s">
        <v>50</v>
      </c>
      <c r="K16" s="4" t="s">
        <v>81</v>
      </c>
      <c r="L16" s="6" t="s">
        <v>43</v>
      </c>
      <c r="N16" s="6" t="s">
        <v>43</v>
      </c>
      <c r="O16" s="6" t="s">
        <v>43</v>
      </c>
      <c r="Q16" s="6" t="s">
        <v>43</v>
      </c>
      <c r="T16" s="6" t="s">
        <v>43</v>
      </c>
      <c r="AB16" s="4" t="s">
        <v>468</v>
      </c>
      <c r="AC16" s="4" t="s">
        <v>502</v>
      </c>
      <c r="AD16" s="6">
        <v>0.92</v>
      </c>
      <c r="AE16" s="7" t="s">
        <v>44</v>
      </c>
      <c r="AF16" s="6">
        <v>0.99</v>
      </c>
      <c r="AG16" s="7" t="s">
        <v>44</v>
      </c>
      <c r="AH16" s="6">
        <v>76</v>
      </c>
      <c r="AI16" s="4" t="s">
        <v>82</v>
      </c>
      <c r="AJ16" s="4" t="s">
        <v>83</v>
      </c>
      <c r="AK16" s="7" t="s">
        <v>44</v>
      </c>
      <c r="AL16" s="19"/>
      <c r="AM16" s="7">
        <f>COUNTIF(L16,"x")+COUNTIF(O16:X16,"x")</f>
        <v>4</v>
      </c>
      <c r="AN16" s="7" t="str">
        <f>IF(COUNTA(Table5[[#This Row],[      gray]:[      thermal]])&gt;0,"x","")</f>
        <v>x</v>
      </c>
    </row>
    <row r="17" spans="1:40" ht="33.75" x14ac:dyDescent="0.25">
      <c r="A17" s="4" t="s">
        <v>150</v>
      </c>
      <c r="B17" s="4" t="s">
        <v>151</v>
      </c>
      <c r="C17" s="6">
        <v>2009</v>
      </c>
      <c r="D17" s="6" t="s">
        <v>43</v>
      </c>
      <c r="H17" s="6" t="s">
        <v>43</v>
      </c>
      <c r="J17" s="4" t="s">
        <v>152</v>
      </c>
      <c r="K17" s="4" t="s">
        <v>42</v>
      </c>
      <c r="N17" s="6" t="s">
        <v>43</v>
      </c>
      <c r="O17" s="6" t="s">
        <v>43</v>
      </c>
      <c r="T17" s="6" t="s">
        <v>43</v>
      </c>
      <c r="X17" s="6" t="s">
        <v>43</v>
      </c>
      <c r="Y17" s="6" t="s">
        <v>43</v>
      </c>
      <c r="Z17" s="6" t="s">
        <v>43</v>
      </c>
      <c r="AA17" s="6" t="s">
        <v>43</v>
      </c>
      <c r="AB17" s="4" t="s">
        <v>216</v>
      </c>
      <c r="AC17" s="4" t="s">
        <v>153</v>
      </c>
      <c r="AD17" s="6">
        <v>6.3579999999999997</v>
      </c>
      <c r="AE17" s="7" t="s">
        <v>44</v>
      </c>
      <c r="AF17" s="7" t="s">
        <v>44</v>
      </c>
      <c r="AG17" s="7" t="s">
        <v>44</v>
      </c>
      <c r="AH17" s="6">
        <v>6</v>
      </c>
      <c r="AI17" s="4" t="s">
        <v>154</v>
      </c>
      <c r="AJ17" s="4" t="s">
        <v>155</v>
      </c>
      <c r="AK17" s="7" t="s">
        <v>44</v>
      </c>
      <c r="AL17" s="19"/>
      <c r="AM17" s="7">
        <f>COUNTIF(L17,"x")+COUNTIF(O17:X17,"x")</f>
        <v>3</v>
      </c>
      <c r="AN17" s="7" t="str">
        <f>IF(COUNTA(Table5[[#This Row],[      gray]:[      thermal]])&gt;0,"x","")</f>
        <v>x</v>
      </c>
    </row>
    <row r="18" spans="1:40" ht="56.25" x14ac:dyDescent="0.25">
      <c r="A18" s="4" t="s">
        <v>66</v>
      </c>
      <c r="B18" s="4" t="s">
        <v>67</v>
      </c>
      <c r="C18" s="6">
        <v>2009</v>
      </c>
      <c r="D18" s="6" t="s">
        <v>43</v>
      </c>
      <c r="H18" s="6" t="s">
        <v>43</v>
      </c>
      <c r="J18" s="4" t="s">
        <v>68</v>
      </c>
      <c r="K18" s="4" t="s">
        <v>69</v>
      </c>
      <c r="L18" s="6" t="s">
        <v>43</v>
      </c>
      <c r="M18" s="6" t="s">
        <v>43</v>
      </c>
      <c r="N18" s="6" t="s">
        <v>43</v>
      </c>
      <c r="P18" s="6" t="s">
        <v>43</v>
      </c>
      <c r="Q18" s="6" t="s">
        <v>43</v>
      </c>
      <c r="T18" s="6" t="s">
        <v>43</v>
      </c>
      <c r="X18" s="6" t="s">
        <v>43</v>
      </c>
      <c r="Y18" s="6" t="s">
        <v>43</v>
      </c>
      <c r="Z18" s="6" t="s">
        <v>43</v>
      </c>
      <c r="AA18" s="6" t="s">
        <v>43</v>
      </c>
      <c r="AB18" s="4" t="s">
        <v>70</v>
      </c>
      <c r="AC18" s="4" t="s">
        <v>519</v>
      </c>
      <c r="AD18" s="6">
        <v>2.2000000000000002</v>
      </c>
      <c r="AE18" s="7" t="s">
        <v>44</v>
      </c>
      <c r="AF18" s="6">
        <v>0.73</v>
      </c>
      <c r="AG18" s="7" t="s">
        <v>44</v>
      </c>
      <c r="AH18" s="6">
        <v>1</v>
      </c>
      <c r="AI18" s="4" t="s">
        <v>71</v>
      </c>
      <c r="AJ18" s="4" t="s">
        <v>72</v>
      </c>
      <c r="AK18" s="7" t="s">
        <v>44</v>
      </c>
      <c r="AL18" s="19"/>
      <c r="AM18" s="7">
        <f>COUNTIF(L18,"x")+COUNTIF(O18:X18,"x")</f>
        <v>5</v>
      </c>
      <c r="AN18" s="7" t="str">
        <f>IF(COUNTA(Table5[[#This Row],[      gray]:[      thermal]])&gt;0,"x","")</f>
        <v>x</v>
      </c>
    </row>
    <row r="19" spans="1:40" ht="22.5" x14ac:dyDescent="0.25">
      <c r="A19" s="4" t="s">
        <v>100</v>
      </c>
      <c r="B19" s="4" t="s">
        <v>101</v>
      </c>
      <c r="C19" s="6">
        <v>2010</v>
      </c>
      <c r="D19" s="6" t="s">
        <v>43</v>
      </c>
      <c r="I19" s="6" t="s">
        <v>43</v>
      </c>
      <c r="J19" s="4" t="s">
        <v>50</v>
      </c>
      <c r="K19" s="4" t="s">
        <v>102</v>
      </c>
      <c r="L19" s="6" t="s">
        <v>43</v>
      </c>
      <c r="N19" s="6" t="s">
        <v>43</v>
      </c>
      <c r="O19" s="6" t="s">
        <v>43</v>
      </c>
      <c r="T19" s="6" t="s">
        <v>43</v>
      </c>
      <c r="AB19" s="7" t="s">
        <v>44</v>
      </c>
      <c r="AC19" s="4" t="s">
        <v>505</v>
      </c>
      <c r="AD19" s="7" t="s">
        <v>44</v>
      </c>
      <c r="AE19" s="7" t="s">
        <v>44</v>
      </c>
      <c r="AF19" s="6">
        <v>0.18</v>
      </c>
      <c r="AG19" s="7" t="s">
        <v>44</v>
      </c>
      <c r="AH19" s="6">
        <v>1</v>
      </c>
      <c r="AI19" s="7" t="s">
        <v>44</v>
      </c>
      <c r="AJ19" s="4" t="s">
        <v>103</v>
      </c>
      <c r="AK19" s="7" t="s">
        <v>44</v>
      </c>
      <c r="AL19" s="19"/>
      <c r="AM19" s="7">
        <f>COUNTIF(L19,"x")+COUNTIF(O19:X19,"x")</f>
        <v>3</v>
      </c>
      <c r="AN19" s="7" t="str">
        <f>IF(COUNTA(Table5[[#This Row],[      gray]:[      thermal]])&gt;0,"x","")</f>
        <v>x</v>
      </c>
    </row>
    <row r="20" spans="1:40" ht="56.25" x14ac:dyDescent="0.25">
      <c r="A20" s="4" t="s">
        <v>122</v>
      </c>
      <c r="B20" s="4" t="s">
        <v>123</v>
      </c>
      <c r="C20" s="6">
        <v>2011</v>
      </c>
      <c r="D20" s="6" t="s">
        <v>43</v>
      </c>
      <c r="G20" s="6" t="s">
        <v>43</v>
      </c>
      <c r="H20" s="6" t="s">
        <v>43</v>
      </c>
      <c r="J20" s="4" t="s">
        <v>41</v>
      </c>
      <c r="K20" s="4" t="s">
        <v>42</v>
      </c>
      <c r="N20" s="6" t="s">
        <v>43</v>
      </c>
      <c r="O20" s="6" t="s">
        <v>43</v>
      </c>
      <c r="Y20" s="6" t="s">
        <v>43</v>
      </c>
      <c r="Z20" s="6" t="s">
        <v>43</v>
      </c>
      <c r="AA20" s="6" t="s">
        <v>43</v>
      </c>
      <c r="AB20" s="4" t="s">
        <v>70</v>
      </c>
      <c r="AC20" s="7" t="s">
        <v>44</v>
      </c>
      <c r="AD20" s="7" t="s">
        <v>44</v>
      </c>
      <c r="AE20" s="6">
        <v>8.5</v>
      </c>
      <c r="AF20" s="7" t="s">
        <v>44</v>
      </c>
      <c r="AG20" s="6" t="s">
        <v>124</v>
      </c>
      <c r="AH20" s="6">
        <v>16</v>
      </c>
      <c r="AI20" s="4" t="s">
        <v>125</v>
      </c>
      <c r="AJ20" s="4" t="s">
        <v>126</v>
      </c>
      <c r="AK20" s="5" t="s">
        <v>127</v>
      </c>
      <c r="AL20" s="20"/>
      <c r="AM20" s="6">
        <f>COUNTIF(L20,"x")+COUNTIF(O20:X20,"x")</f>
        <v>1</v>
      </c>
      <c r="AN20" s="6" t="str">
        <f>IF(COUNTA(Table5[[#This Row],[      gray]:[      thermal]])&gt;0,"x","")</f>
        <v>x</v>
      </c>
    </row>
    <row r="21" spans="1:40" ht="33.75" x14ac:dyDescent="0.25">
      <c r="A21" s="4" t="s">
        <v>156</v>
      </c>
      <c r="B21" s="4" t="s">
        <v>157</v>
      </c>
      <c r="C21" s="6">
        <v>2011</v>
      </c>
      <c r="D21" s="6" t="s">
        <v>43</v>
      </c>
      <c r="H21" s="6" t="s">
        <v>43</v>
      </c>
      <c r="J21" s="4" t="s">
        <v>158</v>
      </c>
      <c r="K21" s="4" t="s">
        <v>42</v>
      </c>
      <c r="N21" s="6" t="s">
        <v>43</v>
      </c>
      <c r="Q21" s="6" t="s">
        <v>43</v>
      </c>
      <c r="T21" s="6" t="s">
        <v>43</v>
      </c>
      <c r="U21" s="6" t="s">
        <v>43</v>
      </c>
      <c r="X21" s="6" t="s">
        <v>43</v>
      </c>
      <c r="Y21" s="6" t="s">
        <v>43</v>
      </c>
      <c r="Z21" s="6" t="s">
        <v>43</v>
      </c>
      <c r="AA21" s="6" t="s">
        <v>43</v>
      </c>
      <c r="AB21" s="4" t="s">
        <v>216</v>
      </c>
      <c r="AC21" s="4" t="s">
        <v>159</v>
      </c>
      <c r="AD21" s="7" t="s">
        <v>44</v>
      </c>
      <c r="AE21" s="7" t="s">
        <v>44</v>
      </c>
      <c r="AF21" s="7" t="s">
        <v>44</v>
      </c>
      <c r="AG21" s="6" t="s">
        <v>160</v>
      </c>
      <c r="AH21" s="7" t="s">
        <v>44</v>
      </c>
      <c r="AI21" s="4" t="s">
        <v>161</v>
      </c>
      <c r="AJ21" s="4" t="s">
        <v>162</v>
      </c>
      <c r="AK21" s="7" t="s">
        <v>44</v>
      </c>
      <c r="AL21" s="19"/>
      <c r="AM21" s="7">
        <f>COUNTIF(L21,"x")+COUNTIF(O21:X21,"x")</f>
        <v>4</v>
      </c>
      <c r="AN21" s="7" t="str">
        <f>IF(COUNTA(Table5[[#This Row],[      gray]:[      thermal]])&gt;0,"x","")</f>
        <v>x</v>
      </c>
    </row>
    <row r="22" spans="1:40" ht="33.75" x14ac:dyDescent="0.25">
      <c r="A22" s="4" t="s">
        <v>187</v>
      </c>
      <c r="B22" s="4" t="s">
        <v>188</v>
      </c>
      <c r="C22" s="6">
        <v>2011</v>
      </c>
      <c r="D22" s="6" t="s">
        <v>43</v>
      </c>
      <c r="J22" s="4" t="s">
        <v>189</v>
      </c>
      <c r="K22" s="4" t="s">
        <v>190</v>
      </c>
      <c r="L22" s="6" t="s">
        <v>43</v>
      </c>
      <c r="N22" s="6" t="s">
        <v>43</v>
      </c>
      <c r="O22" s="6" t="s">
        <v>43</v>
      </c>
      <c r="Z22" s="6" t="s">
        <v>43</v>
      </c>
      <c r="AB22" s="4" t="s">
        <v>454</v>
      </c>
      <c r="AC22" s="4" t="s">
        <v>506</v>
      </c>
      <c r="AD22" s="7" t="s">
        <v>44</v>
      </c>
      <c r="AE22" s="7" t="s">
        <v>44</v>
      </c>
      <c r="AF22" s="6">
        <v>4.78</v>
      </c>
      <c r="AG22" s="7" t="s">
        <v>44</v>
      </c>
      <c r="AH22" s="6">
        <v>9</v>
      </c>
      <c r="AI22" s="4" t="s">
        <v>191</v>
      </c>
      <c r="AJ22" s="4" t="s">
        <v>192</v>
      </c>
      <c r="AK22" s="7" t="s">
        <v>44</v>
      </c>
      <c r="AL22" s="19"/>
      <c r="AM22" s="7">
        <f>COUNTIF(L22,"x")+COUNTIF(O22:X22,"x")</f>
        <v>2</v>
      </c>
      <c r="AN22" s="7" t="str">
        <f>IF(COUNTA(Table5[[#This Row],[      gray]:[      thermal]])&gt;0,"x","")</f>
        <v>x</v>
      </c>
    </row>
    <row r="23" spans="1:40" ht="56.25" x14ac:dyDescent="0.25">
      <c r="A23" s="4" t="s">
        <v>193</v>
      </c>
      <c r="B23" s="4" t="s">
        <v>194</v>
      </c>
      <c r="C23" s="6">
        <v>2012</v>
      </c>
      <c r="D23" s="6" t="s">
        <v>43</v>
      </c>
      <c r="F23" s="6" t="s">
        <v>43</v>
      </c>
      <c r="H23" s="6" t="s">
        <v>43</v>
      </c>
      <c r="J23" s="4" t="s">
        <v>41</v>
      </c>
      <c r="K23" s="4" t="s">
        <v>42</v>
      </c>
      <c r="N23" s="6" t="s">
        <v>43</v>
      </c>
      <c r="O23" s="6" t="s">
        <v>43</v>
      </c>
      <c r="AB23" s="4" t="s">
        <v>457</v>
      </c>
      <c r="AC23" s="7" t="s">
        <v>44</v>
      </c>
      <c r="AD23" s="6">
        <v>16</v>
      </c>
      <c r="AE23" s="6">
        <v>8</v>
      </c>
      <c r="AF23" s="7" t="s">
        <v>44</v>
      </c>
      <c r="AG23" s="7" t="s">
        <v>44</v>
      </c>
      <c r="AH23" s="6">
        <v>2</v>
      </c>
      <c r="AI23" s="4" t="s">
        <v>195</v>
      </c>
      <c r="AJ23" s="4" t="s">
        <v>196</v>
      </c>
      <c r="AK23" s="8" t="s">
        <v>197</v>
      </c>
      <c r="AL23" s="19"/>
      <c r="AM23" s="7">
        <f>COUNTIF(L23,"x")+COUNTIF(O23:X23,"x")</f>
        <v>1</v>
      </c>
      <c r="AN23" s="7" t="str">
        <f>IF(COUNTA(Table5[[#This Row],[      gray]:[      thermal]])&gt;0,"x","")</f>
        <v>x</v>
      </c>
    </row>
    <row r="24" spans="1:40" ht="33.75" x14ac:dyDescent="0.25">
      <c r="A24" s="4" t="s">
        <v>73</v>
      </c>
      <c r="B24" s="4" t="s">
        <v>74</v>
      </c>
      <c r="C24" s="6">
        <v>2012</v>
      </c>
      <c r="D24" s="6" t="s">
        <v>43</v>
      </c>
      <c r="H24" s="6" t="s">
        <v>43</v>
      </c>
      <c r="J24" s="4" t="s">
        <v>75</v>
      </c>
      <c r="K24" s="4" t="s">
        <v>76</v>
      </c>
      <c r="N24" s="6" t="s">
        <v>43</v>
      </c>
      <c r="R24" s="6" t="s">
        <v>43</v>
      </c>
      <c r="X24" s="6" t="s">
        <v>43</v>
      </c>
      <c r="Z24" s="6" t="s">
        <v>43</v>
      </c>
      <c r="AA24" s="6" t="s">
        <v>43</v>
      </c>
      <c r="AB24" s="4" t="s">
        <v>454</v>
      </c>
      <c r="AC24" s="4" t="s">
        <v>507</v>
      </c>
      <c r="AD24" s="6">
        <v>0.28499999999999998</v>
      </c>
      <c r="AE24" s="7" t="s">
        <v>44</v>
      </c>
      <c r="AF24" s="6">
        <v>0.35</v>
      </c>
      <c r="AG24" s="7" t="s">
        <v>44</v>
      </c>
      <c r="AH24" s="6">
        <v>15</v>
      </c>
      <c r="AI24" s="4" t="s">
        <v>77</v>
      </c>
      <c r="AJ24" s="4" t="s">
        <v>78</v>
      </c>
      <c r="AK24" s="7" t="s">
        <v>44</v>
      </c>
      <c r="AL24" s="19"/>
      <c r="AM24" s="7">
        <f>COUNTIF(L24,"x")+COUNTIF(O24:X24,"x")</f>
        <v>2</v>
      </c>
      <c r="AN24" s="7" t="str">
        <f>IF(COUNTA(Table5[[#This Row],[      gray]:[      thermal]])&gt;0,"x","")</f>
        <v>x</v>
      </c>
    </row>
    <row r="25" spans="1:40" ht="33.75" x14ac:dyDescent="0.25">
      <c r="A25" s="4" t="s">
        <v>104</v>
      </c>
      <c r="B25" s="4" t="s">
        <v>105</v>
      </c>
      <c r="C25" s="6">
        <v>2013</v>
      </c>
      <c r="D25" s="6" t="s">
        <v>43</v>
      </c>
      <c r="G25" s="6" t="s">
        <v>43</v>
      </c>
      <c r="H25" s="6" t="s">
        <v>43</v>
      </c>
      <c r="I25" s="6" t="s">
        <v>43</v>
      </c>
      <c r="J25" s="4" t="s">
        <v>50</v>
      </c>
      <c r="K25" s="4" t="s">
        <v>51</v>
      </c>
      <c r="L25" s="6" t="s">
        <v>43</v>
      </c>
      <c r="N25" s="6" t="s">
        <v>43</v>
      </c>
      <c r="R25" s="6" t="s">
        <v>43</v>
      </c>
      <c r="T25" s="6" t="s">
        <v>43</v>
      </c>
      <c r="AA25" s="6" t="s">
        <v>43</v>
      </c>
      <c r="AB25" s="7" t="s">
        <v>44</v>
      </c>
      <c r="AC25" s="4" t="s">
        <v>106</v>
      </c>
      <c r="AD25" s="6">
        <v>131</v>
      </c>
      <c r="AE25" s="7" t="s">
        <v>44</v>
      </c>
      <c r="AF25" s="6">
        <v>260</v>
      </c>
      <c r="AG25" s="7" t="s">
        <v>107</v>
      </c>
      <c r="AH25" s="7">
        <v>1082</v>
      </c>
      <c r="AI25" s="4" t="s">
        <v>108</v>
      </c>
      <c r="AJ25" s="4" t="s">
        <v>109</v>
      </c>
      <c r="AK25" s="7" t="s">
        <v>44</v>
      </c>
      <c r="AL25" s="19"/>
      <c r="AM25" s="7">
        <f>COUNTIF(L25,"x")+COUNTIF(O25:X25,"x")</f>
        <v>3</v>
      </c>
      <c r="AN25" s="7" t="str">
        <f>IF(COUNTA(Table5[[#This Row],[      gray]:[      thermal]])&gt;0,"x","")</f>
        <v>x</v>
      </c>
    </row>
    <row r="26" spans="1:40" ht="33.75" x14ac:dyDescent="0.25">
      <c r="A26" s="4" t="s">
        <v>116</v>
      </c>
      <c r="B26" s="4" t="s">
        <v>117</v>
      </c>
      <c r="C26" s="6">
        <v>2013</v>
      </c>
      <c r="D26" s="6" t="s">
        <v>43</v>
      </c>
      <c r="H26" s="6" t="s">
        <v>43</v>
      </c>
      <c r="J26" s="4" t="s">
        <v>41</v>
      </c>
      <c r="K26" s="4" t="s">
        <v>42</v>
      </c>
      <c r="M26" s="6" t="s">
        <v>43</v>
      </c>
      <c r="N26" s="6" t="s">
        <v>43</v>
      </c>
      <c r="O26" s="6" t="s">
        <v>43</v>
      </c>
      <c r="P26" s="6" t="s">
        <v>43</v>
      </c>
      <c r="U26" s="6" t="s">
        <v>43</v>
      </c>
      <c r="X26" s="6" t="s">
        <v>43</v>
      </c>
      <c r="Y26" s="6" t="s">
        <v>43</v>
      </c>
      <c r="Z26" s="6" t="s">
        <v>43</v>
      </c>
      <c r="AA26" s="6" t="s">
        <v>43</v>
      </c>
      <c r="AB26" s="4" t="s">
        <v>216</v>
      </c>
      <c r="AC26" s="4" t="s">
        <v>508</v>
      </c>
      <c r="AD26" s="7" t="s">
        <v>44</v>
      </c>
      <c r="AE26" s="7" t="s">
        <v>44</v>
      </c>
      <c r="AF26" s="6">
        <v>1.18</v>
      </c>
      <c r="AG26" s="6" t="s">
        <v>118</v>
      </c>
      <c r="AH26" s="6">
        <f>28+21+12</f>
        <v>61</v>
      </c>
      <c r="AI26" s="4" t="s">
        <v>119</v>
      </c>
      <c r="AJ26" s="4" t="s">
        <v>120</v>
      </c>
      <c r="AK26" s="8" t="s">
        <v>121</v>
      </c>
      <c r="AL26" s="19"/>
      <c r="AM26" s="7">
        <f>COUNTIF(L26,"x")+COUNTIF(O26:X26,"x")</f>
        <v>4</v>
      </c>
      <c r="AN26" s="7" t="str">
        <f>IF(COUNTA(Table5[[#This Row],[      gray]:[      thermal]])&gt;0,"x","")</f>
        <v>x</v>
      </c>
    </row>
    <row r="27" spans="1:40" ht="33.75" x14ac:dyDescent="0.25">
      <c r="A27" s="4" t="s">
        <v>110</v>
      </c>
      <c r="B27" s="4" t="s">
        <v>111</v>
      </c>
      <c r="C27" s="6">
        <v>2013</v>
      </c>
      <c r="D27" s="6" t="s">
        <v>43</v>
      </c>
      <c r="G27" s="6" t="s">
        <v>43</v>
      </c>
      <c r="H27" s="6" t="s">
        <v>43</v>
      </c>
      <c r="I27" s="6" t="s">
        <v>43</v>
      </c>
      <c r="J27" s="4" t="s">
        <v>50</v>
      </c>
      <c r="K27" s="4" t="s">
        <v>112</v>
      </c>
      <c r="L27" s="6" t="s">
        <v>43</v>
      </c>
      <c r="N27" s="6" t="s">
        <v>43</v>
      </c>
      <c r="P27" s="6" t="s">
        <v>43</v>
      </c>
      <c r="R27" s="6" t="s">
        <v>43</v>
      </c>
      <c r="T27" s="6" t="s">
        <v>43</v>
      </c>
      <c r="X27" s="6" t="s">
        <v>43</v>
      </c>
      <c r="AA27" s="6" t="s">
        <v>43</v>
      </c>
      <c r="AB27" s="4" t="s">
        <v>455</v>
      </c>
      <c r="AC27" s="4" t="s">
        <v>106</v>
      </c>
      <c r="AD27" s="6">
        <v>42</v>
      </c>
      <c r="AE27" s="7" t="s">
        <v>44</v>
      </c>
      <c r="AF27" s="6">
        <v>38</v>
      </c>
      <c r="AG27" s="6" t="s">
        <v>113</v>
      </c>
      <c r="AH27" s="6">
        <v>84</v>
      </c>
      <c r="AI27" s="4" t="s">
        <v>114</v>
      </c>
      <c r="AJ27" s="4" t="s">
        <v>115</v>
      </c>
      <c r="AK27" s="7" t="s">
        <v>44</v>
      </c>
      <c r="AL27" s="19"/>
      <c r="AM27" s="7">
        <f>COUNTIF(L27,"x")+COUNTIF(O27:X27,"x")</f>
        <v>5</v>
      </c>
      <c r="AN27" s="7" t="str">
        <f>IF(COUNTA(Table5[[#This Row],[      gray]:[      thermal]])&gt;0,"x","")</f>
        <v>x</v>
      </c>
    </row>
    <row r="28" spans="1:40" ht="33.75" x14ac:dyDescent="0.25">
      <c r="A28" s="4" t="s">
        <v>143</v>
      </c>
      <c r="B28" s="4" t="s">
        <v>144</v>
      </c>
      <c r="C28" s="6">
        <v>2013</v>
      </c>
      <c r="D28" s="6" t="s">
        <v>43</v>
      </c>
      <c r="F28" s="6" t="s">
        <v>43</v>
      </c>
      <c r="G28" s="6" t="s">
        <v>43</v>
      </c>
      <c r="J28" s="4" t="s">
        <v>145</v>
      </c>
      <c r="K28" s="4" t="s">
        <v>146</v>
      </c>
      <c r="N28" s="6" t="s">
        <v>43</v>
      </c>
      <c r="O28" s="6" t="s">
        <v>43</v>
      </c>
      <c r="Y28" s="6" t="s">
        <v>43</v>
      </c>
      <c r="AB28" s="4" t="s">
        <v>70</v>
      </c>
      <c r="AC28" s="4" t="s">
        <v>147</v>
      </c>
      <c r="AD28" s="6">
        <v>2916</v>
      </c>
      <c r="AE28" s="6">
        <v>729</v>
      </c>
      <c r="AF28" s="6">
        <v>39.74</v>
      </c>
      <c r="AG28" s="7" t="s">
        <v>44</v>
      </c>
      <c r="AH28" s="6">
        <v>4</v>
      </c>
      <c r="AI28" s="7" t="s">
        <v>44</v>
      </c>
      <c r="AJ28" s="4" t="s">
        <v>148</v>
      </c>
      <c r="AK28" s="8" t="s">
        <v>149</v>
      </c>
      <c r="AL28" s="19"/>
      <c r="AM28" s="7">
        <f>COUNTIF(L28,"x")+COUNTIF(O28:X28,"x")</f>
        <v>1</v>
      </c>
      <c r="AN28" s="7" t="str">
        <f>IF(COUNTA(Table5[[#This Row],[      gray]:[      thermal]])&gt;0,"x","")</f>
        <v>x</v>
      </c>
    </row>
    <row r="29" spans="1:40" ht="33.75" x14ac:dyDescent="0.25">
      <c r="A29" s="4" t="s">
        <v>169</v>
      </c>
      <c r="B29" s="4" t="s">
        <v>170</v>
      </c>
      <c r="C29" s="6">
        <v>2014</v>
      </c>
      <c r="D29" s="6" t="s">
        <v>43</v>
      </c>
      <c r="E29" s="6" t="s">
        <v>43</v>
      </c>
      <c r="H29" s="6" t="s">
        <v>43</v>
      </c>
      <c r="J29" s="4" t="s">
        <v>165</v>
      </c>
      <c r="K29" s="4" t="s">
        <v>171</v>
      </c>
      <c r="N29" s="6" t="s">
        <v>43</v>
      </c>
      <c r="O29" s="6" t="s">
        <v>43</v>
      </c>
      <c r="AB29" s="4" t="s">
        <v>172</v>
      </c>
      <c r="AC29" s="4" t="s">
        <v>509</v>
      </c>
      <c r="AD29" s="7" t="s">
        <v>44</v>
      </c>
      <c r="AE29" s="7" t="s">
        <v>44</v>
      </c>
      <c r="AF29" s="7" t="s">
        <v>44</v>
      </c>
      <c r="AG29" s="7" t="s">
        <v>44</v>
      </c>
      <c r="AH29" s="6">
        <v>3</v>
      </c>
      <c r="AI29" s="8" t="s">
        <v>173</v>
      </c>
      <c r="AJ29" s="4" t="s">
        <v>174</v>
      </c>
      <c r="AK29" s="7" t="s">
        <v>44</v>
      </c>
      <c r="AL29" s="19"/>
      <c r="AM29" s="7">
        <f>COUNTIF(L29,"x")+COUNTIF(O29:X29,"x")</f>
        <v>1</v>
      </c>
      <c r="AN29" s="7" t="str">
        <f>IF(COUNTA(Table5[[#This Row],[      gray]:[      thermal]])&gt;0,"x","")</f>
        <v>x</v>
      </c>
    </row>
    <row r="30" spans="1:40" ht="33.75" x14ac:dyDescent="0.25">
      <c r="A30" s="4" t="s">
        <v>175</v>
      </c>
      <c r="B30" s="4" t="s">
        <v>176</v>
      </c>
      <c r="C30" s="6">
        <v>2014</v>
      </c>
      <c r="D30" s="6" t="s">
        <v>43</v>
      </c>
      <c r="E30" s="6" t="s">
        <v>43</v>
      </c>
      <c r="G30" s="6" t="s">
        <v>43</v>
      </c>
      <c r="H30" s="6" t="s">
        <v>43</v>
      </c>
      <c r="J30" s="4" t="s">
        <v>50</v>
      </c>
      <c r="K30" s="4" t="s">
        <v>177</v>
      </c>
      <c r="N30" s="6" t="s">
        <v>43</v>
      </c>
      <c r="R30" s="6" t="s">
        <v>43</v>
      </c>
      <c r="T30" s="6" t="s">
        <v>43</v>
      </c>
      <c r="AA30" s="6" t="s">
        <v>43</v>
      </c>
      <c r="AB30" s="7" t="s">
        <v>44</v>
      </c>
      <c r="AC30" s="4" t="s">
        <v>106</v>
      </c>
      <c r="AD30" s="7" t="s">
        <v>44</v>
      </c>
      <c r="AE30" s="7" t="s">
        <v>44</v>
      </c>
      <c r="AF30" s="7" t="s">
        <v>44</v>
      </c>
      <c r="AG30" s="6" t="s">
        <v>178</v>
      </c>
      <c r="AH30" s="6">
        <v>368</v>
      </c>
      <c r="AI30" s="4" t="s">
        <v>179</v>
      </c>
      <c r="AJ30" s="4" t="s">
        <v>180</v>
      </c>
      <c r="AK30" s="7" t="s">
        <v>44</v>
      </c>
      <c r="AL30" s="19"/>
      <c r="AM30" s="7">
        <f>COUNTIF(L30,"x")+COUNTIF(O30:X30,"x")</f>
        <v>2</v>
      </c>
      <c r="AN30" s="7" t="str">
        <f>IF(COUNTA(Table5[[#This Row],[      gray]:[      thermal]])&gt;0,"x","")</f>
        <v>x</v>
      </c>
    </row>
    <row r="31" spans="1:40" ht="45" x14ac:dyDescent="0.25">
      <c r="A31" s="4" t="s">
        <v>234</v>
      </c>
      <c r="B31" s="4" t="s">
        <v>235</v>
      </c>
      <c r="C31" s="6">
        <v>2015</v>
      </c>
      <c r="D31" s="6" t="s">
        <v>43</v>
      </c>
      <c r="E31" s="6" t="s">
        <v>43</v>
      </c>
      <c r="H31" s="6" t="s">
        <v>43</v>
      </c>
      <c r="J31" s="4" t="s">
        <v>41</v>
      </c>
      <c r="K31" s="4" t="s">
        <v>42</v>
      </c>
      <c r="N31" s="6" t="s">
        <v>43</v>
      </c>
      <c r="P31" s="6" t="s">
        <v>43</v>
      </c>
      <c r="S31" s="6" t="s">
        <v>43</v>
      </c>
      <c r="X31" s="6" t="s">
        <v>43</v>
      </c>
      <c r="Y31" s="6" t="s">
        <v>43</v>
      </c>
      <c r="Z31" s="6" t="s">
        <v>43</v>
      </c>
      <c r="AA31" s="6" t="s">
        <v>43</v>
      </c>
      <c r="AB31" s="4" t="s">
        <v>216</v>
      </c>
      <c r="AC31" s="4" t="s">
        <v>510</v>
      </c>
      <c r="AD31" s="6">
        <v>84</v>
      </c>
      <c r="AE31" s="7" t="s">
        <v>44</v>
      </c>
      <c r="AF31" s="7" t="s">
        <v>44</v>
      </c>
      <c r="AG31" s="6" t="s">
        <v>236</v>
      </c>
      <c r="AH31" s="6">
        <v>36</v>
      </c>
      <c r="AI31" s="7" t="s">
        <v>44</v>
      </c>
      <c r="AJ31" s="4" t="s">
        <v>237</v>
      </c>
      <c r="AK31" s="7" t="s">
        <v>44</v>
      </c>
      <c r="AL31" s="19"/>
      <c r="AM31" s="7">
        <f>COUNTIF(L31,"x")+COUNTIF(O31:X31,"x")</f>
        <v>3</v>
      </c>
      <c r="AN31" s="7" t="str">
        <f>IF(COUNTA(Table5[[#This Row],[      gray]:[      thermal]])&gt;0,"x","")</f>
        <v>x</v>
      </c>
    </row>
    <row r="32" spans="1:40" ht="33.75" x14ac:dyDescent="0.25">
      <c r="A32" s="4" t="s">
        <v>181</v>
      </c>
      <c r="B32" s="4" t="s">
        <v>182</v>
      </c>
      <c r="C32" s="6">
        <v>2016</v>
      </c>
      <c r="D32" s="6" t="s">
        <v>43</v>
      </c>
      <c r="J32" s="4" t="s">
        <v>183</v>
      </c>
      <c r="K32" s="4" t="s">
        <v>184</v>
      </c>
      <c r="M32" s="6" t="s">
        <v>43</v>
      </c>
      <c r="O32" s="6" t="s">
        <v>43</v>
      </c>
      <c r="P32" s="6" t="s">
        <v>43</v>
      </c>
      <c r="X32" s="6" t="s">
        <v>43</v>
      </c>
      <c r="Z32" s="6" t="s">
        <v>43</v>
      </c>
      <c r="AA32" s="6" t="s">
        <v>43</v>
      </c>
      <c r="AB32" s="4" t="s">
        <v>454</v>
      </c>
      <c r="AC32" s="4" t="s">
        <v>106</v>
      </c>
      <c r="AD32" s="7">
        <v>0.89359999999999995</v>
      </c>
      <c r="AE32" s="7" t="s">
        <v>44</v>
      </c>
      <c r="AF32" s="6">
        <v>0.37</v>
      </c>
      <c r="AG32" s="7" t="s">
        <v>44</v>
      </c>
      <c r="AH32" s="6">
        <v>11</v>
      </c>
      <c r="AI32" s="4" t="s">
        <v>185</v>
      </c>
      <c r="AJ32" s="4" t="s">
        <v>186</v>
      </c>
      <c r="AK32" s="7" t="s">
        <v>44</v>
      </c>
      <c r="AL32" s="19"/>
      <c r="AM32" s="7">
        <f>COUNTIF(L32,"x")+COUNTIF(O32:X32,"x")</f>
        <v>3</v>
      </c>
      <c r="AN32" s="7" t="str">
        <f>IF(COUNTA(Table5[[#This Row],[      gray]:[      thermal]])&gt;0,"x","")</f>
        <v>x</v>
      </c>
    </row>
    <row r="33" spans="1:40" ht="33.75" x14ac:dyDescent="0.25">
      <c r="A33" s="4" t="s">
        <v>163</v>
      </c>
      <c r="B33" s="4" t="s">
        <v>164</v>
      </c>
      <c r="C33" s="6">
        <v>2016</v>
      </c>
      <c r="D33" s="6" t="s">
        <v>43</v>
      </c>
      <c r="F33" s="6" t="s">
        <v>43</v>
      </c>
      <c r="G33" s="6" t="s">
        <v>43</v>
      </c>
      <c r="H33" s="6" t="s">
        <v>43</v>
      </c>
      <c r="J33" s="4" t="s">
        <v>165</v>
      </c>
      <c r="K33" s="4" t="s">
        <v>69</v>
      </c>
      <c r="N33" s="6" t="s">
        <v>43</v>
      </c>
      <c r="Q33" s="6" t="s">
        <v>43</v>
      </c>
      <c r="T33" s="6" t="s">
        <v>43</v>
      </c>
      <c r="U33" s="6" t="s">
        <v>43</v>
      </c>
      <c r="X33" s="6" t="s">
        <v>43</v>
      </c>
      <c r="Y33" s="6" t="s">
        <v>43</v>
      </c>
      <c r="Z33" s="6" t="s">
        <v>43</v>
      </c>
      <c r="AA33" s="6" t="s">
        <v>43</v>
      </c>
      <c r="AB33" s="4" t="s">
        <v>469</v>
      </c>
      <c r="AC33" s="4" t="s">
        <v>511</v>
      </c>
      <c r="AD33" s="6">
        <v>147.4</v>
      </c>
      <c r="AE33" s="7" t="s">
        <v>44</v>
      </c>
      <c r="AF33" s="6">
        <v>34.9</v>
      </c>
      <c r="AG33" s="6" t="s">
        <v>166</v>
      </c>
      <c r="AH33" s="6">
        <v>27</v>
      </c>
      <c r="AI33" s="4" t="s">
        <v>167</v>
      </c>
      <c r="AJ33" s="4" t="s">
        <v>168</v>
      </c>
      <c r="AK33" s="7" t="s">
        <v>44</v>
      </c>
      <c r="AL33" s="19"/>
      <c r="AM33" s="7">
        <f>COUNTIF(L33,"x")+COUNTIF(O33:X33,"x")</f>
        <v>4</v>
      </c>
      <c r="AN33" s="7" t="str">
        <f>IF(COUNTA(Table5[[#This Row],[      gray]:[      thermal]])&gt;0,"x","")</f>
        <v>x</v>
      </c>
    </row>
    <row r="34" spans="1:40" ht="56.25" x14ac:dyDescent="0.25">
      <c r="A34" s="4" t="s">
        <v>204</v>
      </c>
      <c r="B34" s="4" t="s">
        <v>205</v>
      </c>
      <c r="C34" s="6">
        <v>2017</v>
      </c>
      <c r="D34" s="6" t="s">
        <v>43</v>
      </c>
      <c r="H34" s="6" t="s">
        <v>43</v>
      </c>
      <c r="J34" s="4" t="s">
        <v>41</v>
      </c>
      <c r="K34" s="4" t="s">
        <v>42</v>
      </c>
      <c r="N34" s="6" t="s">
        <v>43</v>
      </c>
      <c r="O34" s="6" t="s">
        <v>43</v>
      </c>
      <c r="AB34" s="4" t="s">
        <v>457</v>
      </c>
      <c r="AC34" s="4" t="s">
        <v>512</v>
      </c>
      <c r="AD34" s="7" t="s">
        <v>44</v>
      </c>
      <c r="AE34" s="7" t="s">
        <v>44</v>
      </c>
      <c r="AF34" s="7" t="s">
        <v>44</v>
      </c>
      <c r="AG34" s="7" t="s">
        <v>44</v>
      </c>
      <c r="AH34" s="6">
        <v>2</v>
      </c>
      <c r="AI34" s="4" t="s">
        <v>206</v>
      </c>
      <c r="AJ34" s="4" t="s">
        <v>207</v>
      </c>
      <c r="AK34" s="7" t="s">
        <v>44</v>
      </c>
      <c r="AL34" s="19"/>
      <c r="AM34" s="7">
        <f>COUNTIF(L34,"x")+COUNTIF(O34:X34,"x")</f>
        <v>1</v>
      </c>
      <c r="AN34" s="7" t="str">
        <f>IF(COUNTA(Table5[[#This Row],[      gray]:[      thermal]])&gt;0,"x","")</f>
        <v>x</v>
      </c>
    </row>
    <row r="35" spans="1:40" ht="33.75" x14ac:dyDescent="0.25">
      <c r="A35" s="4" t="s">
        <v>128</v>
      </c>
      <c r="B35" s="4" t="s">
        <v>129</v>
      </c>
      <c r="C35" s="6">
        <v>2017</v>
      </c>
      <c r="D35" s="6" t="s">
        <v>43</v>
      </c>
      <c r="E35" s="6" t="s">
        <v>43</v>
      </c>
      <c r="F35" s="6" t="s">
        <v>43</v>
      </c>
      <c r="G35" s="6" t="s">
        <v>43</v>
      </c>
      <c r="H35" s="6" t="s">
        <v>43</v>
      </c>
      <c r="J35" s="4" t="s">
        <v>41</v>
      </c>
      <c r="K35" s="4" t="s">
        <v>42</v>
      </c>
      <c r="L35" s="6" t="s">
        <v>43</v>
      </c>
      <c r="N35" s="6" t="s">
        <v>43</v>
      </c>
      <c r="O35" s="6" t="s">
        <v>43</v>
      </c>
      <c r="P35" s="6" t="s">
        <v>43</v>
      </c>
      <c r="T35" s="6" t="s">
        <v>43</v>
      </c>
      <c r="U35" s="6" t="s">
        <v>43</v>
      </c>
      <c r="X35" s="6" t="s">
        <v>43</v>
      </c>
      <c r="Y35" s="6" t="s">
        <v>43</v>
      </c>
      <c r="Z35" s="6" t="s">
        <v>43</v>
      </c>
      <c r="AA35" s="6" t="s">
        <v>43</v>
      </c>
      <c r="AB35" s="4" t="s">
        <v>216</v>
      </c>
      <c r="AC35" s="4" t="s">
        <v>513</v>
      </c>
      <c r="AD35" s="7">
        <v>1010.46</v>
      </c>
      <c r="AE35" s="6">
        <v>10</v>
      </c>
      <c r="AF35" s="7" t="s">
        <v>44</v>
      </c>
      <c r="AG35" s="6" t="s">
        <v>130</v>
      </c>
      <c r="AH35" s="6">
        <v>133</v>
      </c>
      <c r="AI35" s="4" t="s">
        <v>131</v>
      </c>
      <c r="AJ35" s="4" t="s">
        <v>132</v>
      </c>
      <c r="AK35" s="7" t="s">
        <v>44</v>
      </c>
      <c r="AL35" s="19"/>
      <c r="AM35" s="7">
        <f>COUNTIF(L35,"x")+COUNTIF(O35:X35,"x")</f>
        <v>6</v>
      </c>
      <c r="AN35" s="7" t="str">
        <f>IF(COUNTA(Table5[[#This Row],[      gray]:[      thermal]])&gt;0,"x","")</f>
        <v>x</v>
      </c>
    </row>
    <row r="36" spans="1:40" ht="33.75" x14ac:dyDescent="0.25">
      <c r="A36" s="4" t="s">
        <v>214</v>
      </c>
      <c r="B36" s="4" t="s">
        <v>215</v>
      </c>
      <c r="C36" s="6">
        <v>2017</v>
      </c>
      <c r="D36" s="6" t="s">
        <v>43</v>
      </c>
      <c r="H36" s="6" t="s">
        <v>43</v>
      </c>
      <c r="J36" s="4" t="s">
        <v>68</v>
      </c>
      <c r="K36" s="4" t="s">
        <v>42</v>
      </c>
      <c r="N36" s="6" t="s">
        <v>43</v>
      </c>
      <c r="O36" s="6" t="s">
        <v>43</v>
      </c>
      <c r="P36" s="6" t="s">
        <v>43</v>
      </c>
      <c r="U36" s="6" t="s">
        <v>43</v>
      </c>
      <c r="X36" s="6" t="s">
        <v>43</v>
      </c>
      <c r="Y36" s="6" t="s">
        <v>43</v>
      </c>
      <c r="Z36" s="6" t="s">
        <v>43</v>
      </c>
      <c r="AA36" s="6" t="s">
        <v>43</v>
      </c>
      <c r="AB36" s="4" t="s">
        <v>216</v>
      </c>
      <c r="AC36" s="4" t="s">
        <v>514</v>
      </c>
      <c r="AD36" s="7">
        <v>23</v>
      </c>
      <c r="AE36" s="7" t="s">
        <v>44</v>
      </c>
      <c r="AF36" s="7">
        <v>6.5</v>
      </c>
      <c r="AG36" s="6" t="s">
        <v>217</v>
      </c>
      <c r="AH36" s="6">
        <v>21</v>
      </c>
      <c r="AI36" s="7" t="s">
        <v>44</v>
      </c>
      <c r="AJ36" s="4" t="s">
        <v>218</v>
      </c>
      <c r="AK36" s="7" t="s">
        <v>44</v>
      </c>
      <c r="AL36" s="19"/>
      <c r="AM36" s="7">
        <f>COUNTIF(L36,"x")+COUNTIF(O36:X36,"x")</f>
        <v>4</v>
      </c>
      <c r="AN36" s="7" t="str">
        <f>IF(COUNTA(Table5[[#This Row],[      gray]:[      thermal]])&gt;0,"x","")</f>
        <v>x</v>
      </c>
    </row>
    <row r="37" spans="1:40" ht="33.75" x14ac:dyDescent="0.25">
      <c r="A37" s="4" t="s">
        <v>133</v>
      </c>
      <c r="B37" s="4" t="s">
        <v>134</v>
      </c>
      <c r="C37" s="6">
        <v>2018</v>
      </c>
      <c r="D37" s="6" t="s">
        <v>43</v>
      </c>
      <c r="G37" s="6" t="s">
        <v>43</v>
      </c>
      <c r="H37" s="6" t="s">
        <v>43</v>
      </c>
      <c r="J37" s="4" t="s">
        <v>41</v>
      </c>
      <c r="K37" s="4" t="s">
        <v>42</v>
      </c>
      <c r="N37" s="6" t="s">
        <v>43</v>
      </c>
      <c r="O37" s="6" t="s">
        <v>43</v>
      </c>
      <c r="Z37" s="6" t="s">
        <v>43</v>
      </c>
      <c r="AA37" s="6" t="s">
        <v>43</v>
      </c>
      <c r="AB37" s="4" t="s">
        <v>457</v>
      </c>
      <c r="AC37" s="8" t="s">
        <v>512</v>
      </c>
      <c r="AD37" s="7" t="s">
        <v>44</v>
      </c>
      <c r="AE37" s="6">
        <v>8.5</v>
      </c>
      <c r="AF37" s="7" t="s">
        <v>44</v>
      </c>
      <c r="AG37" s="6" t="s">
        <v>135</v>
      </c>
      <c r="AH37" s="7">
        <v>17</v>
      </c>
      <c r="AI37" s="4" t="s">
        <v>136</v>
      </c>
      <c r="AJ37" s="4" t="s">
        <v>137</v>
      </c>
      <c r="AK37" s="5" t="s">
        <v>138</v>
      </c>
      <c r="AL37" s="20"/>
      <c r="AM37" s="6">
        <f>COUNTIF(L37,"x")+COUNTIF(O37:X37,"x")</f>
        <v>1</v>
      </c>
      <c r="AN37" s="6" t="str">
        <f>IF(COUNTA(Table5[[#This Row],[      gray]:[      thermal]])&gt;0,"x","")</f>
        <v>x</v>
      </c>
    </row>
    <row r="38" spans="1:40" ht="45" x14ac:dyDescent="0.25">
      <c r="A38" s="4" t="s">
        <v>198</v>
      </c>
      <c r="B38" s="4" t="s">
        <v>199</v>
      </c>
      <c r="C38" s="6">
        <v>2018</v>
      </c>
      <c r="D38" s="6" t="s">
        <v>43</v>
      </c>
      <c r="G38" s="6" t="s">
        <v>43</v>
      </c>
      <c r="H38" s="6" t="s">
        <v>43</v>
      </c>
      <c r="J38" s="4" t="s">
        <v>41</v>
      </c>
      <c r="K38" s="4" t="s">
        <v>42</v>
      </c>
      <c r="N38" s="6" t="s">
        <v>43</v>
      </c>
      <c r="P38" s="6" t="s">
        <v>43</v>
      </c>
      <c r="Y38" s="6" t="s">
        <v>43</v>
      </c>
      <c r="AB38" s="4" t="s">
        <v>467</v>
      </c>
      <c r="AC38" s="4" t="s">
        <v>512</v>
      </c>
      <c r="AD38" s="6">
        <v>110</v>
      </c>
      <c r="AE38" s="7" t="s">
        <v>44</v>
      </c>
      <c r="AF38" s="7" t="s">
        <v>44</v>
      </c>
      <c r="AG38" s="6" t="s">
        <v>200</v>
      </c>
      <c r="AH38" s="6">
        <v>3</v>
      </c>
      <c r="AI38" s="4" t="s">
        <v>201</v>
      </c>
      <c r="AJ38" s="4" t="s">
        <v>202</v>
      </c>
      <c r="AK38" s="5" t="s">
        <v>203</v>
      </c>
      <c r="AL38" s="20"/>
      <c r="AM38" s="6">
        <f>COUNTIF(L38,"x")+COUNTIF(O38:X38,"x")</f>
        <v>1</v>
      </c>
      <c r="AN38" s="6" t="str">
        <f>IF(COUNTA(Table5[[#This Row],[      gray]:[      thermal]])&gt;0,"x","")</f>
        <v>x</v>
      </c>
    </row>
    <row r="39" spans="1:40" ht="33.75" x14ac:dyDescent="0.25">
      <c r="A39" s="4" t="s">
        <v>139</v>
      </c>
      <c r="B39" s="4" t="s">
        <v>140</v>
      </c>
      <c r="C39" s="6">
        <v>2018</v>
      </c>
      <c r="D39" s="6" t="s">
        <v>43</v>
      </c>
      <c r="F39" s="6" t="s">
        <v>43</v>
      </c>
      <c r="H39" s="6" t="s">
        <v>43</v>
      </c>
      <c r="J39" s="4" t="s">
        <v>41</v>
      </c>
      <c r="K39" s="4" t="s">
        <v>42</v>
      </c>
      <c r="N39" s="6" t="s">
        <v>43</v>
      </c>
      <c r="O39" s="6" t="s">
        <v>43</v>
      </c>
      <c r="P39" s="6" t="s">
        <v>43</v>
      </c>
      <c r="Z39" s="6" t="s">
        <v>43</v>
      </c>
      <c r="AA39" s="6" t="s">
        <v>43</v>
      </c>
      <c r="AB39" s="4" t="s">
        <v>457</v>
      </c>
      <c r="AC39" s="8" t="s">
        <v>512</v>
      </c>
      <c r="AD39" s="7" t="s">
        <v>44</v>
      </c>
      <c r="AE39" s="6">
        <v>10</v>
      </c>
      <c r="AF39" s="7" t="s">
        <v>44</v>
      </c>
      <c r="AG39" s="6" t="s">
        <v>141</v>
      </c>
      <c r="AH39" s="6">
        <v>10</v>
      </c>
      <c r="AI39" s="4" t="s">
        <v>136</v>
      </c>
      <c r="AJ39" s="4" t="s">
        <v>137</v>
      </c>
      <c r="AK39" s="5" t="s">
        <v>142</v>
      </c>
      <c r="AL39" s="20"/>
      <c r="AM39" s="6">
        <f>COUNTIF(L39,"x")+COUNTIF(O39:X39,"x")</f>
        <v>2</v>
      </c>
      <c r="AN39" s="6" t="str">
        <f>IF(COUNTA(Table5[[#This Row],[      gray]:[      thermal]])&gt;0,"x","")</f>
        <v>x</v>
      </c>
    </row>
    <row r="40" spans="1:40" ht="33.75" x14ac:dyDescent="0.25">
      <c r="A40" s="4" t="s">
        <v>238</v>
      </c>
      <c r="B40" s="4" t="s">
        <v>239</v>
      </c>
      <c r="C40" s="6">
        <v>2019</v>
      </c>
      <c r="H40" s="6" t="s">
        <v>43</v>
      </c>
      <c r="J40" s="4" t="s">
        <v>50</v>
      </c>
      <c r="K40" s="4" t="s">
        <v>221</v>
      </c>
      <c r="N40" s="6" t="s">
        <v>43</v>
      </c>
      <c r="R40" s="6" t="s">
        <v>43</v>
      </c>
      <c r="Z40" s="6" t="s">
        <v>43</v>
      </c>
      <c r="AA40" s="6" t="s">
        <v>43</v>
      </c>
      <c r="AB40" s="4" t="s">
        <v>454</v>
      </c>
      <c r="AC40" s="4" t="s">
        <v>515</v>
      </c>
      <c r="AD40" s="7" t="s">
        <v>44</v>
      </c>
      <c r="AE40" s="7" t="s">
        <v>44</v>
      </c>
      <c r="AF40" s="7" t="s">
        <v>44</v>
      </c>
      <c r="AG40" s="7" t="s">
        <v>44</v>
      </c>
      <c r="AH40" s="6">
        <v>26</v>
      </c>
      <c r="AI40" s="4" t="s">
        <v>240</v>
      </c>
      <c r="AJ40" s="4" t="s">
        <v>241</v>
      </c>
      <c r="AK40" s="7" t="s">
        <v>44</v>
      </c>
      <c r="AL40" s="19"/>
      <c r="AM40" s="7">
        <f>COUNTIF(L40,"x")+COUNTIF(O40:X40,"x")</f>
        <v>1</v>
      </c>
      <c r="AN40" s="7" t="str">
        <f>IF(COUNTA(Table5[[#This Row],[      gray]:[      thermal]])&gt;0,"x","")</f>
        <v>x</v>
      </c>
    </row>
    <row r="41" spans="1:40" ht="33.75" x14ac:dyDescent="0.25">
      <c r="A41" s="4" t="s">
        <v>219</v>
      </c>
      <c r="B41" s="4" t="s">
        <v>220</v>
      </c>
      <c r="C41" s="6">
        <v>2019</v>
      </c>
      <c r="D41" s="6" t="s">
        <v>43</v>
      </c>
      <c r="H41" s="6" t="s">
        <v>43</v>
      </c>
      <c r="J41" s="4" t="s">
        <v>41</v>
      </c>
      <c r="K41" s="4" t="s">
        <v>221</v>
      </c>
      <c r="N41" s="6" t="s">
        <v>43</v>
      </c>
      <c r="O41" s="6" t="s">
        <v>43</v>
      </c>
      <c r="P41" s="6" t="s">
        <v>43</v>
      </c>
      <c r="AB41" s="4" t="s">
        <v>457</v>
      </c>
      <c r="AC41" s="4" t="s">
        <v>516</v>
      </c>
      <c r="AD41" s="7" t="s">
        <v>44</v>
      </c>
      <c r="AE41" s="7" t="s">
        <v>44</v>
      </c>
      <c r="AF41" s="7" t="s">
        <v>44</v>
      </c>
      <c r="AG41" s="7" t="s">
        <v>44</v>
      </c>
      <c r="AH41" s="6">
        <v>1</v>
      </c>
      <c r="AI41" s="4" t="s">
        <v>222</v>
      </c>
      <c r="AJ41" s="4" t="s">
        <v>223</v>
      </c>
      <c r="AK41" s="7" t="s">
        <v>44</v>
      </c>
      <c r="AL41" s="19"/>
      <c r="AM41" s="7">
        <f>COUNTIF(L41,"x")+COUNTIF(O41:X41,"x")</f>
        <v>2</v>
      </c>
      <c r="AN41" s="7" t="str">
        <f>IF(COUNTA(Table5[[#This Row],[      gray]:[      thermal]])&gt;0,"x","")</f>
        <v>x</v>
      </c>
    </row>
    <row r="42" spans="1:40" ht="56.25" x14ac:dyDescent="0.25">
      <c r="A42" s="4" t="s">
        <v>208</v>
      </c>
      <c r="B42" s="4" t="s">
        <v>209</v>
      </c>
      <c r="C42" s="6">
        <v>2020</v>
      </c>
      <c r="H42" s="6" t="s">
        <v>43</v>
      </c>
      <c r="J42" s="4" t="s">
        <v>41</v>
      </c>
      <c r="K42" s="4" t="s">
        <v>42</v>
      </c>
      <c r="U42" s="6" t="s">
        <v>43</v>
      </c>
      <c r="V42" s="6" t="s">
        <v>43</v>
      </c>
      <c r="X42" s="6" t="s">
        <v>43</v>
      </c>
      <c r="Y42" s="6" t="s">
        <v>43</v>
      </c>
      <c r="AA42" s="6" t="s">
        <v>43</v>
      </c>
      <c r="AB42" s="4" t="s">
        <v>462</v>
      </c>
      <c r="AC42" s="4" t="s">
        <v>517</v>
      </c>
      <c r="AD42" s="6">
        <v>41.2</v>
      </c>
      <c r="AE42" s="7" t="s">
        <v>44</v>
      </c>
      <c r="AF42" s="7" t="s">
        <v>44</v>
      </c>
      <c r="AG42" s="6" t="s">
        <v>211</v>
      </c>
      <c r="AH42" s="6">
        <v>12</v>
      </c>
      <c r="AI42" s="4" t="s">
        <v>212</v>
      </c>
      <c r="AJ42" s="4" t="s">
        <v>213</v>
      </c>
      <c r="AK42" s="5" t="s">
        <v>501</v>
      </c>
      <c r="AL42" s="20"/>
      <c r="AM42" s="6">
        <f>COUNTIF(L42,"x")+COUNTIF(O42:X42,"x")</f>
        <v>3</v>
      </c>
      <c r="AN42" s="6" t="str">
        <f>IF(COUNTA(Table5[[#This Row],[      gray]:[      thermal]])&gt;0,"x","")</f>
        <v/>
      </c>
    </row>
    <row r="43" spans="1:40" ht="45" x14ac:dyDescent="0.25">
      <c r="A43" s="4" t="s">
        <v>258</v>
      </c>
      <c r="B43" s="4" t="s">
        <v>259</v>
      </c>
      <c r="C43" s="6">
        <v>2020</v>
      </c>
      <c r="D43" s="6" t="s">
        <v>43</v>
      </c>
      <c r="F43" s="6" t="s">
        <v>43</v>
      </c>
      <c r="H43" s="6" t="s">
        <v>43</v>
      </c>
      <c r="J43" s="4" t="s">
        <v>41</v>
      </c>
      <c r="K43" s="4" t="s">
        <v>42</v>
      </c>
      <c r="L43" s="6" t="s">
        <v>43</v>
      </c>
      <c r="N43" s="6" t="s">
        <v>43</v>
      </c>
      <c r="O43" s="6" t="s">
        <v>43</v>
      </c>
      <c r="P43" s="6" t="s">
        <v>43</v>
      </c>
      <c r="U43" s="6" t="s">
        <v>43</v>
      </c>
      <c r="V43" s="6" t="s">
        <v>43</v>
      </c>
      <c r="X43" s="6" t="s">
        <v>43</v>
      </c>
      <c r="Y43" s="6" t="s">
        <v>43</v>
      </c>
      <c r="Z43" s="6" t="s">
        <v>43</v>
      </c>
      <c r="AA43" s="6" t="s">
        <v>43</v>
      </c>
      <c r="AB43" s="4" t="s">
        <v>469</v>
      </c>
      <c r="AC43" s="4" t="s">
        <v>518</v>
      </c>
      <c r="AD43" s="6">
        <v>280</v>
      </c>
      <c r="AE43" s="7">
        <v>10</v>
      </c>
      <c r="AF43" s="7" t="s">
        <v>44</v>
      </c>
      <c r="AG43" s="6" t="s">
        <v>260</v>
      </c>
      <c r="AH43" s="6">
        <v>32</v>
      </c>
      <c r="AI43" s="4" t="s">
        <v>261</v>
      </c>
      <c r="AJ43" s="4" t="s">
        <v>262</v>
      </c>
      <c r="AK43" s="5" t="s">
        <v>263</v>
      </c>
      <c r="AL43" s="20"/>
      <c r="AM43" s="6">
        <f>COUNTIF(L43,"x")+COUNTIF(O43:X43,"x")</f>
        <v>6</v>
      </c>
      <c r="AN43" s="6" t="str">
        <f>IF(COUNTA(Table5[[#This Row],[      gray]:[      thermal]])&gt;0,"x","")</f>
        <v>x</v>
      </c>
    </row>
    <row r="44" spans="1:40" ht="56.25" x14ac:dyDescent="0.25">
      <c r="A44" s="4" t="s">
        <v>224</v>
      </c>
      <c r="B44" s="4" t="s">
        <v>225</v>
      </c>
      <c r="C44" s="6">
        <v>2020</v>
      </c>
      <c r="D44" s="6" t="s">
        <v>43</v>
      </c>
      <c r="F44" s="6" t="s">
        <v>43</v>
      </c>
      <c r="G44" s="6" t="s">
        <v>43</v>
      </c>
      <c r="H44" s="6" t="s">
        <v>43</v>
      </c>
      <c r="J44" s="4" t="s">
        <v>68</v>
      </c>
      <c r="K44" s="4" t="s">
        <v>42</v>
      </c>
      <c r="L44" s="6" t="s">
        <v>43</v>
      </c>
      <c r="N44" s="6" t="s">
        <v>43</v>
      </c>
      <c r="O44" s="6" t="s">
        <v>43</v>
      </c>
      <c r="U44" s="6" t="s">
        <v>43</v>
      </c>
      <c r="X44" s="6" t="s">
        <v>43</v>
      </c>
      <c r="Y44" s="6" t="s">
        <v>43</v>
      </c>
      <c r="Z44" s="6" t="s">
        <v>43</v>
      </c>
      <c r="AA44" s="6" t="s">
        <v>43</v>
      </c>
      <c r="AB44" s="4" t="s">
        <v>70</v>
      </c>
      <c r="AC44" s="4" t="s">
        <v>106</v>
      </c>
      <c r="AD44" s="7" t="s">
        <v>44</v>
      </c>
      <c r="AE44" s="7" t="s">
        <v>44</v>
      </c>
      <c r="AF44" s="7" t="s">
        <v>44</v>
      </c>
      <c r="AG44" s="6" t="s">
        <v>124</v>
      </c>
      <c r="AH44" s="6">
        <v>52</v>
      </c>
      <c r="AI44" s="4" t="s">
        <v>226</v>
      </c>
      <c r="AJ44" s="4" t="s">
        <v>227</v>
      </c>
      <c r="AK44" s="7" t="s">
        <v>44</v>
      </c>
      <c r="AL44" s="19"/>
      <c r="AM44" s="7">
        <f>COUNTIF(L44,"x")+COUNTIF(O44:X44,"x")</f>
        <v>4</v>
      </c>
      <c r="AN44" s="7" t="str">
        <f>IF(COUNTA(Table5[[#This Row],[      gray]:[      thermal]])&gt;0,"x","")</f>
        <v>x</v>
      </c>
    </row>
    <row r="45" spans="1:40" ht="67.5" x14ac:dyDescent="0.25">
      <c r="A45" s="4" t="s">
        <v>242</v>
      </c>
      <c r="B45" s="4" t="s">
        <v>243</v>
      </c>
      <c r="C45" s="6">
        <v>2021</v>
      </c>
      <c r="D45" s="6" t="s">
        <v>43</v>
      </c>
      <c r="E45" s="6" t="s">
        <v>43</v>
      </c>
      <c r="F45" s="6" t="s">
        <v>43</v>
      </c>
      <c r="G45" s="6" t="s">
        <v>43</v>
      </c>
      <c r="H45" s="6" t="s">
        <v>43</v>
      </c>
      <c r="J45" s="4" t="s">
        <v>244</v>
      </c>
      <c r="K45" s="4" t="s">
        <v>42</v>
      </c>
      <c r="L45" s="6" t="s">
        <v>43</v>
      </c>
      <c r="M45" s="6" t="s">
        <v>43</v>
      </c>
      <c r="O45" s="6" t="s">
        <v>43</v>
      </c>
      <c r="T45" s="6" t="s">
        <v>43</v>
      </c>
      <c r="Y45" s="6" t="s">
        <v>43</v>
      </c>
      <c r="Z45" s="6" t="s">
        <v>43</v>
      </c>
      <c r="AA45" s="6" t="s">
        <v>43</v>
      </c>
      <c r="AB45" s="4" t="s">
        <v>70</v>
      </c>
      <c r="AC45" s="4" t="s">
        <v>106</v>
      </c>
      <c r="AD45" s="7" t="s">
        <v>44</v>
      </c>
      <c r="AE45" s="6">
        <v>0.2</v>
      </c>
      <c r="AF45" s="7" t="s">
        <v>44</v>
      </c>
      <c r="AG45" s="6" t="s">
        <v>245</v>
      </c>
      <c r="AH45" s="6">
        <v>127</v>
      </c>
      <c r="AI45" s="4" t="s">
        <v>246</v>
      </c>
      <c r="AJ45" s="4" t="s">
        <v>247</v>
      </c>
      <c r="AK45" s="7" t="s">
        <v>44</v>
      </c>
      <c r="AL45" s="19"/>
      <c r="AM45" s="7">
        <f>COUNTIF(L45,"x")+COUNTIF(O45:X45,"x")</f>
        <v>3</v>
      </c>
      <c r="AN45" s="7" t="str">
        <f>IF(COUNTA(Table5[[#This Row],[      gray]:[      thermal]])&gt;0,"x","")</f>
        <v>x</v>
      </c>
    </row>
    <row r="46" spans="1:40" ht="33.75" x14ac:dyDescent="0.25">
      <c r="A46" s="4" t="s">
        <v>248</v>
      </c>
      <c r="B46" s="4" t="s">
        <v>249</v>
      </c>
      <c r="C46" s="6">
        <v>2021</v>
      </c>
      <c r="D46" s="6" t="s">
        <v>43</v>
      </c>
      <c r="E46" s="6" t="s">
        <v>43</v>
      </c>
      <c r="F46" s="6" t="s">
        <v>43</v>
      </c>
      <c r="H46" s="6" t="s">
        <v>43</v>
      </c>
      <c r="J46" s="4" t="s">
        <v>250</v>
      </c>
      <c r="K46" s="4" t="s">
        <v>42</v>
      </c>
      <c r="N46" s="6" t="s">
        <v>43</v>
      </c>
      <c r="O46" s="6" t="s">
        <v>43</v>
      </c>
      <c r="P46" s="6" t="s">
        <v>43</v>
      </c>
      <c r="U46" s="6" t="s">
        <v>43</v>
      </c>
      <c r="V46" s="6" t="s">
        <v>43</v>
      </c>
      <c r="X46" s="6" t="s">
        <v>43</v>
      </c>
      <c r="Y46" s="6" t="s">
        <v>43</v>
      </c>
      <c r="Z46" s="6" t="s">
        <v>43</v>
      </c>
      <c r="AA46" s="6" t="s">
        <v>43</v>
      </c>
      <c r="AB46" s="4" t="s">
        <v>216</v>
      </c>
      <c r="AC46" s="4" t="s">
        <v>106</v>
      </c>
      <c r="AD46" s="7" t="s">
        <v>44</v>
      </c>
      <c r="AE46" s="7" t="s">
        <v>44</v>
      </c>
      <c r="AF46" s="6">
        <v>4.9800000000000004</v>
      </c>
      <c r="AG46" s="7" t="s">
        <v>44</v>
      </c>
      <c r="AH46" s="7" t="s">
        <v>44</v>
      </c>
      <c r="AI46" s="4" t="s">
        <v>251</v>
      </c>
      <c r="AJ46" s="4" t="s">
        <v>252</v>
      </c>
      <c r="AK46" s="7" t="s">
        <v>44</v>
      </c>
      <c r="AL46" s="19"/>
      <c r="AM46" s="7">
        <f>COUNTIF(L46,"x")+COUNTIF(O46:X46,"x")</f>
        <v>5</v>
      </c>
      <c r="AN46" s="7" t="str">
        <f>IF(COUNTA(Table5[[#This Row],[      gray]:[      thermal]])&gt;0,"x","")</f>
        <v>x</v>
      </c>
    </row>
    <row r="47" spans="1:40" ht="33.75" x14ac:dyDescent="0.25">
      <c r="A47" s="4" t="s">
        <v>253</v>
      </c>
      <c r="B47" s="4" t="s">
        <v>254</v>
      </c>
      <c r="C47" s="6">
        <v>2022</v>
      </c>
      <c r="D47" s="6" t="s">
        <v>43</v>
      </c>
      <c r="J47" s="4" t="s">
        <v>165</v>
      </c>
      <c r="K47" s="4" t="s">
        <v>255</v>
      </c>
      <c r="M47" s="6" t="s">
        <v>43</v>
      </c>
      <c r="O47" s="6" t="s">
        <v>43</v>
      </c>
      <c r="P47" s="6" t="s">
        <v>43</v>
      </c>
      <c r="U47" s="6" t="s">
        <v>43</v>
      </c>
      <c r="X47" s="6" t="s">
        <v>43</v>
      </c>
      <c r="Z47" s="6" t="s">
        <v>43</v>
      </c>
      <c r="AA47" s="6" t="s">
        <v>43</v>
      </c>
      <c r="AB47" s="4" t="s">
        <v>454</v>
      </c>
      <c r="AC47" s="4" t="s">
        <v>106</v>
      </c>
      <c r="AD47" s="6">
        <v>1.845</v>
      </c>
      <c r="AE47" s="7" t="s">
        <v>44</v>
      </c>
      <c r="AF47" s="6">
        <v>0.9</v>
      </c>
      <c r="AG47" s="7" t="s">
        <v>44</v>
      </c>
      <c r="AH47" s="6">
        <v>9</v>
      </c>
      <c r="AI47" s="4" t="s">
        <v>256</v>
      </c>
      <c r="AJ47" s="4" t="s">
        <v>257</v>
      </c>
      <c r="AK47" s="7" t="s">
        <v>44</v>
      </c>
      <c r="AL47" s="19"/>
      <c r="AM47" s="7">
        <f>COUNTIF(L47,"x")+COUNTIF(O47:X47,"x")</f>
        <v>4</v>
      </c>
      <c r="AN47" s="7" t="str">
        <f>IF(COUNTA(Table5[[#This Row],[      gray]:[      thermal]])&gt;0,"x","")</f>
        <v>x</v>
      </c>
    </row>
    <row r="48" spans="1:40" x14ac:dyDescent="0.25">
      <c r="D48" s="6">
        <f>COUNTIF(Table5[[      lighting]],"x")</f>
        <v>35</v>
      </c>
      <c r="E48" s="6">
        <f>COUNTIF(Table5[      day/night],"x")</f>
        <v>7</v>
      </c>
      <c r="F48" s="6">
        <f>COUNTIF(Table5[[      weather]],"x")</f>
        <v>10</v>
      </c>
      <c r="G48" s="6">
        <f>COUNTIF(Table5[[      seasonal]],"x")</f>
        <v>11</v>
      </c>
      <c r="H48" s="6">
        <f>COUNTIF(Table5[[      dynamics]],"x")</f>
        <v>32</v>
      </c>
      <c r="I48" s="6">
        <f>COUNTIF(Table5[[      maintenance]],"x")</f>
        <v>9</v>
      </c>
      <c r="L48" s="6">
        <f>COUNTIF(Table5[ [      odo] ],"x")</f>
        <v>16</v>
      </c>
      <c r="M48" s="6">
        <f>COUNTIF(Table5[ [      gray] ],"x")</f>
        <v>7</v>
      </c>
      <c r="N48" s="6">
        <f>COUNTIF(Table5[ [      color] ],"x")</f>
        <v>33</v>
      </c>
      <c r="O48" s="6">
        <f>COUNTIF(Table5[ [      mono] ],"x")</f>
        <v>27</v>
      </c>
      <c r="P48" s="6">
        <f>COUNTIF(Table5[ [      stereo] ],"x")</f>
        <v>14</v>
      </c>
      <c r="Q48" s="6">
        <f>COUNTIF(Table5[ [      omni] ],"x")</f>
        <v>5</v>
      </c>
      <c r="R48" s="6">
        <f>COUNTIF(Table5[ [      rgbd] ],"x")</f>
        <v>5</v>
      </c>
      <c r="S48" s="6">
        <f>COUNTIF(Table5[ [      thermal] ],"x")</f>
        <v>1</v>
      </c>
      <c r="T48" s="6">
        <f>COUNTIF(Table5[ [      2d] ],"x")</f>
        <v>17</v>
      </c>
      <c r="U48" s="6">
        <f>COUNTIF(Table5[ [      3d] ],"x")</f>
        <v>10</v>
      </c>
      <c r="V48" s="6">
        <f>COUNTIF(Table5[ [      radar] ],"x")</f>
        <v>3</v>
      </c>
      <c r="W48" s="6">
        <f>COUNTIF(Table5[ [      sonar] ],"x")</f>
        <v>2</v>
      </c>
      <c r="X48" s="6">
        <f>COUNTIF(Table5[ [      imu] ],"x")</f>
        <v>17</v>
      </c>
      <c r="Y48" s="6">
        <f>COUNTIF(Table5[ [      gps] ],"x")</f>
        <v>18</v>
      </c>
      <c r="Z48" s="6">
        <f>COUNTIF(Table5[ [      intrinsic] ],"x")</f>
        <v>25</v>
      </c>
      <c r="AA48" s="6">
        <f>COUNTIF(Table5[ [      extrinsic] ],"x")</f>
        <v>24</v>
      </c>
      <c r="AN48" s="6" t="e">
        <f>COUNTIF(Table5 #REF!,"x")</f>
        <v>#NAME?</v>
      </c>
    </row>
  </sheetData>
  <mergeCells count="6">
    <mergeCell ref="L2:Y2"/>
    <mergeCell ref="Z2:AA2"/>
    <mergeCell ref="M3:S3"/>
    <mergeCell ref="T3:U3"/>
    <mergeCell ref="D3:I3"/>
    <mergeCell ref="A2:K2"/>
  </mergeCells>
  <phoneticPr fontId="6"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82"/>
  <sheetViews>
    <sheetView zoomScaleNormal="100" workbookViewId="0"/>
  </sheetViews>
  <sheetFormatPr defaultColWidth="8.85546875" defaultRowHeight="11.25" x14ac:dyDescent="0.2"/>
  <cols>
    <col min="1" max="1" width="15.7109375" style="1" customWidth="1"/>
    <col min="2" max="2" width="1.7109375" style="1" customWidth="1"/>
    <col min="3" max="3" width="15.7109375" style="1" customWidth="1"/>
    <col min="4" max="4" width="8.7109375" style="1" customWidth="1"/>
    <col min="5" max="5" width="4.7109375" style="1" customWidth="1"/>
    <col min="6" max="6" width="15.7109375" style="1" customWidth="1"/>
    <col min="7" max="7" width="1.7109375" style="1" customWidth="1"/>
    <col min="8" max="8" width="15.7109375" style="1" customWidth="1"/>
    <col min="9" max="9" width="8.7109375" style="1" customWidth="1"/>
    <col min="10" max="10" width="2.7109375" style="1" customWidth="1"/>
    <col min="11" max="11" width="15.7109375" style="1" customWidth="1"/>
    <col min="12" max="12" width="1.7109375" style="1" customWidth="1"/>
    <col min="13" max="13" width="15.7109375" style="1" customWidth="1"/>
    <col min="14" max="14" width="8.7109375" style="1" customWidth="1"/>
    <col min="15" max="15" width="2.7109375" style="1" customWidth="1"/>
    <col min="16" max="16" width="15.7109375" style="1" customWidth="1"/>
    <col min="17" max="17" width="1.7109375" style="1" customWidth="1"/>
    <col min="18" max="18" width="15.7109375" style="1" customWidth="1"/>
    <col min="19" max="19" width="8.7109375" style="1" customWidth="1"/>
    <col min="20" max="20" width="2.7109375" style="1" customWidth="1"/>
    <col min="21" max="21" width="15.7109375" style="1" customWidth="1"/>
    <col min="22" max="22" width="1.7109375" style="1" customWidth="1"/>
    <col min="23" max="23" width="15.7109375" style="1" customWidth="1"/>
    <col min="24" max="24" width="8.7109375" style="1" customWidth="1"/>
    <col min="25" max="25" width="2.7109375" style="1" customWidth="1"/>
    <col min="26" max="26" width="15.7109375" style="1" customWidth="1"/>
    <col min="27" max="27" width="1.7109375" style="1" customWidth="1"/>
    <col min="28" max="28" width="15.7109375" style="1" customWidth="1"/>
    <col min="29" max="29" width="8.7109375" style="1" customWidth="1"/>
    <col min="30" max="31" width="2.7109375" style="1" customWidth="1"/>
    <col min="32" max="32" width="15.7109375" style="1" customWidth="1"/>
    <col min="33" max="33" width="1.7109375" style="1" customWidth="1"/>
    <col min="34" max="34" width="15.7109375" style="1" customWidth="1"/>
    <col min="35" max="35" width="8.7109375" style="1" customWidth="1"/>
    <col min="36" max="36" width="2.7109375" style="1" customWidth="1"/>
    <col min="37" max="37" width="15.7109375" style="1" customWidth="1"/>
    <col min="38" max="38" width="6.5703125" style="1" bestFit="1" customWidth="1"/>
    <col min="39" max="39" width="20.7109375" style="1" customWidth="1"/>
    <col min="40" max="40" width="8" style="1" bestFit="1" customWidth="1"/>
    <col min="41" max="41" width="2.7109375" style="1" customWidth="1"/>
    <col min="42" max="42" width="4.28515625" style="1" bestFit="1" customWidth="1"/>
    <col min="43" max="43" width="7.7109375" style="1" bestFit="1" customWidth="1"/>
    <col min="44" max="44" width="9.28515625" style="1" bestFit="1" customWidth="1"/>
    <col min="45" max="45" width="10.140625" style="1" bestFit="1" customWidth="1"/>
    <col min="46" max="46" width="2.7109375" style="1" customWidth="1"/>
    <col min="47" max="16384" width="8.85546875" style="1"/>
  </cols>
  <sheetData>
    <row r="1" spans="1:56" x14ac:dyDescent="0.2">
      <c r="C1" s="12" t="s">
        <v>274</v>
      </c>
      <c r="D1" s="12" t="s">
        <v>275</v>
      </c>
      <c r="F1" s="33" t="s">
        <v>264</v>
      </c>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2"/>
      <c r="AK1" s="34" t="s">
        <v>533</v>
      </c>
      <c r="AL1" s="34"/>
      <c r="AM1" s="34"/>
      <c r="AN1" s="34"/>
      <c r="AO1" s="34"/>
      <c r="AP1" s="34"/>
      <c r="AQ1" s="34"/>
      <c r="AR1" s="34"/>
      <c r="AS1" s="34"/>
      <c r="AT1" s="34"/>
      <c r="AU1" s="34"/>
      <c r="AV1" s="34"/>
      <c r="AW1" s="34"/>
      <c r="AX1" s="34"/>
      <c r="AY1" s="34"/>
      <c r="AZ1" s="34"/>
      <c r="BA1" s="34"/>
      <c r="BB1" s="34"/>
      <c r="BC1" s="34"/>
      <c r="BD1" s="34"/>
    </row>
    <row r="2" spans="1:56" x14ac:dyDescent="0.2">
      <c r="C2" s="14">
        <f>D2-53</f>
        <v>89</v>
      </c>
      <c r="D2" s="14">
        <v>142</v>
      </c>
      <c r="F2" s="2"/>
      <c r="G2" s="2"/>
      <c r="H2" s="12" t="s">
        <v>274</v>
      </c>
      <c r="I2" s="12" t="s">
        <v>275</v>
      </c>
      <c r="J2" s="2"/>
      <c r="K2" s="2"/>
      <c r="L2" s="2"/>
      <c r="M2" s="12" t="s">
        <v>274</v>
      </c>
      <c r="N2" s="12" t="s">
        <v>275</v>
      </c>
      <c r="O2" s="2"/>
      <c r="P2" s="2"/>
      <c r="Q2" s="2"/>
      <c r="R2" s="12" t="s">
        <v>274</v>
      </c>
      <c r="S2" s="12" t="s">
        <v>275</v>
      </c>
      <c r="T2" s="2"/>
      <c r="U2" s="2"/>
      <c r="V2" s="2"/>
      <c r="W2" s="12" t="s">
        <v>274</v>
      </c>
      <c r="X2" s="12" t="s">
        <v>275</v>
      </c>
      <c r="Y2" s="2"/>
      <c r="Z2" s="2"/>
      <c r="AA2" s="2"/>
      <c r="AB2" s="12" t="s">
        <v>274</v>
      </c>
      <c r="AC2" s="12" t="s">
        <v>275</v>
      </c>
      <c r="AF2" s="2"/>
      <c r="AG2" s="2"/>
      <c r="AH2" s="12" t="s">
        <v>274</v>
      </c>
      <c r="AI2" s="12" t="s">
        <v>275</v>
      </c>
      <c r="AJ2" s="2"/>
    </row>
    <row r="3" spans="1:56" x14ac:dyDescent="0.2">
      <c r="A3" s="2" t="s">
        <v>265</v>
      </c>
      <c r="C3" s="9" t="s">
        <v>266</v>
      </c>
      <c r="D3" s="9" t="s">
        <v>267</v>
      </c>
      <c r="F3" s="11" t="s">
        <v>269</v>
      </c>
      <c r="G3" s="2"/>
      <c r="H3" s="12">
        <f>I3-25</f>
        <v>50</v>
      </c>
      <c r="I3" s="12">
        <v>75</v>
      </c>
      <c r="J3" s="2"/>
      <c r="K3" s="11" t="s">
        <v>210</v>
      </c>
      <c r="L3" s="2"/>
      <c r="M3" s="12">
        <f>N3-18</f>
        <v>14</v>
      </c>
      <c r="N3" s="12">
        <v>32</v>
      </c>
      <c r="O3" s="2"/>
      <c r="P3" s="11" t="s">
        <v>270</v>
      </c>
      <c r="Q3" s="2"/>
      <c r="R3" s="12">
        <f>S3-22</f>
        <v>23</v>
      </c>
      <c r="S3" s="12">
        <v>45</v>
      </c>
      <c r="T3" s="2"/>
      <c r="U3" s="11" t="s">
        <v>271</v>
      </c>
      <c r="V3" s="2"/>
      <c r="W3" s="12">
        <f>X3-2</f>
        <v>5</v>
      </c>
      <c r="X3" s="12">
        <v>7</v>
      </c>
      <c r="Y3" s="2"/>
      <c r="Z3" s="11" t="s">
        <v>272</v>
      </c>
      <c r="AA3" s="2"/>
      <c r="AB3" s="12">
        <f>AC3-5</f>
        <v>13</v>
      </c>
      <c r="AC3" s="12">
        <v>18</v>
      </c>
      <c r="AF3" s="11" t="s">
        <v>273</v>
      </c>
      <c r="AG3" s="2"/>
      <c r="AH3" s="12">
        <f>AI3-2</f>
        <v>2</v>
      </c>
      <c r="AI3" s="12">
        <v>4</v>
      </c>
      <c r="AJ3" s="2"/>
      <c r="AK3" s="26" t="s">
        <v>534</v>
      </c>
      <c r="AL3" s="26" t="s">
        <v>453</v>
      </c>
      <c r="AM3" s="26" t="s">
        <v>439</v>
      </c>
      <c r="AN3" s="26" t="s">
        <v>722</v>
      </c>
      <c r="AP3" s="2" t="s">
        <v>453</v>
      </c>
      <c r="AQ3" s="2" t="s">
        <v>724</v>
      </c>
      <c r="AR3" s="2" t="s">
        <v>723</v>
      </c>
      <c r="AS3" s="2" t="s">
        <v>725</v>
      </c>
    </row>
    <row r="4" spans="1:56" x14ac:dyDescent="0.2">
      <c r="A4" s="1" t="s">
        <v>520</v>
      </c>
      <c r="C4" s="10" t="s">
        <v>116</v>
      </c>
      <c r="D4" s="10">
        <f>COUNTIF($A$4:$A$182,Table3[[#This Row],[unique]])</f>
        <v>26</v>
      </c>
      <c r="F4" s="2" t="s">
        <v>265</v>
      </c>
      <c r="G4" s="2"/>
      <c r="H4" s="9" t="s">
        <v>266</v>
      </c>
      <c r="I4" s="9" t="s">
        <v>267</v>
      </c>
      <c r="J4" s="2"/>
      <c r="K4" s="2" t="s">
        <v>265</v>
      </c>
      <c r="L4" s="2"/>
      <c r="M4" s="9" t="s">
        <v>266</v>
      </c>
      <c r="N4" s="9" t="s">
        <v>267</v>
      </c>
      <c r="O4" s="2"/>
      <c r="P4" s="2" t="s">
        <v>265</v>
      </c>
      <c r="Q4" s="2"/>
      <c r="R4" s="9" t="s">
        <v>266</v>
      </c>
      <c r="S4" s="9" t="s">
        <v>267</v>
      </c>
      <c r="T4" s="2"/>
      <c r="U4" s="2" t="s">
        <v>265</v>
      </c>
      <c r="V4" s="2"/>
      <c r="W4" s="9" t="s">
        <v>266</v>
      </c>
      <c r="X4" s="9" t="s">
        <v>267</v>
      </c>
      <c r="Y4" s="2"/>
      <c r="Z4" s="2" t="s">
        <v>265</v>
      </c>
      <c r="AA4" s="2"/>
      <c r="AB4" s="9" t="s">
        <v>266</v>
      </c>
      <c r="AC4" s="9" t="s">
        <v>267</v>
      </c>
      <c r="AF4" s="2" t="s">
        <v>265</v>
      </c>
      <c r="AG4" s="2"/>
      <c r="AH4" s="9" t="s">
        <v>266</v>
      </c>
      <c r="AI4" s="9" t="s">
        <v>267</v>
      </c>
      <c r="AJ4" s="2"/>
      <c r="AK4" s="1" t="s">
        <v>535</v>
      </c>
      <c r="AL4" s="1">
        <v>2002</v>
      </c>
      <c r="AN4" s="1" t="b">
        <f>NOT(ISBLANK(AM4))</f>
        <v>0</v>
      </c>
      <c r="AP4" s="1">
        <f>MIN(Table2[year])</f>
        <v>2002</v>
      </c>
      <c r="AQ4" s="1">
        <f>COUNTIF(Table2[year],$AP4)</f>
        <v>1</v>
      </c>
      <c r="AR4" s="1">
        <f>COUNTIFS(Table2[year],$AP4,Table2[uses?],TRUE)</f>
        <v>0</v>
      </c>
      <c r="AS4" s="27">
        <f>IF(AQ4&lt;&gt;0,AR4/AQ4,0)</f>
        <v>0</v>
      </c>
    </row>
    <row r="5" spans="1:56" x14ac:dyDescent="0.2">
      <c r="A5" s="1" t="s">
        <v>60</v>
      </c>
      <c r="C5" s="10" t="s">
        <v>523</v>
      </c>
      <c r="D5" s="10">
        <f>COUNTIF($A$4:$A$182,Table3[[#This Row],[unique]])</f>
        <v>13</v>
      </c>
      <c r="F5" s="1" t="s">
        <v>520</v>
      </c>
      <c r="H5" s="10" t="s">
        <v>116</v>
      </c>
      <c r="I5" s="10">
        <f>COUNTIF($F$5:$F$107,Table4[[#This Row],[unique]])</f>
        <v>13</v>
      </c>
      <c r="K5" s="1" t="s">
        <v>116</v>
      </c>
      <c r="M5" s="10" t="s">
        <v>116</v>
      </c>
      <c r="N5" s="10">
        <f>COUNTIF(K$5:K$26,Table6[[#This Row],[unique]])</f>
        <v>7</v>
      </c>
      <c r="P5" s="1" t="s">
        <v>110</v>
      </c>
      <c r="R5" s="10" t="s">
        <v>116</v>
      </c>
      <c r="S5" s="10">
        <f>COUNTIF(P$5:P$47,Table7[[#This Row],[unique]])</f>
        <v>6</v>
      </c>
      <c r="U5" s="1" t="s">
        <v>110</v>
      </c>
      <c r="W5" s="10" t="s">
        <v>110</v>
      </c>
      <c r="X5" s="10">
        <f>COUNTIF(U$5:U$17,Table8[[#This Row],[unique]])</f>
        <v>2</v>
      </c>
      <c r="Z5" s="1" t="s">
        <v>181</v>
      </c>
      <c r="AB5" s="10" t="s">
        <v>181</v>
      </c>
      <c r="AC5" s="10">
        <f>COUNTIF(Z$5:Z$40,Table9[[#This Row],[unique]])</f>
        <v>1</v>
      </c>
      <c r="AF5" s="1" t="s">
        <v>116</v>
      </c>
      <c r="AH5" s="10" t="s">
        <v>116</v>
      </c>
      <c r="AI5" s="10">
        <f>COUNTIF(AF$5:AF$6,Table10[[#This Row],[unique]])</f>
        <v>1</v>
      </c>
      <c r="AK5" s="1" t="s">
        <v>536</v>
      </c>
      <c r="AL5" s="1">
        <v>2007</v>
      </c>
      <c r="AN5" s="1" t="b">
        <f t="shared" ref="AN5:AN68" si="0">NOT(ISBLANK(AM5))</f>
        <v>0</v>
      </c>
      <c r="AP5" s="1">
        <f>AP4+1</f>
        <v>2003</v>
      </c>
      <c r="AQ5" s="1">
        <f>COUNTIF(Table2[year],$AP5)</f>
        <v>0</v>
      </c>
      <c r="AR5" s="1">
        <f>COUNTIFS(Table2[year],$AP5,Table2[uses?],TRUE)</f>
        <v>0</v>
      </c>
      <c r="AS5" s="27">
        <f t="shared" ref="AS5:AS24" si="1">IF(AQ5&lt;&gt;0,AR5/AQ5,0)</f>
        <v>0</v>
      </c>
    </row>
    <row r="6" spans="1:56" x14ac:dyDescent="0.2">
      <c r="A6" s="1" t="s">
        <v>48</v>
      </c>
      <c r="C6" s="10" t="s">
        <v>163</v>
      </c>
      <c r="D6" s="10">
        <f>COUNTIF($A$4:$A$182,Table3[[#This Row],[unique]])</f>
        <v>11</v>
      </c>
      <c r="F6" s="1" t="s">
        <v>521</v>
      </c>
      <c r="H6" s="10" t="s">
        <v>523</v>
      </c>
      <c r="I6" s="10">
        <f>COUNTIF($F$5:$F$107,Table4[[#This Row],[unique]])</f>
        <v>11</v>
      </c>
      <c r="K6" s="1" t="s">
        <v>214</v>
      </c>
      <c r="M6" s="10" t="s">
        <v>73</v>
      </c>
      <c r="N6" s="10">
        <f>COUNTIF(K$5:K$26,Table6[[#This Row],[unique]])</f>
        <v>6</v>
      </c>
      <c r="P6" s="1" t="s">
        <v>175</v>
      </c>
      <c r="R6" s="10" t="s">
        <v>48</v>
      </c>
      <c r="S6" s="10">
        <f>COUNTIF(P$5:P$47,Table7[[#This Row],[unique]])</f>
        <v>5</v>
      </c>
      <c r="U6" s="1" t="s">
        <v>175</v>
      </c>
      <c r="W6" s="10" t="s">
        <v>48</v>
      </c>
      <c r="X6" s="10">
        <f>COUNTIF(U$5:U$17,Table8[[#This Row],[unique]])</f>
        <v>2</v>
      </c>
      <c r="Z6" s="1" t="s">
        <v>116</v>
      </c>
      <c r="AB6" s="10" t="s">
        <v>116</v>
      </c>
      <c r="AC6" s="10">
        <f>COUNTIF(Z$5:Z$40,Table9[[#This Row],[unique]])</f>
        <v>5</v>
      </c>
      <c r="AF6" s="1" t="s">
        <v>79</v>
      </c>
      <c r="AH6" s="10" t="s">
        <v>79</v>
      </c>
      <c r="AI6" s="10">
        <f>COUNTIF(AF$5:AF$6,Table10[[#This Row],[unique]])</f>
        <v>1</v>
      </c>
      <c r="AK6" s="1" t="s">
        <v>537</v>
      </c>
      <c r="AL6" s="1">
        <v>2009</v>
      </c>
      <c r="AN6" s="1" t="b">
        <f t="shared" si="0"/>
        <v>0</v>
      </c>
      <c r="AP6" s="1">
        <f t="shared" ref="AP6:AP24" si="2">AP5+1</f>
        <v>2004</v>
      </c>
      <c r="AQ6" s="1">
        <f>COUNTIF(Table2[year],$AP6)</f>
        <v>0</v>
      </c>
      <c r="AR6" s="1">
        <f>COUNTIFS(Table2[year],$AP6,Table2[uses?],TRUE)</f>
        <v>0</v>
      </c>
      <c r="AS6" s="27">
        <f t="shared" si="1"/>
        <v>0</v>
      </c>
    </row>
    <row r="7" spans="1:56" x14ac:dyDescent="0.2">
      <c r="A7" s="1" t="s">
        <v>55</v>
      </c>
      <c r="C7" s="10" t="s">
        <v>520</v>
      </c>
      <c r="D7" s="10">
        <f>COUNTIF($A$4:$A$182,Table3[[#This Row],[unique]])</f>
        <v>9</v>
      </c>
      <c r="F7" s="1" t="s">
        <v>89</v>
      </c>
      <c r="H7" s="10" t="s">
        <v>163</v>
      </c>
      <c r="I7" s="10">
        <f>COUNTIF($F$5:$F$107,Table4[[#This Row],[unique]])</f>
        <v>9</v>
      </c>
      <c r="K7" s="1" t="s">
        <v>219</v>
      </c>
      <c r="M7" s="10" t="s">
        <v>175</v>
      </c>
      <c r="N7" s="10">
        <f>COUNTIF(K$5:K$26,Table6[[#This Row],[unique]])</f>
        <v>2</v>
      </c>
      <c r="P7" s="1" t="s">
        <v>214</v>
      </c>
      <c r="R7" s="10" t="s">
        <v>110</v>
      </c>
      <c r="S7" s="10">
        <f>COUNTIF(P$5:P$47,Table7[[#This Row],[unique]])</f>
        <v>3</v>
      </c>
      <c r="U7" s="1" t="s">
        <v>163</v>
      </c>
      <c r="W7" s="10" t="s">
        <v>175</v>
      </c>
      <c r="X7" s="10">
        <f>COUNTIF(U$5:U$17,Table8[[#This Row],[unique]])</f>
        <v>1</v>
      </c>
      <c r="Z7" s="1" t="s">
        <v>110</v>
      </c>
      <c r="AB7" s="10" t="s">
        <v>110</v>
      </c>
      <c r="AC7" s="10">
        <f>COUNTIF(Z$5:Z$40,Table9[[#This Row],[unique]])</f>
        <v>1</v>
      </c>
      <c r="AK7" s="1" t="s">
        <v>538</v>
      </c>
      <c r="AL7" s="1">
        <v>2009</v>
      </c>
      <c r="AN7" s="1" t="b">
        <f t="shared" si="0"/>
        <v>0</v>
      </c>
      <c r="AP7" s="1">
        <f t="shared" si="2"/>
        <v>2005</v>
      </c>
      <c r="AQ7" s="1">
        <f>COUNTIF(Table2[year],$AP7)</f>
        <v>0</v>
      </c>
      <c r="AR7" s="1">
        <f>COUNTIFS(Table2[year],$AP7,Table2[uses?],TRUE)</f>
        <v>0</v>
      </c>
      <c r="AS7" s="27">
        <f t="shared" si="1"/>
        <v>0</v>
      </c>
    </row>
    <row r="8" spans="1:56" x14ac:dyDescent="0.2">
      <c r="A8" s="1" t="s">
        <v>60</v>
      </c>
      <c r="C8" s="10" t="s">
        <v>66</v>
      </c>
      <c r="D8" s="10">
        <f>COUNTIF($A$4:$A$182,Table3[[#This Row],[unique]])</f>
        <v>9</v>
      </c>
      <c r="F8" s="1" t="s">
        <v>66</v>
      </c>
      <c r="H8" s="10" t="s">
        <v>520</v>
      </c>
      <c r="I8" s="10">
        <f>COUNTIF($F$5:$F$107,Table4[[#This Row],[unique]])</f>
        <v>8</v>
      </c>
      <c r="K8" s="1" t="s">
        <v>116</v>
      </c>
      <c r="M8" s="10" t="s">
        <v>214</v>
      </c>
      <c r="N8" s="10">
        <f>COUNTIF(K$5:K$26,Table6[[#This Row],[unique]])</f>
        <v>1</v>
      </c>
      <c r="P8" s="1" t="s">
        <v>116</v>
      </c>
      <c r="R8" s="10" t="s">
        <v>96</v>
      </c>
      <c r="S8" s="10">
        <f>COUNTIF(P$5:P$47,Table7[[#This Row],[unique]])</f>
        <v>3</v>
      </c>
      <c r="U8" s="1" t="s">
        <v>84</v>
      </c>
      <c r="W8" s="10" t="s">
        <v>163</v>
      </c>
      <c r="X8" s="10">
        <f>COUNTIF(U$5:U$17,Table8[[#This Row],[unique]])</f>
        <v>1</v>
      </c>
      <c r="Z8" s="1" t="s">
        <v>73</v>
      </c>
      <c r="AB8" s="10" t="s">
        <v>73</v>
      </c>
      <c r="AC8" s="10">
        <f>COUNTIF(Z$5:Z$40,Table9[[#This Row],[unique]])</f>
        <v>2</v>
      </c>
      <c r="AK8" s="1" t="s">
        <v>539</v>
      </c>
      <c r="AL8" s="1">
        <v>2009</v>
      </c>
      <c r="AN8" s="1" t="b">
        <f t="shared" si="0"/>
        <v>0</v>
      </c>
      <c r="AP8" s="1">
        <f t="shared" si="2"/>
        <v>2006</v>
      </c>
      <c r="AQ8" s="1">
        <f>COUNTIF(Table2[year],$AP8)</f>
        <v>0</v>
      </c>
      <c r="AR8" s="1">
        <f>COUNTIFS(Table2[year],$AP8,Table2[uses?],TRUE)</f>
        <v>0</v>
      </c>
      <c r="AS8" s="27">
        <f t="shared" si="1"/>
        <v>0</v>
      </c>
    </row>
    <row r="9" spans="1:56" x14ac:dyDescent="0.2">
      <c r="A9" s="1" t="s">
        <v>63</v>
      </c>
      <c r="C9" s="10" t="s">
        <v>73</v>
      </c>
      <c r="D9" s="10">
        <f>COUNTIF($A$4:$A$182,Table3[[#This Row],[unique]])</f>
        <v>9</v>
      </c>
      <c r="F9" s="1" t="s">
        <v>520</v>
      </c>
      <c r="H9" s="10" t="s">
        <v>128</v>
      </c>
      <c r="I9" s="10">
        <f>COUNTIF($F$5:$F$107,Table4[[#This Row],[unique]])</f>
        <v>8</v>
      </c>
      <c r="K9" s="1" t="s">
        <v>73</v>
      </c>
      <c r="M9" s="10" t="s">
        <v>219</v>
      </c>
      <c r="N9" s="10">
        <f>COUNTIF(K$5:K$26,Table6[[#This Row],[unique]])</f>
        <v>1</v>
      </c>
      <c r="P9" s="1" t="s">
        <v>163</v>
      </c>
      <c r="R9" s="10" t="s">
        <v>181</v>
      </c>
      <c r="S9" s="10">
        <f>COUNTIF(P$5:P$47,Table7[[#This Row],[unique]])</f>
        <v>3</v>
      </c>
      <c r="U9" s="1" t="s">
        <v>48</v>
      </c>
      <c r="W9" s="10" t="s">
        <v>84</v>
      </c>
      <c r="X9" s="10">
        <f>COUNTIF(U$5:U$17,Table8[[#This Row],[unique]])</f>
        <v>1</v>
      </c>
      <c r="Z9" s="1" t="s">
        <v>100</v>
      </c>
      <c r="AB9" s="10" t="s">
        <v>100</v>
      </c>
      <c r="AC9" s="10">
        <f>COUNTIF(Z$5:Z$40,Table9[[#This Row],[unique]])</f>
        <v>1</v>
      </c>
      <c r="AK9" s="1" t="s">
        <v>540</v>
      </c>
      <c r="AL9" s="1">
        <v>2009</v>
      </c>
      <c r="AN9" s="1" t="b">
        <f t="shared" si="0"/>
        <v>0</v>
      </c>
      <c r="AP9" s="1">
        <f t="shared" si="2"/>
        <v>2007</v>
      </c>
      <c r="AQ9" s="1">
        <f>COUNTIF(Table2[year],$AP9)</f>
        <v>1</v>
      </c>
      <c r="AR9" s="1">
        <f>COUNTIFS(Table2[year],$AP9,Table2[uses?],TRUE)</f>
        <v>0</v>
      </c>
      <c r="AS9" s="27">
        <f t="shared" si="1"/>
        <v>0</v>
      </c>
    </row>
    <row r="10" spans="1:56" x14ac:dyDescent="0.2">
      <c r="A10" s="1" t="s">
        <v>48</v>
      </c>
      <c r="C10" s="10" t="s">
        <v>128</v>
      </c>
      <c r="D10" s="10">
        <f>COUNTIF($A$4:$A$182,Table3[[#This Row],[unique]])</f>
        <v>9</v>
      </c>
      <c r="F10" s="1" t="s">
        <v>104</v>
      </c>
      <c r="H10" s="10" t="s">
        <v>521</v>
      </c>
      <c r="I10" s="10">
        <f>COUNTIF($F$5:$F$107,Table4[[#This Row],[unique]])</f>
        <v>6</v>
      </c>
      <c r="K10" s="1" t="s">
        <v>104</v>
      </c>
      <c r="M10" s="10" t="s">
        <v>104</v>
      </c>
      <c r="N10" s="10">
        <f>COUNTIF(K$5:K$26,Table6[[#This Row],[unique]])</f>
        <v>1</v>
      </c>
      <c r="P10" s="1" t="s">
        <v>224</v>
      </c>
      <c r="R10" s="10" t="s">
        <v>175</v>
      </c>
      <c r="S10" s="10">
        <f>COUNTIF(P$5:P$47,Table7[[#This Row],[unique]])</f>
        <v>2</v>
      </c>
      <c r="U10" s="1" t="s">
        <v>66</v>
      </c>
      <c r="W10" s="10" t="s">
        <v>66</v>
      </c>
      <c r="X10" s="10">
        <f>COUNTIF(U$5:U$17,Table8[[#This Row],[unique]])</f>
        <v>1</v>
      </c>
      <c r="Z10" s="1" t="s">
        <v>60</v>
      </c>
      <c r="AB10" s="10" t="s">
        <v>60</v>
      </c>
      <c r="AC10" s="10">
        <f>COUNTIF(Z$5:Z$40,Table9[[#This Row],[unique]])</f>
        <v>1</v>
      </c>
      <c r="AK10" s="1" t="s">
        <v>541</v>
      </c>
      <c r="AL10" s="1">
        <v>2009</v>
      </c>
      <c r="AN10" s="1" t="b">
        <f t="shared" si="0"/>
        <v>0</v>
      </c>
      <c r="AP10" s="1">
        <f t="shared" si="2"/>
        <v>2008</v>
      </c>
      <c r="AQ10" s="1">
        <f>COUNTIF(Table2[year],$AP10)</f>
        <v>0</v>
      </c>
      <c r="AR10" s="1">
        <f>COUNTIFS(Table2[year],$AP10,Table2[uses?],TRUE)</f>
        <v>0</v>
      </c>
      <c r="AS10" s="27">
        <f t="shared" si="1"/>
        <v>0</v>
      </c>
    </row>
    <row r="11" spans="1:56" x14ac:dyDescent="0.2">
      <c r="A11" s="1" t="s">
        <v>89</v>
      </c>
      <c r="C11" s="10" t="s">
        <v>521</v>
      </c>
      <c r="D11" s="10">
        <f>COUNTIF($A$4:$A$182,Table3[[#This Row],[unique]])</f>
        <v>8</v>
      </c>
      <c r="F11" s="1" t="s">
        <v>79</v>
      </c>
      <c r="H11" s="10" t="s">
        <v>122</v>
      </c>
      <c r="I11" s="10">
        <f>COUNTIF($F$5:$F$107,Table4[[#This Row],[unique]])</f>
        <v>6</v>
      </c>
      <c r="K11" s="1" t="s">
        <v>163</v>
      </c>
      <c r="M11" s="10" t="s">
        <v>163</v>
      </c>
      <c r="N11" s="10">
        <f>COUNTIF(K$5:K$26,Table6[[#This Row],[unique]])</f>
        <v>1</v>
      </c>
      <c r="P11" s="1" t="s">
        <v>60</v>
      </c>
      <c r="R11" s="10" t="s">
        <v>163</v>
      </c>
      <c r="S11" s="10">
        <f>COUNTIF(P$5:P$47,Table7[[#This Row],[unique]])</f>
        <v>2</v>
      </c>
      <c r="U11" s="1" t="s">
        <v>181</v>
      </c>
      <c r="W11" s="10" t="s">
        <v>181</v>
      </c>
      <c r="X11" s="10">
        <f>COUNTIF(U$5:U$17,Table8[[#This Row],[unique]])</f>
        <v>1</v>
      </c>
      <c r="Z11" s="1" t="s">
        <v>48</v>
      </c>
      <c r="AB11" s="10" t="s">
        <v>48</v>
      </c>
      <c r="AC11" s="10">
        <f>COUNTIF(Z$5:Z$40,Table9[[#This Row],[unique]])</f>
        <v>1</v>
      </c>
      <c r="AK11" s="1" t="s">
        <v>542</v>
      </c>
      <c r="AL11" s="1">
        <v>2009</v>
      </c>
      <c r="AN11" s="1" t="b">
        <f t="shared" si="0"/>
        <v>0</v>
      </c>
      <c r="AP11" s="1">
        <f t="shared" si="2"/>
        <v>2009</v>
      </c>
      <c r="AQ11" s="1">
        <f>COUNTIF(Table2[year],$AP11)</f>
        <v>6</v>
      </c>
      <c r="AR11" s="1">
        <f>COUNTIFS(Table2[year],$AP11,Table2[uses?],TRUE)</f>
        <v>0</v>
      </c>
      <c r="AS11" s="27">
        <f t="shared" si="1"/>
        <v>0</v>
      </c>
    </row>
    <row r="12" spans="1:56" x14ac:dyDescent="0.2">
      <c r="A12" s="1" t="s">
        <v>84</v>
      </c>
      <c r="C12" s="10" t="s">
        <v>48</v>
      </c>
      <c r="D12" s="10">
        <f>COUNTIF($A$4:$A$182,Table3[[#This Row],[unique]])</f>
        <v>7</v>
      </c>
      <c r="F12" s="1" t="s">
        <v>523</v>
      </c>
      <c r="H12" s="10" t="s">
        <v>66</v>
      </c>
      <c r="I12" s="10">
        <f>COUNTIF($F$5:$F$107,Table4[[#This Row],[unique]])</f>
        <v>5</v>
      </c>
      <c r="K12" s="1" t="s">
        <v>175</v>
      </c>
      <c r="M12" s="10" t="s">
        <v>110</v>
      </c>
      <c r="N12" s="10">
        <f>COUNTIF(K$5:K$26,Table6[[#This Row],[unique]])</f>
        <v>1</v>
      </c>
      <c r="P12" s="1" t="s">
        <v>48</v>
      </c>
      <c r="R12" s="10" t="s">
        <v>60</v>
      </c>
      <c r="S12" s="10">
        <f>COUNTIF(P$5:P$47,Table7[[#This Row],[unique]])</f>
        <v>2</v>
      </c>
      <c r="U12" s="1" t="s">
        <v>116</v>
      </c>
      <c r="W12" s="10" t="s">
        <v>116</v>
      </c>
      <c r="X12" s="10">
        <f>COUNTIF(U$5:U$17,Table8[[#This Row],[unique]])</f>
        <v>1</v>
      </c>
      <c r="Z12" s="1" t="s">
        <v>84</v>
      </c>
      <c r="AB12" s="10" t="s">
        <v>84</v>
      </c>
      <c r="AC12" s="10">
        <f>COUNTIF(Z$5:Z$40,Table9[[#This Row],[unique]])</f>
        <v>2</v>
      </c>
      <c r="AK12" s="1" t="s">
        <v>543</v>
      </c>
      <c r="AL12" s="1">
        <v>2010</v>
      </c>
      <c r="AM12" s="1" t="s">
        <v>520</v>
      </c>
      <c r="AN12" s="1" t="b">
        <f t="shared" si="0"/>
        <v>1</v>
      </c>
      <c r="AP12" s="1">
        <f t="shared" si="2"/>
        <v>2010</v>
      </c>
      <c r="AQ12" s="1">
        <f>COUNTIF(Table2[year],$AP12)</f>
        <v>3</v>
      </c>
      <c r="AR12" s="1">
        <f>COUNTIFS(Table2[year],$AP12,Table2[uses?],TRUE)</f>
        <v>2</v>
      </c>
      <c r="AS12" s="27">
        <f t="shared" si="1"/>
        <v>0.66666666666666663</v>
      </c>
    </row>
    <row r="13" spans="1:56" x14ac:dyDescent="0.2">
      <c r="A13" s="1" t="s">
        <v>48</v>
      </c>
      <c r="C13" s="10" t="s">
        <v>89</v>
      </c>
      <c r="D13" s="10">
        <f>COUNTIF($A$4:$A$182,Table3[[#This Row],[unique]])</f>
        <v>6</v>
      </c>
      <c r="F13" s="1" t="s">
        <v>89</v>
      </c>
      <c r="H13" s="10" t="s">
        <v>89</v>
      </c>
      <c r="I13" s="10">
        <f>COUNTIF($F$5:$F$107,Table4[[#This Row],[unique]])</f>
        <v>4</v>
      </c>
      <c r="K13" s="1" t="s">
        <v>116</v>
      </c>
      <c r="M13" s="10" t="s">
        <v>238</v>
      </c>
      <c r="N13" s="10">
        <f>COUNTIF(K$5:K$26,Table6[[#This Row],[unique]])</f>
        <v>1</v>
      </c>
      <c r="P13" s="1" t="s">
        <v>55</v>
      </c>
      <c r="R13" s="10" t="s">
        <v>89</v>
      </c>
      <c r="S13" s="10">
        <f>COUNTIF(P$5:P$47,Table7[[#This Row],[unique]])</f>
        <v>2</v>
      </c>
      <c r="U13" s="1" t="s">
        <v>110</v>
      </c>
      <c r="W13" s="10" t="s">
        <v>73</v>
      </c>
      <c r="X13" s="10">
        <f>COUNTIF(U$5:U$17,Table8[[#This Row],[unique]])</f>
        <v>1</v>
      </c>
      <c r="Z13" s="1" t="s">
        <v>116</v>
      </c>
      <c r="AB13" s="10" t="s">
        <v>66</v>
      </c>
      <c r="AC13" s="10">
        <f>COUNTIF(Z$5:Z$40,Table9[[#This Row],[unique]])</f>
        <v>3</v>
      </c>
      <c r="AK13" s="1" t="s">
        <v>544</v>
      </c>
      <c r="AL13" s="1">
        <v>2010</v>
      </c>
      <c r="AM13" s="1" t="s">
        <v>677</v>
      </c>
      <c r="AN13" s="1" t="b">
        <f t="shared" si="0"/>
        <v>1</v>
      </c>
      <c r="AP13" s="1">
        <f t="shared" si="2"/>
        <v>2011</v>
      </c>
      <c r="AQ13" s="1">
        <f>COUNTIF(Table2[year],$AP13)</f>
        <v>2</v>
      </c>
      <c r="AR13" s="1">
        <f>COUNTIFS(Table2[year],$AP13,Table2[uses?],TRUE)</f>
        <v>0</v>
      </c>
      <c r="AS13" s="27">
        <f t="shared" si="1"/>
        <v>0</v>
      </c>
    </row>
    <row r="14" spans="1:56" x14ac:dyDescent="0.2">
      <c r="A14" s="1" t="s">
        <v>66</v>
      </c>
      <c r="C14" s="10" t="s">
        <v>122</v>
      </c>
      <c r="D14" s="10">
        <f>COUNTIF($A$4:$A$182,Table3[[#This Row],[unique]])</f>
        <v>6</v>
      </c>
      <c r="F14" s="1" t="s">
        <v>79</v>
      </c>
      <c r="H14" s="10" t="s">
        <v>214</v>
      </c>
      <c r="I14" s="10">
        <f>COUNTIF($F$5:$F$107,Table4[[#This Row],[unique]])</f>
        <v>4</v>
      </c>
      <c r="K14" s="1" t="s">
        <v>73</v>
      </c>
      <c r="M14" s="10" t="s">
        <v>181</v>
      </c>
      <c r="N14" s="10">
        <f>COUNTIF(K$5:K$26,Table6[[#This Row],[unique]])</f>
        <v>1</v>
      </c>
      <c r="P14" s="1" t="s">
        <v>60</v>
      </c>
      <c r="R14" s="10" t="s">
        <v>521</v>
      </c>
      <c r="S14" s="10">
        <f>COUNTIF(P$5:P$47,Table7[[#This Row],[unique]])</f>
        <v>2</v>
      </c>
      <c r="U14" s="1" t="s">
        <v>73</v>
      </c>
      <c r="W14" s="10" t="s">
        <v>100</v>
      </c>
      <c r="X14" s="10">
        <f>COUNTIF(U$5:U$17,Table8[[#This Row],[unique]])</f>
        <v>1</v>
      </c>
      <c r="Z14" s="1" t="s">
        <v>66</v>
      </c>
      <c r="AB14" s="10" t="s">
        <v>122</v>
      </c>
      <c r="AC14" s="10">
        <f>COUNTIF(Z$5:Z$40,Table9[[#This Row],[unique]])</f>
        <v>2</v>
      </c>
      <c r="AK14" s="1" t="s">
        <v>545</v>
      </c>
      <c r="AL14" s="1">
        <v>2010</v>
      </c>
      <c r="AN14" s="1" t="b">
        <f t="shared" si="0"/>
        <v>0</v>
      </c>
      <c r="AP14" s="1">
        <f t="shared" si="2"/>
        <v>2012</v>
      </c>
      <c r="AQ14" s="1">
        <f>COUNTIF(Table2[year],$AP14)</f>
        <v>4</v>
      </c>
      <c r="AR14" s="1">
        <f>COUNTIFS(Table2[year],$AP14,Table2[uses?],TRUE)</f>
        <v>3</v>
      </c>
      <c r="AS14" s="27">
        <f t="shared" si="1"/>
        <v>0.75</v>
      </c>
    </row>
    <row r="15" spans="1:56" x14ac:dyDescent="0.2">
      <c r="A15" s="1" t="s">
        <v>521</v>
      </c>
      <c r="C15" s="10" t="s">
        <v>181</v>
      </c>
      <c r="D15" s="10">
        <f>COUNTIF($A$4:$A$182,Table3[[#This Row],[unique]])</f>
        <v>6</v>
      </c>
      <c r="F15" s="1" t="s">
        <v>66</v>
      </c>
      <c r="H15" s="10" t="s">
        <v>208</v>
      </c>
      <c r="I15" s="10">
        <f>COUNTIF($F$5:$F$107,Table4[[#This Row],[unique]])</f>
        <v>3</v>
      </c>
      <c r="K15" s="1" t="s">
        <v>116</v>
      </c>
      <c r="P15" s="1" t="s">
        <v>63</v>
      </c>
      <c r="R15" s="10" t="s">
        <v>66</v>
      </c>
      <c r="S15" s="10">
        <f>COUNTIF(P$5:P$47,Table7[[#This Row],[unique]])</f>
        <v>2</v>
      </c>
      <c r="U15" s="1" t="s">
        <v>100</v>
      </c>
      <c r="W15" s="10" t="s">
        <v>60</v>
      </c>
      <c r="X15" s="10">
        <f>COUNTIF(U$5:U$17,Table8[[#This Row],[unique]])</f>
        <v>1</v>
      </c>
      <c r="Z15" s="1" t="s">
        <v>122</v>
      </c>
      <c r="AB15" s="10" t="s">
        <v>169</v>
      </c>
      <c r="AC15" s="10">
        <f>COUNTIF(Z$5:Z$40,Table9[[#This Row],[unique]])</f>
        <v>3</v>
      </c>
      <c r="AK15" s="1" t="s">
        <v>546</v>
      </c>
      <c r="AL15" s="1">
        <v>2011</v>
      </c>
      <c r="AN15" s="1" t="b">
        <f t="shared" si="0"/>
        <v>0</v>
      </c>
      <c r="AP15" s="1">
        <f t="shared" si="2"/>
        <v>2013</v>
      </c>
      <c r="AQ15" s="1">
        <f>COUNTIF(Table2[year],$AP15)</f>
        <v>13</v>
      </c>
      <c r="AR15" s="1">
        <f>COUNTIFS(Table2[year],$AP15,Table2[uses?],TRUE)</f>
        <v>9</v>
      </c>
      <c r="AS15" s="27">
        <f t="shared" si="1"/>
        <v>0.69230769230769229</v>
      </c>
    </row>
    <row r="16" spans="1:56" x14ac:dyDescent="0.2">
      <c r="A16" s="1" t="s">
        <v>89</v>
      </c>
      <c r="C16" s="10" t="s">
        <v>110</v>
      </c>
      <c r="D16" s="10">
        <f>COUNTIF($A$4:$A$182,Table3[[#This Row],[unique]])</f>
        <v>4</v>
      </c>
      <c r="F16" s="1" t="s">
        <v>163</v>
      </c>
      <c r="H16" s="10" t="s">
        <v>79</v>
      </c>
      <c r="I16" s="10">
        <f>COUNTIF($F$5:$F$107,Table4[[#This Row],[unique]])</f>
        <v>2</v>
      </c>
      <c r="K16" s="1" t="s">
        <v>110</v>
      </c>
      <c r="P16" s="1" t="s">
        <v>48</v>
      </c>
      <c r="R16" s="10" t="s">
        <v>214</v>
      </c>
      <c r="S16" s="10">
        <f>COUNTIF(P$5:P$47,Table7[[#This Row],[unique]])</f>
        <v>1</v>
      </c>
      <c r="U16" s="1" t="s">
        <v>60</v>
      </c>
      <c r="Z16" s="1" t="s">
        <v>169</v>
      </c>
      <c r="AB16" s="10" t="s">
        <v>521</v>
      </c>
      <c r="AC16" s="10">
        <f>COUNTIF(Z$5:Z$40,Table9[[#This Row],[unique]])</f>
        <v>2</v>
      </c>
      <c r="AK16" s="1" t="s">
        <v>547</v>
      </c>
      <c r="AL16" s="1">
        <v>2011</v>
      </c>
      <c r="AN16" s="1" t="b">
        <f t="shared" si="0"/>
        <v>0</v>
      </c>
      <c r="AP16" s="1">
        <f t="shared" si="2"/>
        <v>2014</v>
      </c>
      <c r="AQ16" s="1">
        <f>COUNTIF(Table2[year],$AP16)</f>
        <v>4</v>
      </c>
      <c r="AR16" s="1">
        <f>COUNTIFS(Table2[year],$AP16,Table2[uses?],TRUE)</f>
        <v>3</v>
      </c>
      <c r="AS16" s="27">
        <f t="shared" si="1"/>
        <v>0.75</v>
      </c>
    </row>
    <row r="17" spans="1:45" x14ac:dyDescent="0.2">
      <c r="A17" s="1" t="s">
        <v>66</v>
      </c>
      <c r="C17" s="10" t="s">
        <v>522</v>
      </c>
      <c r="D17" s="10">
        <f>COUNTIF($A$4:$A$182,Table3[[#This Row],[unique]])</f>
        <v>4</v>
      </c>
      <c r="F17" s="1" t="s">
        <v>122</v>
      </c>
      <c r="H17" s="10" t="s">
        <v>169</v>
      </c>
      <c r="I17" s="10">
        <f>COUNTIF($F$5:$F$107,Table4[[#This Row],[unique]])</f>
        <v>2</v>
      </c>
      <c r="K17" s="1" t="s">
        <v>175</v>
      </c>
      <c r="P17" s="1" t="s">
        <v>89</v>
      </c>
      <c r="R17" s="10" t="s">
        <v>224</v>
      </c>
      <c r="S17" s="10">
        <f>COUNTIF(P$5:P$47,Table7[[#This Row],[unique]])</f>
        <v>1</v>
      </c>
      <c r="U17" s="1" t="s">
        <v>48</v>
      </c>
      <c r="Z17" s="1" t="s">
        <v>521</v>
      </c>
      <c r="AB17" s="10" t="s">
        <v>89</v>
      </c>
      <c r="AC17" s="10">
        <f>COUNTIF(Z$5:Z$40,Table9[[#This Row],[unique]])</f>
        <v>1</v>
      </c>
      <c r="AK17" s="1" t="s">
        <v>548</v>
      </c>
      <c r="AL17" s="1">
        <v>2012</v>
      </c>
      <c r="AN17" s="1" t="b">
        <f t="shared" si="0"/>
        <v>0</v>
      </c>
      <c r="AP17" s="1">
        <f t="shared" si="2"/>
        <v>2015</v>
      </c>
      <c r="AQ17" s="1">
        <f>COUNTIF(Table2[year],$AP17)</f>
        <v>10</v>
      </c>
      <c r="AR17" s="1">
        <f>COUNTIFS(Table2[year],$AP17,Table2[uses?],TRUE)</f>
        <v>4</v>
      </c>
      <c r="AS17" s="27">
        <f t="shared" si="1"/>
        <v>0.4</v>
      </c>
    </row>
    <row r="18" spans="1:45" x14ac:dyDescent="0.2">
      <c r="A18" s="1" t="s">
        <v>520</v>
      </c>
      <c r="C18" s="10" t="s">
        <v>175</v>
      </c>
      <c r="D18" s="10">
        <f>COUNTIF($A$4:$A$182,Table3[[#This Row],[unique]])</f>
        <v>4</v>
      </c>
      <c r="F18" s="1" t="s">
        <v>523</v>
      </c>
      <c r="H18" s="10" t="s">
        <v>193</v>
      </c>
      <c r="I18" s="10">
        <f>COUNTIF($F$5:$F$107,Table4[[#This Row],[unique]])</f>
        <v>2</v>
      </c>
      <c r="K18" s="1" t="s">
        <v>73</v>
      </c>
      <c r="P18" s="1" t="s">
        <v>48</v>
      </c>
      <c r="R18" s="10" t="s">
        <v>55</v>
      </c>
      <c r="S18" s="10">
        <f>COUNTIF(P$5:P$47,Table7[[#This Row],[unique]])</f>
        <v>1</v>
      </c>
      <c r="Z18" s="1" t="s">
        <v>89</v>
      </c>
      <c r="AB18" s="10" t="s">
        <v>268</v>
      </c>
      <c r="AC18" s="10">
        <f>COUNTIF(Z$5:Z$40,Table9[[#This Row],[unique]])</f>
        <v>1</v>
      </c>
      <c r="AK18" s="1" t="s">
        <v>549</v>
      </c>
      <c r="AL18" s="1">
        <v>2012</v>
      </c>
      <c r="AM18" s="1" t="s">
        <v>678</v>
      </c>
      <c r="AN18" s="1" t="b">
        <f t="shared" si="0"/>
        <v>1</v>
      </c>
      <c r="AP18" s="1">
        <f t="shared" si="2"/>
        <v>2016</v>
      </c>
      <c r="AQ18" s="1">
        <f>COUNTIF(Table2[year],$AP18)</f>
        <v>10</v>
      </c>
      <c r="AR18" s="1">
        <f>COUNTIFS(Table2[year],$AP18,Table2[uses?],TRUE)</f>
        <v>3</v>
      </c>
      <c r="AS18" s="27">
        <f t="shared" si="1"/>
        <v>0.3</v>
      </c>
    </row>
    <row r="19" spans="1:45" x14ac:dyDescent="0.2">
      <c r="A19" s="1" t="s">
        <v>48</v>
      </c>
      <c r="C19" s="10" t="s">
        <v>214</v>
      </c>
      <c r="D19" s="10">
        <f>COUNTIF($A$4:$A$182,Table3[[#This Row],[unique]])</f>
        <v>4</v>
      </c>
      <c r="F19" s="1" t="s">
        <v>520</v>
      </c>
      <c r="H19" s="10" t="s">
        <v>258</v>
      </c>
      <c r="I19" s="10">
        <f>COUNTIF($F$5:$F$107,Table4[[#This Row],[unique]])</f>
        <v>2</v>
      </c>
      <c r="K19" s="1" t="s">
        <v>116</v>
      </c>
      <c r="P19" s="1" t="s">
        <v>96</v>
      </c>
      <c r="R19" s="10" t="s">
        <v>63</v>
      </c>
      <c r="S19" s="10">
        <f>COUNTIF(P$5:P$47,Table7[[#This Row],[unique]])</f>
        <v>1</v>
      </c>
      <c r="Z19" s="1" t="s">
        <v>268</v>
      </c>
      <c r="AB19" s="10" t="s">
        <v>523</v>
      </c>
      <c r="AC19" s="10">
        <f>COUNTIF(Z$5:Z$40,Table9[[#This Row],[unique]])</f>
        <v>3</v>
      </c>
      <c r="AK19" s="1" t="s">
        <v>550</v>
      </c>
      <c r="AL19" s="1">
        <v>2012</v>
      </c>
      <c r="AM19" s="1" t="s">
        <v>89</v>
      </c>
      <c r="AN19" s="1" t="b">
        <f t="shared" si="0"/>
        <v>1</v>
      </c>
      <c r="AP19" s="1">
        <f t="shared" si="2"/>
        <v>2017</v>
      </c>
      <c r="AQ19" s="1">
        <f>COUNTIF(Table2[year],$AP19)</f>
        <v>8</v>
      </c>
      <c r="AR19" s="1">
        <f>COUNTIFS(Table2[year],$AP19,Table2[uses?],TRUE)</f>
        <v>6</v>
      </c>
      <c r="AS19" s="27">
        <f t="shared" si="1"/>
        <v>0.75</v>
      </c>
    </row>
    <row r="20" spans="1:45" x14ac:dyDescent="0.2">
      <c r="A20" s="1" t="s">
        <v>96</v>
      </c>
      <c r="C20" s="10" t="s">
        <v>60</v>
      </c>
      <c r="D20" s="10">
        <f>COUNTIF($A$4:$A$182,Table3[[#This Row],[unique]])</f>
        <v>3</v>
      </c>
      <c r="F20" s="1" t="s">
        <v>84</v>
      </c>
      <c r="H20" s="10" t="s">
        <v>522</v>
      </c>
      <c r="I20" s="10">
        <f>COUNTIF($F$5:$F$107,Table4[[#This Row],[unique]])</f>
        <v>2</v>
      </c>
      <c r="K20" s="1" t="s">
        <v>116</v>
      </c>
      <c r="P20" s="1" t="s">
        <v>110</v>
      </c>
      <c r="R20" s="10" t="s">
        <v>73</v>
      </c>
      <c r="S20" s="10">
        <f>COUNTIF(P$5:P$47,Table7[[#This Row],[unique]])</f>
        <v>1</v>
      </c>
      <c r="Z20" s="1" t="s">
        <v>169</v>
      </c>
      <c r="AB20" s="10" t="s">
        <v>128</v>
      </c>
      <c r="AC20" s="10">
        <f>COUNTIF(Z$5:Z$40,Table9[[#This Row],[unique]])</f>
        <v>1</v>
      </c>
      <c r="AK20" s="1" t="s">
        <v>551</v>
      </c>
      <c r="AL20" s="1">
        <v>2012</v>
      </c>
      <c r="AM20" s="1" t="s">
        <v>679</v>
      </c>
      <c r="AN20" s="1" t="b">
        <f t="shared" si="0"/>
        <v>1</v>
      </c>
      <c r="AP20" s="1">
        <f t="shared" si="2"/>
        <v>2018</v>
      </c>
      <c r="AQ20" s="1">
        <f>COUNTIF(Table2[year],$AP20)</f>
        <v>20</v>
      </c>
      <c r="AR20" s="1">
        <f>COUNTIFS(Table2[year],$AP20,Table2[uses?],TRUE)</f>
        <v>13</v>
      </c>
      <c r="AS20" s="27">
        <f t="shared" si="1"/>
        <v>0.65</v>
      </c>
    </row>
    <row r="21" spans="1:45" x14ac:dyDescent="0.2">
      <c r="A21" s="1" t="s">
        <v>110</v>
      </c>
      <c r="C21" s="10" t="s">
        <v>84</v>
      </c>
      <c r="D21" s="10">
        <f>COUNTIF($A$4:$A$182,Table3[[#This Row],[unique]])</f>
        <v>3</v>
      </c>
      <c r="F21" s="1" t="s">
        <v>116</v>
      </c>
      <c r="H21" s="10" t="s">
        <v>104</v>
      </c>
      <c r="I21" s="10">
        <f>COUNTIF($F$5:$F$107,Table4[[#This Row],[unique]])</f>
        <v>1</v>
      </c>
      <c r="K21" s="1" t="s">
        <v>73</v>
      </c>
      <c r="P21" s="1" t="s">
        <v>521</v>
      </c>
      <c r="R21" s="10" t="s">
        <v>79</v>
      </c>
      <c r="S21" s="10">
        <f>COUNTIF(P$5:P$47,Table7[[#This Row],[unique]])</f>
        <v>1</v>
      </c>
      <c r="Z21" s="1" t="s">
        <v>523</v>
      </c>
      <c r="AB21" s="10" t="s">
        <v>524</v>
      </c>
      <c r="AC21" s="10">
        <f>COUNTIF(Z$5:Z$40,Table9[[#This Row],[unique]])</f>
        <v>1</v>
      </c>
      <c r="AK21" s="1" t="s">
        <v>552</v>
      </c>
      <c r="AL21" s="1">
        <v>2013</v>
      </c>
      <c r="AM21" s="1" t="s">
        <v>680</v>
      </c>
      <c r="AN21" s="1" t="b">
        <f t="shared" si="0"/>
        <v>1</v>
      </c>
      <c r="AP21" s="1">
        <f t="shared" si="2"/>
        <v>2019</v>
      </c>
      <c r="AQ21" s="1">
        <f>COUNTIF(Table2[year],$AP21)</f>
        <v>15</v>
      </c>
      <c r="AR21" s="1">
        <f>COUNTIFS(Table2[year],$AP21,Table2[uses?],TRUE)</f>
        <v>10</v>
      </c>
      <c r="AS21" s="27">
        <f t="shared" si="1"/>
        <v>0.66666666666666663</v>
      </c>
    </row>
    <row r="22" spans="1:45" x14ac:dyDescent="0.2">
      <c r="A22" s="1" t="s">
        <v>100</v>
      </c>
      <c r="C22" s="10" t="s">
        <v>96</v>
      </c>
      <c r="D22" s="10">
        <f>COUNTIF($A$4:$A$182,Table3[[#This Row],[unique]])</f>
        <v>3</v>
      </c>
      <c r="F22" s="1" t="s">
        <v>66</v>
      </c>
      <c r="H22" s="10" t="s">
        <v>84</v>
      </c>
      <c r="I22" s="10">
        <f>COUNTIF($F$5:$F$107,Table4[[#This Row],[unique]])</f>
        <v>1</v>
      </c>
      <c r="K22" s="1" t="s">
        <v>238</v>
      </c>
      <c r="P22" s="1" t="s">
        <v>89</v>
      </c>
      <c r="R22" s="10" t="s">
        <v>524</v>
      </c>
      <c r="S22" s="10">
        <f>COUNTIF(P$5:P$47,Table7[[#This Row],[unique]])</f>
        <v>1</v>
      </c>
      <c r="Z22" s="1" t="s">
        <v>122</v>
      </c>
      <c r="AB22" s="10" t="s">
        <v>526</v>
      </c>
      <c r="AC22" s="10">
        <f>COUNTIF(Z$5:Z$40,Table9[[#This Row],[unique]])</f>
        <v>1</v>
      </c>
      <c r="AK22" s="1" t="s">
        <v>553</v>
      </c>
      <c r="AL22" s="1">
        <v>2013</v>
      </c>
      <c r="AN22" s="1" t="b">
        <f t="shared" si="0"/>
        <v>0</v>
      </c>
      <c r="AP22" s="1">
        <f t="shared" si="2"/>
        <v>2020</v>
      </c>
      <c r="AQ22" s="1">
        <f>COUNTIF(Table2[year],$AP22)</f>
        <v>14</v>
      </c>
      <c r="AR22" s="1">
        <f>COUNTIFS(Table2[year],$AP22,Table2[uses?],TRUE)</f>
        <v>11</v>
      </c>
      <c r="AS22" s="27">
        <f t="shared" si="1"/>
        <v>0.7857142857142857</v>
      </c>
    </row>
    <row r="23" spans="1:45" x14ac:dyDescent="0.2">
      <c r="A23" s="1" t="s">
        <v>60</v>
      </c>
      <c r="C23" s="10" t="s">
        <v>79</v>
      </c>
      <c r="D23" s="10">
        <f>COUNTIF($A$4:$A$182,Table3[[#This Row],[unique]])</f>
        <v>3</v>
      </c>
      <c r="F23" s="1" t="s">
        <v>122</v>
      </c>
      <c r="H23" s="10" t="s">
        <v>187</v>
      </c>
      <c r="I23" s="10">
        <f>COUNTIF($F$5:$F$107,Table4[[#This Row],[unique]])</f>
        <v>1</v>
      </c>
      <c r="K23" s="1" t="s">
        <v>73</v>
      </c>
      <c r="P23" s="1" t="s">
        <v>66</v>
      </c>
      <c r="R23" s="10" t="s">
        <v>526</v>
      </c>
      <c r="S23" s="10">
        <f>COUNTIF(P$5:P$47,Table7[[#This Row],[unique]])</f>
        <v>1</v>
      </c>
      <c r="Z23" s="1" t="s">
        <v>128</v>
      </c>
      <c r="AB23" s="10" t="s">
        <v>522</v>
      </c>
      <c r="AC23" s="10">
        <f>COUNTIF(Z$5:Z$40,Table9[[#This Row],[unique]])</f>
        <v>2</v>
      </c>
      <c r="AK23" s="1" t="s">
        <v>554</v>
      </c>
      <c r="AL23" s="1">
        <v>2013</v>
      </c>
      <c r="AM23" s="1" t="s">
        <v>681</v>
      </c>
      <c r="AN23" s="1" t="b">
        <f t="shared" si="0"/>
        <v>1</v>
      </c>
      <c r="AP23" s="1">
        <f t="shared" si="2"/>
        <v>2021</v>
      </c>
      <c r="AQ23" s="1">
        <f>COUNTIF(Table2[year],$AP23)</f>
        <v>23</v>
      </c>
      <c r="AR23" s="1">
        <f>COUNTIFS(Table2[year],$AP23,Table2[uses?],TRUE)</f>
        <v>18</v>
      </c>
      <c r="AS23" s="27">
        <f t="shared" si="1"/>
        <v>0.78260869565217395</v>
      </c>
    </row>
    <row r="24" spans="1:45" x14ac:dyDescent="0.2">
      <c r="A24" s="1" t="s">
        <v>48</v>
      </c>
      <c r="C24" s="10" t="s">
        <v>169</v>
      </c>
      <c r="D24" s="10">
        <f>COUNTIF($A$4:$A$182,Table3[[#This Row],[unique]])</f>
        <v>3</v>
      </c>
      <c r="F24" s="1" t="s">
        <v>169</v>
      </c>
      <c r="H24" s="10" t="s">
        <v>198</v>
      </c>
      <c r="I24" s="10">
        <f>COUNTIF($F$5:$F$107,Table4[[#This Row],[unique]])</f>
        <v>1</v>
      </c>
      <c r="K24" s="1" t="s">
        <v>181</v>
      </c>
      <c r="P24" s="1" t="s">
        <v>48</v>
      </c>
      <c r="R24" s="10" t="s">
        <v>522</v>
      </c>
      <c r="S24" s="10">
        <f>COUNTIF(P$5:P$47,Table7[[#This Row],[unique]])</f>
        <v>1</v>
      </c>
      <c r="Z24" s="1" t="s">
        <v>521</v>
      </c>
      <c r="AB24" s="10" t="s">
        <v>156</v>
      </c>
      <c r="AC24" s="10">
        <f>COUNTIF(Z$5:Z$40,Table9[[#This Row],[unique]])</f>
        <v>1</v>
      </c>
      <c r="AK24" s="1" t="s">
        <v>555</v>
      </c>
      <c r="AL24" s="1">
        <v>2013</v>
      </c>
      <c r="AN24" s="1" t="b">
        <f t="shared" si="0"/>
        <v>0</v>
      </c>
      <c r="AP24" s="1">
        <f t="shared" si="2"/>
        <v>2022</v>
      </c>
      <c r="AQ24" s="1">
        <f>COUNTIF(Table2[year],$AP24)</f>
        <v>8</v>
      </c>
      <c r="AR24" s="1">
        <f>COUNTIFS(Table2[year],$AP24,Table2[uses?],TRUE)</f>
        <v>7</v>
      </c>
      <c r="AS24" s="27">
        <f t="shared" si="1"/>
        <v>0.875</v>
      </c>
    </row>
    <row r="25" spans="1:45" x14ac:dyDescent="0.2">
      <c r="A25" s="1" t="s">
        <v>73</v>
      </c>
      <c r="C25" s="10" t="s">
        <v>208</v>
      </c>
      <c r="D25" s="10">
        <f>COUNTIF($A$4:$A$182,Table3[[#This Row],[unique]])</f>
        <v>3</v>
      </c>
      <c r="F25" s="1" t="s">
        <v>122</v>
      </c>
      <c r="H25" s="10" t="s">
        <v>268</v>
      </c>
      <c r="I25" s="10">
        <f>COUNTIF($F$5:$F$107,Table4[[#This Row],[unique]])</f>
        <v>1</v>
      </c>
      <c r="K25" s="1" t="s">
        <v>116</v>
      </c>
      <c r="P25" s="1" t="s">
        <v>96</v>
      </c>
      <c r="R25" s="10" t="s">
        <v>242</v>
      </c>
      <c r="S25" s="10">
        <f>COUNTIF(P$5:P$47,Table7[[#This Row],[unique]])</f>
        <v>1</v>
      </c>
      <c r="Z25" s="1" t="s">
        <v>116</v>
      </c>
      <c r="AB25" s="10" t="s">
        <v>520</v>
      </c>
      <c r="AC25" s="10">
        <f>COUNTIF(Z$5:Z$40,Table9[[#This Row],[unique]])</f>
        <v>1</v>
      </c>
      <c r="AK25" s="1" t="s">
        <v>556</v>
      </c>
      <c r="AL25" s="1">
        <v>2013</v>
      </c>
      <c r="AN25" s="1" t="b">
        <f t="shared" si="0"/>
        <v>0</v>
      </c>
      <c r="AQ25" s="1">
        <f>SUM(AQ$4:AQ$24)</f>
        <v>142</v>
      </c>
      <c r="AR25" s="1">
        <f>SUM(AR$4:AR$24)</f>
        <v>89</v>
      </c>
      <c r="AS25" s="27">
        <f>IF(AQ25&lt;&gt;0,AR25/AQ25,0)</f>
        <v>0.62676056338028174</v>
      </c>
    </row>
    <row r="26" spans="1:45" x14ac:dyDescent="0.2">
      <c r="A26" s="1" t="s">
        <v>104</v>
      </c>
      <c r="C26" s="10" t="s">
        <v>104</v>
      </c>
      <c r="D26" s="10">
        <f>COUNTIF($A$4:$A$182,Table3[[#This Row],[unique]])</f>
        <v>2</v>
      </c>
      <c r="F26" s="1" t="s">
        <v>523</v>
      </c>
      <c r="H26" s="10" t="s">
        <v>175</v>
      </c>
      <c r="I26" s="10">
        <f>COUNTIF($F$5:$F$107,Table4[[#This Row],[unique]])</f>
        <v>1</v>
      </c>
      <c r="K26" s="1" t="s">
        <v>73</v>
      </c>
      <c r="P26" s="1" t="s">
        <v>163</v>
      </c>
      <c r="R26" s="10" t="s">
        <v>128</v>
      </c>
      <c r="S26" s="10">
        <f>COUNTIF(P$5:P$47,Table7[[#This Row],[unique]])</f>
        <v>1</v>
      </c>
      <c r="Z26" s="1" t="s">
        <v>524</v>
      </c>
      <c r="AK26" s="1" t="s">
        <v>557</v>
      </c>
      <c r="AL26" s="1">
        <v>2013</v>
      </c>
      <c r="AM26" s="1" t="s">
        <v>682</v>
      </c>
      <c r="AN26" s="1" t="b">
        <f t="shared" si="0"/>
        <v>1</v>
      </c>
    </row>
    <row r="27" spans="1:45" x14ac:dyDescent="0.2">
      <c r="A27" s="1" t="s">
        <v>521</v>
      </c>
      <c r="C27" s="10" t="s">
        <v>193</v>
      </c>
      <c r="D27" s="10">
        <f>COUNTIF($A$4:$A$182,Table3[[#This Row],[unique]])</f>
        <v>2</v>
      </c>
      <c r="F27" s="1" t="s">
        <v>520</v>
      </c>
      <c r="H27" s="10" t="s">
        <v>219</v>
      </c>
      <c r="I27" s="10">
        <f>COUNTIF($F$5:$F$107,Table4[[#This Row],[unique]])</f>
        <v>1</v>
      </c>
      <c r="P27" s="1" t="s">
        <v>116</v>
      </c>
      <c r="Z27" s="1" t="s">
        <v>526</v>
      </c>
      <c r="AK27" s="1" t="s">
        <v>558</v>
      </c>
      <c r="AL27" s="1">
        <v>2013</v>
      </c>
      <c r="AM27" s="1" t="s">
        <v>110</v>
      </c>
      <c r="AN27" s="1" t="b">
        <f t="shared" si="0"/>
        <v>1</v>
      </c>
    </row>
    <row r="28" spans="1:45" x14ac:dyDescent="0.2">
      <c r="A28" s="1" t="s">
        <v>89</v>
      </c>
      <c r="C28" s="10" t="s">
        <v>258</v>
      </c>
      <c r="D28" s="10">
        <f>COUNTIF($A$4:$A$182,Table3[[#This Row],[unique]])</f>
        <v>2</v>
      </c>
      <c r="F28" s="1" t="s">
        <v>122</v>
      </c>
      <c r="H28" s="10" t="s">
        <v>224</v>
      </c>
      <c r="I28" s="10">
        <f>COUNTIF($F$5:$F$107,Table4[[#This Row],[unique]])</f>
        <v>1</v>
      </c>
      <c r="P28" s="1" t="s">
        <v>66</v>
      </c>
      <c r="Z28" s="1" t="s">
        <v>522</v>
      </c>
      <c r="AK28" s="1" t="s">
        <v>559</v>
      </c>
      <c r="AL28" s="1">
        <v>2013</v>
      </c>
      <c r="AM28" s="1" t="s">
        <v>683</v>
      </c>
      <c r="AN28" s="1" t="b">
        <f t="shared" si="0"/>
        <v>1</v>
      </c>
    </row>
    <row r="29" spans="1:45" x14ac:dyDescent="0.2">
      <c r="A29" s="1" t="s">
        <v>79</v>
      </c>
      <c r="C29" s="10" t="s">
        <v>524</v>
      </c>
      <c r="D29" s="10">
        <f>COUNTIF($A$4:$A$182,Table3[[#This Row],[unique]])</f>
        <v>2</v>
      </c>
      <c r="F29" s="1" t="s">
        <v>523</v>
      </c>
      <c r="H29" s="10" t="s">
        <v>234</v>
      </c>
      <c r="I29" s="10">
        <f>COUNTIF($F$5:$F$107,Table4[[#This Row],[unique]])</f>
        <v>1</v>
      </c>
      <c r="P29" s="1" t="s">
        <v>73</v>
      </c>
      <c r="Z29" s="1" t="s">
        <v>66</v>
      </c>
      <c r="AK29" s="1" t="s">
        <v>560</v>
      </c>
      <c r="AL29" s="1">
        <v>2013</v>
      </c>
      <c r="AM29" s="1" t="s">
        <v>73</v>
      </c>
      <c r="AN29" s="1" t="b">
        <f t="shared" si="0"/>
        <v>1</v>
      </c>
    </row>
    <row r="30" spans="1:45" x14ac:dyDescent="0.2">
      <c r="A30" s="1" t="s">
        <v>66</v>
      </c>
      <c r="C30" s="10" t="s">
        <v>526</v>
      </c>
      <c r="D30" s="10">
        <f>COUNTIF($A$4:$A$182,Table3[[#This Row],[unique]])</f>
        <v>2</v>
      </c>
      <c r="F30" s="1" t="s">
        <v>187</v>
      </c>
      <c r="H30" s="10" t="s">
        <v>524</v>
      </c>
      <c r="I30" s="10">
        <f>COUNTIF($F$5:$F$107,Table4[[#This Row],[unique]])</f>
        <v>1</v>
      </c>
      <c r="P30" s="1" t="s">
        <v>48</v>
      </c>
      <c r="Z30" s="1" t="s">
        <v>116</v>
      </c>
      <c r="AK30" s="1" t="s">
        <v>561</v>
      </c>
      <c r="AL30" s="1">
        <v>2013</v>
      </c>
      <c r="AM30" s="1" t="s">
        <v>104</v>
      </c>
      <c r="AN30" s="1" t="b">
        <f t="shared" si="0"/>
        <v>1</v>
      </c>
    </row>
    <row r="31" spans="1:45" x14ac:dyDescent="0.2">
      <c r="A31" s="1" t="s">
        <v>48</v>
      </c>
      <c r="C31" s="10" t="s">
        <v>55</v>
      </c>
      <c r="D31" s="10">
        <f>COUNTIF($A$4:$A$182,Table3[[#This Row],[unique]])</f>
        <v>1</v>
      </c>
      <c r="F31" s="1" t="s">
        <v>521</v>
      </c>
      <c r="H31" s="10" t="s">
        <v>526</v>
      </c>
      <c r="I31" s="10">
        <f>COUNTIF($F$5:$F$107,Table4[[#This Row],[unique]])</f>
        <v>1</v>
      </c>
      <c r="P31" s="1" t="s">
        <v>96</v>
      </c>
      <c r="Z31" s="1" t="s">
        <v>84</v>
      </c>
      <c r="AK31" s="1" t="s">
        <v>562</v>
      </c>
      <c r="AL31" s="1">
        <v>2013</v>
      </c>
      <c r="AM31" s="1" t="s">
        <v>680</v>
      </c>
      <c r="AN31" s="1" t="b">
        <f t="shared" si="0"/>
        <v>1</v>
      </c>
    </row>
    <row r="32" spans="1:45" x14ac:dyDescent="0.2">
      <c r="A32" s="1" t="s">
        <v>96</v>
      </c>
      <c r="C32" s="10" t="s">
        <v>63</v>
      </c>
      <c r="D32" s="10">
        <f>COUNTIF($A$4:$A$182,Table3[[#This Row],[unique]])</f>
        <v>1</v>
      </c>
      <c r="F32" s="1" t="s">
        <v>523</v>
      </c>
      <c r="H32" s="10" t="s">
        <v>133</v>
      </c>
      <c r="I32" s="10">
        <f>COUNTIF($F$5:$F$107,Table4[[#This Row],[unique]])</f>
        <v>1</v>
      </c>
      <c r="P32" s="1" t="s">
        <v>181</v>
      </c>
      <c r="Z32" s="1" t="s">
        <v>156</v>
      </c>
      <c r="AK32" s="1" t="s">
        <v>563</v>
      </c>
      <c r="AL32" s="1">
        <v>2013</v>
      </c>
      <c r="AM32" s="1" t="s">
        <v>79</v>
      </c>
      <c r="AN32" s="1" t="b">
        <f t="shared" si="0"/>
        <v>1</v>
      </c>
    </row>
    <row r="33" spans="1:40" x14ac:dyDescent="0.2">
      <c r="A33" s="1" t="s">
        <v>163</v>
      </c>
      <c r="C33" s="10" t="s">
        <v>100</v>
      </c>
      <c r="D33" s="10">
        <f>COUNTIF($A$4:$A$182,Table3[[#This Row],[unique]])</f>
        <v>1</v>
      </c>
      <c r="F33" s="1" t="s">
        <v>116</v>
      </c>
      <c r="H33" s="10" t="s">
        <v>139</v>
      </c>
      <c r="I33" s="10">
        <f>COUNTIF($F$5:$F$107,Table4[[#This Row],[unique]])</f>
        <v>1</v>
      </c>
      <c r="P33" s="1" t="s">
        <v>116</v>
      </c>
      <c r="Z33" s="1" t="s">
        <v>522</v>
      </c>
      <c r="AK33" s="1" t="s">
        <v>564</v>
      </c>
      <c r="AL33" s="1">
        <v>2013</v>
      </c>
      <c r="AN33" s="1" t="b">
        <f t="shared" si="0"/>
        <v>0</v>
      </c>
    </row>
    <row r="34" spans="1:40" x14ac:dyDescent="0.2">
      <c r="A34" s="1" t="s">
        <v>116</v>
      </c>
      <c r="C34" s="10" t="s">
        <v>156</v>
      </c>
      <c r="D34" s="10">
        <f>COUNTIF($A$4:$A$182,Table3[[#This Row],[unique]])</f>
        <v>1</v>
      </c>
      <c r="F34" s="1" t="s">
        <v>163</v>
      </c>
      <c r="H34" s="10" t="s">
        <v>181</v>
      </c>
      <c r="I34" s="10">
        <f>COUNTIF($F$5:$F$107,Table4[[#This Row],[unique]])</f>
        <v>1</v>
      </c>
      <c r="P34" s="1" t="s">
        <v>181</v>
      </c>
      <c r="Z34" s="1" t="s">
        <v>66</v>
      </c>
      <c r="AK34" s="1" t="s">
        <v>565</v>
      </c>
      <c r="AL34" s="1">
        <v>2014</v>
      </c>
      <c r="AN34" s="1" t="b">
        <f t="shared" si="0"/>
        <v>0</v>
      </c>
    </row>
    <row r="35" spans="1:40" x14ac:dyDescent="0.2">
      <c r="A35" s="1" t="s">
        <v>84</v>
      </c>
      <c r="C35" s="10" t="s">
        <v>187</v>
      </c>
      <c r="D35" s="10">
        <f>COUNTIF($A$4:$A$182,Table3[[#This Row],[unique]])</f>
        <v>1</v>
      </c>
      <c r="F35" s="1" t="s">
        <v>116</v>
      </c>
      <c r="H35" s="10" t="s">
        <v>253</v>
      </c>
      <c r="I35" s="10">
        <f>COUNTIF($F$5:$F$107,Table4[[#This Row],[unique]])</f>
        <v>1</v>
      </c>
      <c r="P35" s="1" t="s">
        <v>79</v>
      </c>
      <c r="Z35" s="1" t="s">
        <v>523</v>
      </c>
      <c r="AK35" s="1" t="s">
        <v>566</v>
      </c>
      <c r="AL35" s="1">
        <v>2014</v>
      </c>
      <c r="AM35" s="1" t="s">
        <v>66</v>
      </c>
      <c r="AN35" s="1" t="b">
        <f t="shared" si="0"/>
        <v>1</v>
      </c>
    </row>
    <row r="36" spans="1:40" x14ac:dyDescent="0.2">
      <c r="A36" s="1" t="s">
        <v>156</v>
      </c>
      <c r="C36" s="10" t="s">
        <v>198</v>
      </c>
      <c r="D36" s="10">
        <f>COUNTIF($A$4:$A$182,Table3[[#This Row],[unique]])</f>
        <v>1</v>
      </c>
      <c r="F36" s="1" t="s">
        <v>66</v>
      </c>
      <c r="H36" s="10" t="s">
        <v>248</v>
      </c>
      <c r="I36" s="10">
        <f>COUNTIF($F$5:$F$107,Table4[[#This Row],[unique]])</f>
        <v>1</v>
      </c>
      <c r="P36" s="1" t="s">
        <v>110</v>
      </c>
      <c r="Z36" s="1" t="s">
        <v>520</v>
      </c>
      <c r="AK36" s="1" t="s">
        <v>567</v>
      </c>
      <c r="AL36" s="1">
        <v>2014</v>
      </c>
      <c r="AM36" s="1" t="s">
        <v>684</v>
      </c>
      <c r="AN36" s="1" t="b">
        <f t="shared" si="0"/>
        <v>1</v>
      </c>
    </row>
    <row r="37" spans="1:40" x14ac:dyDescent="0.2">
      <c r="A37" s="1" t="s">
        <v>522</v>
      </c>
      <c r="C37" s="10" t="s">
        <v>268</v>
      </c>
      <c r="D37" s="10">
        <f>COUNTIF($A$4:$A$182,Table3[[#This Row],[unique]])</f>
        <v>1</v>
      </c>
      <c r="F37" s="1" t="s">
        <v>523</v>
      </c>
      <c r="P37" s="1" t="s">
        <v>175</v>
      </c>
      <c r="Z37" s="1" t="s">
        <v>169</v>
      </c>
      <c r="AK37" s="1" t="s">
        <v>568</v>
      </c>
      <c r="AL37" s="1">
        <v>2014</v>
      </c>
      <c r="AM37" s="1" t="s">
        <v>116</v>
      </c>
      <c r="AN37" s="1" t="b">
        <f t="shared" si="0"/>
        <v>1</v>
      </c>
    </row>
    <row r="38" spans="1:40" x14ac:dyDescent="0.2">
      <c r="A38" s="1" t="s">
        <v>66</v>
      </c>
      <c r="C38" s="10" t="s">
        <v>219</v>
      </c>
      <c r="D38" s="10">
        <f>COUNTIF($A$4:$A$182,Table3[[#This Row],[unique]])</f>
        <v>1</v>
      </c>
      <c r="F38" s="1" t="s">
        <v>116</v>
      </c>
      <c r="P38" s="1" t="s">
        <v>521</v>
      </c>
      <c r="Z38" s="1" t="s">
        <v>523</v>
      </c>
      <c r="AK38" s="1" t="s">
        <v>569</v>
      </c>
      <c r="AL38" s="1">
        <v>2015</v>
      </c>
      <c r="AN38" s="1" t="b">
        <f t="shared" si="0"/>
        <v>0</v>
      </c>
    </row>
    <row r="39" spans="1:40" x14ac:dyDescent="0.2">
      <c r="A39" s="1" t="s">
        <v>523</v>
      </c>
      <c r="C39" s="10" t="s">
        <v>224</v>
      </c>
      <c r="D39" s="10">
        <f>COUNTIF($A$4:$A$182,Table3[[#This Row],[unique]])</f>
        <v>1</v>
      </c>
      <c r="F39" s="1" t="s">
        <v>523</v>
      </c>
      <c r="P39" s="1" t="s">
        <v>181</v>
      </c>
      <c r="Z39" s="1" t="s">
        <v>73</v>
      </c>
      <c r="AK39" s="1" t="s">
        <v>570</v>
      </c>
      <c r="AL39" s="1">
        <v>2015</v>
      </c>
      <c r="AN39" s="1" t="b">
        <f t="shared" si="0"/>
        <v>0</v>
      </c>
    </row>
    <row r="40" spans="1:40" x14ac:dyDescent="0.2">
      <c r="A40" s="1" t="s">
        <v>520</v>
      </c>
      <c r="C40" s="10" t="s">
        <v>234</v>
      </c>
      <c r="D40" s="10">
        <f>COUNTIF($A$4:$A$182,Table3[[#This Row],[unique]])</f>
        <v>1</v>
      </c>
      <c r="F40" s="1" t="s">
        <v>520</v>
      </c>
      <c r="P40" s="1" t="s">
        <v>116</v>
      </c>
      <c r="Z40" s="1" t="s">
        <v>116</v>
      </c>
      <c r="AK40" s="1" t="s">
        <v>571</v>
      </c>
      <c r="AL40" s="1">
        <v>2015</v>
      </c>
      <c r="AN40" s="1" t="b">
        <f t="shared" si="0"/>
        <v>0</v>
      </c>
    </row>
    <row r="41" spans="1:40" x14ac:dyDescent="0.2">
      <c r="A41" s="1" t="s">
        <v>523</v>
      </c>
      <c r="C41" s="10" t="s">
        <v>133</v>
      </c>
      <c r="D41" s="10">
        <f>COUNTIF($A$4:$A$182,Table3[[#This Row],[unique]])</f>
        <v>1</v>
      </c>
      <c r="F41" s="1" t="s">
        <v>521</v>
      </c>
      <c r="P41" s="1" t="s">
        <v>524</v>
      </c>
      <c r="AK41" s="1" t="s">
        <v>572</v>
      </c>
      <c r="AL41" s="1">
        <v>2015</v>
      </c>
      <c r="AM41" s="1" t="s">
        <v>685</v>
      </c>
      <c r="AN41" s="1" t="b">
        <f t="shared" si="0"/>
        <v>1</v>
      </c>
    </row>
    <row r="42" spans="1:40" x14ac:dyDescent="0.2">
      <c r="A42" s="1" t="s">
        <v>116</v>
      </c>
      <c r="C42" s="10" t="s">
        <v>139</v>
      </c>
      <c r="D42" s="10">
        <f>COUNTIF($A$4:$A$182,Table3[[#This Row],[unique]])</f>
        <v>1</v>
      </c>
      <c r="F42" s="1" t="s">
        <v>89</v>
      </c>
      <c r="P42" s="1" t="s">
        <v>526</v>
      </c>
      <c r="AK42" s="1" t="s">
        <v>573</v>
      </c>
      <c r="AL42" s="1">
        <v>2015</v>
      </c>
      <c r="AN42" s="1" t="b">
        <f t="shared" si="0"/>
        <v>0</v>
      </c>
    </row>
    <row r="43" spans="1:40" x14ac:dyDescent="0.2">
      <c r="A43" s="1" t="s">
        <v>66</v>
      </c>
      <c r="C43" s="10" t="s">
        <v>253</v>
      </c>
      <c r="D43" s="10">
        <f>COUNTIF($A$4:$A$182,Table3[[#This Row],[unique]])</f>
        <v>1</v>
      </c>
      <c r="F43" s="1" t="s">
        <v>163</v>
      </c>
      <c r="P43" s="1" t="s">
        <v>522</v>
      </c>
      <c r="AK43" s="1" t="s">
        <v>574</v>
      </c>
      <c r="AL43" s="1">
        <v>2015</v>
      </c>
      <c r="AN43" s="1" t="b">
        <f t="shared" si="0"/>
        <v>0</v>
      </c>
    </row>
    <row r="44" spans="1:40" x14ac:dyDescent="0.2">
      <c r="A44" s="1" t="s">
        <v>73</v>
      </c>
      <c r="C44" s="10" t="s">
        <v>242</v>
      </c>
      <c r="D44" s="10">
        <f>COUNTIF($A$4:$A$182,Table3[[#This Row],[unique]])</f>
        <v>1</v>
      </c>
      <c r="F44" s="1" t="s">
        <v>128</v>
      </c>
      <c r="P44" s="1" t="s">
        <v>116</v>
      </c>
      <c r="AK44" s="1" t="s">
        <v>575</v>
      </c>
      <c r="AL44" s="1">
        <v>2015</v>
      </c>
      <c r="AN44" s="1" t="b">
        <f t="shared" si="0"/>
        <v>0</v>
      </c>
    </row>
    <row r="45" spans="1:40" x14ac:dyDescent="0.2">
      <c r="A45" s="1" t="s">
        <v>89</v>
      </c>
      <c r="C45" s="10" t="s">
        <v>238</v>
      </c>
      <c r="D45" s="10">
        <f>COUNTIF($A$4:$A$182,Table3[[#This Row],[unique]])</f>
        <v>1</v>
      </c>
      <c r="F45" s="1" t="s">
        <v>214</v>
      </c>
      <c r="P45" s="1" t="s">
        <v>242</v>
      </c>
      <c r="AK45" s="1" t="s">
        <v>576</v>
      </c>
      <c r="AL45" s="1">
        <v>2015</v>
      </c>
      <c r="AM45" s="1" t="s">
        <v>523</v>
      </c>
      <c r="AN45" s="1" t="b">
        <f t="shared" si="0"/>
        <v>1</v>
      </c>
    </row>
    <row r="46" spans="1:40" x14ac:dyDescent="0.2">
      <c r="A46" s="1" t="s">
        <v>79</v>
      </c>
      <c r="C46" s="10" t="s">
        <v>248</v>
      </c>
      <c r="D46" s="10">
        <f>COUNTIF($A$4:$A$182,Table3[[#This Row],[unique]])</f>
        <v>1</v>
      </c>
      <c r="F46" s="1" t="s">
        <v>163</v>
      </c>
      <c r="P46" s="1" t="s">
        <v>128</v>
      </c>
      <c r="AK46" s="1" t="s">
        <v>577</v>
      </c>
      <c r="AL46" s="1">
        <v>2015</v>
      </c>
      <c r="AM46" s="1" t="s">
        <v>686</v>
      </c>
      <c r="AN46" s="1" t="b">
        <f t="shared" si="0"/>
        <v>1</v>
      </c>
    </row>
    <row r="47" spans="1:40" x14ac:dyDescent="0.2">
      <c r="A47" s="1" t="s">
        <v>66</v>
      </c>
      <c r="F47" s="1" t="s">
        <v>193</v>
      </c>
      <c r="P47" s="1" t="s">
        <v>116</v>
      </c>
      <c r="AK47" s="1" t="s">
        <v>578</v>
      </c>
      <c r="AL47" s="1">
        <v>2015</v>
      </c>
      <c r="AM47" s="1" t="s">
        <v>89</v>
      </c>
      <c r="AN47" s="1" t="b">
        <f t="shared" si="0"/>
        <v>1</v>
      </c>
    </row>
    <row r="48" spans="1:40" x14ac:dyDescent="0.2">
      <c r="A48" s="1" t="s">
        <v>163</v>
      </c>
      <c r="F48" s="1" t="s">
        <v>198</v>
      </c>
      <c r="AK48" s="1" t="s">
        <v>579</v>
      </c>
      <c r="AL48" s="1">
        <v>2016</v>
      </c>
      <c r="AM48" s="1" t="s">
        <v>687</v>
      </c>
      <c r="AN48" s="1" t="b">
        <f t="shared" si="0"/>
        <v>1</v>
      </c>
    </row>
    <row r="49" spans="1:40" x14ac:dyDescent="0.2">
      <c r="A49" s="1" t="s">
        <v>48</v>
      </c>
      <c r="F49" s="1" t="s">
        <v>523</v>
      </c>
      <c r="AK49" s="1" t="s">
        <v>580</v>
      </c>
      <c r="AL49" s="1">
        <v>2016</v>
      </c>
      <c r="AN49" s="1" t="b">
        <f t="shared" si="0"/>
        <v>0</v>
      </c>
    </row>
    <row r="50" spans="1:40" x14ac:dyDescent="0.2">
      <c r="A50" s="1" t="s">
        <v>96</v>
      </c>
      <c r="F50" s="1" t="s">
        <v>128</v>
      </c>
      <c r="AK50" s="1" t="s">
        <v>581</v>
      </c>
      <c r="AL50" s="1">
        <v>2016</v>
      </c>
      <c r="AM50" s="1" t="s">
        <v>163</v>
      </c>
      <c r="AN50" s="1" t="b">
        <f t="shared" si="0"/>
        <v>1</v>
      </c>
    </row>
    <row r="51" spans="1:40" x14ac:dyDescent="0.2">
      <c r="A51" s="1" t="s">
        <v>122</v>
      </c>
      <c r="F51" s="1" t="s">
        <v>520</v>
      </c>
      <c r="AK51" s="1" t="s">
        <v>582</v>
      </c>
      <c r="AL51" s="1">
        <v>2016</v>
      </c>
      <c r="AN51" s="1" t="b">
        <f t="shared" si="0"/>
        <v>0</v>
      </c>
    </row>
    <row r="52" spans="1:40" x14ac:dyDescent="0.2">
      <c r="A52" s="1" t="s">
        <v>523</v>
      </c>
      <c r="F52" s="1" t="s">
        <v>258</v>
      </c>
      <c r="AK52" s="1" t="s">
        <v>583</v>
      </c>
      <c r="AL52" s="1">
        <v>2016</v>
      </c>
      <c r="AN52" s="1" t="b">
        <f t="shared" si="0"/>
        <v>0</v>
      </c>
    </row>
    <row r="53" spans="1:40" x14ac:dyDescent="0.2">
      <c r="A53" s="1" t="s">
        <v>520</v>
      </c>
      <c r="F53" s="1" t="s">
        <v>116</v>
      </c>
      <c r="AK53" s="1" t="s">
        <v>584</v>
      </c>
      <c r="AL53" s="1">
        <v>2016</v>
      </c>
      <c r="AM53" s="1" t="s">
        <v>682</v>
      </c>
      <c r="AN53" s="1" t="b">
        <f t="shared" si="0"/>
        <v>1</v>
      </c>
    </row>
    <row r="54" spans="1:40" x14ac:dyDescent="0.2">
      <c r="A54" s="1" t="s">
        <v>104</v>
      </c>
      <c r="F54" s="1" t="s">
        <v>214</v>
      </c>
      <c r="AK54" s="1" t="s">
        <v>585</v>
      </c>
      <c r="AL54" s="1">
        <v>2016</v>
      </c>
      <c r="AN54" s="1" t="b">
        <f t="shared" si="0"/>
        <v>0</v>
      </c>
    </row>
    <row r="55" spans="1:40" x14ac:dyDescent="0.2">
      <c r="A55" s="1" t="s">
        <v>163</v>
      </c>
      <c r="F55" s="1" t="s">
        <v>128</v>
      </c>
      <c r="AK55" s="1" t="s">
        <v>586</v>
      </c>
      <c r="AL55" s="1">
        <v>2016</v>
      </c>
      <c r="AN55" s="1" t="b">
        <f t="shared" si="0"/>
        <v>0</v>
      </c>
    </row>
    <row r="56" spans="1:40" x14ac:dyDescent="0.2">
      <c r="A56" s="1" t="s">
        <v>175</v>
      </c>
      <c r="F56" s="1" t="s">
        <v>268</v>
      </c>
      <c r="AK56" s="1" t="s">
        <v>587</v>
      </c>
      <c r="AL56" s="1">
        <v>2016</v>
      </c>
      <c r="AN56" s="1" t="b">
        <f t="shared" si="0"/>
        <v>0</v>
      </c>
    </row>
    <row r="57" spans="1:40" x14ac:dyDescent="0.2">
      <c r="A57" s="1" t="s">
        <v>116</v>
      </c>
      <c r="F57" s="1" t="s">
        <v>169</v>
      </c>
      <c r="AK57" s="1" t="s">
        <v>588</v>
      </c>
      <c r="AL57" s="1">
        <v>2016</v>
      </c>
      <c r="AN57" s="1" t="b">
        <f t="shared" si="0"/>
        <v>0</v>
      </c>
    </row>
    <row r="58" spans="1:40" x14ac:dyDescent="0.2">
      <c r="A58" s="1" t="s">
        <v>84</v>
      </c>
      <c r="F58" s="1" t="s">
        <v>523</v>
      </c>
      <c r="AK58" s="1" t="s">
        <v>589</v>
      </c>
      <c r="AL58" s="1">
        <v>2017</v>
      </c>
      <c r="AM58" s="1" t="s">
        <v>688</v>
      </c>
      <c r="AN58" s="1" t="b">
        <f t="shared" si="0"/>
        <v>1</v>
      </c>
    </row>
    <row r="59" spans="1:40" x14ac:dyDescent="0.2">
      <c r="A59" s="1" t="s">
        <v>116</v>
      </c>
      <c r="F59" s="1" t="s">
        <v>122</v>
      </c>
      <c r="AK59" s="1" t="s">
        <v>590</v>
      </c>
      <c r="AL59" s="1">
        <v>2017</v>
      </c>
      <c r="AM59" s="1" t="s">
        <v>104</v>
      </c>
      <c r="AN59" s="1" t="b">
        <f t="shared" si="0"/>
        <v>1</v>
      </c>
    </row>
    <row r="60" spans="1:40" x14ac:dyDescent="0.2">
      <c r="A60" s="1" t="s">
        <v>66</v>
      </c>
      <c r="F60" s="1" t="s">
        <v>520</v>
      </c>
      <c r="AK60" s="1" t="s">
        <v>591</v>
      </c>
      <c r="AL60" s="1">
        <v>2017</v>
      </c>
      <c r="AN60" s="1" t="b">
        <f t="shared" si="0"/>
        <v>0</v>
      </c>
    </row>
    <row r="61" spans="1:40" x14ac:dyDescent="0.2">
      <c r="A61" s="1" t="s">
        <v>122</v>
      </c>
      <c r="F61" s="1" t="s">
        <v>163</v>
      </c>
      <c r="AK61" s="1" t="s">
        <v>592</v>
      </c>
      <c r="AL61" s="1">
        <v>2017</v>
      </c>
      <c r="AN61" s="1" t="b">
        <f t="shared" si="0"/>
        <v>0</v>
      </c>
    </row>
    <row r="62" spans="1:40" x14ac:dyDescent="0.2">
      <c r="A62" s="1" t="s">
        <v>169</v>
      </c>
      <c r="F62" s="1" t="s">
        <v>116</v>
      </c>
      <c r="AK62" s="1" t="s">
        <v>593</v>
      </c>
      <c r="AL62" s="1">
        <v>2017</v>
      </c>
      <c r="AM62" s="1" t="s">
        <v>689</v>
      </c>
      <c r="AN62" s="1" t="b">
        <f t="shared" si="0"/>
        <v>1</v>
      </c>
    </row>
    <row r="63" spans="1:40" x14ac:dyDescent="0.2">
      <c r="A63" s="1" t="s">
        <v>116</v>
      </c>
      <c r="F63" s="1" t="s">
        <v>214</v>
      </c>
      <c r="AK63" s="1" t="s">
        <v>594</v>
      </c>
      <c r="AL63" s="1">
        <v>2017</v>
      </c>
      <c r="AM63" s="1" t="s">
        <v>116</v>
      </c>
      <c r="AN63" s="1" t="b">
        <f t="shared" si="0"/>
        <v>1</v>
      </c>
    </row>
    <row r="64" spans="1:40" x14ac:dyDescent="0.2">
      <c r="A64" s="1" t="s">
        <v>73</v>
      </c>
      <c r="F64" s="1" t="s">
        <v>116</v>
      </c>
      <c r="AK64" s="1" t="s">
        <v>595</v>
      </c>
      <c r="AL64" s="1">
        <v>2017</v>
      </c>
      <c r="AM64" s="1" t="s">
        <v>690</v>
      </c>
      <c r="AN64" s="1" t="b">
        <f t="shared" si="0"/>
        <v>1</v>
      </c>
    </row>
    <row r="65" spans="1:40" x14ac:dyDescent="0.2">
      <c r="A65" s="1" t="s">
        <v>181</v>
      </c>
      <c r="F65" s="1" t="s">
        <v>163</v>
      </c>
      <c r="AK65" s="1" t="s">
        <v>596</v>
      </c>
      <c r="AL65" s="1">
        <v>2017</v>
      </c>
      <c r="AM65" s="1" t="s">
        <v>691</v>
      </c>
      <c r="AN65" s="1" t="b">
        <f t="shared" si="0"/>
        <v>1</v>
      </c>
    </row>
    <row r="66" spans="1:40" x14ac:dyDescent="0.2">
      <c r="A66" s="1" t="s">
        <v>122</v>
      </c>
      <c r="F66" s="1" t="s">
        <v>521</v>
      </c>
      <c r="AK66" s="1" t="s">
        <v>597</v>
      </c>
      <c r="AL66" s="1">
        <v>2018</v>
      </c>
      <c r="AM66" s="1" t="s">
        <v>692</v>
      </c>
      <c r="AN66" s="1" t="b">
        <f t="shared" si="0"/>
        <v>1</v>
      </c>
    </row>
    <row r="67" spans="1:40" x14ac:dyDescent="0.2">
      <c r="A67" s="1" t="s">
        <v>523</v>
      </c>
      <c r="F67" s="1" t="s">
        <v>116</v>
      </c>
      <c r="AK67" s="1" t="s">
        <v>598</v>
      </c>
      <c r="AL67" s="1">
        <v>2018</v>
      </c>
      <c r="AM67" s="1" t="s">
        <v>181</v>
      </c>
      <c r="AN67" s="1" t="b">
        <f t="shared" si="0"/>
        <v>1</v>
      </c>
    </row>
    <row r="68" spans="1:40" x14ac:dyDescent="0.2">
      <c r="A68" s="1" t="s">
        <v>520</v>
      </c>
      <c r="F68" s="1" t="s">
        <v>89</v>
      </c>
      <c r="AK68" s="1" t="s">
        <v>599</v>
      </c>
      <c r="AL68" s="1">
        <v>2018</v>
      </c>
      <c r="AM68" s="1" t="s">
        <v>688</v>
      </c>
      <c r="AN68" s="1" t="b">
        <f t="shared" si="0"/>
        <v>1</v>
      </c>
    </row>
    <row r="69" spans="1:40" x14ac:dyDescent="0.2">
      <c r="A69" s="1" t="s">
        <v>122</v>
      </c>
      <c r="F69" s="1" t="s">
        <v>175</v>
      </c>
      <c r="AK69" s="1" t="s">
        <v>600</v>
      </c>
      <c r="AL69" s="1">
        <v>2018</v>
      </c>
      <c r="AM69" s="1" t="s">
        <v>693</v>
      </c>
      <c r="AN69" s="1" t="b">
        <f t="shared" ref="AN69:AN132" si="3">NOT(ISBLANK(AM69))</f>
        <v>1</v>
      </c>
    </row>
    <row r="70" spans="1:40" x14ac:dyDescent="0.2">
      <c r="A70" s="1" t="s">
        <v>523</v>
      </c>
      <c r="F70" s="1" t="s">
        <v>163</v>
      </c>
      <c r="AK70" s="1" t="s">
        <v>601</v>
      </c>
      <c r="AL70" s="1">
        <v>2018</v>
      </c>
      <c r="AN70" s="1" t="b">
        <f t="shared" si="3"/>
        <v>0</v>
      </c>
    </row>
    <row r="71" spans="1:40" x14ac:dyDescent="0.2">
      <c r="A71" s="1" t="s">
        <v>187</v>
      </c>
      <c r="F71" s="1" t="s">
        <v>128</v>
      </c>
      <c r="AK71" s="1" t="s">
        <v>602</v>
      </c>
      <c r="AL71" s="1">
        <v>2018</v>
      </c>
      <c r="AM71" s="1" t="s">
        <v>187</v>
      </c>
      <c r="AN71" s="1" t="b">
        <f t="shared" si="3"/>
        <v>1</v>
      </c>
    </row>
    <row r="72" spans="1:40" x14ac:dyDescent="0.2">
      <c r="A72" s="1" t="s">
        <v>116</v>
      </c>
      <c r="F72" s="1" t="s">
        <v>219</v>
      </c>
      <c r="AK72" s="1" t="s">
        <v>603</v>
      </c>
      <c r="AL72" s="1">
        <v>2018</v>
      </c>
      <c r="AM72" s="1" t="s">
        <v>116</v>
      </c>
      <c r="AN72" s="1" t="b">
        <f t="shared" si="3"/>
        <v>1</v>
      </c>
    </row>
    <row r="73" spans="1:40" x14ac:dyDescent="0.2">
      <c r="A73" s="1" t="s">
        <v>521</v>
      </c>
      <c r="F73" s="1" t="s">
        <v>116</v>
      </c>
      <c r="AK73" s="1" t="s">
        <v>604</v>
      </c>
      <c r="AL73" s="1">
        <v>2018</v>
      </c>
      <c r="AM73" s="1" t="s">
        <v>694</v>
      </c>
      <c r="AN73" s="1" t="b">
        <f t="shared" si="3"/>
        <v>1</v>
      </c>
    </row>
    <row r="74" spans="1:40" x14ac:dyDescent="0.2">
      <c r="A74" s="1" t="s">
        <v>523</v>
      </c>
      <c r="F74" s="1" t="s">
        <v>208</v>
      </c>
      <c r="AK74" s="1" t="s">
        <v>605</v>
      </c>
      <c r="AL74" s="1">
        <v>2018</v>
      </c>
      <c r="AN74" s="1" t="b">
        <f t="shared" si="3"/>
        <v>0</v>
      </c>
    </row>
    <row r="75" spans="1:40" x14ac:dyDescent="0.2">
      <c r="A75" s="1" t="s">
        <v>116</v>
      </c>
      <c r="F75" s="1" t="s">
        <v>258</v>
      </c>
      <c r="AK75" s="1" t="s">
        <v>606</v>
      </c>
      <c r="AL75" s="1">
        <v>2018</v>
      </c>
      <c r="AM75" s="1" t="s">
        <v>116</v>
      </c>
      <c r="AN75" s="1" t="b">
        <f t="shared" si="3"/>
        <v>1</v>
      </c>
    </row>
    <row r="76" spans="1:40" x14ac:dyDescent="0.2">
      <c r="A76" s="1" t="s">
        <v>110</v>
      </c>
      <c r="F76" s="1" t="s">
        <v>224</v>
      </c>
      <c r="AK76" s="1" t="s">
        <v>607</v>
      </c>
      <c r="AL76" s="1">
        <v>2018</v>
      </c>
      <c r="AM76" s="1" t="s">
        <v>695</v>
      </c>
      <c r="AN76" s="1" t="b">
        <f t="shared" si="3"/>
        <v>1</v>
      </c>
    </row>
    <row r="77" spans="1:40" x14ac:dyDescent="0.2">
      <c r="A77" s="1" t="s">
        <v>175</v>
      </c>
      <c r="F77" s="1" t="s">
        <v>234</v>
      </c>
      <c r="AK77" s="1" t="s">
        <v>608</v>
      </c>
      <c r="AL77" s="1">
        <v>2018</v>
      </c>
      <c r="AN77" s="1" t="b">
        <f t="shared" si="3"/>
        <v>0</v>
      </c>
    </row>
    <row r="78" spans="1:40" x14ac:dyDescent="0.2">
      <c r="A78" s="1" t="s">
        <v>116</v>
      </c>
      <c r="F78" s="1" t="s">
        <v>523</v>
      </c>
      <c r="AK78" s="1" t="s">
        <v>609</v>
      </c>
      <c r="AL78" s="1">
        <v>2018</v>
      </c>
      <c r="AN78" s="1" t="b">
        <f t="shared" si="3"/>
        <v>0</v>
      </c>
    </row>
    <row r="79" spans="1:40" x14ac:dyDescent="0.2">
      <c r="A79" s="1" t="s">
        <v>163</v>
      </c>
      <c r="F79" s="1" t="s">
        <v>193</v>
      </c>
      <c r="AK79" s="1" t="s">
        <v>610</v>
      </c>
      <c r="AL79" s="1">
        <v>2018</v>
      </c>
      <c r="AM79" s="1" t="s">
        <v>696</v>
      </c>
      <c r="AN79" s="1" t="b">
        <f t="shared" si="3"/>
        <v>1</v>
      </c>
    </row>
    <row r="80" spans="1:40" x14ac:dyDescent="0.2">
      <c r="A80" s="1" t="s">
        <v>116</v>
      </c>
      <c r="F80" s="1" t="s">
        <v>523</v>
      </c>
      <c r="AK80" s="1" t="s">
        <v>611</v>
      </c>
      <c r="AL80" s="1">
        <v>2018</v>
      </c>
      <c r="AN80" s="1" t="b">
        <f t="shared" si="3"/>
        <v>0</v>
      </c>
    </row>
    <row r="81" spans="1:40" x14ac:dyDescent="0.2">
      <c r="A81" s="1" t="s">
        <v>66</v>
      </c>
      <c r="F81" s="1" t="s">
        <v>128</v>
      </c>
      <c r="AK81" s="1" t="s">
        <v>612</v>
      </c>
      <c r="AL81" s="1">
        <v>2018</v>
      </c>
      <c r="AM81" s="1" t="s">
        <v>697</v>
      </c>
      <c r="AN81" s="1" t="b">
        <f t="shared" si="3"/>
        <v>1</v>
      </c>
    </row>
    <row r="82" spans="1:40" x14ac:dyDescent="0.2">
      <c r="A82" s="1" t="s">
        <v>523</v>
      </c>
      <c r="F82" s="1" t="s">
        <v>214</v>
      </c>
      <c r="AK82" s="1" t="s">
        <v>613</v>
      </c>
      <c r="AL82" s="1">
        <v>2018</v>
      </c>
      <c r="AM82" s="1" t="s">
        <v>116</v>
      </c>
      <c r="AN82" s="1" t="b">
        <f t="shared" si="3"/>
        <v>1</v>
      </c>
    </row>
    <row r="83" spans="1:40" x14ac:dyDescent="0.2">
      <c r="A83" s="1" t="s">
        <v>116</v>
      </c>
      <c r="F83" s="1" t="s">
        <v>122</v>
      </c>
      <c r="AK83" s="1" t="s">
        <v>614</v>
      </c>
      <c r="AL83" s="1">
        <v>2018</v>
      </c>
      <c r="AN83" s="1" t="b">
        <f t="shared" si="3"/>
        <v>0</v>
      </c>
    </row>
    <row r="84" spans="1:40" x14ac:dyDescent="0.2">
      <c r="A84" s="1" t="s">
        <v>523</v>
      </c>
      <c r="F84" s="1" t="s">
        <v>128</v>
      </c>
      <c r="AK84" s="1" t="s">
        <v>615</v>
      </c>
      <c r="AL84" s="1">
        <v>2018</v>
      </c>
      <c r="AN84" s="1" t="b">
        <f t="shared" si="3"/>
        <v>0</v>
      </c>
    </row>
    <row r="85" spans="1:40" x14ac:dyDescent="0.2">
      <c r="A85" s="1" t="s">
        <v>520</v>
      </c>
      <c r="F85" s="1" t="s">
        <v>116</v>
      </c>
      <c r="AK85" s="1" t="s">
        <v>616</v>
      </c>
      <c r="AL85" s="1">
        <v>2018</v>
      </c>
      <c r="AM85" s="1" t="s">
        <v>698</v>
      </c>
      <c r="AN85" s="1" t="b">
        <f t="shared" si="3"/>
        <v>1</v>
      </c>
    </row>
    <row r="86" spans="1:40" x14ac:dyDescent="0.2">
      <c r="A86" s="1" t="s">
        <v>521</v>
      </c>
      <c r="F86" s="1" t="s">
        <v>163</v>
      </c>
      <c r="AK86" s="1" t="s">
        <v>617</v>
      </c>
      <c r="AL86" s="1">
        <v>2019</v>
      </c>
      <c r="AM86" s="1" t="s">
        <v>680</v>
      </c>
      <c r="AN86" s="1" t="b">
        <f t="shared" si="3"/>
        <v>1</v>
      </c>
    </row>
    <row r="87" spans="1:40" x14ac:dyDescent="0.2">
      <c r="A87" s="1" t="s">
        <v>89</v>
      </c>
      <c r="F87" s="1" t="s">
        <v>116</v>
      </c>
      <c r="AK87" s="1" t="s">
        <v>618</v>
      </c>
      <c r="AL87" s="1">
        <v>2019</v>
      </c>
      <c r="AN87" s="1" t="b">
        <f t="shared" si="3"/>
        <v>0</v>
      </c>
    </row>
    <row r="88" spans="1:40" x14ac:dyDescent="0.2">
      <c r="A88" s="1" t="s">
        <v>163</v>
      </c>
      <c r="F88" s="1" t="s">
        <v>208</v>
      </c>
      <c r="AK88" s="1" t="s">
        <v>619</v>
      </c>
      <c r="AL88" s="1">
        <v>2019</v>
      </c>
      <c r="AM88" s="1" t="s">
        <v>699</v>
      </c>
      <c r="AN88" s="1" t="b">
        <f t="shared" si="3"/>
        <v>1</v>
      </c>
    </row>
    <row r="89" spans="1:40" x14ac:dyDescent="0.2">
      <c r="A89" s="1" t="s">
        <v>128</v>
      </c>
      <c r="F89" s="1" t="s">
        <v>163</v>
      </c>
      <c r="AK89" s="1" t="s">
        <v>620</v>
      </c>
      <c r="AL89" s="1">
        <v>2019</v>
      </c>
      <c r="AN89" s="1" t="b">
        <f t="shared" si="3"/>
        <v>0</v>
      </c>
    </row>
    <row r="90" spans="1:40" x14ac:dyDescent="0.2">
      <c r="A90" s="1" t="s">
        <v>73</v>
      </c>
      <c r="F90" s="1" t="s">
        <v>128</v>
      </c>
      <c r="AK90" s="1" t="s">
        <v>621</v>
      </c>
      <c r="AL90" s="1">
        <v>2019</v>
      </c>
      <c r="AM90" s="1" t="s">
        <v>73</v>
      </c>
      <c r="AN90" s="1" t="b">
        <f t="shared" si="3"/>
        <v>1</v>
      </c>
    </row>
    <row r="91" spans="1:40" x14ac:dyDescent="0.2">
      <c r="A91" s="1" t="s">
        <v>169</v>
      </c>
      <c r="F91" s="1" t="s">
        <v>521</v>
      </c>
      <c r="AK91" s="1" t="s">
        <v>622</v>
      </c>
      <c r="AL91" s="1">
        <v>2019</v>
      </c>
      <c r="AM91" s="1" t="s">
        <v>700</v>
      </c>
      <c r="AN91" s="1" t="b">
        <f t="shared" si="3"/>
        <v>1</v>
      </c>
    </row>
    <row r="92" spans="1:40" x14ac:dyDescent="0.2">
      <c r="A92" s="1" t="s">
        <v>523</v>
      </c>
      <c r="F92" s="1" t="s">
        <v>116</v>
      </c>
      <c r="AK92" s="1" t="s">
        <v>623</v>
      </c>
      <c r="AL92" s="1">
        <v>2019</v>
      </c>
      <c r="AM92" s="1" t="s">
        <v>214</v>
      </c>
      <c r="AN92" s="1" t="b">
        <f t="shared" si="3"/>
        <v>1</v>
      </c>
    </row>
    <row r="93" spans="1:40" x14ac:dyDescent="0.2">
      <c r="A93" s="1" t="s">
        <v>214</v>
      </c>
      <c r="F93" s="1" t="s">
        <v>524</v>
      </c>
      <c r="AK93" s="1" t="s">
        <v>624</v>
      </c>
      <c r="AL93" s="1">
        <v>2019</v>
      </c>
      <c r="AM93" s="1" t="s">
        <v>163</v>
      </c>
      <c r="AN93" s="1" t="b">
        <f t="shared" si="3"/>
        <v>1</v>
      </c>
    </row>
    <row r="94" spans="1:40" x14ac:dyDescent="0.2">
      <c r="A94" s="1" t="s">
        <v>163</v>
      </c>
      <c r="F94" s="1" t="s">
        <v>526</v>
      </c>
      <c r="AK94" s="1" t="s">
        <v>625</v>
      </c>
      <c r="AL94" s="1">
        <v>2019</v>
      </c>
      <c r="AM94" s="1" t="s">
        <v>701</v>
      </c>
      <c r="AN94" s="1" t="b">
        <f t="shared" si="3"/>
        <v>1</v>
      </c>
    </row>
    <row r="95" spans="1:40" x14ac:dyDescent="0.2">
      <c r="A95" s="1" t="s">
        <v>181</v>
      </c>
      <c r="F95" s="1" t="s">
        <v>522</v>
      </c>
      <c r="AK95" s="1" t="s">
        <v>626</v>
      </c>
      <c r="AL95" s="1">
        <v>2019</v>
      </c>
      <c r="AN95" s="1" t="b">
        <f t="shared" si="3"/>
        <v>0</v>
      </c>
    </row>
    <row r="96" spans="1:40" x14ac:dyDescent="0.2">
      <c r="A96" s="1" t="s">
        <v>116</v>
      </c>
      <c r="F96" s="1" t="s">
        <v>66</v>
      </c>
      <c r="AK96" s="1" t="s">
        <v>627</v>
      </c>
      <c r="AL96" s="1">
        <v>2019</v>
      </c>
      <c r="AM96" s="1" t="s">
        <v>181</v>
      </c>
      <c r="AN96" s="1" t="b">
        <f t="shared" si="3"/>
        <v>1</v>
      </c>
    </row>
    <row r="97" spans="1:40" x14ac:dyDescent="0.2">
      <c r="A97" s="1" t="s">
        <v>110</v>
      </c>
      <c r="F97" s="1" t="s">
        <v>133</v>
      </c>
      <c r="AK97" s="1" t="s">
        <v>628</v>
      </c>
      <c r="AL97" s="1">
        <v>2019</v>
      </c>
      <c r="AM97" s="1" t="s">
        <v>116</v>
      </c>
      <c r="AN97" s="1" t="b">
        <f t="shared" si="3"/>
        <v>1</v>
      </c>
    </row>
    <row r="98" spans="1:40" x14ac:dyDescent="0.2">
      <c r="A98" s="1" t="s">
        <v>73</v>
      </c>
      <c r="F98" s="1" t="s">
        <v>139</v>
      </c>
      <c r="AK98" s="1" t="s">
        <v>629</v>
      </c>
      <c r="AL98" s="1">
        <v>2019</v>
      </c>
      <c r="AN98" s="1" t="b">
        <f t="shared" si="3"/>
        <v>0</v>
      </c>
    </row>
    <row r="99" spans="1:40" x14ac:dyDescent="0.2">
      <c r="A99" s="1" t="s">
        <v>181</v>
      </c>
      <c r="F99" s="1" t="s">
        <v>521</v>
      </c>
      <c r="AK99" s="1" t="s">
        <v>630</v>
      </c>
      <c r="AL99" s="1">
        <v>2019</v>
      </c>
      <c r="AN99" s="1" t="b">
        <f t="shared" si="3"/>
        <v>0</v>
      </c>
    </row>
    <row r="100" spans="1:40" x14ac:dyDescent="0.2">
      <c r="A100" s="1" t="s">
        <v>116</v>
      </c>
      <c r="F100" s="1" t="s">
        <v>116</v>
      </c>
      <c r="AK100" s="1" t="s">
        <v>631</v>
      </c>
      <c r="AL100" s="1">
        <v>2019</v>
      </c>
      <c r="AM100" s="1" t="s">
        <v>116</v>
      </c>
      <c r="AN100" s="1" t="b">
        <f t="shared" si="3"/>
        <v>1</v>
      </c>
    </row>
    <row r="101" spans="1:40" x14ac:dyDescent="0.2">
      <c r="A101" s="1" t="s">
        <v>116</v>
      </c>
      <c r="F101" s="1" t="s">
        <v>522</v>
      </c>
      <c r="AK101" s="1" t="s">
        <v>632</v>
      </c>
      <c r="AL101" s="1">
        <v>2020</v>
      </c>
      <c r="AM101" s="1" t="s">
        <v>73</v>
      </c>
      <c r="AN101" s="1" t="b">
        <f t="shared" si="3"/>
        <v>1</v>
      </c>
    </row>
    <row r="102" spans="1:40" x14ac:dyDescent="0.2">
      <c r="A102" s="1" t="s">
        <v>73</v>
      </c>
      <c r="F102" s="1" t="s">
        <v>520</v>
      </c>
      <c r="AK102" s="1" t="s">
        <v>633</v>
      </c>
      <c r="AL102" s="1">
        <v>2020</v>
      </c>
      <c r="AM102" s="1" t="s">
        <v>702</v>
      </c>
      <c r="AN102" s="1" t="b">
        <f t="shared" si="3"/>
        <v>1</v>
      </c>
    </row>
    <row r="103" spans="1:40" x14ac:dyDescent="0.2">
      <c r="A103" s="1" t="s">
        <v>193</v>
      </c>
      <c r="F103" s="1" t="s">
        <v>181</v>
      </c>
      <c r="AK103" s="1" t="s">
        <v>634</v>
      </c>
      <c r="AL103" s="1">
        <v>2020</v>
      </c>
      <c r="AM103" s="1" t="s">
        <v>258</v>
      </c>
      <c r="AN103" s="1" t="b">
        <f t="shared" si="3"/>
        <v>1</v>
      </c>
    </row>
    <row r="104" spans="1:40" x14ac:dyDescent="0.2">
      <c r="A104" s="1" t="s">
        <v>198</v>
      </c>
      <c r="F104" s="1" t="s">
        <v>253</v>
      </c>
      <c r="AK104" s="1" t="s">
        <v>635</v>
      </c>
      <c r="AL104" s="1">
        <v>2020</v>
      </c>
      <c r="AM104" s="1" t="s">
        <v>79</v>
      </c>
      <c r="AN104" s="1" t="b">
        <f t="shared" si="3"/>
        <v>1</v>
      </c>
    </row>
    <row r="105" spans="1:40" x14ac:dyDescent="0.2">
      <c r="A105" s="1" t="s">
        <v>523</v>
      </c>
      <c r="F105" s="1" t="s">
        <v>208</v>
      </c>
      <c r="AK105" s="1" t="s">
        <v>636</v>
      </c>
      <c r="AL105" s="1">
        <v>2020</v>
      </c>
      <c r="AM105" s="1" t="s">
        <v>703</v>
      </c>
      <c r="AN105" s="1" t="b">
        <f t="shared" si="3"/>
        <v>1</v>
      </c>
    </row>
    <row r="106" spans="1:40" x14ac:dyDescent="0.2">
      <c r="A106" s="1" t="s">
        <v>128</v>
      </c>
      <c r="F106" s="1" t="s">
        <v>128</v>
      </c>
      <c r="AK106" s="1" t="s">
        <v>637</v>
      </c>
      <c r="AL106" s="1">
        <v>2020</v>
      </c>
      <c r="AM106" s="1" t="s">
        <v>128</v>
      </c>
      <c r="AN106" s="1" t="b">
        <f t="shared" si="3"/>
        <v>1</v>
      </c>
    </row>
    <row r="107" spans="1:40" x14ac:dyDescent="0.2">
      <c r="A107" s="1" t="s">
        <v>520</v>
      </c>
      <c r="F107" s="1" t="s">
        <v>248</v>
      </c>
      <c r="AK107" s="1" t="s">
        <v>638</v>
      </c>
      <c r="AL107" s="1">
        <v>2020</v>
      </c>
      <c r="AN107" s="1" t="b">
        <f t="shared" si="3"/>
        <v>0</v>
      </c>
    </row>
    <row r="108" spans="1:40" x14ac:dyDescent="0.2">
      <c r="A108" s="1" t="s">
        <v>258</v>
      </c>
      <c r="AK108" s="1" t="s">
        <v>639</v>
      </c>
      <c r="AL108" s="1">
        <v>2020</v>
      </c>
      <c r="AM108" s="1" t="s">
        <v>704</v>
      </c>
      <c r="AN108" s="1" t="b">
        <f t="shared" si="3"/>
        <v>1</v>
      </c>
    </row>
    <row r="109" spans="1:40" x14ac:dyDescent="0.2">
      <c r="A109" s="1" t="s">
        <v>79</v>
      </c>
      <c r="AK109" s="1" t="s">
        <v>640</v>
      </c>
      <c r="AL109" s="1">
        <v>2020</v>
      </c>
      <c r="AM109" s="1" t="s">
        <v>705</v>
      </c>
      <c r="AN109" s="1" t="b">
        <f t="shared" si="3"/>
        <v>1</v>
      </c>
    </row>
    <row r="110" spans="1:40" x14ac:dyDescent="0.2">
      <c r="A110" s="1" t="s">
        <v>116</v>
      </c>
      <c r="AK110" s="1" t="s">
        <v>641</v>
      </c>
      <c r="AL110" s="1">
        <v>2020</v>
      </c>
      <c r="AM110" s="1" t="s">
        <v>73</v>
      </c>
      <c r="AN110" s="1" t="b">
        <f t="shared" si="3"/>
        <v>1</v>
      </c>
    </row>
    <row r="111" spans="1:40" x14ac:dyDescent="0.2">
      <c r="A111" s="1" t="s">
        <v>214</v>
      </c>
      <c r="AK111" s="1" t="s">
        <v>642</v>
      </c>
      <c r="AL111" s="1">
        <v>2020</v>
      </c>
      <c r="AM111" s="1" t="s">
        <v>163</v>
      </c>
      <c r="AN111" s="1" t="b">
        <f t="shared" si="3"/>
        <v>1</v>
      </c>
    </row>
    <row r="112" spans="1:40" x14ac:dyDescent="0.2">
      <c r="A112" s="1" t="s">
        <v>128</v>
      </c>
      <c r="AK112" s="1" t="s">
        <v>643</v>
      </c>
      <c r="AL112" s="1">
        <v>2020</v>
      </c>
      <c r="AN112" s="1" t="b">
        <f t="shared" si="3"/>
        <v>0</v>
      </c>
    </row>
    <row r="113" spans="1:40" x14ac:dyDescent="0.2">
      <c r="A113" s="1" t="s">
        <v>268</v>
      </c>
      <c r="AK113" s="1" t="s">
        <v>644</v>
      </c>
      <c r="AL113" s="1">
        <v>2020</v>
      </c>
      <c r="AM113" s="1" t="s">
        <v>703</v>
      </c>
      <c r="AN113" s="1" t="b">
        <f t="shared" si="3"/>
        <v>1</v>
      </c>
    </row>
    <row r="114" spans="1:40" x14ac:dyDescent="0.2">
      <c r="A114" s="1" t="s">
        <v>169</v>
      </c>
      <c r="AK114" s="1" t="s">
        <v>645</v>
      </c>
      <c r="AL114" s="1">
        <v>2020</v>
      </c>
      <c r="AN114" s="1" t="b">
        <f t="shared" si="3"/>
        <v>0</v>
      </c>
    </row>
    <row r="115" spans="1:40" x14ac:dyDescent="0.2">
      <c r="A115" s="1" t="s">
        <v>523</v>
      </c>
      <c r="AK115" s="1" t="s">
        <v>646</v>
      </c>
      <c r="AL115" s="1">
        <v>2021</v>
      </c>
      <c r="AM115" s="1" t="s">
        <v>696</v>
      </c>
      <c r="AN115" s="1" t="b">
        <f t="shared" si="3"/>
        <v>1</v>
      </c>
    </row>
    <row r="116" spans="1:40" x14ac:dyDescent="0.2">
      <c r="A116" s="1" t="s">
        <v>122</v>
      </c>
      <c r="AK116" s="1" t="s">
        <v>647</v>
      </c>
      <c r="AL116" s="1">
        <v>2021</v>
      </c>
      <c r="AM116" s="1" t="s">
        <v>706</v>
      </c>
      <c r="AN116" s="1" t="b">
        <f t="shared" si="3"/>
        <v>1</v>
      </c>
    </row>
    <row r="117" spans="1:40" x14ac:dyDescent="0.2">
      <c r="A117" s="1" t="s">
        <v>520</v>
      </c>
      <c r="AK117" s="1" t="s">
        <v>648</v>
      </c>
      <c r="AL117" s="1">
        <v>2021</v>
      </c>
      <c r="AM117" s="1" t="s">
        <v>116</v>
      </c>
      <c r="AN117" s="1" t="b">
        <f t="shared" si="3"/>
        <v>1</v>
      </c>
    </row>
    <row r="118" spans="1:40" x14ac:dyDescent="0.2">
      <c r="A118" s="1" t="s">
        <v>73</v>
      </c>
      <c r="AK118" s="1" t="s">
        <v>649</v>
      </c>
      <c r="AL118" s="1">
        <v>2021</v>
      </c>
      <c r="AM118" s="1" t="s">
        <v>175</v>
      </c>
      <c r="AN118" s="1" t="b">
        <f t="shared" si="3"/>
        <v>1</v>
      </c>
    </row>
    <row r="119" spans="1:40" x14ac:dyDescent="0.2">
      <c r="A119" s="1" t="s">
        <v>163</v>
      </c>
      <c r="AK119" s="1" t="s">
        <v>650</v>
      </c>
      <c r="AL119" s="1">
        <v>2021</v>
      </c>
      <c r="AM119" s="1" t="s">
        <v>699</v>
      </c>
      <c r="AN119" s="1" t="b">
        <f t="shared" si="3"/>
        <v>1</v>
      </c>
    </row>
    <row r="120" spans="1:40" x14ac:dyDescent="0.2">
      <c r="A120" s="1" t="s">
        <v>116</v>
      </c>
      <c r="AK120" s="1" t="s">
        <v>651</v>
      </c>
      <c r="AL120" s="1">
        <v>2021</v>
      </c>
      <c r="AM120" s="1" t="s">
        <v>707</v>
      </c>
      <c r="AN120" s="1" t="b">
        <f t="shared" si="3"/>
        <v>1</v>
      </c>
    </row>
    <row r="121" spans="1:40" x14ac:dyDescent="0.2">
      <c r="A121" s="1" t="s">
        <v>214</v>
      </c>
      <c r="AK121" s="1" t="s">
        <v>652</v>
      </c>
      <c r="AL121" s="1">
        <v>2021</v>
      </c>
      <c r="AM121" s="1" t="s">
        <v>695</v>
      </c>
      <c r="AN121" s="1" t="b">
        <f t="shared" si="3"/>
        <v>1</v>
      </c>
    </row>
    <row r="122" spans="1:40" x14ac:dyDescent="0.2">
      <c r="A122" s="1" t="s">
        <v>116</v>
      </c>
      <c r="AK122" s="1" t="s">
        <v>653</v>
      </c>
      <c r="AL122" s="1">
        <v>2021</v>
      </c>
      <c r="AM122" s="1" t="s">
        <v>708</v>
      </c>
      <c r="AN122" s="1" t="b">
        <f t="shared" si="3"/>
        <v>1</v>
      </c>
    </row>
    <row r="123" spans="1:40" x14ac:dyDescent="0.2">
      <c r="A123" s="1" t="s">
        <v>163</v>
      </c>
      <c r="AK123" s="1" t="s">
        <v>654</v>
      </c>
      <c r="AL123" s="1">
        <v>2021</v>
      </c>
      <c r="AN123" s="1" t="b">
        <f t="shared" si="3"/>
        <v>0</v>
      </c>
    </row>
    <row r="124" spans="1:40" x14ac:dyDescent="0.2">
      <c r="A124" s="1" t="s">
        <v>521</v>
      </c>
      <c r="AK124" s="1" t="s">
        <v>655</v>
      </c>
      <c r="AL124" s="1">
        <v>2021</v>
      </c>
      <c r="AM124" s="1" t="s">
        <v>224</v>
      </c>
      <c r="AN124" s="1" t="b">
        <f t="shared" si="3"/>
        <v>1</v>
      </c>
    </row>
    <row r="125" spans="1:40" x14ac:dyDescent="0.2">
      <c r="A125" s="1" t="s">
        <v>116</v>
      </c>
      <c r="AK125" s="1" t="s">
        <v>656</v>
      </c>
      <c r="AL125" s="1">
        <v>2021</v>
      </c>
      <c r="AM125" s="1" t="s">
        <v>709</v>
      </c>
      <c r="AN125" s="1" t="b">
        <f t="shared" si="3"/>
        <v>1</v>
      </c>
    </row>
    <row r="126" spans="1:40" x14ac:dyDescent="0.2">
      <c r="A126" s="1" t="s">
        <v>89</v>
      </c>
      <c r="AK126" s="1" t="s">
        <v>657</v>
      </c>
      <c r="AL126" s="1">
        <v>2021</v>
      </c>
      <c r="AM126" s="1" t="s">
        <v>710</v>
      </c>
      <c r="AN126" s="1" t="b">
        <f t="shared" si="3"/>
        <v>1</v>
      </c>
    </row>
    <row r="127" spans="1:40" x14ac:dyDescent="0.2">
      <c r="A127" s="1" t="s">
        <v>116</v>
      </c>
      <c r="AK127" s="1" t="s">
        <v>658</v>
      </c>
      <c r="AL127" s="1">
        <v>2021</v>
      </c>
      <c r="AN127" s="1" t="b">
        <f t="shared" si="3"/>
        <v>0</v>
      </c>
    </row>
    <row r="128" spans="1:40" x14ac:dyDescent="0.2">
      <c r="A128" s="1" t="s">
        <v>175</v>
      </c>
      <c r="AK128" s="1" t="s">
        <v>659</v>
      </c>
      <c r="AL128" s="1">
        <v>2021</v>
      </c>
      <c r="AM128" s="1" t="s">
        <v>711</v>
      </c>
      <c r="AN128" s="1" t="b">
        <f t="shared" si="3"/>
        <v>1</v>
      </c>
    </row>
    <row r="129" spans="1:40" x14ac:dyDescent="0.2">
      <c r="A129" s="1" t="s">
        <v>163</v>
      </c>
      <c r="AK129" s="1" t="s">
        <v>660</v>
      </c>
      <c r="AL129" s="1">
        <v>2021</v>
      </c>
      <c r="AM129" s="1" t="s">
        <v>712</v>
      </c>
      <c r="AN129" s="1" t="b">
        <f t="shared" si="3"/>
        <v>1</v>
      </c>
    </row>
    <row r="130" spans="1:40" x14ac:dyDescent="0.2">
      <c r="A130" s="1" t="s">
        <v>128</v>
      </c>
      <c r="AK130" s="1" t="s">
        <v>661</v>
      </c>
      <c r="AL130" s="1">
        <v>2021</v>
      </c>
      <c r="AM130" s="1" t="s">
        <v>696</v>
      </c>
      <c r="AN130" s="1" t="b">
        <f t="shared" si="3"/>
        <v>1</v>
      </c>
    </row>
    <row r="131" spans="1:40" x14ac:dyDescent="0.2">
      <c r="A131" s="1" t="s">
        <v>219</v>
      </c>
      <c r="AK131" s="1" t="s">
        <v>662</v>
      </c>
      <c r="AL131" s="1">
        <v>2021</v>
      </c>
      <c r="AM131" s="1" t="s">
        <v>116</v>
      </c>
      <c r="AN131" s="1" t="b">
        <f t="shared" si="3"/>
        <v>1</v>
      </c>
    </row>
    <row r="132" spans="1:40" x14ac:dyDescent="0.2">
      <c r="A132" s="1" t="s">
        <v>116</v>
      </c>
      <c r="AK132" s="1" t="s">
        <v>663</v>
      </c>
      <c r="AL132" s="1">
        <v>2021</v>
      </c>
      <c r="AN132" s="1" t="b">
        <f t="shared" si="3"/>
        <v>0</v>
      </c>
    </row>
    <row r="133" spans="1:40" x14ac:dyDescent="0.2">
      <c r="A133" s="1" t="s">
        <v>110</v>
      </c>
      <c r="AK133" s="1" t="s">
        <v>664</v>
      </c>
      <c r="AL133" s="1">
        <v>2021</v>
      </c>
      <c r="AN133" s="1" t="b">
        <f t="shared" ref="AN133:AN145" si="4">NOT(ISBLANK(AM133))</f>
        <v>0</v>
      </c>
    </row>
    <row r="134" spans="1:40" x14ac:dyDescent="0.2">
      <c r="A134" s="1" t="s">
        <v>175</v>
      </c>
      <c r="AK134" s="1" t="s">
        <v>665</v>
      </c>
      <c r="AL134" s="1">
        <v>2021</v>
      </c>
      <c r="AM134" s="1" t="s">
        <v>116</v>
      </c>
      <c r="AN134" s="1" t="b">
        <f t="shared" si="4"/>
        <v>1</v>
      </c>
    </row>
    <row r="135" spans="1:40" x14ac:dyDescent="0.2">
      <c r="A135" s="1" t="s">
        <v>208</v>
      </c>
      <c r="AK135" s="1" t="s">
        <v>666</v>
      </c>
      <c r="AL135" s="1">
        <v>2021</v>
      </c>
      <c r="AM135" s="1" t="s">
        <v>713</v>
      </c>
      <c r="AN135" s="1" t="b">
        <f t="shared" si="4"/>
        <v>1</v>
      </c>
    </row>
    <row r="136" spans="1:40" x14ac:dyDescent="0.2">
      <c r="A136" s="1" t="s">
        <v>258</v>
      </c>
      <c r="AK136" s="1" t="s">
        <v>667</v>
      </c>
      <c r="AL136" s="1">
        <v>2021</v>
      </c>
      <c r="AM136" s="1" t="s">
        <v>714</v>
      </c>
      <c r="AN136" s="1" t="b">
        <f t="shared" si="4"/>
        <v>1</v>
      </c>
    </row>
    <row r="137" spans="1:40" x14ac:dyDescent="0.2">
      <c r="A137" s="1" t="s">
        <v>224</v>
      </c>
      <c r="AK137" s="1" t="s">
        <v>668</v>
      </c>
      <c r="AL137" s="1">
        <v>2021</v>
      </c>
      <c r="AN137" s="1" t="b">
        <f t="shared" si="4"/>
        <v>0</v>
      </c>
    </row>
    <row r="138" spans="1:40" x14ac:dyDescent="0.2">
      <c r="A138" s="1" t="s">
        <v>234</v>
      </c>
      <c r="AK138" s="1" t="s">
        <v>669</v>
      </c>
      <c r="AL138" s="1">
        <v>2022</v>
      </c>
      <c r="AM138" s="1" t="s">
        <v>715</v>
      </c>
      <c r="AN138" s="1" t="b">
        <f t="shared" si="4"/>
        <v>1</v>
      </c>
    </row>
    <row r="139" spans="1:40" x14ac:dyDescent="0.2">
      <c r="A139" s="1" t="s">
        <v>523</v>
      </c>
      <c r="AK139" s="1" t="s">
        <v>670</v>
      </c>
      <c r="AL139" s="1">
        <v>2022</v>
      </c>
      <c r="AN139" s="1" t="b">
        <f t="shared" si="4"/>
        <v>0</v>
      </c>
    </row>
    <row r="140" spans="1:40" x14ac:dyDescent="0.2">
      <c r="A140" s="1" t="s">
        <v>521</v>
      </c>
      <c r="AK140" s="1" t="s">
        <v>671</v>
      </c>
      <c r="AL140" s="1">
        <v>2022</v>
      </c>
      <c r="AM140" s="1" t="s">
        <v>716</v>
      </c>
      <c r="AN140" s="1" t="b">
        <f t="shared" si="4"/>
        <v>1</v>
      </c>
    </row>
    <row r="141" spans="1:40" x14ac:dyDescent="0.2">
      <c r="A141" s="1" t="s">
        <v>181</v>
      </c>
      <c r="AK141" s="1" t="s">
        <v>672</v>
      </c>
      <c r="AL141" s="1">
        <v>2022</v>
      </c>
      <c r="AM141" s="1" t="s">
        <v>717</v>
      </c>
      <c r="AN141" s="1" t="b">
        <f t="shared" si="4"/>
        <v>1</v>
      </c>
    </row>
    <row r="142" spans="1:40" x14ac:dyDescent="0.2">
      <c r="A142" s="1" t="s">
        <v>116</v>
      </c>
      <c r="AK142" s="1" t="s">
        <v>673</v>
      </c>
      <c r="AL142" s="1">
        <v>2022</v>
      </c>
      <c r="AM142" s="1" t="s">
        <v>718</v>
      </c>
      <c r="AN142" s="1" t="b">
        <f t="shared" si="4"/>
        <v>1</v>
      </c>
    </row>
    <row r="143" spans="1:40" x14ac:dyDescent="0.2">
      <c r="A143" s="1" t="s">
        <v>524</v>
      </c>
      <c r="AK143" s="1" t="s">
        <v>674</v>
      </c>
      <c r="AL143" s="1">
        <v>2022</v>
      </c>
      <c r="AM143" s="1" t="s">
        <v>719</v>
      </c>
      <c r="AN143" s="1" t="b">
        <f t="shared" si="4"/>
        <v>1</v>
      </c>
    </row>
    <row r="144" spans="1:40" x14ac:dyDescent="0.2">
      <c r="A144" s="1" t="s">
        <v>526</v>
      </c>
      <c r="AK144" s="1" t="s">
        <v>675</v>
      </c>
      <c r="AL144" s="1">
        <v>2022</v>
      </c>
      <c r="AM144" s="1" t="s">
        <v>720</v>
      </c>
      <c r="AN144" s="1" t="b">
        <f t="shared" si="4"/>
        <v>1</v>
      </c>
    </row>
    <row r="145" spans="1:40" x14ac:dyDescent="0.2">
      <c r="A145" s="1" t="s">
        <v>522</v>
      </c>
      <c r="AK145" s="1" t="s">
        <v>676</v>
      </c>
      <c r="AL145" s="1">
        <v>2022</v>
      </c>
      <c r="AM145" s="1" t="s">
        <v>721</v>
      </c>
      <c r="AN145" s="1" t="b">
        <f t="shared" si="4"/>
        <v>1</v>
      </c>
    </row>
    <row r="146" spans="1:40" x14ac:dyDescent="0.2">
      <c r="A146" s="1" t="s">
        <v>193</v>
      </c>
    </row>
    <row r="147" spans="1:40" x14ac:dyDescent="0.2">
      <c r="A147" s="1" t="s">
        <v>523</v>
      </c>
    </row>
    <row r="148" spans="1:40" x14ac:dyDescent="0.2">
      <c r="A148" s="1" t="s">
        <v>128</v>
      </c>
    </row>
    <row r="149" spans="1:40" x14ac:dyDescent="0.2">
      <c r="A149" s="1" t="s">
        <v>214</v>
      </c>
    </row>
    <row r="150" spans="1:40" x14ac:dyDescent="0.2">
      <c r="A150" s="1" t="s">
        <v>122</v>
      </c>
    </row>
    <row r="151" spans="1:40" x14ac:dyDescent="0.2">
      <c r="A151" s="1" t="s">
        <v>128</v>
      </c>
    </row>
    <row r="152" spans="1:40" x14ac:dyDescent="0.2">
      <c r="A152" s="1" t="s">
        <v>116</v>
      </c>
    </row>
    <row r="153" spans="1:40" x14ac:dyDescent="0.2">
      <c r="A153" s="1" t="s">
        <v>163</v>
      </c>
    </row>
    <row r="154" spans="1:40" x14ac:dyDescent="0.2">
      <c r="A154" s="1" t="s">
        <v>116</v>
      </c>
    </row>
    <row r="155" spans="1:40" x14ac:dyDescent="0.2">
      <c r="A155" s="1" t="s">
        <v>116</v>
      </c>
    </row>
    <row r="156" spans="1:40" x14ac:dyDescent="0.2">
      <c r="A156" s="1" t="s">
        <v>208</v>
      </c>
    </row>
    <row r="157" spans="1:40" x14ac:dyDescent="0.2">
      <c r="A157" s="1" t="s">
        <v>163</v>
      </c>
    </row>
    <row r="158" spans="1:40" x14ac:dyDescent="0.2">
      <c r="A158" s="1" t="s">
        <v>128</v>
      </c>
    </row>
    <row r="159" spans="1:40" x14ac:dyDescent="0.2">
      <c r="A159" s="1" t="s">
        <v>521</v>
      </c>
    </row>
    <row r="160" spans="1:40" x14ac:dyDescent="0.2">
      <c r="A160" s="1" t="s">
        <v>116</v>
      </c>
    </row>
    <row r="161" spans="1:1" x14ac:dyDescent="0.2">
      <c r="A161" s="1" t="s">
        <v>524</v>
      </c>
    </row>
    <row r="162" spans="1:1" x14ac:dyDescent="0.2">
      <c r="A162" s="1" t="s">
        <v>526</v>
      </c>
    </row>
    <row r="163" spans="1:1" x14ac:dyDescent="0.2">
      <c r="A163" s="1" t="s">
        <v>522</v>
      </c>
    </row>
    <row r="164" spans="1:1" x14ac:dyDescent="0.2">
      <c r="A164" s="1" t="s">
        <v>66</v>
      </c>
    </row>
    <row r="165" spans="1:1" x14ac:dyDescent="0.2">
      <c r="A165" s="1" t="s">
        <v>133</v>
      </c>
    </row>
    <row r="166" spans="1:1" x14ac:dyDescent="0.2">
      <c r="A166" s="1" t="s">
        <v>139</v>
      </c>
    </row>
    <row r="167" spans="1:1" x14ac:dyDescent="0.2">
      <c r="A167" s="1" t="s">
        <v>521</v>
      </c>
    </row>
    <row r="168" spans="1:1" x14ac:dyDescent="0.2">
      <c r="A168" s="1" t="s">
        <v>116</v>
      </c>
    </row>
    <row r="169" spans="1:1" x14ac:dyDescent="0.2">
      <c r="A169" s="1" t="s">
        <v>522</v>
      </c>
    </row>
    <row r="170" spans="1:1" x14ac:dyDescent="0.2">
      <c r="A170" s="1" t="s">
        <v>520</v>
      </c>
    </row>
    <row r="171" spans="1:1" x14ac:dyDescent="0.2">
      <c r="A171" s="1" t="s">
        <v>181</v>
      </c>
    </row>
    <row r="172" spans="1:1" x14ac:dyDescent="0.2">
      <c r="A172" s="1" t="s">
        <v>253</v>
      </c>
    </row>
    <row r="173" spans="1:1" x14ac:dyDescent="0.2">
      <c r="A173" s="1" t="s">
        <v>242</v>
      </c>
    </row>
    <row r="174" spans="1:1" x14ac:dyDescent="0.2">
      <c r="A174" s="1" t="s">
        <v>128</v>
      </c>
    </row>
    <row r="175" spans="1:1" x14ac:dyDescent="0.2">
      <c r="A175" s="1" t="s">
        <v>238</v>
      </c>
    </row>
    <row r="176" spans="1:1" x14ac:dyDescent="0.2">
      <c r="A176" s="1" t="s">
        <v>73</v>
      </c>
    </row>
    <row r="177" spans="1:1" x14ac:dyDescent="0.2">
      <c r="A177" s="1" t="s">
        <v>181</v>
      </c>
    </row>
    <row r="178" spans="1:1" x14ac:dyDescent="0.2">
      <c r="A178" s="1" t="s">
        <v>116</v>
      </c>
    </row>
    <row r="179" spans="1:1" x14ac:dyDescent="0.2">
      <c r="A179" s="1" t="s">
        <v>73</v>
      </c>
    </row>
    <row r="180" spans="1:1" x14ac:dyDescent="0.2">
      <c r="A180" s="1" t="s">
        <v>208</v>
      </c>
    </row>
    <row r="181" spans="1:1" x14ac:dyDescent="0.2">
      <c r="A181" s="1" t="s">
        <v>128</v>
      </c>
    </row>
    <row r="182" spans="1:1" x14ac:dyDescent="0.2">
      <c r="A182" s="1" t="s">
        <v>248</v>
      </c>
    </row>
  </sheetData>
  <mergeCells count="2">
    <mergeCell ref="F1:AI1"/>
    <mergeCell ref="AK1:BD1"/>
  </mergeCells>
  <conditionalFormatting sqref="AN4:AN145">
    <cfRule type="expression" dxfId="77" priority="1">
      <formula>NOT($AN4)</formula>
    </cfRule>
    <cfRule type="expression" dxfId="76" priority="2">
      <formula>$AN4</formula>
    </cfRule>
  </conditionalFormatting>
  <pageMargins left="0.7" right="0.7" top="0.75" bottom="0.75" header="0.3" footer="0.3"/>
  <pageSetup paperSize="9" orientation="portrait" r:id="rId1"/>
  <drawing r:id="rId2"/>
  <tableParts count="8">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08334-79A9-48F4-B48B-69A9CA7A65FF}">
  <dimension ref="A1:X45"/>
  <sheetViews>
    <sheetView workbookViewId="0"/>
  </sheetViews>
  <sheetFormatPr defaultColWidth="9.140625" defaultRowHeight="11.25" x14ac:dyDescent="0.2"/>
  <cols>
    <col min="1" max="2" width="10.7109375" style="1" customWidth="1"/>
    <col min="3" max="3" width="1.7109375" style="1" customWidth="1"/>
    <col min="4" max="5" width="10.7109375" style="1" customWidth="1"/>
    <col min="6" max="6" width="1.7109375" style="1" customWidth="1"/>
    <col min="7" max="8" width="10.7109375" style="1" customWidth="1"/>
    <col min="9" max="9" width="1.7109375" style="1" customWidth="1"/>
    <col min="10" max="11" width="10.7109375" style="1" customWidth="1"/>
    <col min="12" max="13" width="1.7109375" style="1" customWidth="1"/>
    <col min="14" max="15" width="10.7109375" style="1" customWidth="1"/>
    <col min="16" max="16" width="1.7109375" style="1" customWidth="1"/>
    <col min="17" max="18" width="10.7109375" style="1" customWidth="1"/>
    <col min="19" max="19" width="1.7109375" style="1" customWidth="1"/>
    <col min="20" max="21" width="10.7109375" style="1" customWidth="1"/>
    <col min="22" max="22" width="1.7109375" style="1" customWidth="1"/>
    <col min="23" max="24" width="10.7109375" style="1" customWidth="1"/>
    <col min="25" max="25" width="1.7109375" style="1" customWidth="1"/>
    <col min="26" max="16384" width="9.140625" style="1"/>
  </cols>
  <sheetData>
    <row r="1" spans="1:24" s="2" customFormat="1" x14ac:dyDescent="0.2">
      <c r="A1" s="2" t="s">
        <v>360</v>
      </c>
      <c r="N1" s="2" t="s">
        <v>439</v>
      </c>
    </row>
    <row r="2" spans="1:24" s="2" customFormat="1" x14ac:dyDescent="0.2">
      <c r="A2" s="1" t="s">
        <v>525</v>
      </c>
      <c r="N2" s="1" t="s">
        <v>440</v>
      </c>
    </row>
    <row r="3" spans="1:24" s="2" customFormat="1" x14ac:dyDescent="0.2">
      <c r="A3" s="2" t="s">
        <v>403</v>
      </c>
      <c r="D3" s="2" t="s">
        <v>402</v>
      </c>
      <c r="G3" s="2" t="s">
        <v>401</v>
      </c>
      <c r="J3" s="2" t="s">
        <v>438</v>
      </c>
      <c r="N3" s="2" t="s">
        <v>403</v>
      </c>
      <c r="Q3" s="2" t="s">
        <v>402</v>
      </c>
      <c r="T3" s="2" t="s">
        <v>401</v>
      </c>
      <c r="W3" s="2" t="s">
        <v>438</v>
      </c>
    </row>
    <row r="4" spans="1:24" s="2" customFormat="1" x14ac:dyDescent="0.2">
      <c r="A4" s="2" t="s">
        <v>361</v>
      </c>
      <c r="B4" s="2" t="s">
        <v>275</v>
      </c>
      <c r="D4" s="2" t="s">
        <v>361</v>
      </c>
      <c r="E4" s="2" t="s">
        <v>275</v>
      </c>
      <c r="G4" s="2" t="s">
        <v>361</v>
      </c>
      <c r="H4" s="2" t="s">
        <v>275</v>
      </c>
      <c r="J4" s="2" t="s">
        <v>361</v>
      </c>
      <c r="K4" s="2" t="s">
        <v>275</v>
      </c>
      <c r="N4" s="2" t="s">
        <v>361</v>
      </c>
      <c r="O4" s="2" t="s">
        <v>275</v>
      </c>
      <c r="Q4" s="2" t="s">
        <v>361</v>
      </c>
      <c r="R4" s="2" t="s">
        <v>275</v>
      </c>
      <c r="T4" s="2" t="s">
        <v>361</v>
      </c>
      <c r="U4" s="2" t="s">
        <v>275</v>
      </c>
      <c r="W4" s="2" t="s">
        <v>361</v>
      </c>
      <c r="X4" s="2" t="s">
        <v>275</v>
      </c>
    </row>
    <row r="5" spans="1:24" x14ac:dyDescent="0.2">
      <c r="A5" s="1" t="s">
        <v>362</v>
      </c>
      <c r="B5" s="1">
        <v>245.9</v>
      </c>
      <c r="D5" s="1" t="s">
        <v>367</v>
      </c>
      <c r="E5" s="1">
        <v>20</v>
      </c>
      <c r="G5" s="1" t="s">
        <v>381</v>
      </c>
      <c r="H5" s="1">
        <v>17</v>
      </c>
      <c r="J5" s="1" t="s">
        <v>364</v>
      </c>
      <c r="K5" s="1" t="s">
        <v>424</v>
      </c>
      <c r="N5" s="1" t="s">
        <v>143</v>
      </c>
      <c r="O5" s="1">
        <v>2916</v>
      </c>
      <c r="Q5" s="1" t="s">
        <v>143</v>
      </c>
      <c r="R5" s="1">
        <v>729</v>
      </c>
      <c r="T5" s="1" t="s">
        <v>104</v>
      </c>
      <c r="U5" s="1">
        <v>260</v>
      </c>
      <c r="W5" s="1" t="s">
        <v>198</v>
      </c>
      <c r="X5" s="1" t="s">
        <v>424</v>
      </c>
    </row>
    <row r="6" spans="1:24" x14ac:dyDescent="0.2">
      <c r="A6" s="1" t="s">
        <v>363</v>
      </c>
      <c r="B6" s="1">
        <v>132</v>
      </c>
      <c r="D6" s="1" t="s">
        <v>363</v>
      </c>
      <c r="E6" s="1">
        <v>11</v>
      </c>
      <c r="G6" s="1" t="s">
        <v>384</v>
      </c>
      <c r="H6" s="1">
        <v>10.5</v>
      </c>
      <c r="J6" s="1" t="s">
        <v>375</v>
      </c>
      <c r="K6" s="1" t="s">
        <v>424</v>
      </c>
      <c r="N6" s="1" t="s">
        <v>128</v>
      </c>
      <c r="O6" s="1">
        <v>1010.46</v>
      </c>
      <c r="Q6" s="1" t="s">
        <v>139</v>
      </c>
      <c r="R6" s="1">
        <v>10</v>
      </c>
      <c r="T6" s="1" t="s">
        <v>143</v>
      </c>
      <c r="U6" s="1">
        <v>39.74</v>
      </c>
      <c r="W6" s="1" t="s">
        <v>104</v>
      </c>
      <c r="X6" s="1" t="s">
        <v>443</v>
      </c>
    </row>
    <row r="7" spans="1:24" x14ac:dyDescent="0.2">
      <c r="A7" s="1" t="s">
        <v>364</v>
      </c>
      <c r="B7" s="1">
        <v>100</v>
      </c>
      <c r="D7" s="1" t="s">
        <v>385</v>
      </c>
      <c r="E7" s="1">
        <v>1.3</v>
      </c>
      <c r="G7" s="1" t="s">
        <v>362</v>
      </c>
      <c r="H7" s="1">
        <v>6.8</v>
      </c>
      <c r="J7" s="1" t="s">
        <v>407</v>
      </c>
      <c r="K7" s="1" t="s">
        <v>424</v>
      </c>
      <c r="N7" s="1" t="s">
        <v>258</v>
      </c>
      <c r="O7" s="1">
        <v>280</v>
      </c>
      <c r="Q7" s="1" t="s">
        <v>128</v>
      </c>
      <c r="R7" s="1">
        <v>10</v>
      </c>
      <c r="T7" s="1" t="s">
        <v>110</v>
      </c>
      <c r="U7" s="1">
        <v>38</v>
      </c>
      <c r="W7" s="1" t="s">
        <v>242</v>
      </c>
      <c r="X7" s="1" t="s">
        <v>444</v>
      </c>
    </row>
    <row r="8" spans="1:24" x14ac:dyDescent="0.2">
      <c r="A8" s="1" t="s">
        <v>365</v>
      </c>
      <c r="B8" s="1">
        <v>100</v>
      </c>
      <c r="D8" s="1" t="s">
        <v>368</v>
      </c>
      <c r="E8" s="1">
        <v>0.7</v>
      </c>
      <c r="G8" s="1" t="s">
        <v>374</v>
      </c>
      <c r="H8" s="1">
        <v>3.5</v>
      </c>
      <c r="J8" s="1" t="s">
        <v>411</v>
      </c>
      <c r="K8" s="1" t="s">
        <v>427</v>
      </c>
      <c r="N8" s="1" t="s">
        <v>163</v>
      </c>
      <c r="O8" s="1">
        <v>147.4</v>
      </c>
      <c r="Q8" s="1" t="s">
        <v>258</v>
      </c>
      <c r="R8" s="1">
        <v>10</v>
      </c>
      <c r="T8" s="1" t="s">
        <v>163</v>
      </c>
      <c r="U8" s="1">
        <v>34.9</v>
      </c>
      <c r="W8" s="1" t="s">
        <v>110</v>
      </c>
      <c r="X8" s="1" t="s">
        <v>447</v>
      </c>
    </row>
    <row r="9" spans="1:24" x14ac:dyDescent="0.2">
      <c r="A9" s="1" t="s">
        <v>366</v>
      </c>
      <c r="B9" s="1">
        <v>100</v>
      </c>
      <c r="D9" s="1" t="s">
        <v>371</v>
      </c>
      <c r="E9" s="1">
        <v>0.25</v>
      </c>
      <c r="G9" s="1" t="s">
        <v>378</v>
      </c>
      <c r="H9" s="1">
        <v>3</v>
      </c>
      <c r="J9" s="1" t="s">
        <v>365</v>
      </c>
      <c r="K9" s="1" t="s">
        <v>428</v>
      </c>
      <c r="N9" s="1" t="s">
        <v>104</v>
      </c>
      <c r="O9" s="1">
        <v>131</v>
      </c>
      <c r="Q9" s="1" t="s">
        <v>133</v>
      </c>
      <c r="R9" s="1">
        <v>8.5</v>
      </c>
      <c r="T9" s="1" t="s">
        <v>214</v>
      </c>
      <c r="U9" s="1">
        <v>6.5</v>
      </c>
      <c r="W9" s="1" t="s">
        <v>128</v>
      </c>
      <c r="X9" s="1" t="s">
        <v>448</v>
      </c>
    </row>
    <row r="10" spans="1:24" x14ac:dyDescent="0.2">
      <c r="A10" s="1" t="s">
        <v>367</v>
      </c>
      <c r="B10" s="1">
        <v>40</v>
      </c>
      <c r="D10" s="1" t="s">
        <v>370</v>
      </c>
      <c r="E10" s="1">
        <v>0.16</v>
      </c>
      <c r="G10" s="1" t="s">
        <v>379</v>
      </c>
      <c r="H10" s="1">
        <v>3</v>
      </c>
      <c r="J10" s="1" t="s">
        <v>372</v>
      </c>
      <c r="K10" s="1" t="s">
        <v>429</v>
      </c>
      <c r="N10" s="1" t="s">
        <v>198</v>
      </c>
      <c r="O10" s="1">
        <v>110</v>
      </c>
      <c r="Q10" s="1" t="s">
        <v>122</v>
      </c>
      <c r="R10" s="1">
        <v>8.5</v>
      </c>
      <c r="T10" s="1" t="s">
        <v>248</v>
      </c>
      <c r="U10" s="1">
        <v>4.9800000000000004</v>
      </c>
      <c r="W10" s="1" t="s">
        <v>163</v>
      </c>
      <c r="X10" s="1" t="s">
        <v>449</v>
      </c>
    </row>
    <row r="11" spans="1:24" x14ac:dyDescent="0.2">
      <c r="A11" s="1" t="s">
        <v>368</v>
      </c>
      <c r="B11" s="1">
        <v>37</v>
      </c>
      <c r="D11" s="1" t="s">
        <v>383</v>
      </c>
      <c r="E11" s="1">
        <v>0.15</v>
      </c>
      <c r="G11" s="1" t="s">
        <v>382</v>
      </c>
      <c r="H11" s="1">
        <v>2.85</v>
      </c>
      <c r="J11" s="1" t="s">
        <v>373</v>
      </c>
      <c r="K11" s="1" t="s">
        <v>429</v>
      </c>
      <c r="N11" s="1" t="s">
        <v>234</v>
      </c>
      <c r="O11" s="1">
        <v>84</v>
      </c>
      <c r="Q11" s="1" t="s">
        <v>193</v>
      </c>
      <c r="R11" s="1">
        <v>8</v>
      </c>
      <c r="T11" s="1" t="s">
        <v>187</v>
      </c>
      <c r="U11" s="1">
        <v>4.78</v>
      </c>
      <c r="W11" s="1" t="s">
        <v>175</v>
      </c>
      <c r="X11" s="1" t="s">
        <v>450</v>
      </c>
    </row>
    <row r="12" spans="1:24" x14ac:dyDescent="0.2">
      <c r="A12" s="1" t="s">
        <v>369</v>
      </c>
      <c r="B12" s="1">
        <v>28</v>
      </c>
      <c r="D12" s="1" t="s">
        <v>398</v>
      </c>
      <c r="E12" s="1">
        <v>0.15</v>
      </c>
      <c r="G12" s="1" t="s">
        <v>399</v>
      </c>
      <c r="H12" s="1">
        <v>1.32</v>
      </c>
      <c r="J12" s="1" t="s">
        <v>387</v>
      </c>
      <c r="K12" s="1" t="s">
        <v>429</v>
      </c>
      <c r="N12" s="1" t="s">
        <v>39</v>
      </c>
      <c r="O12" s="1">
        <v>66</v>
      </c>
      <c r="Q12" s="1" t="s">
        <v>242</v>
      </c>
      <c r="R12" s="1">
        <v>0.2</v>
      </c>
      <c r="T12" s="1" t="s">
        <v>84</v>
      </c>
      <c r="U12" s="1">
        <v>2.5</v>
      </c>
      <c r="W12" s="1" t="s">
        <v>224</v>
      </c>
      <c r="X12" s="1" t="s">
        <v>429</v>
      </c>
    </row>
    <row r="13" spans="1:24" x14ac:dyDescent="0.2">
      <c r="A13" s="1" t="s">
        <v>370</v>
      </c>
      <c r="B13" s="1">
        <v>26.08</v>
      </c>
      <c r="G13" s="1" t="s">
        <v>400</v>
      </c>
      <c r="H13" s="1">
        <v>0.5</v>
      </c>
      <c r="J13" s="1" t="s">
        <v>388</v>
      </c>
      <c r="K13" s="1" t="s">
        <v>429</v>
      </c>
      <c r="N13" s="1" t="s">
        <v>110</v>
      </c>
      <c r="O13" s="1">
        <v>42</v>
      </c>
      <c r="T13" s="1" t="s">
        <v>96</v>
      </c>
      <c r="U13" s="1">
        <v>2.5</v>
      </c>
      <c r="W13" s="1" t="s">
        <v>122</v>
      </c>
      <c r="X13" s="1" t="s">
        <v>429</v>
      </c>
    </row>
    <row r="14" spans="1:24" x14ac:dyDescent="0.2">
      <c r="A14" s="1" t="s">
        <v>371</v>
      </c>
      <c r="B14" s="1">
        <v>25</v>
      </c>
      <c r="G14" s="1" t="s">
        <v>394</v>
      </c>
      <c r="H14" s="1">
        <v>0.33</v>
      </c>
      <c r="J14" s="1" t="s">
        <v>412</v>
      </c>
      <c r="K14" s="1" t="s">
        <v>429</v>
      </c>
      <c r="N14" s="1" t="s">
        <v>208</v>
      </c>
      <c r="O14" s="1">
        <v>41.2</v>
      </c>
      <c r="T14" s="1" t="s">
        <v>55</v>
      </c>
      <c r="U14" s="1">
        <v>1.98</v>
      </c>
      <c r="W14" s="1" t="s">
        <v>214</v>
      </c>
      <c r="X14" s="1" t="s">
        <v>430</v>
      </c>
    </row>
    <row r="15" spans="1:24" x14ac:dyDescent="0.2">
      <c r="A15" s="1" t="s">
        <v>372</v>
      </c>
      <c r="B15" s="1">
        <v>22</v>
      </c>
      <c r="J15" s="1" t="s">
        <v>399</v>
      </c>
      <c r="K15" s="1" t="s">
        <v>429</v>
      </c>
      <c r="N15" s="1" t="s">
        <v>214</v>
      </c>
      <c r="O15" s="1">
        <v>23</v>
      </c>
      <c r="T15" s="1" t="s">
        <v>39</v>
      </c>
      <c r="U15" s="1">
        <v>1.67</v>
      </c>
      <c r="W15" s="1" t="s">
        <v>208</v>
      </c>
      <c r="X15" s="1" t="s">
        <v>445</v>
      </c>
    </row>
    <row r="16" spans="1:24" x14ac:dyDescent="0.2">
      <c r="A16" s="1" t="s">
        <v>373</v>
      </c>
      <c r="B16" s="1">
        <v>19.149999999999999</v>
      </c>
      <c r="J16" s="1" t="s">
        <v>376</v>
      </c>
      <c r="K16" s="1" t="s">
        <v>421</v>
      </c>
      <c r="N16" s="1" t="s">
        <v>193</v>
      </c>
      <c r="O16" s="1">
        <v>16</v>
      </c>
      <c r="T16" s="1" t="s">
        <v>116</v>
      </c>
      <c r="U16" s="1">
        <v>1.18</v>
      </c>
      <c r="W16" s="1" t="s">
        <v>156</v>
      </c>
      <c r="X16" s="1" t="s">
        <v>446</v>
      </c>
    </row>
    <row r="17" spans="1:24" x14ac:dyDescent="0.2">
      <c r="A17" s="1" t="s">
        <v>374</v>
      </c>
      <c r="B17" s="1">
        <v>11.5</v>
      </c>
      <c r="J17" s="1" t="s">
        <v>377</v>
      </c>
      <c r="K17" s="1" t="s">
        <v>421</v>
      </c>
      <c r="N17" s="1" t="s">
        <v>150</v>
      </c>
      <c r="O17" s="1">
        <v>6.3579999999999997</v>
      </c>
      <c r="T17" s="1" t="s">
        <v>79</v>
      </c>
      <c r="U17" s="1">
        <v>0.99</v>
      </c>
      <c r="W17" s="1" t="s">
        <v>258</v>
      </c>
      <c r="X17" s="1" t="s">
        <v>431</v>
      </c>
    </row>
    <row r="18" spans="1:24" x14ac:dyDescent="0.2">
      <c r="A18" s="1" t="s">
        <v>375</v>
      </c>
      <c r="B18" s="1">
        <v>10.159000000000001</v>
      </c>
      <c r="J18" s="1" t="s">
        <v>389</v>
      </c>
      <c r="K18" s="1" t="s">
        <v>426</v>
      </c>
      <c r="N18" s="1" t="s">
        <v>96</v>
      </c>
      <c r="O18" s="1">
        <v>2.2000000000000002</v>
      </c>
      <c r="T18" s="1" t="s">
        <v>253</v>
      </c>
      <c r="U18" s="1">
        <v>0.9</v>
      </c>
      <c r="W18" s="1" t="s">
        <v>116</v>
      </c>
      <c r="X18" s="1" t="s">
        <v>441</v>
      </c>
    </row>
    <row r="19" spans="1:24" x14ac:dyDescent="0.2">
      <c r="A19" s="1" t="s">
        <v>376</v>
      </c>
      <c r="B19" s="1">
        <v>9.6</v>
      </c>
      <c r="J19" s="1" t="s">
        <v>410</v>
      </c>
      <c r="K19" s="1" t="s">
        <v>426</v>
      </c>
      <c r="N19" s="1" t="s">
        <v>66</v>
      </c>
      <c r="O19" s="1">
        <v>2.2000000000000002</v>
      </c>
      <c r="T19" s="1" t="s">
        <v>48</v>
      </c>
      <c r="U19" s="1">
        <v>0.75</v>
      </c>
      <c r="W19" s="1" t="s">
        <v>133</v>
      </c>
      <c r="X19" s="1" t="s">
        <v>442</v>
      </c>
    </row>
    <row r="20" spans="1:24" x14ac:dyDescent="0.2">
      <c r="A20" s="1" t="s">
        <v>377</v>
      </c>
      <c r="B20" s="1">
        <v>8.4</v>
      </c>
      <c r="J20" s="1" t="s">
        <v>413</v>
      </c>
      <c r="K20" s="1" t="s">
        <v>430</v>
      </c>
      <c r="N20" s="1" t="s">
        <v>94</v>
      </c>
      <c r="O20" s="1">
        <v>2</v>
      </c>
      <c r="T20" s="1" t="s">
        <v>66</v>
      </c>
      <c r="U20" s="1">
        <v>0.73</v>
      </c>
      <c r="W20" s="1" t="s">
        <v>84</v>
      </c>
      <c r="X20" s="1" t="s">
        <v>436</v>
      </c>
    </row>
    <row r="21" spans="1:24" x14ac:dyDescent="0.2">
      <c r="A21" s="1" t="s">
        <v>378</v>
      </c>
      <c r="B21" s="1">
        <v>7</v>
      </c>
      <c r="J21" s="1" t="s">
        <v>385</v>
      </c>
      <c r="K21" s="1" t="s">
        <v>419</v>
      </c>
      <c r="N21" s="1" t="s">
        <v>89</v>
      </c>
      <c r="O21" s="1">
        <v>1.9</v>
      </c>
      <c r="T21" s="1" t="s">
        <v>181</v>
      </c>
      <c r="U21" s="1">
        <v>0.37</v>
      </c>
      <c r="W21" s="1" t="s">
        <v>234</v>
      </c>
      <c r="X21" s="1" t="s">
        <v>451</v>
      </c>
    </row>
    <row r="22" spans="1:24" x14ac:dyDescent="0.2">
      <c r="A22" s="1" t="s">
        <v>379</v>
      </c>
      <c r="B22" s="1">
        <v>7</v>
      </c>
      <c r="J22" s="1" t="s">
        <v>404</v>
      </c>
      <c r="K22" s="1" t="s">
        <v>420</v>
      </c>
      <c r="N22" s="1" t="s">
        <v>253</v>
      </c>
      <c r="O22" s="1">
        <v>1.845</v>
      </c>
      <c r="T22" s="1" t="s">
        <v>73</v>
      </c>
      <c r="U22" s="1">
        <v>0.35</v>
      </c>
      <c r="W22" s="1" t="s">
        <v>139</v>
      </c>
      <c r="X22" s="1" t="s">
        <v>452</v>
      </c>
    </row>
    <row r="23" spans="1:24" x14ac:dyDescent="0.2">
      <c r="A23" s="1" t="s">
        <v>380</v>
      </c>
      <c r="B23" s="1">
        <v>5.52</v>
      </c>
      <c r="J23" s="1" t="s">
        <v>371</v>
      </c>
      <c r="K23" s="1" t="s">
        <v>422</v>
      </c>
      <c r="N23" s="1" t="s">
        <v>79</v>
      </c>
      <c r="O23" s="1">
        <v>0.92</v>
      </c>
      <c r="T23" s="1" t="s">
        <v>232</v>
      </c>
      <c r="U23" s="1">
        <v>0.3</v>
      </c>
    </row>
    <row r="24" spans="1:24" x14ac:dyDescent="0.2">
      <c r="A24" s="1" t="s">
        <v>381</v>
      </c>
      <c r="B24" s="1">
        <v>5</v>
      </c>
      <c r="J24" s="1" t="s">
        <v>370</v>
      </c>
      <c r="K24" s="1" t="s">
        <v>422</v>
      </c>
      <c r="N24" s="1" t="s">
        <v>181</v>
      </c>
      <c r="O24" s="1">
        <v>0.89359999999999995</v>
      </c>
      <c r="T24" s="1" t="s">
        <v>60</v>
      </c>
      <c r="U24" s="1">
        <v>0.28999999999999998</v>
      </c>
    </row>
    <row r="25" spans="1:24" x14ac:dyDescent="0.2">
      <c r="A25" s="1" t="s">
        <v>382</v>
      </c>
      <c r="B25" s="1">
        <v>4.657</v>
      </c>
      <c r="J25" s="1" t="s">
        <v>368</v>
      </c>
      <c r="K25" s="1" t="s">
        <v>425</v>
      </c>
      <c r="N25" s="1" t="s">
        <v>48</v>
      </c>
      <c r="O25" s="1">
        <v>0.50600000000000001</v>
      </c>
      <c r="T25" s="1" t="s">
        <v>63</v>
      </c>
      <c r="U25" s="1">
        <v>0.28999999999999998</v>
      </c>
    </row>
    <row r="26" spans="1:24" x14ac:dyDescent="0.2">
      <c r="A26" s="1" t="s">
        <v>383</v>
      </c>
      <c r="B26" s="1">
        <v>4.05</v>
      </c>
      <c r="J26" s="1" t="s">
        <v>383</v>
      </c>
      <c r="K26" s="1" t="s">
        <v>425</v>
      </c>
      <c r="N26" s="1" t="s">
        <v>73</v>
      </c>
      <c r="O26" s="1">
        <v>0.28499999999999998</v>
      </c>
      <c r="T26" s="1" t="s">
        <v>100</v>
      </c>
      <c r="U26" s="1">
        <v>0.18</v>
      </c>
    </row>
    <row r="27" spans="1:24" x14ac:dyDescent="0.2">
      <c r="A27" s="1" t="s">
        <v>384</v>
      </c>
      <c r="B27" s="1">
        <v>3.92</v>
      </c>
      <c r="J27" s="1" t="s">
        <v>408</v>
      </c>
      <c r="K27" s="1" t="s">
        <v>425</v>
      </c>
      <c r="T27" s="1" t="s">
        <v>228</v>
      </c>
      <c r="U27" s="1">
        <v>0.11</v>
      </c>
    </row>
    <row r="28" spans="1:24" x14ac:dyDescent="0.2">
      <c r="A28" s="1" t="s">
        <v>385</v>
      </c>
      <c r="B28" s="1">
        <v>3.9</v>
      </c>
      <c r="J28" s="1" t="s">
        <v>366</v>
      </c>
      <c r="K28" s="1" t="s">
        <v>431</v>
      </c>
    </row>
    <row r="29" spans="1:24" x14ac:dyDescent="0.2">
      <c r="A29" s="1" t="s">
        <v>386</v>
      </c>
      <c r="B29" s="1">
        <v>3</v>
      </c>
      <c r="J29" s="1" t="s">
        <v>380</v>
      </c>
      <c r="K29" s="1" t="s">
        <v>431</v>
      </c>
    </row>
    <row r="30" spans="1:24" x14ac:dyDescent="0.2">
      <c r="A30" s="1" t="s">
        <v>387</v>
      </c>
      <c r="B30" s="1">
        <v>1.665</v>
      </c>
      <c r="J30" s="1" t="s">
        <v>393</v>
      </c>
      <c r="K30" s="1" t="s">
        <v>431</v>
      </c>
    </row>
    <row r="31" spans="1:24" x14ac:dyDescent="0.2">
      <c r="A31" s="1" t="s">
        <v>388</v>
      </c>
      <c r="B31" s="1">
        <v>1.635</v>
      </c>
      <c r="J31" s="1" t="s">
        <v>414</v>
      </c>
      <c r="K31" s="1" t="s">
        <v>431</v>
      </c>
    </row>
    <row r="32" spans="1:24" x14ac:dyDescent="0.2">
      <c r="A32" s="1" t="s">
        <v>389</v>
      </c>
      <c r="B32" s="1">
        <v>1.2</v>
      </c>
      <c r="J32" s="1" t="s">
        <v>405</v>
      </c>
      <c r="K32" s="1" t="s">
        <v>437</v>
      </c>
    </row>
    <row r="33" spans="1:11" x14ac:dyDescent="0.2">
      <c r="A33" s="1" t="s">
        <v>390</v>
      </c>
      <c r="B33" s="1">
        <v>1.034</v>
      </c>
      <c r="J33" s="1" t="s">
        <v>362</v>
      </c>
      <c r="K33" s="1" t="s">
        <v>437</v>
      </c>
    </row>
    <row r="34" spans="1:11" x14ac:dyDescent="0.2">
      <c r="A34" s="1" t="s">
        <v>391</v>
      </c>
      <c r="B34" s="1">
        <v>0.74099999999999999</v>
      </c>
      <c r="J34" s="1" t="s">
        <v>406</v>
      </c>
      <c r="K34" s="1" t="s">
        <v>423</v>
      </c>
    </row>
    <row r="35" spans="1:11" x14ac:dyDescent="0.2">
      <c r="A35" s="1" t="s">
        <v>392</v>
      </c>
      <c r="B35" s="1">
        <v>0.32500000000000001</v>
      </c>
      <c r="J35" s="1" t="s">
        <v>382</v>
      </c>
      <c r="K35" s="1" t="s">
        <v>423</v>
      </c>
    </row>
    <row r="36" spans="1:11" x14ac:dyDescent="0.2">
      <c r="A36" s="1" t="s">
        <v>393</v>
      </c>
      <c r="B36" s="1">
        <v>0.32400000000000001</v>
      </c>
      <c r="J36" s="1" t="s">
        <v>409</v>
      </c>
      <c r="K36" s="1" t="s">
        <v>436</v>
      </c>
    </row>
    <row r="37" spans="1:11" x14ac:dyDescent="0.2">
      <c r="A37" s="1" t="s">
        <v>394</v>
      </c>
      <c r="B37" s="1">
        <v>0.254</v>
      </c>
      <c r="J37" s="1" t="s">
        <v>378</v>
      </c>
      <c r="K37" s="1" t="s">
        <v>435</v>
      </c>
    </row>
    <row r="38" spans="1:11" x14ac:dyDescent="0.2">
      <c r="A38" s="1" t="s">
        <v>395</v>
      </c>
      <c r="B38" s="1">
        <v>0.19799999999999998</v>
      </c>
      <c r="J38" s="1" t="s">
        <v>379</v>
      </c>
      <c r="K38" s="1" t="s">
        <v>435</v>
      </c>
    </row>
    <row r="39" spans="1:11" x14ac:dyDescent="0.2">
      <c r="A39" s="1" t="s">
        <v>396</v>
      </c>
      <c r="B39" s="1">
        <v>0.15</v>
      </c>
      <c r="J39" s="1" t="s">
        <v>418</v>
      </c>
      <c r="K39" s="1" t="s">
        <v>432</v>
      </c>
    </row>
    <row r="40" spans="1:11" x14ac:dyDescent="0.2">
      <c r="A40" s="1" t="s">
        <v>397</v>
      </c>
      <c r="B40" s="1">
        <v>0.115</v>
      </c>
      <c r="J40" s="1" t="s">
        <v>390</v>
      </c>
      <c r="K40" s="1" t="s">
        <v>433</v>
      </c>
    </row>
    <row r="41" spans="1:11" x14ac:dyDescent="0.2">
      <c r="J41" s="1" t="s">
        <v>391</v>
      </c>
      <c r="K41" s="1" t="s">
        <v>434</v>
      </c>
    </row>
    <row r="42" spans="1:11" x14ac:dyDescent="0.2">
      <c r="J42" s="1" t="s">
        <v>415</v>
      </c>
      <c r="K42" s="1" t="s">
        <v>434</v>
      </c>
    </row>
    <row r="43" spans="1:11" x14ac:dyDescent="0.2">
      <c r="J43" s="1" t="s">
        <v>416</v>
      </c>
      <c r="K43" s="1" t="s">
        <v>434</v>
      </c>
    </row>
    <row r="44" spans="1:11" x14ac:dyDescent="0.2">
      <c r="J44" s="1" t="s">
        <v>417</v>
      </c>
      <c r="K44" s="1" t="s">
        <v>434</v>
      </c>
    </row>
    <row r="45" spans="1:11" x14ac:dyDescent="0.2">
      <c r="J45" s="1" t="s">
        <v>384</v>
      </c>
      <c r="K45" s="1" t="s">
        <v>434</v>
      </c>
    </row>
  </sheetData>
  <pageMargins left="0.7" right="0.7" top="0.75" bottom="0.75" header="0.3" footer="0.3"/>
  <tableParts count="8">
    <tablePart r:id="rId1"/>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0978B-182A-46EF-9E4B-518AE6F7620F}">
  <dimension ref="A1:I119"/>
  <sheetViews>
    <sheetView workbookViewId="0"/>
  </sheetViews>
  <sheetFormatPr defaultColWidth="9.140625" defaultRowHeight="11.25" x14ac:dyDescent="0.2"/>
  <cols>
    <col min="1" max="1" width="12.7109375" style="1" customWidth="1"/>
    <col min="2" max="2" width="13.7109375" style="1" bestFit="1" customWidth="1"/>
    <col min="3" max="3" width="1.7109375" style="1" customWidth="1"/>
    <col min="4" max="4" width="12.7109375" style="1" customWidth="1"/>
    <col min="5" max="5" width="6.28515625" style="1" bestFit="1" customWidth="1"/>
    <col min="6" max="6" width="9.140625" style="1" bestFit="1" customWidth="1"/>
    <col min="7" max="7" width="6.7109375" style="1" bestFit="1" customWidth="1"/>
    <col min="8" max="8" width="1.7109375" style="1" customWidth="1"/>
    <col min="9" max="16384" width="9.140625" style="1"/>
  </cols>
  <sheetData>
    <row r="1" spans="1:9" x14ac:dyDescent="0.2">
      <c r="A1" s="2" t="s">
        <v>265</v>
      </c>
      <c r="B1" s="2"/>
      <c r="D1" s="2" t="s">
        <v>266</v>
      </c>
      <c r="E1" s="2"/>
      <c r="F1" s="2"/>
      <c r="G1" s="2"/>
      <c r="I1" s="1" t="s">
        <v>727</v>
      </c>
    </row>
    <row r="2" spans="1:9" x14ac:dyDescent="0.2">
      <c r="A2" s="2" t="s">
        <v>8</v>
      </c>
      <c r="B2" s="2" t="s">
        <v>531</v>
      </c>
      <c r="D2" s="2"/>
      <c r="E2" s="32" t="s">
        <v>267</v>
      </c>
      <c r="F2" s="32"/>
      <c r="G2" s="32"/>
      <c r="I2" s="1" t="s">
        <v>728</v>
      </c>
    </row>
    <row r="3" spans="1:9" x14ac:dyDescent="0.2">
      <c r="A3" s="1" t="s">
        <v>454</v>
      </c>
      <c r="B3" s="1" t="s">
        <v>532</v>
      </c>
      <c r="D3" s="2" t="s">
        <v>8</v>
      </c>
      <c r="E3" s="2" t="s">
        <v>532</v>
      </c>
      <c r="F3" s="2" t="s">
        <v>0</v>
      </c>
      <c r="G3" s="2" t="s">
        <v>275</v>
      </c>
    </row>
    <row r="4" spans="1:9" x14ac:dyDescent="0.2">
      <c r="A4" s="1" t="s">
        <v>454</v>
      </c>
      <c r="B4" s="1" t="s">
        <v>532</v>
      </c>
      <c r="D4" s="1" t="s">
        <v>457</v>
      </c>
      <c r="E4" s="1">
        <f>COUNTIFS(Table19[name],Table20[[#This Row],[name]],Table19[work/dataset],"work")</f>
        <v>19</v>
      </c>
      <c r="F4" s="1">
        <f>COUNTIFS(Table19[name],Table20[[#This Row],[name]],Table19[work/dataset],"dataset")</f>
        <v>11</v>
      </c>
      <c r="G4" s="1">
        <f>COUNTIF(Table19[name],Table20[[#This Row],[name]])</f>
        <v>30</v>
      </c>
    </row>
    <row r="5" spans="1:9" x14ac:dyDescent="0.2">
      <c r="A5" s="1" t="s">
        <v>454</v>
      </c>
      <c r="B5" s="1" t="s">
        <v>532</v>
      </c>
      <c r="D5" s="1" t="s">
        <v>216</v>
      </c>
      <c r="E5" s="1">
        <f>COUNTIFS(Table19[name],Table20[[#This Row],[name]],Table19[work/dataset],"work")</f>
        <v>8</v>
      </c>
      <c r="F5" s="1">
        <f>COUNTIFS(Table19[name],Table20[[#This Row],[name]],Table19[work/dataset],"dataset")</f>
        <v>9</v>
      </c>
      <c r="G5" s="1">
        <f>COUNTIF(Table19[name],Table20[[#This Row],[name]])</f>
        <v>17</v>
      </c>
    </row>
    <row r="6" spans="1:9" x14ac:dyDescent="0.2">
      <c r="A6" s="1" t="s">
        <v>456</v>
      </c>
      <c r="B6" s="1" t="s">
        <v>532</v>
      </c>
      <c r="D6" s="1" t="s">
        <v>462</v>
      </c>
      <c r="E6" s="1">
        <f>COUNTIFS(Table19[name],Table20[[#This Row],[name]],Table19[work/dataset],"work")</f>
        <v>12</v>
      </c>
      <c r="F6" s="1">
        <f>COUNTIFS(Table19[name],Table20[[#This Row],[name]],Table19[work/dataset],"dataset")</f>
        <v>3</v>
      </c>
      <c r="G6" s="1">
        <f>COUNTIF(Table19[name],Table20[[#This Row],[name]])</f>
        <v>15</v>
      </c>
    </row>
    <row r="7" spans="1:9" x14ac:dyDescent="0.2">
      <c r="A7" s="1" t="s">
        <v>70</v>
      </c>
      <c r="B7" s="1" t="s">
        <v>532</v>
      </c>
      <c r="D7" s="1" t="s">
        <v>70</v>
      </c>
      <c r="E7" s="1">
        <f>COUNTIFS(Table19[name],Table20[[#This Row],[name]],Table19[work/dataset],"work")</f>
        <v>6</v>
      </c>
      <c r="F7" s="1">
        <f>COUNTIFS(Table19[name],Table20[[#This Row],[name]],Table19[work/dataset],"dataset")</f>
        <v>8</v>
      </c>
      <c r="G7" s="1">
        <f>COUNTIF(Table19[name],Table20[[#This Row],[name]])</f>
        <v>14</v>
      </c>
    </row>
    <row r="8" spans="1:9" x14ac:dyDescent="0.2">
      <c r="A8" s="1" t="s">
        <v>70</v>
      </c>
      <c r="B8" s="1" t="s">
        <v>532</v>
      </c>
      <c r="D8" s="1" t="s">
        <v>461</v>
      </c>
      <c r="E8" s="1">
        <f>COUNTIFS(Table19[name],Table20[[#This Row],[name]],Table19[work/dataset],"work")</f>
        <v>10</v>
      </c>
      <c r="F8" s="1">
        <f>COUNTIFS(Table19[name],Table20[[#This Row],[name]],Table19[work/dataset],"dataset")</f>
        <v>0</v>
      </c>
      <c r="G8" s="1">
        <f>COUNTIF(Table19[name],Table20[[#This Row],[name]])</f>
        <v>10</v>
      </c>
    </row>
    <row r="9" spans="1:9" x14ac:dyDescent="0.2">
      <c r="A9" s="1" t="s">
        <v>70</v>
      </c>
      <c r="B9" s="1" t="s">
        <v>532</v>
      </c>
      <c r="D9" s="1" t="s">
        <v>454</v>
      </c>
      <c r="E9" s="1">
        <f>COUNTIFS(Table19[name],Table20[[#This Row],[name]],Table19[work/dataset],"work")</f>
        <v>3</v>
      </c>
      <c r="F9" s="1">
        <f>COUNTIFS(Table19[name],Table20[[#This Row],[name]],Table19[work/dataset],"dataset")</f>
        <v>5</v>
      </c>
      <c r="G9" s="1">
        <f>COUNTIF(Table19[name],Table20[[#This Row],[name]])</f>
        <v>8</v>
      </c>
    </row>
    <row r="10" spans="1:9" x14ac:dyDescent="0.2">
      <c r="A10" s="1" t="s">
        <v>70</v>
      </c>
      <c r="B10" s="1" t="s">
        <v>532</v>
      </c>
      <c r="D10" s="1" t="s">
        <v>459</v>
      </c>
      <c r="E10" s="1">
        <f>COUNTIFS(Table19[name],Table20[[#This Row],[name]],Table19[work/dataset],"work")</f>
        <v>4</v>
      </c>
      <c r="F10" s="1">
        <f>COUNTIFS(Table19[name],Table20[[#This Row],[name]],Table19[work/dataset],"dataset")</f>
        <v>2</v>
      </c>
      <c r="G10" s="1">
        <f>COUNTIF(Table19[name],Table20[[#This Row],[name]])</f>
        <v>6</v>
      </c>
    </row>
    <row r="11" spans="1:9" x14ac:dyDescent="0.2">
      <c r="A11" s="1" t="s">
        <v>70</v>
      </c>
      <c r="B11" s="1" t="s">
        <v>532</v>
      </c>
      <c r="D11" s="1" t="s">
        <v>460</v>
      </c>
      <c r="E11" s="1">
        <f>COUNTIFS(Table19[name],Table20[[#This Row],[name]],Table19[work/dataset],"work")</f>
        <v>6</v>
      </c>
      <c r="F11" s="1">
        <f>COUNTIFS(Table19[name],Table20[[#This Row],[name]],Table19[work/dataset],"dataset")</f>
        <v>0</v>
      </c>
      <c r="G11" s="1">
        <f>COUNTIF(Table19[name],Table20[[#This Row],[name]])</f>
        <v>6</v>
      </c>
    </row>
    <row r="12" spans="1:9" x14ac:dyDescent="0.2">
      <c r="A12" s="1" t="s">
        <v>70</v>
      </c>
      <c r="B12" s="1" t="s">
        <v>532</v>
      </c>
      <c r="D12" s="1" t="s">
        <v>455</v>
      </c>
      <c r="E12" s="1">
        <f>COUNTIFS(Table19[name],Table20[[#This Row],[name]],Table19[work/dataset],"work")</f>
        <v>2</v>
      </c>
      <c r="F12" s="1">
        <f>COUNTIFS(Table19[name],Table20[[#This Row],[name]],Table19[work/dataset],"dataset")</f>
        <v>2</v>
      </c>
      <c r="G12" s="1">
        <f>COUNTIF(Table19[name],Table20[[#This Row],[name]])</f>
        <v>4</v>
      </c>
    </row>
    <row r="13" spans="1:9" x14ac:dyDescent="0.2">
      <c r="A13" s="1" t="s">
        <v>458</v>
      </c>
      <c r="B13" s="1" t="s">
        <v>532</v>
      </c>
      <c r="D13" s="1" t="s">
        <v>465</v>
      </c>
      <c r="E13" s="1">
        <f>COUNTIFS(Table19[name],Table20[[#This Row],[name]],Table19[work/dataset],"work")</f>
        <v>2</v>
      </c>
      <c r="F13" s="1">
        <f>COUNTIFS(Table19[name],Table20[[#This Row],[name]],Table19[work/dataset],"dataset")</f>
        <v>0</v>
      </c>
      <c r="G13" s="1">
        <f>COUNTIF(Table19[name],Table20[[#This Row],[name]])</f>
        <v>2</v>
      </c>
    </row>
    <row r="14" spans="1:9" x14ac:dyDescent="0.2">
      <c r="A14" s="1" t="s">
        <v>459</v>
      </c>
      <c r="B14" s="1" t="s">
        <v>532</v>
      </c>
      <c r="D14" s="1" t="s">
        <v>456</v>
      </c>
      <c r="E14" s="1">
        <f>COUNTIFS(Table19[name],Table20[[#This Row],[name]],Table19[work/dataset],"work")</f>
        <v>1</v>
      </c>
      <c r="F14" s="1">
        <f>COUNTIFS(Table19[name],Table20[[#This Row],[name]],Table19[work/dataset],"dataset")</f>
        <v>0</v>
      </c>
      <c r="G14" s="1">
        <f>COUNTIF(Table19[name],Table20[[#This Row],[name]])</f>
        <v>1</v>
      </c>
    </row>
    <row r="15" spans="1:9" x14ac:dyDescent="0.2">
      <c r="A15" s="1" t="s">
        <v>459</v>
      </c>
      <c r="B15" s="1" t="s">
        <v>532</v>
      </c>
      <c r="D15" s="1" t="s">
        <v>458</v>
      </c>
      <c r="E15" s="1">
        <f>COUNTIFS(Table19[name],Table20[[#This Row],[name]],Table19[work/dataset],"work")</f>
        <v>1</v>
      </c>
      <c r="F15" s="1">
        <f>COUNTIFS(Table19[name],Table20[[#This Row],[name]],Table19[work/dataset],"dataset")</f>
        <v>0</v>
      </c>
      <c r="G15" s="1">
        <f>COUNTIF(Table19[name],Table20[[#This Row],[name]])</f>
        <v>1</v>
      </c>
    </row>
    <row r="16" spans="1:9" x14ac:dyDescent="0.2">
      <c r="A16" s="1" t="s">
        <v>459</v>
      </c>
      <c r="B16" s="1" t="s">
        <v>532</v>
      </c>
      <c r="D16" s="1" t="s">
        <v>463</v>
      </c>
      <c r="E16" s="1">
        <f>COUNTIFS(Table19[name],Table20[[#This Row],[name]],Table19[work/dataset],"work")</f>
        <v>1</v>
      </c>
      <c r="F16" s="1">
        <f>COUNTIFS(Table19[name],Table20[[#This Row],[name]],Table19[work/dataset],"dataset")</f>
        <v>0</v>
      </c>
      <c r="G16" s="1">
        <f>COUNTIF(Table19[name],Table20[[#This Row],[name]])</f>
        <v>1</v>
      </c>
    </row>
    <row r="17" spans="1:7" x14ac:dyDescent="0.2">
      <c r="A17" s="1" t="s">
        <v>459</v>
      </c>
      <c r="B17" s="1" t="s">
        <v>532</v>
      </c>
      <c r="D17" s="1" t="s">
        <v>464</v>
      </c>
      <c r="E17" s="1">
        <f>COUNTIFS(Table19[name],Table20[[#This Row],[name]],Table19[work/dataset],"work")</f>
        <v>1</v>
      </c>
      <c r="F17" s="1">
        <f>COUNTIFS(Table19[name],Table20[[#This Row],[name]],Table19[work/dataset],"dataset")</f>
        <v>0</v>
      </c>
      <c r="G17" s="1">
        <f>COUNTIF(Table19[name],Table20[[#This Row],[name]])</f>
        <v>1</v>
      </c>
    </row>
    <row r="18" spans="1:7" x14ac:dyDescent="0.2">
      <c r="A18" s="1" t="s">
        <v>457</v>
      </c>
      <c r="B18" s="1" t="s">
        <v>532</v>
      </c>
      <c r="D18" s="1" t="s">
        <v>172</v>
      </c>
      <c r="E18" s="1">
        <f>COUNTIFS(Table19[name],Table20[[#This Row],[name]],Table19[work/dataset],"work")</f>
        <v>0</v>
      </c>
      <c r="F18" s="1">
        <f>COUNTIFS(Table19[name],Table20[[#This Row],[name]],Table19[work/dataset],"dataset")</f>
        <v>1</v>
      </c>
      <c r="G18" s="1">
        <f>COUNTIF(Table19[name],Table20[[#This Row],[name]])</f>
        <v>1</v>
      </c>
    </row>
    <row r="19" spans="1:7" x14ac:dyDescent="0.2">
      <c r="A19" s="1" t="s">
        <v>457</v>
      </c>
      <c r="B19" s="1" t="s">
        <v>532</v>
      </c>
    </row>
    <row r="20" spans="1:7" x14ac:dyDescent="0.2">
      <c r="A20" s="1" t="s">
        <v>457</v>
      </c>
      <c r="B20" s="1" t="s">
        <v>532</v>
      </c>
    </row>
    <row r="21" spans="1:7" x14ac:dyDescent="0.2">
      <c r="A21" s="1" t="s">
        <v>457</v>
      </c>
      <c r="B21" s="1" t="s">
        <v>532</v>
      </c>
    </row>
    <row r="22" spans="1:7" x14ac:dyDescent="0.2">
      <c r="A22" s="1" t="s">
        <v>457</v>
      </c>
      <c r="B22" s="1" t="s">
        <v>532</v>
      </c>
    </row>
    <row r="23" spans="1:7" x14ac:dyDescent="0.2">
      <c r="A23" s="1" t="s">
        <v>457</v>
      </c>
      <c r="B23" s="1" t="s">
        <v>532</v>
      </c>
    </row>
    <row r="24" spans="1:7" x14ac:dyDescent="0.2">
      <c r="A24" s="1" t="s">
        <v>457</v>
      </c>
      <c r="B24" s="1" t="s">
        <v>532</v>
      </c>
    </row>
    <row r="25" spans="1:7" x14ac:dyDescent="0.2">
      <c r="A25" s="1" t="s">
        <v>457</v>
      </c>
      <c r="B25" s="1" t="s">
        <v>532</v>
      </c>
    </row>
    <row r="26" spans="1:7" x14ac:dyDescent="0.2">
      <c r="A26" s="1" t="s">
        <v>457</v>
      </c>
      <c r="B26" s="1" t="s">
        <v>532</v>
      </c>
    </row>
    <row r="27" spans="1:7" x14ac:dyDescent="0.2">
      <c r="A27" s="1" t="s">
        <v>457</v>
      </c>
      <c r="B27" s="1" t="s">
        <v>532</v>
      </c>
    </row>
    <row r="28" spans="1:7" x14ac:dyDescent="0.2">
      <c r="A28" s="1" t="s">
        <v>457</v>
      </c>
      <c r="B28" s="1" t="s">
        <v>532</v>
      </c>
    </row>
    <row r="29" spans="1:7" x14ac:dyDescent="0.2">
      <c r="A29" s="1" t="s">
        <v>457</v>
      </c>
      <c r="B29" s="1" t="s">
        <v>532</v>
      </c>
    </row>
    <row r="30" spans="1:7" x14ac:dyDescent="0.2">
      <c r="A30" s="1" t="s">
        <v>457</v>
      </c>
      <c r="B30" s="1" t="s">
        <v>532</v>
      </c>
    </row>
    <row r="31" spans="1:7" x14ac:dyDescent="0.2">
      <c r="A31" s="1" t="s">
        <v>457</v>
      </c>
      <c r="B31" s="1" t="s">
        <v>532</v>
      </c>
    </row>
    <row r="32" spans="1:7" x14ac:dyDescent="0.2">
      <c r="A32" s="1" t="s">
        <v>457</v>
      </c>
      <c r="B32" s="1" t="s">
        <v>532</v>
      </c>
    </row>
    <row r="33" spans="1:2" x14ac:dyDescent="0.2">
      <c r="A33" s="1" t="s">
        <v>457</v>
      </c>
      <c r="B33" s="1" t="s">
        <v>532</v>
      </c>
    </row>
    <row r="34" spans="1:2" x14ac:dyDescent="0.2">
      <c r="A34" s="1" t="s">
        <v>457</v>
      </c>
      <c r="B34" s="1" t="s">
        <v>532</v>
      </c>
    </row>
    <row r="35" spans="1:2" x14ac:dyDescent="0.2">
      <c r="A35" s="1" t="s">
        <v>457</v>
      </c>
      <c r="B35" s="1" t="s">
        <v>532</v>
      </c>
    </row>
    <row r="36" spans="1:2" x14ac:dyDescent="0.2">
      <c r="A36" s="1" t="s">
        <v>457</v>
      </c>
      <c r="B36" s="1" t="s">
        <v>532</v>
      </c>
    </row>
    <row r="37" spans="1:2" x14ac:dyDescent="0.2">
      <c r="A37" s="1" t="s">
        <v>463</v>
      </c>
      <c r="B37" s="1" t="s">
        <v>532</v>
      </c>
    </row>
    <row r="38" spans="1:2" x14ac:dyDescent="0.2">
      <c r="A38" s="1" t="s">
        <v>455</v>
      </c>
      <c r="B38" s="1" t="s">
        <v>532</v>
      </c>
    </row>
    <row r="39" spans="1:2" x14ac:dyDescent="0.2">
      <c r="A39" s="1" t="s">
        <v>455</v>
      </c>
      <c r="B39" s="1" t="s">
        <v>532</v>
      </c>
    </row>
    <row r="40" spans="1:2" x14ac:dyDescent="0.2">
      <c r="A40" s="1" t="s">
        <v>460</v>
      </c>
      <c r="B40" s="1" t="s">
        <v>532</v>
      </c>
    </row>
    <row r="41" spans="1:2" x14ac:dyDescent="0.2">
      <c r="A41" s="1" t="s">
        <v>460</v>
      </c>
      <c r="B41" s="1" t="s">
        <v>532</v>
      </c>
    </row>
    <row r="42" spans="1:2" x14ac:dyDescent="0.2">
      <c r="A42" s="1" t="s">
        <v>460</v>
      </c>
      <c r="B42" s="1" t="s">
        <v>532</v>
      </c>
    </row>
    <row r="43" spans="1:2" x14ac:dyDescent="0.2">
      <c r="A43" s="1" t="s">
        <v>460</v>
      </c>
      <c r="B43" s="1" t="s">
        <v>532</v>
      </c>
    </row>
    <row r="44" spans="1:2" x14ac:dyDescent="0.2">
      <c r="A44" s="1" t="s">
        <v>460</v>
      </c>
      <c r="B44" s="1" t="s">
        <v>532</v>
      </c>
    </row>
    <row r="45" spans="1:2" x14ac:dyDescent="0.2">
      <c r="A45" s="1" t="s">
        <v>460</v>
      </c>
      <c r="B45" s="1" t="s">
        <v>532</v>
      </c>
    </row>
    <row r="46" spans="1:2" x14ac:dyDescent="0.2">
      <c r="A46" s="1" t="s">
        <v>465</v>
      </c>
      <c r="B46" s="1" t="s">
        <v>532</v>
      </c>
    </row>
    <row r="47" spans="1:2" x14ac:dyDescent="0.2">
      <c r="A47" s="1" t="s">
        <v>465</v>
      </c>
      <c r="B47" s="1" t="s">
        <v>532</v>
      </c>
    </row>
    <row r="48" spans="1:2" x14ac:dyDescent="0.2">
      <c r="A48" s="1" t="s">
        <v>216</v>
      </c>
      <c r="B48" s="1" t="s">
        <v>532</v>
      </c>
    </row>
    <row r="49" spans="1:2" x14ac:dyDescent="0.2">
      <c r="A49" s="1" t="s">
        <v>216</v>
      </c>
      <c r="B49" s="1" t="s">
        <v>532</v>
      </c>
    </row>
    <row r="50" spans="1:2" x14ac:dyDescent="0.2">
      <c r="A50" s="1" t="s">
        <v>216</v>
      </c>
      <c r="B50" s="1" t="s">
        <v>532</v>
      </c>
    </row>
    <row r="51" spans="1:2" x14ac:dyDescent="0.2">
      <c r="A51" s="1" t="s">
        <v>216</v>
      </c>
      <c r="B51" s="1" t="s">
        <v>532</v>
      </c>
    </row>
    <row r="52" spans="1:2" x14ac:dyDescent="0.2">
      <c r="A52" s="1" t="s">
        <v>216</v>
      </c>
      <c r="B52" s="1" t="s">
        <v>532</v>
      </c>
    </row>
    <row r="53" spans="1:2" x14ac:dyDescent="0.2">
      <c r="A53" s="1" t="s">
        <v>216</v>
      </c>
      <c r="B53" s="1" t="s">
        <v>532</v>
      </c>
    </row>
    <row r="54" spans="1:2" x14ac:dyDescent="0.2">
      <c r="A54" s="1" t="s">
        <v>216</v>
      </c>
      <c r="B54" s="1" t="s">
        <v>532</v>
      </c>
    </row>
    <row r="55" spans="1:2" x14ac:dyDescent="0.2">
      <c r="A55" s="1" t="s">
        <v>216</v>
      </c>
      <c r="B55" s="1" t="s">
        <v>532</v>
      </c>
    </row>
    <row r="56" spans="1:2" x14ac:dyDescent="0.2">
      <c r="A56" s="1" t="s">
        <v>461</v>
      </c>
      <c r="B56" s="1" t="s">
        <v>532</v>
      </c>
    </row>
    <row r="57" spans="1:2" x14ac:dyDescent="0.2">
      <c r="A57" s="1" t="s">
        <v>461</v>
      </c>
      <c r="B57" s="1" t="s">
        <v>532</v>
      </c>
    </row>
    <row r="58" spans="1:2" x14ac:dyDescent="0.2">
      <c r="A58" s="1" t="s">
        <v>461</v>
      </c>
      <c r="B58" s="1" t="s">
        <v>532</v>
      </c>
    </row>
    <row r="59" spans="1:2" x14ac:dyDescent="0.2">
      <c r="A59" s="1" t="s">
        <v>461</v>
      </c>
      <c r="B59" s="1" t="s">
        <v>532</v>
      </c>
    </row>
    <row r="60" spans="1:2" x14ac:dyDescent="0.2">
      <c r="A60" s="1" t="s">
        <v>461</v>
      </c>
      <c r="B60" s="1" t="s">
        <v>532</v>
      </c>
    </row>
    <row r="61" spans="1:2" x14ac:dyDescent="0.2">
      <c r="A61" s="1" t="s">
        <v>461</v>
      </c>
      <c r="B61" s="1" t="s">
        <v>532</v>
      </c>
    </row>
    <row r="62" spans="1:2" x14ac:dyDescent="0.2">
      <c r="A62" s="1" t="s">
        <v>461</v>
      </c>
      <c r="B62" s="1" t="s">
        <v>532</v>
      </c>
    </row>
    <row r="63" spans="1:2" x14ac:dyDescent="0.2">
      <c r="A63" s="1" t="s">
        <v>461</v>
      </c>
      <c r="B63" s="1" t="s">
        <v>532</v>
      </c>
    </row>
    <row r="64" spans="1:2" x14ac:dyDescent="0.2">
      <c r="A64" s="1" t="s">
        <v>461</v>
      </c>
      <c r="B64" s="1" t="s">
        <v>532</v>
      </c>
    </row>
    <row r="65" spans="1:2" x14ac:dyDescent="0.2">
      <c r="A65" s="1" t="s">
        <v>461</v>
      </c>
      <c r="B65" s="1" t="s">
        <v>532</v>
      </c>
    </row>
    <row r="66" spans="1:2" x14ac:dyDescent="0.2">
      <c r="A66" s="1" t="s">
        <v>462</v>
      </c>
      <c r="B66" s="1" t="s">
        <v>532</v>
      </c>
    </row>
    <row r="67" spans="1:2" x14ac:dyDescent="0.2">
      <c r="A67" s="1" t="s">
        <v>462</v>
      </c>
      <c r="B67" s="1" t="s">
        <v>532</v>
      </c>
    </row>
    <row r="68" spans="1:2" x14ac:dyDescent="0.2">
      <c r="A68" s="1" t="s">
        <v>462</v>
      </c>
      <c r="B68" s="1" t="s">
        <v>532</v>
      </c>
    </row>
    <row r="69" spans="1:2" x14ac:dyDescent="0.2">
      <c r="A69" s="1" t="s">
        <v>462</v>
      </c>
      <c r="B69" s="1" t="s">
        <v>532</v>
      </c>
    </row>
    <row r="70" spans="1:2" x14ac:dyDescent="0.2">
      <c r="A70" s="1" t="s">
        <v>462</v>
      </c>
      <c r="B70" s="1" t="s">
        <v>532</v>
      </c>
    </row>
    <row r="71" spans="1:2" x14ac:dyDescent="0.2">
      <c r="A71" s="1" t="s">
        <v>462</v>
      </c>
      <c r="B71" s="1" t="s">
        <v>532</v>
      </c>
    </row>
    <row r="72" spans="1:2" x14ac:dyDescent="0.2">
      <c r="A72" s="1" t="s">
        <v>462</v>
      </c>
      <c r="B72" s="1" t="s">
        <v>532</v>
      </c>
    </row>
    <row r="73" spans="1:2" x14ac:dyDescent="0.2">
      <c r="A73" s="1" t="s">
        <v>462</v>
      </c>
      <c r="B73" s="1" t="s">
        <v>532</v>
      </c>
    </row>
    <row r="74" spans="1:2" x14ac:dyDescent="0.2">
      <c r="A74" s="1" t="s">
        <v>462</v>
      </c>
      <c r="B74" s="1" t="s">
        <v>532</v>
      </c>
    </row>
    <row r="75" spans="1:2" x14ac:dyDescent="0.2">
      <c r="A75" s="1" t="s">
        <v>462</v>
      </c>
      <c r="B75" s="1" t="s">
        <v>532</v>
      </c>
    </row>
    <row r="76" spans="1:2" x14ac:dyDescent="0.2">
      <c r="A76" s="1" t="s">
        <v>462</v>
      </c>
      <c r="B76" s="1" t="s">
        <v>532</v>
      </c>
    </row>
    <row r="77" spans="1:2" x14ac:dyDescent="0.2">
      <c r="A77" s="1" t="s">
        <v>462</v>
      </c>
      <c r="B77" s="1" t="s">
        <v>532</v>
      </c>
    </row>
    <row r="78" spans="1:2" x14ac:dyDescent="0.2">
      <c r="A78" s="1" t="s">
        <v>464</v>
      </c>
      <c r="B78" s="1" t="s">
        <v>532</v>
      </c>
    </row>
    <row r="79" spans="1:2" x14ac:dyDescent="0.2">
      <c r="A79" s="1" t="s">
        <v>454</v>
      </c>
      <c r="B79" s="1" t="s">
        <v>0</v>
      </c>
    </row>
    <row r="80" spans="1:2" x14ac:dyDescent="0.2">
      <c r="A80" s="1" t="s">
        <v>454</v>
      </c>
      <c r="B80" s="1" t="s">
        <v>0</v>
      </c>
    </row>
    <row r="81" spans="1:2" x14ac:dyDescent="0.2">
      <c r="A81" s="1" t="s">
        <v>454</v>
      </c>
      <c r="B81" s="1" t="s">
        <v>0</v>
      </c>
    </row>
    <row r="82" spans="1:2" x14ac:dyDescent="0.2">
      <c r="A82" s="1" t="s">
        <v>454</v>
      </c>
      <c r="B82" s="1" t="s">
        <v>0</v>
      </c>
    </row>
    <row r="83" spans="1:2" x14ac:dyDescent="0.2">
      <c r="A83" s="1" t="s">
        <v>454</v>
      </c>
      <c r="B83" s="1" t="s">
        <v>0</v>
      </c>
    </row>
    <row r="84" spans="1:2" x14ac:dyDescent="0.2">
      <c r="A84" s="1" t="s">
        <v>70</v>
      </c>
      <c r="B84" s="1" t="s">
        <v>0</v>
      </c>
    </row>
    <row r="85" spans="1:2" x14ac:dyDescent="0.2">
      <c r="A85" s="1" t="s">
        <v>70</v>
      </c>
      <c r="B85" s="1" t="s">
        <v>0</v>
      </c>
    </row>
    <row r="86" spans="1:2" x14ac:dyDescent="0.2">
      <c r="A86" s="1" t="s">
        <v>70</v>
      </c>
      <c r="B86" s="1" t="s">
        <v>0</v>
      </c>
    </row>
    <row r="87" spans="1:2" x14ac:dyDescent="0.2">
      <c r="A87" s="1" t="s">
        <v>70</v>
      </c>
      <c r="B87" s="1" t="s">
        <v>0</v>
      </c>
    </row>
    <row r="88" spans="1:2" x14ac:dyDescent="0.2">
      <c r="A88" s="1" t="s">
        <v>70</v>
      </c>
      <c r="B88" s="1" t="s">
        <v>0</v>
      </c>
    </row>
    <row r="89" spans="1:2" x14ac:dyDescent="0.2">
      <c r="A89" s="1" t="s">
        <v>70</v>
      </c>
      <c r="B89" s="1" t="s">
        <v>0</v>
      </c>
    </row>
    <row r="90" spans="1:2" x14ac:dyDescent="0.2">
      <c r="A90" s="1" t="s">
        <v>457</v>
      </c>
      <c r="B90" s="1" t="s">
        <v>0</v>
      </c>
    </row>
    <row r="91" spans="1:2" x14ac:dyDescent="0.2">
      <c r="A91" s="1" t="s">
        <v>70</v>
      </c>
      <c r="B91" s="1" t="s">
        <v>0</v>
      </c>
    </row>
    <row r="92" spans="1:2" x14ac:dyDescent="0.2">
      <c r="A92" s="1" t="s">
        <v>457</v>
      </c>
      <c r="B92" s="1" t="s">
        <v>0</v>
      </c>
    </row>
    <row r="93" spans="1:2" x14ac:dyDescent="0.2">
      <c r="A93" s="1" t="s">
        <v>70</v>
      </c>
      <c r="B93" s="1" t="s">
        <v>0</v>
      </c>
    </row>
    <row r="94" spans="1:2" x14ac:dyDescent="0.2">
      <c r="A94" s="1" t="s">
        <v>457</v>
      </c>
      <c r="B94" s="1" t="s">
        <v>0</v>
      </c>
    </row>
    <row r="95" spans="1:2" x14ac:dyDescent="0.2">
      <c r="A95" s="1" t="s">
        <v>172</v>
      </c>
      <c r="B95" s="1" t="s">
        <v>0</v>
      </c>
    </row>
    <row r="96" spans="1:2" x14ac:dyDescent="0.2">
      <c r="A96" s="1" t="s">
        <v>459</v>
      </c>
      <c r="B96" s="1" t="s">
        <v>0</v>
      </c>
    </row>
    <row r="97" spans="1:2" x14ac:dyDescent="0.2">
      <c r="A97" s="1" t="s">
        <v>457</v>
      </c>
      <c r="B97" s="1" t="s">
        <v>0</v>
      </c>
    </row>
    <row r="98" spans="1:2" x14ac:dyDescent="0.2">
      <c r="A98" s="1" t="s">
        <v>457</v>
      </c>
      <c r="B98" s="1" t="s">
        <v>0</v>
      </c>
    </row>
    <row r="99" spans="1:2" x14ac:dyDescent="0.2">
      <c r="A99" s="1" t="s">
        <v>457</v>
      </c>
      <c r="B99" s="1" t="s">
        <v>0</v>
      </c>
    </row>
    <row r="100" spans="1:2" x14ac:dyDescent="0.2">
      <c r="A100" s="1" t="s">
        <v>457</v>
      </c>
      <c r="B100" s="1" t="s">
        <v>0</v>
      </c>
    </row>
    <row r="101" spans="1:2" x14ac:dyDescent="0.2">
      <c r="A101" s="1" t="s">
        <v>457</v>
      </c>
      <c r="B101" s="1" t="s">
        <v>0</v>
      </c>
    </row>
    <row r="102" spans="1:2" x14ac:dyDescent="0.2">
      <c r="A102" s="1" t="s">
        <v>457</v>
      </c>
      <c r="B102" s="1" t="s">
        <v>0</v>
      </c>
    </row>
    <row r="103" spans="1:2" x14ac:dyDescent="0.2">
      <c r="A103" s="1" t="s">
        <v>457</v>
      </c>
      <c r="B103" s="1" t="s">
        <v>0</v>
      </c>
    </row>
    <row r="104" spans="1:2" x14ac:dyDescent="0.2">
      <c r="A104" s="1" t="s">
        <v>457</v>
      </c>
      <c r="B104" s="1" t="s">
        <v>0</v>
      </c>
    </row>
    <row r="105" spans="1:2" x14ac:dyDescent="0.2">
      <c r="A105" s="1" t="s">
        <v>455</v>
      </c>
      <c r="B105" s="1" t="s">
        <v>0</v>
      </c>
    </row>
    <row r="106" spans="1:2" x14ac:dyDescent="0.2">
      <c r="A106" s="1" t="s">
        <v>455</v>
      </c>
      <c r="B106" s="1" t="s">
        <v>0</v>
      </c>
    </row>
    <row r="107" spans="1:2" x14ac:dyDescent="0.2">
      <c r="A107" s="1" t="s">
        <v>459</v>
      </c>
      <c r="B107" s="1" t="s">
        <v>0</v>
      </c>
    </row>
    <row r="108" spans="1:2" x14ac:dyDescent="0.2">
      <c r="A108" s="1" t="s">
        <v>216</v>
      </c>
      <c r="B108" s="1" t="s">
        <v>0</v>
      </c>
    </row>
    <row r="109" spans="1:2" x14ac:dyDescent="0.2">
      <c r="A109" s="1" t="s">
        <v>216</v>
      </c>
      <c r="B109" s="1" t="s">
        <v>0</v>
      </c>
    </row>
    <row r="110" spans="1:2" x14ac:dyDescent="0.2">
      <c r="A110" s="1" t="s">
        <v>216</v>
      </c>
      <c r="B110" s="1" t="s">
        <v>0</v>
      </c>
    </row>
    <row r="111" spans="1:2" x14ac:dyDescent="0.2">
      <c r="A111" s="1" t="s">
        <v>216</v>
      </c>
      <c r="B111" s="1" t="s">
        <v>0</v>
      </c>
    </row>
    <row r="112" spans="1:2" x14ac:dyDescent="0.2">
      <c r="A112" s="1" t="s">
        <v>216</v>
      </c>
      <c r="B112" s="1" t="s">
        <v>0</v>
      </c>
    </row>
    <row r="113" spans="1:2" x14ac:dyDescent="0.2">
      <c r="A113" s="1" t="s">
        <v>462</v>
      </c>
      <c r="B113" s="1" t="s">
        <v>0</v>
      </c>
    </row>
    <row r="114" spans="1:2" x14ac:dyDescent="0.2">
      <c r="A114" s="1" t="s">
        <v>216</v>
      </c>
      <c r="B114" s="1" t="s">
        <v>0</v>
      </c>
    </row>
    <row r="115" spans="1:2" x14ac:dyDescent="0.2">
      <c r="A115" s="1" t="s">
        <v>462</v>
      </c>
      <c r="B115" s="1" t="s">
        <v>0</v>
      </c>
    </row>
    <row r="116" spans="1:2" x14ac:dyDescent="0.2">
      <c r="A116" s="1" t="s">
        <v>216</v>
      </c>
      <c r="B116" s="1" t="s">
        <v>0</v>
      </c>
    </row>
    <row r="117" spans="1:2" x14ac:dyDescent="0.2">
      <c r="A117" s="1" t="s">
        <v>216</v>
      </c>
      <c r="B117" s="1" t="s">
        <v>0</v>
      </c>
    </row>
    <row r="118" spans="1:2" x14ac:dyDescent="0.2">
      <c r="A118" s="1" t="s">
        <v>216</v>
      </c>
      <c r="B118" s="1" t="s">
        <v>0</v>
      </c>
    </row>
    <row r="119" spans="1:2" x14ac:dyDescent="0.2">
      <c r="A119" s="1" t="s">
        <v>462</v>
      </c>
      <c r="B119" s="1" t="s">
        <v>0</v>
      </c>
    </row>
  </sheetData>
  <sortState xmlns:xlrd2="http://schemas.microsoft.com/office/spreadsheetml/2017/richdata2" ref="K3:K78">
    <sortCondition ref="K3:K78"/>
  </sortState>
  <mergeCells count="1">
    <mergeCell ref="E2:G2"/>
  </mergeCells>
  <pageMargins left="0.7" right="0.7" top="0.75" bottom="0.75" header="0.3" footer="0.3"/>
  <pageSetup paperSize="9" orientation="portrait" horizontalDpi="0" verticalDpi="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5D27-7275-49DC-A810-641F6A823374}">
  <dimension ref="A1:U101"/>
  <sheetViews>
    <sheetView tabSelected="1" zoomScale="130" zoomScaleNormal="130" workbookViewId="0"/>
  </sheetViews>
  <sheetFormatPr defaultColWidth="9.140625" defaultRowHeight="11.25" x14ac:dyDescent="0.2"/>
  <cols>
    <col min="1" max="16384" width="9.140625" style="1"/>
  </cols>
  <sheetData>
    <row r="1" spans="1:21" x14ac:dyDescent="0.2">
      <c r="A1" s="31" t="s">
        <v>276</v>
      </c>
    </row>
    <row r="2" spans="1:21" x14ac:dyDescent="0.2">
      <c r="A2" s="28" t="s">
        <v>281</v>
      </c>
      <c r="F2" s="1" t="s">
        <v>527</v>
      </c>
    </row>
    <row r="3" spans="1:21" x14ac:dyDescent="0.2">
      <c r="A3" s="28" t="s">
        <v>277</v>
      </c>
      <c r="F3" s="1" t="s">
        <v>278</v>
      </c>
    </row>
    <row r="4" spans="1:21" x14ac:dyDescent="0.2">
      <c r="A4" s="28" t="s">
        <v>303</v>
      </c>
    </row>
    <row r="5" spans="1:21" x14ac:dyDescent="0.2">
      <c r="A5" s="29" t="s">
        <v>332</v>
      </c>
      <c r="F5" s="1" t="s">
        <v>333</v>
      </c>
    </row>
    <row r="6" spans="1:21" x14ac:dyDescent="0.2">
      <c r="A6" s="28"/>
    </row>
    <row r="7" spans="1:21" x14ac:dyDescent="0.2">
      <c r="A7" s="28" t="s">
        <v>304</v>
      </c>
    </row>
    <row r="8" spans="1:21" x14ac:dyDescent="0.2">
      <c r="A8" s="29" t="s">
        <v>332</v>
      </c>
      <c r="F8" s="1" t="s">
        <v>13</v>
      </c>
      <c r="G8" s="1" t="s">
        <v>14</v>
      </c>
      <c r="H8" s="1" t="s">
        <v>15</v>
      </c>
      <c r="I8" s="1" t="s">
        <v>16</v>
      </c>
      <c r="J8" s="1" t="s">
        <v>17</v>
      </c>
      <c r="K8" s="1" t="s">
        <v>18</v>
      </c>
      <c r="L8" s="1" t="s">
        <v>19</v>
      </c>
      <c r="M8" s="1" t="s">
        <v>20</v>
      </c>
      <c r="N8" s="1" t="s">
        <v>21</v>
      </c>
      <c r="O8" s="1" t="s">
        <v>22</v>
      </c>
      <c r="P8" s="1" t="s">
        <v>23</v>
      </c>
      <c r="Q8" s="1" t="s">
        <v>24</v>
      </c>
      <c r="R8" s="1" t="s">
        <v>25</v>
      </c>
      <c r="S8" s="1" t="s">
        <v>26</v>
      </c>
      <c r="T8" s="1" t="s">
        <v>27</v>
      </c>
      <c r="U8" s="1" t="s">
        <v>28</v>
      </c>
    </row>
    <row r="9" spans="1:21" x14ac:dyDescent="0.2">
      <c r="A9" s="29"/>
      <c r="F9" s="1">
        <v>16</v>
      </c>
      <c r="G9" s="1">
        <v>7</v>
      </c>
      <c r="H9" s="1">
        <v>33</v>
      </c>
      <c r="I9" s="1">
        <v>27</v>
      </c>
      <c r="J9" s="1">
        <v>14</v>
      </c>
      <c r="K9" s="1">
        <v>5</v>
      </c>
      <c r="L9" s="1">
        <v>5</v>
      </c>
      <c r="M9" s="1">
        <v>1</v>
      </c>
      <c r="N9" s="1">
        <v>17</v>
      </c>
      <c r="O9" s="1">
        <v>10</v>
      </c>
      <c r="P9" s="1">
        <v>3</v>
      </c>
      <c r="Q9" s="1">
        <v>2</v>
      </c>
      <c r="R9" s="1">
        <v>17</v>
      </c>
      <c r="S9" s="1">
        <v>18</v>
      </c>
      <c r="T9" s="1">
        <v>25</v>
      </c>
      <c r="U9" s="1">
        <v>24</v>
      </c>
    </row>
    <row r="10" spans="1:21" x14ac:dyDescent="0.2">
      <c r="A10" s="29"/>
      <c r="F10" s="16">
        <f>F9/43</f>
        <v>0.37209302325581395</v>
      </c>
      <c r="G10" s="16">
        <f t="shared" ref="G10:U10" si="0">G9/43</f>
        <v>0.16279069767441862</v>
      </c>
      <c r="H10" s="16">
        <f t="shared" si="0"/>
        <v>0.76744186046511631</v>
      </c>
      <c r="I10" s="16">
        <f t="shared" si="0"/>
        <v>0.62790697674418605</v>
      </c>
      <c r="J10" s="16">
        <f t="shared" si="0"/>
        <v>0.32558139534883723</v>
      </c>
      <c r="K10" s="16">
        <f t="shared" si="0"/>
        <v>0.11627906976744186</v>
      </c>
      <c r="L10" s="16">
        <f t="shared" si="0"/>
        <v>0.11627906976744186</v>
      </c>
      <c r="M10" s="16">
        <f t="shared" si="0"/>
        <v>2.3255813953488372E-2</v>
      </c>
      <c r="N10" s="16">
        <f t="shared" si="0"/>
        <v>0.39534883720930231</v>
      </c>
      <c r="O10" s="16">
        <f t="shared" si="0"/>
        <v>0.23255813953488372</v>
      </c>
      <c r="P10" s="16">
        <f t="shared" si="0"/>
        <v>6.9767441860465115E-2</v>
      </c>
      <c r="Q10" s="16">
        <f t="shared" si="0"/>
        <v>4.6511627906976744E-2</v>
      </c>
      <c r="R10" s="16">
        <f t="shared" si="0"/>
        <v>0.39534883720930231</v>
      </c>
      <c r="S10" s="16">
        <f t="shared" si="0"/>
        <v>0.41860465116279072</v>
      </c>
      <c r="T10" s="16">
        <f t="shared" si="0"/>
        <v>0.58139534883720934</v>
      </c>
      <c r="U10" s="16">
        <f t="shared" si="0"/>
        <v>0.55813953488372092</v>
      </c>
    </row>
    <row r="11" spans="1:21" x14ac:dyDescent="0.2">
      <c r="A11" s="29" t="s">
        <v>334</v>
      </c>
    </row>
    <row r="12" spans="1:21" x14ac:dyDescent="0.2">
      <c r="A12" s="30" t="s">
        <v>336</v>
      </c>
      <c r="F12" s="1" t="s">
        <v>339</v>
      </c>
    </row>
    <row r="13" spans="1:21" x14ac:dyDescent="0.2">
      <c r="A13" s="30" t="s">
        <v>340</v>
      </c>
      <c r="F13" s="1" t="s">
        <v>341</v>
      </c>
    </row>
    <row r="14" spans="1:21" x14ac:dyDescent="0.2">
      <c r="A14" s="30" t="s">
        <v>346</v>
      </c>
      <c r="F14" s="1" t="s">
        <v>347</v>
      </c>
    </row>
    <row r="15" spans="1:21" x14ac:dyDescent="0.2">
      <c r="A15" s="30" t="s">
        <v>342</v>
      </c>
      <c r="F15" s="1" t="s">
        <v>343</v>
      </c>
    </row>
    <row r="16" spans="1:21" x14ac:dyDescent="0.2">
      <c r="A16" s="30" t="s">
        <v>344</v>
      </c>
      <c r="F16" s="1" t="s">
        <v>345</v>
      </c>
    </row>
    <row r="17" spans="1:6" x14ac:dyDescent="0.2">
      <c r="A17" s="29"/>
    </row>
    <row r="18" spans="1:6" x14ac:dyDescent="0.2">
      <c r="A18" s="29" t="s">
        <v>38</v>
      </c>
      <c r="F18" s="1" t="s">
        <v>335</v>
      </c>
    </row>
    <row r="19" spans="1:6" x14ac:dyDescent="0.2">
      <c r="A19" s="29" t="s">
        <v>324</v>
      </c>
      <c r="F19" s="1" t="s">
        <v>348</v>
      </c>
    </row>
    <row r="20" spans="1:6" x14ac:dyDescent="0.2">
      <c r="A20" s="29"/>
      <c r="F20" s="1" t="s">
        <v>353</v>
      </c>
    </row>
    <row r="21" spans="1:6" x14ac:dyDescent="0.2">
      <c r="A21" s="30" t="s">
        <v>351</v>
      </c>
      <c r="F21" s="1" t="s">
        <v>352</v>
      </c>
    </row>
    <row r="22" spans="1:6" x14ac:dyDescent="0.2">
      <c r="A22" s="30" t="s">
        <v>349</v>
      </c>
      <c r="F22" s="1" t="s">
        <v>354</v>
      </c>
    </row>
    <row r="23" spans="1:6" x14ac:dyDescent="0.2">
      <c r="A23" s="30" t="s">
        <v>350</v>
      </c>
      <c r="F23" s="1" t="s">
        <v>355</v>
      </c>
    </row>
    <row r="24" spans="1:6" x14ac:dyDescent="0.2">
      <c r="A24" s="30" t="s">
        <v>357</v>
      </c>
      <c r="F24" s="1" t="s">
        <v>356</v>
      </c>
    </row>
    <row r="25" spans="1:6" x14ac:dyDescent="0.2">
      <c r="A25" s="29"/>
    </row>
    <row r="26" spans="1:6" x14ac:dyDescent="0.2">
      <c r="A26" s="28" t="s">
        <v>30</v>
      </c>
    </row>
    <row r="27" spans="1:6" x14ac:dyDescent="0.2">
      <c r="A27" s="29" t="s">
        <v>52</v>
      </c>
      <c r="F27" s="1" t="s">
        <v>325</v>
      </c>
    </row>
    <row r="28" spans="1:6" x14ac:dyDescent="0.2">
      <c r="A28" s="29" t="s">
        <v>326</v>
      </c>
      <c r="F28" s="1" t="s">
        <v>331</v>
      </c>
    </row>
    <row r="29" spans="1:6" x14ac:dyDescent="0.2">
      <c r="A29" s="29" t="s">
        <v>327</v>
      </c>
      <c r="F29" s="1" t="s">
        <v>330</v>
      </c>
    </row>
    <row r="30" spans="1:6" x14ac:dyDescent="0.2">
      <c r="A30" s="29" t="s">
        <v>328</v>
      </c>
      <c r="F30" s="1" t="s">
        <v>329</v>
      </c>
    </row>
    <row r="31" spans="1:6" x14ac:dyDescent="0.2">
      <c r="A31" s="31"/>
    </row>
    <row r="32" spans="1:6" x14ac:dyDescent="0.2">
      <c r="A32" s="28" t="s">
        <v>315</v>
      </c>
      <c r="F32" s="1" t="s">
        <v>316</v>
      </c>
    </row>
    <row r="33" spans="1:6" x14ac:dyDescent="0.2">
      <c r="A33" s="28" t="s">
        <v>279</v>
      </c>
    </row>
    <row r="34" spans="1:6" x14ac:dyDescent="0.2">
      <c r="A34" s="29" t="s">
        <v>269</v>
      </c>
    </row>
    <row r="35" spans="1:6" x14ac:dyDescent="0.2">
      <c r="A35" s="30" t="s">
        <v>281</v>
      </c>
      <c r="F35" s="1" t="s">
        <v>529</v>
      </c>
    </row>
    <row r="36" spans="1:6" x14ac:dyDescent="0.2">
      <c r="A36" s="30" t="s">
        <v>280</v>
      </c>
      <c r="F36" s="1" t="s">
        <v>282</v>
      </c>
    </row>
    <row r="37" spans="1:6" x14ac:dyDescent="0.2">
      <c r="A37" s="30" t="s">
        <v>283</v>
      </c>
      <c r="F37" s="1" t="s">
        <v>284</v>
      </c>
    </row>
    <row r="38" spans="1:6" x14ac:dyDescent="0.2">
      <c r="A38" s="30" t="s">
        <v>298</v>
      </c>
      <c r="F38" s="1" t="s">
        <v>301</v>
      </c>
    </row>
    <row r="39" spans="1:6" x14ac:dyDescent="0.2">
      <c r="A39" s="35" t="s">
        <v>300</v>
      </c>
      <c r="F39" s="1" t="s">
        <v>302</v>
      </c>
    </row>
    <row r="40" spans="1:6" x14ac:dyDescent="0.2">
      <c r="A40" s="31"/>
    </row>
    <row r="41" spans="1:6" x14ac:dyDescent="0.2">
      <c r="A41" s="29" t="s">
        <v>210</v>
      </c>
    </row>
    <row r="42" spans="1:6" x14ac:dyDescent="0.2">
      <c r="A42" s="30" t="s">
        <v>281</v>
      </c>
      <c r="F42" s="15" t="s">
        <v>285</v>
      </c>
    </row>
    <row r="43" spans="1:6" x14ac:dyDescent="0.2">
      <c r="A43" s="30" t="s">
        <v>280</v>
      </c>
      <c r="F43" s="1" t="s">
        <v>288</v>
      </c>
    </row>
    <row r="44" spans="1:6" x14ac:dyDescent="0.2">
      <c r="A44" s="30" t="s">
        <v>283</v>
      </c>
    </row>
    <row r="45" spans="1:6" x14ac:dyDescent="0.2">
      <c r="A45" s="35" t="s">
        <v>287</v>
      </c>
      <c r="F45" s="1" t="s">
        <v>290</v>
      </c>
    </row>
    <row r="46" spans="1:6" x14ac:dyDescent="0.2">
      <c r="A46" s="35" t="s">
        <v>289</v>
      </c>
      <c r="F46" s="1" t="s">
        <v>291</v>
      </c>
    </row>
    <row r="47" spans="1:6" x14ac:dyDescent="0.2">
      <c r="A47" s="35" t="s">
        <v>292</v>
      </c>
      <c r="F47" s="1" t="s">
        <v>293</v>
      </c>
    </row>
    <row r="48" spans="1:6" x14ac:dyDescent="0.2">
      <c r="A48" s="35"/>
    </row>
    <row r="49" spans="1:6" x14ac:dyDescent="0.2">
      <c r="A49" s="30" t="s">
        <v>294</v>
      </c>
      <c r="F49" s="1" t="s">
        <v>295</v>
      </c>
    </row>
    <row r="50" spans="1:6" x14ac:dyDescent="0.2">
      <c r="A50" s="30" t="s">
        <v>299</v>
      </c>
      <c r="F50" s="1" t="s">
        <v>296</v>
      </c>
    </row>
    <row r="51" spans="1:6" x14ac:dyDescent="0.2">
      <c r="A51" s="30"/>
    </row>
    <row r="52" spans="1:6" x14ac:dyDescent="0.2">
      <c r="A52" s="29" t="s">
        <v>270</v>
      </c>
    </row>
    <row r="53" spans="1:6" x14ac:dyDescent="0.2">
      <c r="A53" s="30" t="s">
        <v>281</v>
      </c>
      <c r="F53" s="1" t="s">
        <v>530</v>
      </c>
    </row>
    <row r="54" spans="1:6" x14ac:dyDescent="0.2">
      <c r="A54" s="30" t="s">
        <v>280</v>
      </c>
      <c r="F54" s="1" t="s">
        <v>286</v>
      </c>
    </row>
    <row r="55" spans="1:6" x14ac:dyDescent="0.2">
      <c r="A55" s="30" t="s">
        <v>283</v>
      </c>
      <c r="F55" s="1" t="s">
        <v>319</v>
      </c>
    </row>
    <row r="56" spans="1:6" x14ac:dyDescent="0.2">
      <c r="A56" s="30" t="s">
        <v>320</v>
      </c>
      <c r="F56" s="1" t="s">
        <v>321</v>
      </c>
    </row>
    <row r="57" spans="1:6" x14ac:dyDescent="0.2">
      <c r="A57" s="30" t="s">
        <v>297</v>
      </c>
      <c r="F57" s="1" t="s">
        <v>322</v>
      </c>
    </row>
    <row r="58" spans="1:6" x14ac:dyDescent="0.2">
      <c r="A58" s="30"/>
      <c r="F58" s="1" t="s">
        <v>323</v>
      </c>
    </row>
    <row r="59" spans="1:6" x14ac:dyDescent="0.2">
      <c r="A59" s="35"/>
    </row>
    <row r="60" spans="1:6" x14ac:dyDescent="0.2">
      <c r="A60" s="29" t="s">
        <v>312</v>
      </c>
      <c r="F60" s="1" t="s">
        <v>313</v>
      </c>
    </row>
    <row r="61" spans="1:6" x14ac:dyDescent="0.2">
      <c r="A61" s="29"/>
    </row>
    <row r="62" spans="1:6" x14ac:dyDescent="0.2">
      <c r="A62" s="29" t="s">
        <v>273</v>
      </c>
      <c r="F62" s="1" t="s">
        <v>314</v>
      </c>
    </row>
    <row r="63" spans="1:6" x14ac:dyDescent="0.2">
      <c r="A63" s="30" t="s">
        <v>317</v>
      </c>
      <c r="F63" s="1" t="s">
        <v>318</v>
      </c>
    </row>
    <row r="64" spans="1:6" x14ac:dyDescent="0.2">
      <c r="A64" s="31"/>
    </row>
    <row r="65" spans="1:6" x14ac:dyDescent="0.2">
      <c r="A65" s="31" t="s">
        <v>305</v>
      </c>
    </row>
    <row r="66" spans="1:6" x14ac:dyDescent="0.2">
      <c r="A66" s="28" t="s">
        <v>358</v>
      </c>
      <c r="F66" s="1" t="s">
        <v>359</v>
      </c>
    </row>
    <row r="67" spans="1:6" x14ac:dyDescent="0.2">
      <c r="A67" s="28" t="s">
        <v>311</v>
      </c>
      <c r="F67" s="1" t="s">
        <v>528</v>
      </c>
    </row>
    <row r="68" spans="1:6" x14ac:dyDescent="0.2">
      <c r="A68" s="28" t="s">
        <v>306</v>
      </c>
    </row>
    <row r="69" spans="1:6" x14ac:dyDescent="0.2">
      <c r="A69" s="29" t="s">
        <v>307</v>
      </c>
      <c r="F69" s="1" t="s">
        <v>480</v>
      </c>
    </row>
    <row r="70" spans="1:6" x14ac:dyDescent="0.2">
      <c r="A70" s="30" t="s">
        <v>471</v>
      </c>
      <c r="F70" s="1" t="s">
        <v>470</v>
      </c>
    </row>
    <row r="71" spans="1:6" x14ac:dyDescent="0.2">
      <c r="A71" s="30" t="s">
        <v>472</v>
      </c>
      <c r="F71" s="1" t="s">
        <v>476</v>
      </c>
    </row>
    <row r="72" spans="1:6" x14ac:dyDescent="0.2">
      <c r="A72" s="30"/>
    </row>
    <row r="73" spans="1:6" x14ac:dyDescent="0.2">
      <c r="A73" s="29" t="s">
        <v>308</v>
      </c>
      <c r="F73" s="1" t="s">
        <v>473</v>
      </c>
    </row>
    <row r="74" spans="1:6" x14ac:dyDescent="0.2">
      <c r="A74" s="30" t="s">
        <v>474</v>
      </c>
      <c r="F74" s="1" t="s">
        <v>475</v>
      </c>
    </row>
    <row r="75" spans="1:6" x14ac:dyDescent="0.2">
      <c r="A75" s="30" t="s">
        <v>472</v>
      </c>
      <c r="F75" s="1" t="s">
        <v>477</v>
      </c>
    </row>
    <row r="76" spans="1:6" x14ac:dyDescent="0.2">
      <c r="A76" s="30"/>
    </row>
    <row r="77" spans="1:6" x14ac:dyDescent="0.2">
      <c r="A77" s="29" t="s">
        <v>309</v>
      </c>
    </row>
    <row r="78" spans="1:6" x14ac:dyDescent="0.2">
      <c r="A78" s="30" t="s">
        <v>479</v>
      </c>
      <c r="F78" s="1" t="s">
        <v>484</v>
      </c>
    </row>
    <row r="79" spans="1:6" x14ac:dyDescent="0.2">
      <c r="A79" s="30" t="s">
        <v>472</v>
      </c>
      <c r="F79" s="1" t="s">
        <v>482</v>
      </c>
    </row>
    <row r="80" spans="1:6" x14ac:dyDescent="0.2">
      <c r="A80" s="30"/>
    </row>
    <row r="81" spans="1:6" x14ac:dyDescent="0.2">
      <c r="A81" s="29" t="s">
        <v>310</v>
      </c>
    </row>
    <row r="82" spans="1:6" x14ac:dyDescent="0.2">
      <c r="A82" s="30" t="s">
        <v>478</v>
      </c>
      <c r="F82" s="1" t="s">
        <v>481</v>
      </c>
    </row>
    <row r="83" spans="1:6" x14ac:dyDescent="0.2">
      <c r="A83" s="30" t="s">
        <v>472</v>
      </c>
      <c r="F83" s="1" t="s">
        <v>483</v>
      </c>
    </row>
    <row r="84" spans="1:6" x14ac:dyDescent="0.2">
      <c r="A84" s="30"/>
    </row>
    <row r="85" spans="1:6" x14ac:dyDescent="0.2">
      <c r="A85" s="28" t="s">
        <v>29</v>
      </c>
    </row>
    <row r="86" spans="1:6" x14ac:dyDescent="0.2">
      <c r="A86" s="29" t="s">
        <v>457</v>
      </c>
      <c r="F86" s="1" t="s">
        <v>485</v>
      </c>
    </row>
    <row r="87" spans="1:6" x14ac:dyDescent="0.2">
      <c r="A87" s="29" t="s">
        <v>216</v>
      </c>
      <c r="F87" s="1" t="s">
        <v>486</v>
      </c>
    </row>
    <row r="88" spans="1:6" x14ac:dyDescent="0.2">
      <c r="A88" s="29" t="s">
        <v>462</v>
      </c>
      <c r="F88" s="1" t="s">
        <v>488</v>
      </c>
    </row>
    <row r="89" spans="1:6" x14ac:dyDescent="0.2">
      <c r="A89" s="29" t="s">
        <v>460</v>
      </c>
      <c r="F89" s="1" t="s">
        <v>487</v>
      </c>
    </row>
    <row r="90" spans="1:6" x14ac:dyDescent="0.2">
      <c r="A90" s="29" t="s">
        <v>461</v>
      </c>
      <c r="F90" s="1" t="s">
        <v>489</v>
      </c>
    </row>
    <row r="91" spans="1:6" x14ac:dyDescent="0.2">
      <c r="A91" s="29" t="s">
        <v>454</v>
      </c>
      <c r="F91" s="1" t="s">
        <v>490</v>
      </c>
    </row>
    <row r="92" spans="1:6" x14ac:dyDescent="0.2">
      <c r="A92" s="29" t="s">
        <v>459</v>
      </c>
      <c r="F92" s="1" t="s">
        <v>491</v>
      </c>
    </row>
    <row r="93" spans="1:6" x14ac:dyDescent="0.2">
      <c r="A93" s="29" t="s">
        <v>455</v>
      </c>
      <c r="F93" s="1" t="s">
        <v>492</v>
      </c>
    </row>
    <row r="94" spans="1:6" x14ac:dyDescent="0.2">
      <c r="A94" s="29"/>
    </row>
    <row r="95" spans="1:6" x14ac:dyDescent="0.2">
      <c r="A95" s="29" t="s">
        <v>493</v>
      </c>
      <c r="F95" s="1" t="s">
        <v>494</v>
      </c>
    </row>
    <row r="96" spans="1:6" x14ac:dyDescent="0.2">
      <c r="A96" s="13"/>
    </row>
    <row r="97" spans="1:1" x14ac:dyDescent="0.2">
      <c r="A97" s="13"/>
    </row>
    <row r="98" spans="1:1" x14ac:dyDescent="0.2">
      <c r="A98" s="13"/>
    </row>
    <row r="99" spans="1:1" x14ac:dyDescent="0.2">
      <c r="A99" s="13"/>
    </row>
    <row r="100" spans="1:1" x14ac:dyDescent="0.2">
      <c r="A100" s="13"/>
    </row>
    <row r="101" spans="1:1" x14ac:dyDescent="0.2">
      <c r="A101" s="13"/>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datasets</vt:lpstr>
      <vt:lpstr>analysis</vt:lpstr>
      <vt:lpstr>dist-t-analysis</vt:lpstr>
      <vt:lpstr>gt-analysis</vt:lpstr>
      <vt:lpstr>organization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2022-09-26T14:38:15Z</dcterms:modified>
</cp:coreProperties>
</file>