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FEDE7B5A-4BB9-40F2-9BFD-32F8E6226FB6}" xr6:coauthVersionLast="47" xr6:coauthVersionMax="47" xr10:uidLastSave="{00000000-0000-0000-0000-000000000000}"/>
  <bookViews>
    <workbookView xWindow="768" yWindow="768" windowWidth="17280" windowHeight="8880" activeTab="3" xr2:uid="{00000000-000D-0000-FFFF-FFFF00000000}"/>
  </bookViews>
  <sheets>
    <sheet name="included" sheetId="1" r:id="rId1"/>
    <sheet name="analysis-db" sheetId="2" r:id="rId2"/>
    <sheet name="year" sheetId="3" r:id="rId3"/>
    <sheet name="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4" i="4" l="1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M5" i="4" a="1"/>
  <c r="M5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 a="1"/>
  <c r="Q80" i="4" s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5" i="4" a="1"/>
  <c r="Q65" i="4" s="1"/>
  <c r="Q66" i="4" a="1"/>
  <c r="Q66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Q5" i="4"/>
  <c r="R75" i="4"/>
  <c r="R74" i="4"/>
  <c r="R76" i="4"/>
  <c r="R77" i="4"/>
  <c r="R78" i="4"/>
  <c r="R79" i="4"/>
  <c r="R80" i="4"/>
  <c r="R81" i="4"/>
  <c r="R82" i="4"/>
  <c r="R83" i="4"/>
  <c r="R85" i="4"/>
  <c r="R86" i="4"/>
  <c r="R84" i="4"/>
  <c r="R90" i="4"/>
  <c r="R91" i="4"/>
  <c r="R89" i="4"/>
  <c r="R87" i="4"/>
  <c r="R94" i="4"/>
  <c r="R92" i="4"/>
  <c r="R88" i="4"/>
  <c r="R93" i="4"/>
  <c r="R95" i="4"/>
  <c r="R96" i="4"/>
  <c r="R97" i="4"/>
  <c r="R98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M12" i="2"/>
  <c r="Q16" i="2"/>
  <c r="Q8" i="2"/>
  <c r="Q7" i="2"/>
  <c r="P7" i="2"/>
  <c r="Q6" i="2"/>
  <c r="P6" i="2"/>
  <c r="O6" i="2"/>
  <c r="Q5" i="2"/>
  <c r="P5" i="2"/>
  <c r="O5" i="2"/>
  <c r="N5" i="2"/>
  <c r="Q4" i="2"/>
  <c r="P4" i="2"/>
  <c r="O4" i="2"/>
  <c r="N4" i="2"/>
  <c r="M4" i="2"/>
  <c r="Q35" i="2"/>
  <c r="P35" i="2"/>
  <c r="O35" i="2"/>
  <c r="N35" i="2"/>
  <c r="M35" i="2"/>
  <c r="M74" i="4"/>
  <c r="M75" i="4"/>
  <c r="M76" i="4"/>
  <c r="M77" i="4"/>
  <c r="M78" i="4"/>
  <c r="M80" i="4"/>
  <c r="M79" i="4"/>
  <c r="M81" i="4"/>
  <c r="M82" i="4"/>
  <c r="M83" i="4"/>
  <c r="M98" i="4"/>
  <c r="M96" i="4"/>
  <c r="M90" i="4"/>
  <c r="M91" i="4"/>
  <c r="M85" i="4"/>
  <c r="M97" i="4"/>
  <c r="M89" i="4"/>
  <c r="M87" i="4"/>
  <c r="M95" i="4"/>
  <c r="M94" i="4"/>
  <c r="M92" i="4"/>
  <c r="M88" i="4"/>
  <c r="M86" i="4"/>
  <c r="M93" i="4"/>
  <c r="M84" i="4"/>
  <c r="M52" i="4"/>
  <c r="M53" i="4"/>
  <c r="M54" i="4"/>
  <c r="M56" i="4"/>
  <c r="M55" i="4"/>
  <c r="M59" i="4"/>
  <c r="M57" i="4"/>
  <c r="M58" i="4"/>
  <c r="M60" i="4"/>
  <c r="M63" i="4"/>
  <c r="M61" i="4"/>
  <c r="M62" i="4"/>
  <c r="M66" i="4"/>
  <c r="M65" i="4"/>
  <c r="M64" i="4"/>
  <c r="Q15" i="4"/>
  <c r="Q29" i="4"/>
  <c r="Q42" i="4"/>
  <c r="Q19" i="4"/>
  <c r="Q37" i="4"/>
  <c r="Q38" i="4"/>
  <c r="Q8" i="4"/>
  <c r="Q44" i="4"/>
  <c r="Q22" i="4"/>
  <c r="Q24" i="4"/>
  <c r="Q16" i="4"/>
  <c r="Q11" i="4"/>
  <c r="Q18" i="4"/>
  <c r="Q20" i="4"/>
  <c r="Q35" i="4"/>
  <c r="Q32" i="4"/>
  <c r="Q14" i="4"/>
  <c r="Q31" i="4"/>
  <c r="Q34" i="4"/>
  <c r="Q23" i="4"/>
  <c r="Q13" i="4"/>
  <c r="Q26" i="4"/>
  <c r="Q21" i="4"/>
  <c r="Q28" i="4"/>
  <c r="Q40" i="4"/>
  <c r="Q12" i="4"/>
  <c r="Q7" i="4"/>
  <c r="Q39" i="4"/>
  <c r="Q6" i="4"/>
  <c r="Q36" i="4"/>
  <c r="Q10" i="4"/>
  <c r="Q27" i="4"/>
  <c r="Q17" i="4"/>
  <c r="Q9" i="4"/>
  <c r="Q43" i="4"/>
  <c r="Q41" i="4"/>
  <c r="Q33" i="4"/>
  <c r="Q30" i="4"/>
  <c r="Q25" i="4"/>
  <c r="P98" i="4"/>
  <c r="P96" i="4"/>
  <c r="P74" i="4"/>
  <c r="P75" i="4"/>
  <c r="P90" i="4"/>
  <c r="P78" i="4"/>
  <c r="P80" i="4"/>
  <c r="P91" i="4"/>
  <c r="P82" i="4"/>
  <c r="P76" i="4"/>
  <c r="P85" i="4"/>
  <c r="P97" i="4"/>
  <c r="P89" i="4"/>
  <c r="P79" i="4"/>
  <c r="P83" i="4"/>
  <c r="P87" i="4"/>
  <c r="P95" i="4"/>
  <c r="P77" i="4"/>
  <c r="P81" i="4"/>
  <c r="P94" i="4"/>
  <c r="P92" i="4"/>
  <c r="P88" i="4"/>
  <c r="P86" i="4"/>
  <c r="P93" i="4"/>
  <c r="P84" i="4"/>
  <c r="P60" i="4"/>
  <c r="P52" i="4"/>
  <c r="P53" i="4"/>
  <c r="P54" i="4"/>
  <c r="P63" i="4"/>
  <c r="P56" i="4"/>
  <c r="P55" i="4"/>
  <c r="P59" i="4"/>
  <c r="P57" i="4"/>
  <c r="P58" i="4"/>
  <c r="P61" i="4"/>
  <c r="P62" i="4"/>
  <c r="P66" i="4"/>
  <c r="P65" i="4"/>
  <c r="P64" i="4"/>
  <c r="P34" i="4"/>
  <c r="P23" i="4"/>
  <c r="P15" i="4"/>
  <c r="P5" i="4"/>
  <c r="P42" i="4"/>
  <c r="P29" i="4"/>
  <c r="P19" i="4"/>
  <c r="P13" i="4"/>
  <c r="P16" i="4"/>
  <c r="P8" i="4"/>
  <c r="P44" i="4"/>
  <c r="P26" i="4"/>
  <c r="P11" i="4"/>
  <c r="P21" i="4"/>
  <c r="P20" i="4"/>
  <c r="P37" i="4"/>
  <c r="P18" i="4"/>
  <c r="P28" i="4"/>
  <c r="P40" i="4"/>
  <c r="P12" i="4"/>
  <c r="P22" i="4"/>
  <c r="P35" i="4"/>
  <c r="P32" i="4"/>
  <c r="P7" i="4"/>
  <c r="P39" i="4"/>
  <c r="P14" i="4"/>
  <c r="P38" i="4"/>
  <c r="P31" i="4"/>
  <c r="P6" i="4"/>
  <c r="P24" i="4"/>
  <c r="P36" i="4"/>
  <c r="P10" i="4"/>
  <c r="P27" i="4"/>
  <c r="P17" i="4"/>
  <c r="P9" i="4"/>
  <c r="P43" i="4"/>
  <c r="P41" i="4"/>
  <c r="P33" i="4"/>
  <c r="P30" i="4"/>
  <c r="P25" i="4"/>
  <c r="J74" i="4" a="1"/>
  <c r="J74" i="4" s="1"/>
  <c r="J52" i="4" a="1"/>
  <c r="J52" i="4" s="1"/>
  <c r="J5" i="4" a="1"/>
  <c r="J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E146" i="2"/>
  <c r="F146" i="2"/>
  <c r="G146" i="2"/>
  <c r="H146" i="2"/>
  <c r="I146" i="2"/>
  <c r="D146" i="2"/>
  <c r="D147" i="2" l="1" a="1"/>
  <c r="D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6D102-38E7-4741-B921-03EC74836A9D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7B8F5B15-116E-4CDD-8F2A-2D65533FC33C}" keepAlive="1" name="Query - analysis_db (2)" description="Connection to the 'analysis_db (2)' query in the workbook." type="5" refreshedVersion="0" background="1">
    <dbPr connection="Provider=Microsoft.Mashup.OleDb.1;Data Source=$Workbook$;Location=&quot;analysis_db (2)&quot;;Extended Properties=&quot;&quot;" command="SELECT * FROM [analysis_db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<sst xmlns="http://schemas.openxmlformats.org/spreadsheetml/2006/main" count="2046" uniqueCount="874">
  <si>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</si>
  <si>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</si>
  <si>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</si>
  <si>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</si>
  <si>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</si>
  <si>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</si>
  <si>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</si>
  <si>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</si>
  <si>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</si>
  <si>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</si>
  <si>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</si>
  <si>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</si>
  <si>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</si>
  <si>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</si>
  <si>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</si>
  <si>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</si>
  <si>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</si>
  <si>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</si>
  <si>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</si>
  <si>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</si>
  <si>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</si>
  <si>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</si>
  <si>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</si>
  <si>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</si>
  <si>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</si>
  <si>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</si>
  <si>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</si>
  <si>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</si>
  <si>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</si>
  <si>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</si>
  <si>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</si>
  <si>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</si>
  <si>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</si>
  <si>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</si>
  <si>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</si>
  <si>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</si>
  <si>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</si>
  <si>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</si>
  <si>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</si>
  <si>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</si>
  <si>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</si>
  <si>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</si>
  <si>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</si>
  <si>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</si>
  <si>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</si>
  <si>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</si>
  <si>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</si>
  <si>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</si>
  <si>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</si>
  <si>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</si>
  <si>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</si>
  <si>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</si>
  <si>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</si>
  <si>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</si>
  <si>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</si>
  <si>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</si>
  <si>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</si>
  <si>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</si>
  <si>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</si>
  <si>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</si>
  <si>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</si>
  <si>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</si>
  <si>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</si>
  <si>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</si>
  <si>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</si>
  <si>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</si>
  <si>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</si>
  <si>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</si>
  <si>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</si>
  <si>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</si>
  <si>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</si>
  <si>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</si>
  <si>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</si>
  <si>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</si>
  <si>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</si>
  <si>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</si>
  <si>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</si>
  <si>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</si>
  <si>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</si>
  <si>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</si>
  <si>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</si>
  <si>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</si>
  <si>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</si>
  <si>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</si>
  <si>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</si>
  <si>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</si>
  <si>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</si>
  <si>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</si>
  <si>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</si>
  <si>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</si>
  <si>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</si>
  <si>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</si>
  <si>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</si>
  <si>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</si>
  <si>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</si>
  <si>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</si>
  <si>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</si>
  <si>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</si>
  <si>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</si>
  <si>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</si>
  <si>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</si>
  <si>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</si>
  <si>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</si>
  <si>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</si>
  <si>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</si>
  <si>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</si>
  <si>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</si>
  <si>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</si>
  <si>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</si>
  <si>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</si>
  <si>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</si>
  <si>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</si>
  <si>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</si>
  <si>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</si>
  <si>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</si>
  <si>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</si>
  <si>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</si>
  <si>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</si>
  <si>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</si>
  <si>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</si>
  <si>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</si>
  <si>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</si>
  <si>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</si>
  <si>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</si>
  <si>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</si>
  <si>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</si>
  <si>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</si>
  <si>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</si>
  <si>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</si>
  <si>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</si>
  <si>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</si>
  <si>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</si>
  <si>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</si>
  <si>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</si>
  <si>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</si>
  <si>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</si>
  <si>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</si>
  <si>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</si>
  <si>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</si>
  <si>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</si>
  <si>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</si>
  <si>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</si>
  <si>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</si>
  <si>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</si>
  <si>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</si>
  <si>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</si>
  <si>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</si>
  <si>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</si>
  <si>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</si>
  <si>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</si>
  <si>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</si>
  <si>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</si>
  <si>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</si>
  <si>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</si>
  <si>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</si>
  <si>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</si>
  <si>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</si>
  <si>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</si>
  <si>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</si>
  <si>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</si>
  <si>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</si>
  <si>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</si>
  <si>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</si>
  <si>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</si>
  <si>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</si>
  <si>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</si>
  <si>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</si>
  <si>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</si>
  <si>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</si>
  <si>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</si>
  <si>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</si>
  <si>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</si>
  <si>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</si>
  <si>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</si>
  <si>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</si>
  <si>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</si>
  <si>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</si>
  <si>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</si>
  <si>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</si>
  <si>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</si>
  <si>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</si>
  <si>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</si>
  <si>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</si>
  <si>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</si>
  <si>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</si>
  <si>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</si>
  <si>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</si>
  <si>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</si>
  <si>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</si>
  <si>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</si>
  <si>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</si>
  <si>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</si>
  <si>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</si>
  <si>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</si>
  <si>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</si>
  <si>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</si>
  <si>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</si>
  <si>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</si>
  <si>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</si>
  <si>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</si>
  <si>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</si>
  <si>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</si>
  <si>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</si>
  <si>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</si>
  <si>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</si>
  <si>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</si>
  <si>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</si>
  <si>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</si>
  <si>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</si>
  <si>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</si>
  <si>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</si>
  <si>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</si>
  <si>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</si>
  <si>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</si>
  <si>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</si>
  <si>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</si>
  <si>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</si>
  <si>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</si>
  <si>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</si>
  <si>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</si>
  <si>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</si>
  <si>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</si>
  <si>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</si>
  <si>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</si>
  <si>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</si>
  <si>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</si>
  <si>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</si>
  <si>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</si>
  <si>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</si>
  <si>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</si>
  <si>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</si>
  <si>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</si>
  <si>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</si>
  <si>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</si>
  <si>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</si>
  <si>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</si>
  <si>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</si>
  <si>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</si>
  <si>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</si>
  <si>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</si>
  <si>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</si>
  <si>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</si>
  <si>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</si>
  <si>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</si>
  <si>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</si>
  <si>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</si>
  <si>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</si>
  <si>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</si>
  <si>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</si>
  <si>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</si>
  <si>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</si>
  <si>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</si>
  <si>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</si>
  <si>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</si>
  <si>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</si>
  <si>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</si>
  <si>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</si>
  <si>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</si>
  <si>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</si>
  <si>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</si>
  <si>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</si>
  <si>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</si>
  <si>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</si>
  <si>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</si>
  <si>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</si>
  <si>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</si>
  <si>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</si>
  <si>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</si>
  <si>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</si>
  <si>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</si>
  <si>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</si>
  <si>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</si>
  <si>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</si>
  <si>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</si>
  <si>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</si>
  <si>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</si>
  <si>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</si>
  <si>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</si>
  <si>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</si>
  <si>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</si>
  <si>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</si>
  <si>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</si>
  <si>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</si>
  <si>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</si>
  <si>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</si>
  <si>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</si>
  <si>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</si>
  <si>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</si>
  <si>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</si>
  <si>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</si>
  <si>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</si>
  <si>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</si>
  <si>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</si>
  <si>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</si>
  <si>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</si>
  <si>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</si>
  <si>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</si>
  <si>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</si>
  <si>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</si>
  <si>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</si>
  <si>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</si>
  <si>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</si>
  <si>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</si>
  <si>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</si>
  <si>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</si>
  <si>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</si>
  <si>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</si>
  <si>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</si>
  <si>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</si>
  <si>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</si>
  <si>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</si>
  <si>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</si>
  <si>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</si>
  <si>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</si>
  <si>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</si>
  <si>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</si>
  <si>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</si>
  <si>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</si>
  <si>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</si>
  <si>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</si>
  <si>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</si>
  <si>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</si>
  <si>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</si>
  <si>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</si>
  <si>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</si>
  <si>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</si>
  <si>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</si>
  <si>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</si>
  <si>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</si>
  <si>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</si>
  <si>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</si>
  <si>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</si>
  <si>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</si>
  <si>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</si>
  <si>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</si>
  <si>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</si>
  <si>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</si>
  <si>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</si>
  <si>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</si>
  <si>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</si>
  <si>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</si>
  <si>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</si>
  <si>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</si>
  <si>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</si>
  <si>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</si>
  <si>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</si>
  <si>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</si>
  <si>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</si>
  <si>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</si>
  <si>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</si>
  <si>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</si>
  <si>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</si>
  <si>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</si>
  <si>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</si>
  <si>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</si>
  <si>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</si>
  <si>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</si>
  <si>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</si>
  <si>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</si>
  <si>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</si>
  <si>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</si>
  <si>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</si>
  <si>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</si>
  <si>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</si>
  <si>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</si>
  <si>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</si>
  <si>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</si>
  <si>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</si>
  <si>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</si>
  <si>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</si>
  <si>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</si>
  <si>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</si>
  <si>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</si>
  <si>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</si>
  <si>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</si>
  <si>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</si>
  <si>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</si>
  <si>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</si>
  <si>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</si>
  <si>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</si>
  <si>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</si>
  <si>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</si>
  <si>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</si>
  <si>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</si>
  <si>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</si>
  <si>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</si>
  <si>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</si>
  <si>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</si>
  <si>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</si>
  <si>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</si>
  <si>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</si>
  <si>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</si>
  <si>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</si>
  <si>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</si>
  <si>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</si>
  <si>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</si>
  <si>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</si>
  <si>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</si>
  <si>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</si>
  <si>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</si>
  <si>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</si>
  <si>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</si>
  <si>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</si>
  <si>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</si>
  <si>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</si>
  <si>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</si>
  <si>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</si>
  <si>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</si>
  <si>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</si>
  <si>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</si>
  <si>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</si>
  <si>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</si>
  <si>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</si>
  <si>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</si>
  <si>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</si>
  <si>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</si>
  <si>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</si>
  <si>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</si>
  <si>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</si>
  <si>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</si>
  <si>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</si>
  <si>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</si>
  <si>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</si>
  <si>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</si>
  <si>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</si>
  <si>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</si>
  <si>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</si>
  <si>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</si>
  <si>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</si>
  <si>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</si>
  <si>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</si>
  <si>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</si>
  <si>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</si>
  <si>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</si>
  <si>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</si>
  <si>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</si>
  <si>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</si>
  <si>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</si>
  <si>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</si>
  <si>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</si>
  <si>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</si>
  <si>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</si>
  <si>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</si>
  <si>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</si>
  <si>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</si>
  <si>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</si>
  <si>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</si>
  <si>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</si>
  <si>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</si>
  <si>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</si>
  <si>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</si>
  <si>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</si>
  <si>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</si>
  <si>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</si>
  <si>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</si>
  <si>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</si>
  <si>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</si>
  <si>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</si>
  <si>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</si>
  <si>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</si>
  <si>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</si>
  <si>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</si>
  <si>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</si>
  <si>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</si>
  <si>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</si>
  <si>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</si>
  <si>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</si>
  <si>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</si>
  <si>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</si>
  <si>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</si>
  <si>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</si>
  <si>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</si>
  <si>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</si>
  <si>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</si>
  <si>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</si>
  <si>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</si>
  <si>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</si>
  <si>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</si>
  <si>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</si>
  <si>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</si>
  <si>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</si>
  <si>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</si>
  <si>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</si>
  <si>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</si>
  <si>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</si>
  <si>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</si>
  <si>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</si>
  <si>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</si>
  <si>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</si>
  <si>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</si>
  <si>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</si>
  <si>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</si>
  <si>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</si>
  <si>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</si>
  <si>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</si>
  <si>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</si>
  <si>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</si>
  <si>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</si>
  <si>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</si>
  <si>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</si>
  <si>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</si>
  <si>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</si>
  <si>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</si>
  <si>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</si>
  <si>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</si>
  <si>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</si>
  <si>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</si>
  <si>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</si>
  <si>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</si>
  <si>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</si>
  <si>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</si>
  <si>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</si>
  <si>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</si>
  <si>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</si>
  <si>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</si>
  <si>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</si>
  <si>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</si>
  <si>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</si>
  <si>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</si>
  <si>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</si>
  <si>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</si>
  <si>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</si>
  <si>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</si>
  <si>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</si>
  <si>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</si>
  <si>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</si>
  <si>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</si>
  <si>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</si>
  <si>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</si>
  <si>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</si>
  <si>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</si>
  <si>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</si>
  <si>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</si>
  <si>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</si>
  <si>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</si>
  <si>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</si>
  <si>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</si>
  <si>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</si>
  <si>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</si>
  <si>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</si>
  <si>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</si>
  <si>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</si>
  <si>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</si>
  <si>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</si>
  <si>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</si>
  <si>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</si>
  <si>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</si>
  <si>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</si>
  <si>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</si>
  <si>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</si>
  <si>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</si>
  <si>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</si>
  <si>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</si>
  <si>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</si>
  <si>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</si>
  <si>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</si>
  <si>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</si>
  <si>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</si>
  <si>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</si>
  <si>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</si>
  <si>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</si>
  <si>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</si>
  <si>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</si>
  <si>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</si>
  <si>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</si>
  <si>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</si>
  <si>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</si>
  <si>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</si>
  <si>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</si>
  <si>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</si>
  <si>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</si>
  <si>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</si>
  <si>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</si>
  <si>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</si>
  <si>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</si>
  <si>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</si>
  <si>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</si>
  <si>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</si>
  <si>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</si>
  <si>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</si>
  <si>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</si>
  <si>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</si>
  <si>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</si>
  <si>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</si>
  <si>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</si>
  <si>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</si>
  <si>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A ∩ B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</si>
  <si>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</si>
  <si>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</si>
  <si>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</si>
  <si>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</si>
  <si>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</si>
  <si>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</si>
  <si>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/>
  </si>
  <si>
    <t>IEEE Transactions on Pattern Analysis and Machine Intelligence</t>
  </si>
  <si>
    <t>Advanced Robotics</t>
  </si>
  <si>
    <t>Robotics and Autonomous Systems</t>
  </si>
  <si>
    <t>IEEE Robotics and Automation Letters</t>
  </si>
  <si>
    <t>IEEE Access</t>
  </si>
  <si>
    <t>Autonomous Robots</t>
  </si>
  <si>
    <t>Sensors</t>
  </si>
  <si>
    <t>IEEE Transactions on Industrial Electronics</t>
  </si>
  <si>
    <t>IEEE Sensors Journal</t>
  </si>
  <si>
    <t>International Journal of Robotics Research</t>
  </si>
  <si>
    <t>IEEE/CAA Journal of Automatica Sinica</t>
  </si>
  <si>
    <t>10.1109/IROS.2011.6094414</t>
  </si>
  <si>
    <t>KI - Kunstliche Intelligenz</t>
  </si>
  <si>
    <t>Frontiers in Robotics and AI</t>
  </si>
  <si>
    <t>IEEE Transactions on Intelligent Transportation Systems</t>
  </si>
  <si>
    <t>International Journal of Advanced Robotic Systems</t>
  </si>
  <si>
    <t>Applied Sciences</t>
  </si>
  <si>
    <t>Journal of Intelligent and Robotic Systems: Theory and Applications</t>
  </si>
  <si>
    <t>Journal of Field Robotics</t>
  </si>
  <si>
    <t>IEEE Transactions on Robotics</t>
  </si>
  <si>
    <t>International Journal of Computer Vision</t>
  </si>
  <si>
    <t>IEEE/ASME Transactions on Mechatronics</t>
  </si>
  <si>
    <t>https://ieeexplore.ieee.org/document/5174794</t>
  </si>
  <si>
    <t>Visual Odometry and Place Recognition Fusion for Vehicle Position Tracking in Urban Environments</t>
  </si>
  <si>
    <t>Cognitive Neurodynamics</t>
  </si>
  <si>
    <t>Multimedia Tools and Applications</t>
  </si>
  <si>
    <t>IET Intelligent Transport Systems</t>
  </si>
  <si>
    <t>IEEE Transactions on Visualization and Computer Graphics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</si>
  <si>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</si>
  <si>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</si>
  <si>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</si>
  <si>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</si>
  <si>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</si>
  <si>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</si>
  <si>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</si>
  <si>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</si>
  <si>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</si>
  <si>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</si>
  <si>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</si>
  <si>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</si>
  <si>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</si>
  <si>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</si>
  <si>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</si>
  <si>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</si>
  <si>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</si>
  <si>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</si>
  <si>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</si>
  <si>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</si>
  <si>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</si>
  <si>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</si>
  <si>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</si>
  <si>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</si>
  <si>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</si>
  <si>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</si>
  <si>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</si>
  <si>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</si>
  <si>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</si>
  <si>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</si>
  <si>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</si>
  <si>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</si>
  <si>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</si>
  <si>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</si>
  <si>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</si>
  <si>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</si>
  <si>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</si>
  <si>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</si>
  <si>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</si>
  <si>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</si>
  <si>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</si>
  <si>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</si>
  <si>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</si>
  <si>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</si>
  <si>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</si>
  <si>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</si>
  <si>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</si>
  <si>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</si>
  <si>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</si>
  <si>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</si>
  <si>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</si>
  <si>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</si>
  <si>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</si>
  <si>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</si>
  <si>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</si>
  <si>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</si>
  <si>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</si>
  <si>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</si>
  <si>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</si>
  <si>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</si>
  <si>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</si>
  <si>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</si>
  <si>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</si>
  <si>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</si>
  <si>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</si>
  <si>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</si>
  <si>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</si>
  <si>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</si>
  <si>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</si>
  <si>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</si>
  <si>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</si>
  <si>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</si>
  <si>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</si>
  <si>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</si>
  <si>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</si>
  <si>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</si>
  <si>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</si>
  <si>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</si>
  <si>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</si>
  <si>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</si>
  <si>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</si>
  <si>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</si>
  <si>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</si>
  <si>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</si>
  <si>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</si>
  <si>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</si>
  <si>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</si>
  <si>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</si>
  <si>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</si>
  <si>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</si>
  <si>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</si>
  <si>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</si>
  <si>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</si>
  <si>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</si>
  <si>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</si>
  <si>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</si>
  <si>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</si>
  <si>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</si>
  <si>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</si>
  <si>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</si>
  <si>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</si>
  <si>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</si>
  <si>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</si>
  <si>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</si>
  <si>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</si>
  <si>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</si>
  <si>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</si>
  <si>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</si>
  <si>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</si>
  <si>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</si>
  <si>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</si>
  <si>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</si>
  <si>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</si>
  <si>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</si>
  <si>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</si>
  <si>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</si>
  <si>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</si>
  <si>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</si>
  <si>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</si>
  <si>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</si>
  <si>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</si>
  <si>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</si>
  <si>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</si>
  <si>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</si>
  <si>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</si>
  <si>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</si>
  <si>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</si>
  <si>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</si>
  <si>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</si>
  <si>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</si>
  <si>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</si>
  <si>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</si>
  <si>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</si>
  <si>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</si>
  <si>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</si>
  <si>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</si>
  <si>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</si>
  <si>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</si>
  <si>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</si>
  <si>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</si>
  <si>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</si>
  <si>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</si>
  <si>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</si>
  <si>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</si>
  <si>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</si>
  <si>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</si>
  <si>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</si>
  <si>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</si>
  <si>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</si>
  <si>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</si>
  <si>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</si>
  <si>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</si>
  <si>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</si>
  <si>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</si>
  <si>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</si>
  <si>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</si>
  <si>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</si>
  <si>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</si>
  <si>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</si>
  <si>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</si>
  <si>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</si>
  <si>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</si>
  <si>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</si>
  <si>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</si>
  <si>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</si>
  <si>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</si>
  <si>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</si>
  <si>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</si>
  <si>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</si>
  <si>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</si>
  <si>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</si>
  <si>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</si>
  <si>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</si>
  <si>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</si>
  <si>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</si>
  <si>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</si>
  <si>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</si>
  <si>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</si>
  <si>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</si>
  <si>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</si>
  <si>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</si>
  <si>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</si>
  <si>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</si>
  <si>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</si>
  <si>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</si>
  <si>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</si>
  <si>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</si>
  <si>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</si>
  <si>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</si>
  <si>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</si>
  <si>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</si>
  <si>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</si>
  <si>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</si>
  <si>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</si>
  <si>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</si>
  <si>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</si>
  <si>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</si>
  <si>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</si>
  <si>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</si>
  <si>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</si>
  <si>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</si>
  <si>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</si>
  <si>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</si>
  <si>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</si>
  <si>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</si>
  <si>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</si>
  <si>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</si>
  <si>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</si>
  <si>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</si>
  <si>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</si>
  <si>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</si>
  <si>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</si>
  <si>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</si>
  <si>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</si>
  <si>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</si>
  <si>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</si>
  <si>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</si>
  <si>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</si>
  <si>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</si>
  <si>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</si>
  <si>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</si>
  <si>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</si>
  <si>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</si>
  <si>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</si>
  <si>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</si>
  <si>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</si>
  <si>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</si>
  <si>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</si>
  <si>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</si>
  <si>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</si>
  <si>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</si>
  <si>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</si>
  <si>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</si>
  <si>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</si>
  <si>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</si>
  <si>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</si>
  <si>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</si>
  <si>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</si>
  <si>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</si>
  <si>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</si>
  <si>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</si>
  <si>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</si>
  <si>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</si>
  <si>
    <t>nan</t>
  </si>
  <si>
    <t>A∩B/min</t>
  </si>
  <si>
    <t>AUB/tot.</t>
  </si>
  <si>
    <t>active?</t>
  </si>
  <si>
    <t>yes</t>
  </si>
  <si>
    <t>no</t>
  </si>
  <si>
    <t>med year</t>
  </si>
  <si>
    <t>max year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</si>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</sst>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quotePrefix="1" applyNumberFormat="1" applyFont="1"/>
    <xf numFmtId="164" fontId="1" fillId="0" borderId="0" xfId="0" applyNumberFormat="1" applyFont="1" applyAlignment="1">
      <alignment horizontal="center"/>
    </xf>
    <xf numFmtId="174" fontId="1" fillId="0" borderId="0" xfId="0" applyNumberFormat="1" applyFont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006100"/>
      <color rgb="FFFFC7CE"/>
      <color rgb="FF9C0006"/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 in the Review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C8EBF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year!$B$2:$B$21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7-46AE-9C07-307C746269EC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rgbClr val="6C8EBF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6C8EBF"/>
                </a:solidFill>
                <a:prstDash val="sysDot"/>
              </a:ln>
              <a:effectLst/>
            </c:spPr>
          </c:marker>
          <c:xVal>
            <c:numRef>
              <c:f>year!$A$21:$A$22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xVal>
          <c:yVal>
            <c:numRef>
              <c:f>year!$B$21:$B$22</c:f>
              <c:numCache>
                <c:formatCode>General</c:formatCode>
                <c:ptCount val="2"/>
                <c:pt idx="0">
                  <c:v>23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7-46AE-9C07-307C746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316149</xdr:colOff>
      <xdr:row>1</xdr:row>
      <xdr:rowOff>162127</xdr:rowOff>
    </xdr:from>
    <xdr:to>
      <xdr:col>12</xdr:col>
      <xdr:colOff>277329</xdr:colOff>
      <xdr:row>19</xdr:row>
      <xdr:rowOff>161767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390B-4CF0-47FC-8E6B-B2C0BD70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47" dataDxfId="46">
  <autoFilter ref="A1:E145" xr:uid="{6427BA10-4956-4867-813C-F588A14AD619}"/>
  <tableColumns count="5">
    <tableColumn id="1" xr3:uid="{E4E21D2D-AE9A-4C54-8BED-D434C8942F1A}" name="title" dataDxfId="45"/>
    <tableColumn id="2" xr3:uid="{46E0E2E4-9024-410D-A85B-543449B51A32}" name="author" dataDxfId="44"/>
    <tableColumn id="3" xr3:uid="{EBE17DE9-E69E-49F5-A49D-4C209E112237}" name="year" dataDxfId="43"/>
    <tableColumn id="4" xr3:uid="{D0068743-4A2B-4AEA-A136-FFC84691652C}" name="doi" dataDxfId="42"/>
    <tableColumn id="5" xr3:uid="{DE065933-8DCD-4725-B091-E1F8DFE2F6B0}" name="url" dataDxfId="41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H145" totalsRowShown="0" headerRowDxfId="40" dataDxfId="39">
  <autoFilter ref="A1:H145" xr:uid="{B29708E5-A0F6-4F6B-88B6-E4684ADDD699}"/>
  <sortState xmlns:xlrd2="http://schemas.microsoft.com/office/spreadsheetml/2017/richdata2" ref="A2:H145">
    <sortCondition ref="G2:G145"/>
    <sortCondition ref="D2:D145"/>
  </sortState>
  <tableColumns count="8">
    <tableColumn id="1" xr3:uid="{66758D5A-C3D8-46E0-97ED-2777D2EABE61}" name="type" dataDxfId="38"/>
    <tableColumn id="2" xr3:uid="{FA49994D-FED8-40DA-AC2D-5F4F33460CBE}" name="title" dataDxfId="37"/>
    <tableColumn id="3" xr3:uid="{4F3DA2DC-DB8D-4E6A-BC21-6D14234535DE}" name="authors" dataDxfId="36"/>
    <tableColumn id="4" xr3:uid="{E832F53F-A13B-4916-8145-1BAD7CCF4B25}" name="year" dataDxfId="35"/>
    <tableColumn id="5" xr3:uid="{B4205B62-8EBC-48B8-9A3C-2D019B57F085}" name="doi" dataDxfId="34"/>
    <tableColumn id="6" xr3:uid="{82087277-E247-4CF7-B2A2-A32929A2BDF5}" name="url" dataDxfId="33"/>
    <tableColumn id="7" xr3:uid="{C0DBEEF9-37B7-4B16-A674-42707F8457DD}" name="venue" dataDxfId="32"/>
    <tableColumn id="8" xr3:uid="{425564B3-8374-4756-99CB-DA71938972EE}" name="active?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L4:R44" totalsRowShown="0" headerRowDxfId="30" dataDxfId="29">
  <autoFilter ref="L4:R44" xr:uid="{4BFFB38C-40F9-478D-A54A-A7AC121E0B1E}"/>
  <sortState xmlns:xlrd2="http://schemas.microsoft.com/office/spreadsheetml/2017/richdata2" ref="L5:R44">
    <sortCondition ref="L4:L44"/>
  </sortState>
  <tableColumns count="7">
    <tableColumn id="1" xr3:uid="{ECE705E8-471D-4354-A829-0795DDCA413C}" name="unique venue" dataDxfId="28"/>
    <tableColumn id="5" xr3:uid="{0450DD41-9669-4D5C-9EA9-6930DEC7B864}" name="med year" dataDxfId="27">
      <calculatedColumnFormula array="1">MEDIAN(IF(venue[venue]=venue_all[[#This Row],[unique venue]],venue[year]))</calculatedColumnFormula>
    </tableColumn>
    <tableColumn id="6" xr3:uid="{AC3DB23C-6718-49F4-9AFC-0E0C691A22B4}" name="max year" dataDxfId="26">
      <calculatedColumnFormula array="1">MAX(IF(venue[venue]=venue_all[[#This Row],[unique venue]],venue[year]))</calculatedColumnFormula>
    </tableColumn>
    <tableColumn id="7" xr3:uid="{63BFA84C-CFCF-46CA-B157-FADCC0D3A739}" name="std" dataDxfId="12">
      <calculatedColumnFormula array="1">_xlfn.STDEV.P(IF(venue[venue]=venue_all[[#This Row],[unique venue]],venue[year]))</calculatedColumnFormula>
    </tableColumn>
    <tableColumn id="2" xr3:uid="{B6FCD29F-9EA3-4B29-8344-C366D7A01FAC}" name="#records" dataDxfId="25">
      <calculatedColumnFormula>COUNTIF(venue[venue],venue_all[[#This Row],[unique venue]])</calculatedColumnFormula>
    </tableColumn>
    <tableColumn id="3" xr3:uid="{F78F36C9-68A1-4D30-BA97-F1E79A2635E6}" name="avg year" dataDxfId="24">
      <calculatedColumnFormula>AVERAGEIF(venue[venue],venue_all[[#This Row],[unique venue]],venue[year])</calculatedColumnFormula>
    </tableColumn>
    <tableColumn id="4" xr3:uid="{1B18FA27-8DC9-41D7-8DB5-6B00D35A7C53}" name="active?" dataDxfId="2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L51:R66" totalsRowShown="0" headerRowDxfId="22" dataDxfId="21">
  <autoFilter ref="L51:R66" xr:uid="{0EB9D00F-6515-4F06-967B-2F32D29BB1DE}"/>
  <sortState xmlns:xlrd2="http://schemas.microsoft.com/office/spreadsheetml/2017/richdata2" ref="L52:R66">
    <sortCondition descending="1" ref="R52:R66"/>
    <sortCondition descending="1" ref="Q52:Q66"/>
  </sortState>
  <tableColumns count="7">
    <tableColumn id="1" xr3:uid="{0AE5386B-B649-46C7-A34B-45EB60AED0E1}" name="unique venue" dataDxfId="20"/>
    <tableColumn id="3" xr3:uid="{2938F512-0A83-471C-B390-C0FABAAAAB81}" name="avg year" dataDxfId="5">
      <calculatedColumnFormula>AVERAGEIF(venue[venue],venue_conf[[#This Row],[unique venue]],venue[year])</calculatedColumnFormula>
    </tableColumn>
    <tableColumn id="7" xr3:uid="{04AA019A-43C1-4D41-AEF2-8FFD77EF8398}" name="std" dataDxfId="3">
      <calculatedColumnFormula array="1">_xlfn.STDEV.P(IF(venue[venue]=venue_conf[[#This Row],[unique venue]],venue[year]))</calculatedColumnFormula>
    </tableColumn>
    <tableColumn id="6" xr3:uid="{0E5B15F9-EEAF-4CE7-AB2A-2113F2E1ED7D}" name="max year" dataDxfId="4">
      <calculatedColumnFormula array="1">MAX(IF(venue[venue]=venue_conf[[#This Row],[unique venue]],venue[year]))</calculatedColumnFormula>
    </tableColumn>
    <tableColumn id="2" xr3:uid="{6843392C-CBCF-45F8-8989-16C4AA20F28D}" name="#records" dataDxfId="10">
      <calculatedColumnFormula>COUNTIF(venue[venue],venue_conf[[#This Row],[unique venue]])</calculatedColumnFormula>
    </tableColumn>
    <tableColumn id="5" xr3:uid="{EEC30FBE-687D-46C8-858B-5637FC211AE1}" name="med year" dataDxfId="19">
      <calculatedColumnFormula array="1">MEDIAN(IF(venue[venue]=venue_conf[[#This Row],[unique venue]],venue[year]))</calculatedColumnFormula>
    </tableColumn>
    <tableColumn id="4" xr3:uid="{33E922CC-1BF4-4BC0-AF69-5D16B1BF1E78}" name="active?" dataDxfId="18">
      <calculatedColumnFormula>LOOKUP(venue_conf[[#This Row],[unique venue]],venue_all[unique venue],venue_all[active?])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L73:R98" totalsRowShown="0" headerRowDxfId="17" dataDxfId="16">
  <autoFilter ref="L73:R98" xr:uid="{ABC89EDF-F1D8-46DA-929F-82A916BA7F02}"/>
  <sortState xmlns:xlrd2="http://schemas.microsoft.com/office/spreadsheetml/2017/richdata2" ref="L74:R98">
    <sortCondition descending="1" ref="R74:R98"/>
    <sortCondition descending="1" ref="Q74:Q98"/>
  </sortState>
  <tableColumns count="7">
    <tableColumn id="1" xr3:uid="{D2FDEA0A-90F1-4B25-B56B-9964A6536388}" name="unique venue" dataDxfId="15"/>
    <tableColumn id="3" xr3:uid="{E7CAF3BD-66FB-4438-9454-F0D305D98F04}" name="avg year" dataDxfId="2">
      <calculatedColumnFormula>AVERAGEIF(venue[venue],venue_journal[[#This Row],[unique venue]],venue[year])</calculatedColumnFormula>
    </tableColumn>
    <tableColumn id="6" xr3:uid="{23477729-9500-45BE-B263-E09F8E84A798}" name="std" dataDxfId="0">
      <calculatedColumnFormula array="1">_xlfn.STDEV.P(IF(venue[venue]=venue_journal[[#This Row],[unique venue]],venue[year]))</calculatedColumnFormula>
    </tableColumn>
    <tableColumn id="7" xr3:uid="{3C7312C7-EC50-4132-8D8A-E8ECCDA520E7}" name="max year" dataDxfId="1">
      <calculatedColumnFormula array="1">MAX(IF(venue[venue]=venue_journal[[#This Row],[unique venue]],venue[year]))</calculatedColumnFormula>
    </tableColumn>
    <tableColumn id="2" xr3:uid="{1E45BF40-82D1-4A03-8017-A6B337DDEF0D}" name="#records" dataDxfId="11">
      <calculatedColumnFormula>COUNTIF(venue[venue],venue_journal[[#This Row],[unique venue]])</calculatedColumnFormula>
    </tableColumn>
    <tableColumn id="5" xr3:uid="{0E8372DD-39C7-4D91-B944-E7ED984DAFC9}" name="med year" dataDxfId="14">
      <calculatedColumnFormula array="1">MEDIAN(IF(venue[venue]=venue_journal[[#This Row],[unique venue]],venue[year]))</calculatedColumnFormula>
    </tableColumn>
    <tableColumn id="4" xr3:uid="{FC9A04E1-F4AC-4287-A35A-7C9397044171}" name="active?" dataDxfId="13">
      <calculatedColumnFormula>LOOKUP(venue_journal[[#This Row],[unique venue]],venue_all[unique venue],venue_all[active?])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09375" defaultRowHeight="13.2" x14ac:dyDescent="0.25"/>
  <cols>
    <col min="1" max="1" width="40.6640625" style="4" customWidth="1"/>
    <col min="2" max="2" width="20.6640625" style="4" customWidth="1"/>
    <col min="3" max="3" width="7.33203125" style="4" bestFit="1" customWidth="1"/>
    <col min="4" max="5" width="30.6640625" style="4" customWidth="1"/>
    <col min="6" max="16384" width="9.109375" style="7"/>
  </cols>
  <sheetData>
    <row r="1" spans="1:5" s="6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5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5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5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5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5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5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5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5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5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5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5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5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5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5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5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5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5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5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5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5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5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5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5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5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5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5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5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5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5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5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5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5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5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5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5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5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5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5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5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5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5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5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5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5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5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5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5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5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5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5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5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5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5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5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5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5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5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5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5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5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5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5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5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5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5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5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5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5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5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5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5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5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5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5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5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5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5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5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5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5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5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5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5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5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5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5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5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5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5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5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5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5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5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5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5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5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5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5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5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5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5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5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5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5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5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5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5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5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5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5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5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5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5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5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5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5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5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5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5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5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5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5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5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5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5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5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5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5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5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5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5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5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5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5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5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5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5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5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5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5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5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5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5">
      <c r="E146" s="5"/>
    </row>
    <row r="147" spans="1:5" x14ac:dyDescent="0.25">
      <c r="E147" s="5"/>
    </row>
    <row r="148" spans="1:5" x14ac:dyDescent="0.25">
      <c r="E148" s="5"/>
    </row>
    <row r="149" spans="1:5" x14ac:dyDescent="0.25">
      <c r="E149" s="5"/>
    </row>
    <row r="150" spans="1:5" x14ac:dyDescent="0.25">
      <c r="E150" s="5"/>
    </row>
    <row r="151" spans="1:5" x14ac:dyDescent="0.25">
      <c r="E151" s="5"/>
    </row>
    <row r="152" spans="1:5" x14ac:dyDescent="0.25">
      <c r="E152" s="5"/>
    </row>
    <row r="153" spans="1:5" x14ac:dyDescent="0.25">
      <c r="E153" s="5"/>
    </row>
    <row r="154" spans="1:5" x14ac:dyDescent="0.25">
      <c r="E154" s="5"/>
    </row>
    <row r="155" spans="1:5" x14ac:dyDescent="0.25">
      <c r="E155" s="5"/>
    </row>
    <row r="156" spans="1:5" x14ac:dyDescent="0.25">
      <c r="E156" s="5"/>
    </row>
    <row r="157" spans="1:5" x14ac:dyDescent="0.25">
      <c r="E157" s="5"/>
    </row>
    <row r="158" spans="1:5" x14ac:dyDescent="0.25">
      <c r="E158" s="5"/>
    </row>
    <row r="159" spans="1:5" x14ac:dyDescent="0.25">
      <c r="E159" s="5"/>
    </row>
    <row r="160" spans="1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7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3.2" x14ac:dyDescent="0.25"/>
  <cols>
    <col min="1" max="1" width="40.6640625" style="4" customWidth="1"/>
    <col min="2" max="2" width="7.33203125" style="4" bestFit="1" customWidth="1"/>
    <col min="3" max="3" width="30.6640625" style="4" customWidth="1"/>
    <col min="4" max="9" width="7.6640625" style="10" customWidth="1"/>
    <col min="10" max="10" width="4.6640625" style="1" customWidth="1"/>
    <col min="11" max="12" width="8.88671875" style="1"/>
    <col min="13" max="17" width="8.88671875" style="1" customWidth="1"/>
    <col min="18" max="16384" width="8.88671875" style="1"/>
  </cols>
  <sheetData>
    <row r="1" spans="1:17" s="2" customFormat="1" x14ac:dyDescent="0.25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5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5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586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5">
      <c r="A4" s="4" t="s">
        <v>13</v>
      </c>
      <c r="B4" s="4">
        <v>2009</v>
      </c>
      <c r="C4" s="4" t="s">
        <v>15</v>
      </c>
      <c r="D4" s="10">
        <v>1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24</v>
      </c>
      <c r="N4" s="1">
        <f>SUMPRODUCT($D$2:$D$145,F$2:F$145)</f>
        <v>11</v>
      </c>
      <c r="O4" s="1">
        <f>SUMPRODUCT($D$2:$D$145,G$2:G$145)</f>
        <v>22</v>
      </c>
      <c r="P4" s="1">
        <f>SUMPRODUCT($D$2:$D$145,H$2:H$145)</f>
        <v>24</v>
      </c>
      <c r="Q4" s="1">
        <f>SUMPRODUCT($D$2:$D$145,I$2:I$145)</f>
        <v>24</v>
      </c>
    </row>
    <row r="5" spans="1:17" x14ac:dyDescent="0.25">
      <c r="A5" s="4" t="s">
        <v>17</v>
      </c>
      <c r="B5" s="4">
        <v>2009</v>
      </c>
      <c r="C5" s="4" t="s">
        <v>19</v>
      </c>
      <c r="D5" s="10">
        <v>1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47</v>
      </c>
      <c r="O5" s="1">
        <f>SUMPRODUCT($E$2:$E$145,G$2:G$145)</f>
        <v>66</v>
      </c>
      <c r="P5" s="1">
        <f>SUMPRODUCT($E$2:$E$145,H$2:H$145)</f>
        <v>83</v>
      </c>
      <c r="Q5" s="1">
        <f>SUMPRODUCT($E$2:$E$145,I$2:I$145)</f>
        <v>81</v>
      </c>
    </row>
    <row r="6" spans="1:17" x14ac:dyDescent="0.25">
      <c r="A6" s="4" t="s">
        <v>21</v>
      </c>
      <c r="B6" s="4">
        <v>2009</v>
      </c>
      <c r="C6" s="4" t="s">
        <v>23</v>
      </c>
      <c r="D6" s="10">
        <v>0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61</v>
      </c>
      <c r="P6" s="1">
        <f>SUMPRODUCT($F$2:$F$145,H$2:H$145)</f>
        <v>62</v>
      </c>
      <c r="Q6" s="1">
        <f>SUMPRODUCT($F$2:$F$145,I$2:I$145)</f>
        <v>50</v>
      </c>
    </row>
    <row r="7" spans="1:17" x14ac:dyDescent="0.25">
      <c r="A7" s="4" t="s">
        <v>25</v>
      </c>
      <c r="B7" s="4">
        <v>2009</v>
      </c>
      <c r="C7" s="4" t="s">
        <v>27</v>
      </c>
      <c r="D7" s="10">
        <v>1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91</v>
      </c>
      <c r="Q7" s="1">
        <f>SUMPRODUCT($G$2:$G$145,I$2:I$145)</f>
        <v>71</v>
      </c>
    </row>
    <row r="8" spans="1:17" x14ac:dyDescent="0.25">
      <c r="A8" s="4" t="s">
        <v>29</v>
      </c>
      <c r="B8" s="4">
        <v>2009</v>
      </c>
      <c r="C8" s="4" t="s">
        <v>865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94</v>
      </c>
    </row>
    <row r="9" spans="1:17" x14ac:dyDescent="0.25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5">
      <c r="A10" s="4" t="s">
        <v>36</v>
      </c>
      <c r="B10" s="4">
        <v>2010</v>
      </c>
      <c r="C10" s="4" t="s">
        <v>38</v>
      </c>
      <c r="D10" s="10">
        <v>0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5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866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5">
      <c r="A12" s="4" t="s">
        <v>44</v>
      </c>
      <c r="B12" s="4">
        <v>2010</v>
      </c>
      <c r="C12" s="4" t="s">
        <v>46</v>
      </c>
      <c r="D12" s="10">
        <v>0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2" t="s">
        <v>583</v>
      </c>
      <c r="M12" s="12">
        <f>SUMPRODUCT($D$2:$D$145,E$2:E$145)/MIN(SUM($D$2:$D$145),SUM(E$2:E$145))</f>
        <v>0.96</v>
      </c>
      <c r="N12" s="12">
        <f>SUMPRODUCT($D$2:$D$145,F$2:F$145)/MIN(SUM($D$2:$D$145),SUM(F$2:F$145))</f>
        <v>0.44</v>
      </c>
      <c r="O12" s="12">
        <f>SUMPRODUCT($D$2:$D$145,G$2:G$145)/MIN(SUM($D$2:$D$145),SUM(G$2:G$145))</f>
        <v>0.88</v>
      </c>
      <c r="P12" s="12">
        <f>SUMPRODUCT($D$2:$D$145,H$2:H$145)/MIN(SUM($D$2:$D$145),SUM(H$2:H$145))</f>
        <v>0.96</v>
      </c>
      <c r="Q12" s="12">
        <f>SUMPRODUCT($D$2:$D$145,I$2:I$145)/MIN(SUM($D$2:$D$145),SUM(I$2:I$145))</f>
        <v>0.96</v>
      </c>
    </row>
    <row r="13" spans="1:17" x14ac:dyDescent="0.25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2" t="s">
        <v>583</v>
      </c>
      <c r="M13" s="12" t="s">
        <v>583</v>
      </c>
      <c r="N13" s="12">
        <f>SUMPRODUCT($E$2:$E$145,F$2:F$145)/MIN(SUM($E$2:$E$145),SUM(F$2:F$145))</f>
        <v>0.69117647058823528</v>
      </c>
      <c r="O13" s="12">
        <f>SUMPRODUCT($E$2:$E$145,G$2:G$145)/MIN(SUM($E$2:$E$145),SUM(G$2:G$145))</f>
        <v>0.77647058823529413</v>
      </c>
      <c r="P13" s="12">
        <f>SUMPRODUCT($E$2:$E$145,H$2:H$145)/MIN(SUM($E$2:$E$145),SUM(H$2:H$145))</f>
        <v>0.97647058823529409</v>
      </c>
      <c r="Q13" s="12">
        <f>SUMPRODUCT($E$2:$E$145,I$2:I$145)/MIN(SUM($E$2:$E$145),SUM(I$2:I$145))</f>
        <v>0.95294117647058818</v>
      </c>
    </row>
    <row r="14" spans="1:17" x14ac:dyDescent="0.25">
      <c r="A14" s="4" t="s">
        <v>52</v>
      </c>
      <c r="B14" s="4">
        <v>2011</v>
      </c>
      <c r="C14" s="4" t="s">
        <v>54</v>
      </c>
      <c r="D14" s="10">
        <v>0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2" t="s">
        <v>583</v>
      </c>
      <c r="M14" s="12" t="s">
        <v>583</v>
      </c>
      <c r="N14" s="12" t="s">
        <v>583</v>
      </c>
      <c r="O14" s="12">
        <f>SUMPRODUCT($F$2:$F$145,G$2:G$145)/MIN(SUM($F$2:$F$145),SUM(G$2:G$145))</f>
        <v>0.8970588235294118</v>
      </c>
      <c r="P14" s="12">
        <f>SUMPRODUCT($F$2:$F$145,H$2:H$145)/MIN(SUM($F$2:$F$145),SUM(H$2:H$145))</f>
        <v>0.91176470588235292</v>
      </c>
      <c r="Q14" s="12">
        <f>SUMPRODUCT($F$2:$F$145,I$2:I$145)/MIN(SUM($F$2:$F$145),SUM(I$2:I$145))</f>
        <v>0.73529411764705888</v>
      </c>
    </row>
    <row r="15" spans="1:17" x14ac:dyDescent="0.25">
      <c r="A15" s="4" t="s">
        <v>56</v>
      </c>
      <c r="B15" s="4">
        <v>2011</v>
      </c>
      <c r="C15" s="4" t="s">
        <v>58</v>
      </c>
      <c r="D15" s="10">
        <v>1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2" t="s">
        <v>583</v>
      </c>
      <c r="M15" s="12" t="s">
        <v>583</v>
      </c>
      <c r="N15" s="12" t="s">
        <v>583</v>
      </c>
      <c r="O15" s="12" t="s">
        <v>583</v>
      </c>
      <c r="P15" s="12">
        <f>SUMPRODUCT($G$2:$G$145,H$2:H$145)/MIN(SUM($G$2:$G$145),SUM(H$2:H$145))</f>
        <v>0.875</v>
      </c>
      <c r="Q15" s="12">
        <f>SUMPRODUCT($G$2:$G$145,I$2:I$145)/MIN(SUM($G$2:$G$145),SUM(I$2:I$145))</f>
        <v>0.68269230769230771</v>
      </c>
    </row>
    <row r="16" spans="1:17" x14ac:dyDescent="0.25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2" t="s">
        <v>583</v>
      </c>
      <c r="M16" s="12" t="s">
        <v>583</v>
      </c>
      <c r="N16" s="12" t="s">
        <v>583</v>
      </c>
      <c r="O16" s="12" t="s">
        <v>583</v>
      </c>
      <c r="P16" s="12" t="s">
        <v>583</v>
      </c>
      <c r="Q16" s="12">
        <f>SUMPRODUCT($H$2:$H$145,I$2:I$145)/MIN(SUM($H$2:$H$145),SUM(I$2:I$145))</f>
        <v>0.89523809523809528</v>
      </c>
    </row>
    <row r="17" spans="1:17" x14ac:dyDescent="0.25">
      <c r="A17" s="4" t="s">
        <v>64</v>
      </c>
      <c r="B17" s="4">
        <v>2012</v>
      </c>
      <c r="C17" s="4" t="s">
        <v>66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2" t="s">
        <v>583</v>
      </c>
      <c r="M17" s="12" t="s">
        <v>583</v>
      </c>
      <c r="N17" s="12" t="s">
        <v>583</v>
      </c>
      <c r="O17" s="12" t="s">
        <v>583</v>
      </c>
      <c r="P17" s="12" t="s">
        <v>583</v>
      </c>
      <c r="Q17" s="12" t="s">
        <v>583</v>
      </c>
    </row>
    <row r="18" spans="1:17" x14ac:dyDescent="0.25">
      <c r="A18" s="4" t="s">
        <v>68</v>
      </c>
      <c r="B18" s="4">
        <v>2012</v>
      </c>
      <c r="C18" s="4" t="s">
        <v>70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5">
      <c r="A19" s="4" t="s">
        <v>72</v>
      </c>
      <c r="B19" s="4">
        <v>2012</v>
      </c>
      <c r="C19" s="4" t="s">
        <v>74</v>
      </c>
      <c r="D19" s="10">
        <v>0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5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</row>
    <row r="21" spans="1:17" x14ac:dyDescent="0.25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</row>
    <row r="22" spans="1:17" x14ac:dyDescent="0.25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</row>
    <row r="23" spans="1:17" x14ac:dyDescent="0.25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5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5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5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587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5">
      <c r="A27" s="4" t="s">
        <v>104</v>
      </c>
      <c r="B27" s="4">
        <v>2013</v>
      </c>
      <c r="C27" s="4" t="s">
        <v>106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86</v>
      </c>
      <c r="N27" s="1">
        <f>SUM($D$2:$D$145)+SUM(F$2:F$145)-SUMPRODUCT($D$2:$D$145,F$2:F$145)</f>
        <v>82</v>
      </c>
      <c r="O27" s="1">
        <f>SUM($D$2:$D$145)+SUM(G$2:G$145)-SUMPRODUCT($D$2:$D$145,G$2:G$145)</f>
        <v>107</v>
      </c>
      <c r="P27" s="1">
        <f>SUM($D$2:$D$145)+SUM(H$2:H$145)-SUMPRODUCT($D$2:$D$145,H$2:H$145)</f>
        <v>123</v>
      </c>
      <c r="Q27" s="1">
        <f>SUM($D$2:$D$145)+SUM(I$2:I$145)-SUMPRODUCT($D$2:$D$145,I$2:I$145)</f>
        <v>106</v>
      </c>
    </row>
    <row r="28" spans="1:17" x14ac:dyDescent="0.25">
      <c r="A28" s="4" t="s">
        <v>108</v>
      </c>
      <c r="B28" s="4">
        <v>2013</v>
      </c>
      <c r="C28" s="4" t="s">
        <v>110</v>
      </c>
      <c r="D28" s="10">
        <v>1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106</v>
      </c>
      <c r="O28" s="1">
        <f>SUM($E$2:$E$145)+SUM(G$2:G$145)-SUMPRODUCT($E$2:$E$145,G$2:G$145)</f>
        <v>123</v>
      </c>
      <c r="P28" s="1">
        <f t="shared" ref="P28:Q28" si="0">SUM($E$2:$E$145)+SUM(H$2:H$145)-SUMPRODUCT($E$2:$E$145,H$2:H$145)</f>
        <v>124</v>
      </c>
      <c r="Q28" s="1">
        <f t="shared" si="0"/>
        <v>109</v>
      </c>
    </row>
    <row r="29" spans="1:17" x14ac:dyDescent="0.25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111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123</v>
      </c>
    </row>
    <row r="30" spans="1:17" x14ac:dyDescent="0.25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138</v>
      </c>
    </row>
    <row r="31" spans="1:17" x14ac:dyDescent="0.25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5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5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0</v>
      </c>
    </row>
    <row r="34" spans="1:17" x14ac:dyDescent="0.25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867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5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2" t="s">
        <v>583</v>
      </c>
      <c r="M35" s="12">
        <f>(SUM($D$2:$D$145)+SUM(E$2:E$145)-SUMPRODUCT($D$2:$D$145,E$2:E$145))/COUNTIF($A$2:$A$145,"&lt;&gt;")</f>
        <v>0.59722222222222221</v>
      </c>
      <c r="N35" s="12">
        <f>(SUM($D$2:$D$145)+SUM(F$2:F$145)-SUMPRODUCT($D$2:$D$145,F$2:F$145))/COUNTIF($A$2:$A$145,"&lt;&gt;")</f>
        <v>0.56944444444444442</v>
      </c>
      <c r="O35" s="12">
        <f>(SUM($D$2:$D$145)+SUM(G$2:G$145)-SUMPRODUCT($D$2:$D$145,G$2:G$145))/COUNTIF($A$2:$A$145,"&lt;&gt;")</f>
        <v>0.74305555555555558</v>
      </c>
      <c r="P35" s="12">
        <f>(SUM($D$2:$D$145)+SUM(H$2:H$145)-SUMPRODUCT($D$2:$D$145,H$2:H$145))/COUNTIF($A$2:$A$145,"&lt;&gt;")</f>
        <v>0.85416666666666663</v>
      </c>
      <c r="Q35" s="12">
        <f>(SUM($D$2:$D$145)+SUM(I$2:I$145)-SUMPRODUCT($D$2:$D$145,I$2:I$145))/COUNTIF($A$2:$A$145,"&lt;&gt;")</f>
        <v>0.73611111111111116</v>
      </c>
    </row>
    <row r="36" spans="1:17" x14ac:dyDescent="0.25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2" t="s">
        <v>583</v>
      </c>
      <c r="M36" s="12" t="s">
        <v>583</v>
      </c>
      <c r="N36" s="12">
        <f>(SUM($E$2:$E$145)+SUM(F$2:F$145)-SUMPRODUCT($E$2:$E$145,F$2:F$145))/COUNTIF($A$2:$A$145,"&lt;&gt;")</f>
        <v>0.73611111111111116</v>
      </c>
      <c r="O36" s="12">
        <f t="shared" ref="O36:Q36" si="2">(SUM($E$2:$E$145)+SUM(G$2:G$145)-SUMPRODUCT($E$2:$E$145,G$2:G$145))/COUNTIF($A$2:$A$145,"&lt;&gt;")</f>
        <v>0.85416666666666663</v>
      </c>
      <c r="P36" s="12">
        <f t="shared" si="2"/>
        <v>0.86111111111111116</v>
      </c>
      <c r="Q36" s="12">
        <f t="shared" si="2"/>
        <v>0.75694444444444442</v>
      </c>
    </row>
    <row r="37" spans="1:17" x14ac:dyDescent="0.25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2" t="s">
        <v>583</v>
      </c>
      <c r="M37" s="12" t="s">
        <v>583</v>
      </c>
      <c r="N37" s="12" t="s">
        <v>583</v>
      </c>
      <c r="O37" s="12">
        <f>(SUM($F$2:$F$145)+SUM(G$2:G$145)-SUMPRODUCT($F$2:$F$145,G$2:G$145))/COUNTIF($A$2:$A$145,"&lt;&gt;")</f>
        <v>0.77083333333333337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0.85416666666666663</v>
      </c>
    </row>
    <row r="38" spans="1:17" x14ac:dyDescent="0.25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2" t="s">
        <v>583</v>
      </c>
      <c r="M38" s="12" t="s">
        <v>583</v>
      </c>
      <c r="N38" s="12" t="s">
        <v>583</v>
      </c>
      <c r="O38" s="12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0.95833333333333337</v>
      </c>
    </row>
    <row r="39" spans="1:17" x14ac:dyDescent="0.25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2" t="s">
        <v>583</v>
      </c>
      <c r="M39" s="12" t="s">
        <v>583</v>
      </c>
      <c r="N39" s="12" t="s">
        <v>583</v>
      </c>
      <c r="O39" s="12" t="s">
        <v>583</v>
      </c>
      <c r="P39" s="12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5">
      <c r="A40" s="4" t="s">
        <v>155</v>
      </c>
      <c r="B40" s="4">
        <v>2015</v>
      </c>
      <c r="C40" s="4" t="s">
        <v>157</v>
      </c>
      <c r="D40" s="10">
        <v>0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2" t="s">
        <v>583</v>
      </c>
      <c r="M40" s="12" t="s">
        <v>583</v>
      </c>
      <c r="N40" s="12" t="s">
        <v>583</v>
      </c>
      <c r="O40" s="12" t="s">
        <v>583</v>
      </c>
      <c r="P40" s="12" t="s">
        <v>583</v>
      </c>
      <c r="Q40" s="12" t="s">
        <v>583</v>
      </c>
    </row>
    <row r="41" spans="1:17" x14ac:dyDescent="0.25">
      <c r="A41" s="4" t="s">
        <v>159</v>
      </c>
      <c r="B41" s="4">
        <v>2015</v>
      </c>
      <c r="C41" s="4" t="s">
        <v>160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5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5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588</v>
      </c>
    </row>
    <row r="44" spans="1:17" x14ac:dyDescent="0.25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589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5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590</v>
      </c>
    </row>
    <row r="46" spans="1:17" x14ac:dyDescent="0.25">
      <c r="A46" s="4" t="s">
        <v>178</v>
      </c>
      <c r="B46" s="4">
        <v>2015</v>
      </c>
      <c r="C46" s="4" t="s">
        <v>180</v>
      </c>
      <c r="D46" s="10">
        <v>0</v>
      </c>
      <c r="E46" s="10">
        <v>1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5">
      <c r="A47" s="4" t="s">
        <v>182</v>
      </c>
      <c r="B47" s="4">
        <v>2015</v>
      </c>
      <c r="C47" s="4" t="s">
        <v>184</v>
      </c>
      <c r="D47" s="10">
        <v>0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5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5">
      <c r="A49" s="4" t="s">
        <v>190</v>
      </c>
      <c r="B49" s="4">
        <v>2016</v>
      </c>
      <c r="C49" s="4" t="s">
        <v>192</v>
      </c>
      <c r="D49" s="10">
        <v>1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5">
      <c r="A50" s="4" t="s">
        <v>194</v>
      </c>
      <c r="B50" s="4">
        <v>2016</v>
      </c>
      <c r="C50" s="4" t="s">
        <v>196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5">
      <c r="A51" s="4" t="s">
        <v>198</v>
      </c>
      <c r="B51" s="4">
        <v>2016</v>
      </c>
      <c r="C51" s="4" t="s">
        <v>200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5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5">
      <c r="A53" s="4" t="s">
        <v>206</v>
      </c>
      <c r="B53" s="4">
        <v>2016</v>
      </c>
      <c r="C53" s="4" t="s">
        <v>208</v>
      </c>
      <c r="D53" s="10">
        <v>1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5">
      <c r="A54" s="4" t="s">
        <v>210</v>
      </c>
      <c r="B54" s="4">
        <v>2016</v>
      </c>
      <c r="C54" s="4" t="s">
        <v>212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5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5">
      <c r="A56" s="4" t="s">
        <v>218</v>
      </c>
      <c r="B56" s="4">
        <v>2016</v>
      </c>
      <c r="C56" s="4" t="s">
        <v>220</v>
      </c>
      <c r="D56" s="10">
        <v>1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5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5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5">
      <c r="A59" s="4" t="s">
        <v>229</v>
      </c>
      <c r="B59" s="4">
        <v>2017</v>
      </c>
      <c r="C59" s="4" t="s">
        <v>231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5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5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5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5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5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5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5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5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5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5">
      <c r="A69" s="4" t="s">
        <v>269</v>
      </c>
      <c r="B69" s="4">
        <v>2018</v>
      </c>
      <c r="C69" s="4" t="s">
        <v>271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5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5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5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5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5">
      <c r="A74" s="4" t="s">
        <v>289</v>
      </c>
      <c r="B74" s="4">
        <v>2018</v>
      </c>
      <c r="C74" s="4" t="s">
        <v>291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5">
      <c r="A75" s="4" t="s">
        <v>293</v>
      </c>
      <c r="B75" s="4">
        <v>2018</v>
      </c>
      <c r="C75" s="4" t="s">
        <v>295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5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5">
      <c r="A77" s="4" t="s">
        <v>301</v>
      </c>
      <c r="B77" s="4">
        <v>2018</v>
      </c>
      <c r="C77" s="4" t="s">
        <v>303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5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5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5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5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5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5">
      <c r="A83" s="4" t="s">
        <v>325</v>
      </c>
      <c r="B83" s="4">
        <v>2018</v>
      </c>
      <c r="C83" s="4" t="s">
        <v>327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5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5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5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5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5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5">
      <c r="A89" s="4" t="s">
        <v>349</v>
      </c>
      <c r="B89" s="4">
        <v>2019</v>
      </c>
      <c r="C89" s="4" t="s">
        <v>351</v>
      </c>
      <c r="D89" s="10">
        <v>0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5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5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5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5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5">
      <c r="A94" s="4" t="s">
        <v>369</v>
      </c>
      <c r="B94" s="4">
        <v>2019</v>
      </c>
      <c r="C94" s="4" t="s">
        <v>371</v>
      </c>
      <c r="D94" s="10">
        <v>1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5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5">
      <c r="A96" s="4" t="s">
        <v>377</v>
      </c>
      <c r="B96" s="4">
        <v>2019</v>
      </c>
      <c r="C96" s="4" t="s">
        <v>379</v>
      </c>
      <c r="D96" s="10">
        <v>0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5">
      <c r="A97" s="4" t="s">
        <v>381</v>
      </c>
      <c r="B97" s="4">
        <v>2019</v>
      </c>
      <c r="C97" s="4" t="s">
        <v>383</v>
      </c>
      <c r="D97" s="10">
        <v>0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5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5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</row>
    <row r="100" spans="1:9" x14ac:dyDescent="0.25">
      <c r="A100" s="4" t="s">
        <v>393</v>
      </c>
      <c r="B100" s="4">
        <v>2019</v>
      </c>
      <c r="C100" s="4" t="s">
        <v>395</v>
      </c>
      <c r="D100" s="10">
        <v>1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5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5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5">
      <c r="A103" s="4" t="s">
        <v>405</v>
      </c>
      <c r="B103" s="4">
        <v>2020</v>
      </c>
      <c r="C103" s="4" t="s">
        <v>407</v>
      </c>
      <c r="D103" s="10">
        <v>0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5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5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5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5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5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5">
      <c r="A109" s="4" t="s">
        <v>429</v>
      </c>
      <c r="B109" s="4">
        <v>2020</v>
      </c>
      <c r="C109" s="4" t="s">
        <v>431</v>
      </c>
      <c r="D109" s="10">
        <v>0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5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5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5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5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5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5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5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5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5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5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5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5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5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5">
      <c r="A123" s="4" t="s">
        <v>484</v>
      </c>
      <c r="B123" s="4">
        <v>2021</v>
      </c>
      <c r="C123" s="4" t="s">
        <v>486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5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5">
      <c r="A125" s="4" t="s">
        <v>492</v>
      </c>
      <c r="B125" s="4">
        <v>2021</v>
      </c>
      <c r="C125" s="4" t="s">
        <v>494</v>
      </c>
      <c r="D125" s="10">
        <v>1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5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5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5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5">
      <c r="A129" s="4" t="s">
        <v>508</v>
      </c>
      <c r="B129" s="4">
        <v>2021</v>
      </c>
      <c r="C129" s="4" t="s">
        <v>510</v>
      </c>
      <c r="D129" s="10">
        <v>0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5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5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5">
      <c r="A132" s="4" t="s">
        <v>520</v>
      </c>
      <c r="B132" s="4">
        <v>2021</v>
      </c>
      <c r="C132" s="4" t="s">
        <v>522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5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5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5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5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5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5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5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5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5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5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5">
      <c r="A143" s="4" t="s">
        <v>564</v>
      </c>
      <c r="B143" s="4">
        <v>2022</v>
      </c>
      <c r="C143" s="4" t="s">
        <v>566</v>
      </c>
      <c r="D143" s="10">
        <v>1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5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5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5">
      <c r="C146" s="8" t="s">
        <v>582</v>
      </c>
      <c r="D146" s="10">
        <f t="shared" ref="D146:I146" si="4">SUM(D2:D145)</f>
        <v>25</v>
      </c>
      <c r="E146" s="10">
        <f t="shared" si="4"/>
        <v>85</v>
      </c>
      <c r="F146" s="10">
        <f t="shared" si="4"/>
        <v>68</v>
      </c>
      <c r="G146" s="10">
        <f t="shared" si="4"/>
        <v>104</v>
      </c>
      <c r="H146" s="10">
        <f t="shared" si="4"/>
        <v>122</v>
      </c>
      <c r="I146" s="10">
        <f t="shared" si="4"/>
        <v>105</v>
      </c>
      <c r="J146" s="1">
        <f>COUNTIF(A2:A145,"&lt;&gt;")</f>
        <v>144</v>
      </c>
    </row>
    <row r="147" spans="1:10" x14ac:dyDescent="0.25">
      <c r="D147" s="17" cm="1">
        <f t="array" ref="D147:I147">D146:I146/J146</f>
        <v>0.1736111111111111</v>
      </c>
      <c r="E147" s="17">
        <v>0.59027777777777779</v>
      </c>
      <c r="F147" s="17">
        <v>0.47222222222222221</v>
      </c>
      <c r="G147" s="17">
        <v>0.72222222222222221</v>
      </c>
      <c r="H147" s="17">
        <v>0.84722222222222221</v>
      </c>
      <c r="I147" s="17">
        <v>0.72916666666666663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235" zoomScaleNormal="235" workbookViewId="0"/>
  </sheetViews>
  <sheetFormatPr defaultColWidth="9.109375" defaultRowHeight="13.2" x14ac:dyDescent="0.25"/>
  <cols>
    <col min="1" max="2" width="9.109375" style="1"/>
    <col min="3" max="3" width="4.6640625" style="1" customWidth="1"/>
    <col min="4" max="16384" width="9.109375" style="1"/>
  </cols>
  <sheetData>
    <row r="1" spans="1:4" x14ac:dyDescent="0.25">
      <c r="A1" s="2" t="s">
        <v>1</v>
      </c>
      <c r="B1" s="2" t="s">
        <v>591</v>
      </c>
      <c r="D1" s="2" t="s">
        <v>592</v>
      </c>
    </row>
    <row r="2" spans="1:4" x14ac:dyDescent="0.25">
      <c r="A2" s="1">
        <f>MIN(included[year])</f>
        <v>2002</v>
      </c>
      <c r="B2" s="1">
        <f>COUNTIF(included[year],A2)</f>
        <v>1</v>
      </c>
    </row>
    <row r="3" spans="1:4" x14ac:dyDescent="0.25">
      <c r="A3" s="1">
        <f>A2+1</f>
        <v>2003</v>
      </c>
      <c r="B3" s="1">
        <f>COUNTIF(included[year],A3)</f>
        <v>0</v>
      </c>
    </row>
    <row r="4" spans="1:4" x14ac:dyDescent="0.25">
      <c r="A4" s="1">
        <f t="shared" ref="A4:A22" si="0">A3+1</f>
        <v>2004</v>
      </c>
      <c r="B4" s="1">
        <f>COUNTIF(included[year],A4)</f>
        <v>0</v>
      </c>
    </row>
    <row r="5" spans="1:4" x14ac:dyDescent="0.25">
      <c r="A5" s="1">
        <f t="shared" si="0"/>
        <v>2005</v>
      </c>
      <c r="B5" s="1">
        <f>COUNTIF(included[year],A5)</f>
        <v>0</v>
      </c>
    </row>
    <row r="6" spans="1:4" x14ac:dyDescent="0.25">
      <c r="A6" s="1">
        <f t="shared" si="0"/>
        <v>2006</v>
      </c>
      <c r="B6" s="1">
        <f>COUNTIF(included[year],A6)</f>
        <v>0</v>
      </c>
    </row>
    <row r="7" spans="1:4" x14ac:dyDescent="0.25">
      <c r="A7" s="1">
        <f t="shared" si="0"/>
        <v>2007</v>
      </c>
      <c r="B7" s="1">
        <f>COUNTIF(included[year],A7)</f>
        <v>1</v>
      </c>
    </row>
    <row r="8" spans="1:4" x14ac:dyDescent="0.25">
      <c r="A8" s="1">
        <f t="shared" si="0"/>
        <v>2008</v>
      </c>
      <c r="B8" s="1">
        <f>COUNTIF(included[year],A8)</f>
        <v>0</v>
      </c>
    </row>
    <row r="9" spans="1:4" x14ac:dyDescent="0.25">
      <c r="A9" s="1">
        <f t="shared" si="0"/>
        <v>2009</v>
      </c>
      <c r="B9" s="1">
        <f>COUNTIF(included[year],A9)</f>
        <v>6</v>
      </c>
    </row>
    <row r="10" spans="1:4" x14ac:dyDescent="0.25">
      <c r="A10" s="1">
        <f t="shared" si="0"/>
        <v>2010</v>
      </c>
      <c r="B10" s="1">
        <f>COUNTIF(included[year],A10)</f>
        <v>3</v>
      </c>
    </row>
    <row r="11" spans="1:4" x14ac:dyDescent="0.25">
      <c r="A11" s="1">
        <f t="shared" si="0"/>
        <v>2011</v>
      </c>
      <c r="B11" s="1">
        <f>COUNTIF(included[year],A11)</f>
        <v>3</v>
      </c>
    </row>
    <row r="12" spans="1:4" x14ac:dyDescent="0.25">
      <c r="A12" s="1">
        <f t="shared" si="0"/>
        <v>2012</v>
      </c>
      <c r="B12" s="1">
        <f>COUNTIF(included[year],A12)</f>
        <v>4</v>
      </c>
    </row>
    <row r="13" spans="1:4" x14ac:dyDescent="0.25">
      <c r="A13" s="1">
        <f t="shared" si="0"/>
        <v>2013</v>
      </c>
      <c r="B13" s="1">
        <f>COUNTIF(included[year],A13)</f>
        <v>14</v>
      </c>
    </row>
    <row r="14" spans="1:4" x14ac:dyDescent="0.25">
      <c r="A14" s="1">
        <f t="shared" si="0"/>
        <v>2014</v>
      </c>
      <c r="B14" s="1">
        <f>COUNTIF(included[year],A14)</f>
        <v>4</v>
      </c>
    </row>
    <row r="15" spans="1:4" x14ac:dyDescent="0.25">
      <c r="A15" s="1">
        <f t="shared" si="0"/>
        <v>2015</v>
      </c>
      <c r="B15" s="1">
        <f>COUNTIF(included[year],A15)</f>
        <v>10</v>
      </c>
    </row>
    <row r="16" spans="1:4" x14ac:dyDescent="0.25">
      <c r="A16" s="1">
        <f t="shared" si="0"/>
        <v>2016</v>
      </c>
      <c r="B16" s="1">
        <f>COUNTIF(included[year],A16)</f>
        <v>10</v>
      </c>
    </row>
    <row r="17" spans="1:2" x14ac:dyDescent="0.25">
      <c r="A17" s="1">
        <f t="shared" si="0"/>
        <v>2017</v>
      </c>
      <c r="B17" s="1">
        <f>COUNTIF(included[year],A17)</f>
        <v>8</v>
      </c>
    </row>
    <row r="18" spans="1:2" x14ac:dyDescent="0.25">
      <c r="A18" s="1">
        <f t="shared" si="0"/>
        <v>2018</v>
      </c>
      <c r="B18" s="1">
        <f>COUNTIF(included[year],A18)</f>
        <v>20</v>
      </c>
    </row>
    <row r="19" spans="1:2" x14ac:dyDescent="0.25">
      <c r="A19" s="1">
        <f t="shared" si="0"/>
        <v>2019</v>
      </c>
      <c r="B19" s="1">
        <f>COUNTIF(included[year],A19)</f>
        <v>15</v>
      </c>
    </row>
    <row r="20" spans="1:2" x14ac:dyDescent="0.25">
      <c r="A20" s="1">
        <f t="shared" si="0"/>
        <v>2020</v>
      </c>
      <c r="B20" s="1">
        <f>COUNTIF(included[year],A20)</f>
        <v>14</v>
      </c>
    </row>
    <row r="21" spans="1:2" x14ac:dyDescent="0.25">
      <c r="A21" s="1">
        <f t="shared" si="0"/>
        <v>2021</v>
      </c>
      <c r="B21" s="1">
        <f>COUNTIF(included[year],A21)</f>
        <v>23</v>
      </c>
    </row>
    <row r="22" spans="1:2" x14ac:dyDescent="0.25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R145"/>
  <sheetViews>
    <sheetView tabSelected="1" zoomScaleNormal="100" workbookViewId="0"/>
  </sheetViews>
  <sheetFormatPr defaultColWidth="9.109375" defaultRowHeight="13.2" x14ac:dyDescent="0.25"/>
  <cols>
    <col min="1" max="1" width="10" style="1" bestFit="1" customWidth="1"/>
    <col min="2" max="2" width="25.6640625" style="1" customWidth="1"/>
    <col min="3" max="3" width="10.6640625" style="1" customWidth="1"/>
    <col min="4" max="4" width="7.33203125" style="1" bestFit="1" customWidth="1"/>
    <col min="5" max="6" width="10.6640625" style="1" customWidth="1"/>
    <col min="7" max="7" width="76.109375" style="1" bestFit="1" customWidth="1"/>
    <col min="8" max="8" width="9.88671875" style="10" bestFit="1" customWidth="1"/>
    <col min="9" max="9" width="4.6640625" style="1" customWidth="1"/>
    <col min="10" max="10" width="76.109375" style="1" bestFit="1" customWidth="1"/>
    <col min="11" max="11" width="4.6640625" style="1" customWidth="1"/>
    <col min="12" max="12" width="76.109375" style="1" bestFit="1" customWidth="1"/>
    <col min="13" max="13" width="11.21875" style="14" bestFit="1" customWidth="1"/>
    <col min="14" max="14" width="11.109375" style="1" bestFit="1" customWidth="1"/>
    <col min="15" max="15" width="12" style="1" bestFit="1" customWidth="1"/>
    <col min="16" max="16" width="11" style="1" bestFit="1" customWidth="1"/>
    <col min="17" max="17" width="11.21875" style="1" bestFit="1" customWidth="1"/>
    <col min="18" max="18" width="9.44140625" style="1" bestFit="1" customWidth="1"/>
    <col min="19" max="16384" width="9.109375" style="1"/>
  </cols>
  <sheetData>
    <row r="1" spans="1:18" s="2" customFormat="1" x14ac:dyDescent="0.25">
      <c r="A1" s="2" t="s">
        <v>622</v>
      </c>
      <c r="B1" s="2" t="s">
        <v>4</v>
      </c>
      <c r="C1" s="2" t="s">
        <v>623</v>
      </c>
      <c r="D1" s="2" t="s">
        <v>1</v>
      </c>
      <c r="E1" s="2" t="s">
        <v>2</v>
      </c>
      <c r="F1" s="2" t="s">
        <v>3</v>
      </c>
      <c r="G1" s="2" t="s">
        <v>624</v>
      </c>
      <c r="H1" s="13" t="s">
        <v>868</v>
      </c>
      <c r="J1" s="2" t="s">
        <v>862</v>
      </c>
      <c r="M1" s="15"/>
    </row>
    <row r="2" spans="1:18" x14ac:dyDescent="0.25">
      <c r="A2" s="1" t="s">
        <v>629</v>
      </c>
      <c r="B2" s="1" t="s">
        <v>633</v>
      </c>
      <c r="C2" s="1" t="s">
        <v>634</v>
      </c>
      <c r="D2" s="1">
        <v>2013</v>
      </c>
      <c r="E2" s="1" t="s">
        <v>86</v>
      </c>
      <c r="F2" s="1" t="s">
        <v>593</v>
      </c>
      <c r="G2" s="1" t="s">
        <v>595</v>
      </c>
    </row>
    <row r="3" spans="1:18" x14ac:dyDescent="0.25">
      <c r="A3" s="1" t="s">
        <v>626</v>
      </c>
      <c r="B3" s="1" t="s">
        <v>754</v>
      </c>
      <c r="C3" s="1" t="s">
        <v>755</v>
      </c>
      <c r="D3" s="1">
        <v>2019</v>
      </c>
      <c r="E3" s="1" t="s">
        <v>391</v>
      </c>
      <c r="F3" s="1" t="s">
        <v>593</v>
      </c>
      <c r="G3" s="1" t="s">
        <v>858</v>
      </c>
      <c r="J3" s="2" t="s">
        <v>863</v>
      </c>
      <c r="L3" s="2" t="s">
        <v>863</v>
      </c>
    </row>
    <row r="4" spans="1:18" x14ac:dyDescent="0.25">
      <c r="A4" s="1" t="s">
        <v>629</v>
      </c>
      <c r="B4" s="1" t="s">
        <v>708</v>
      </c>
      <c r="C4" s="1" t="s">
        <v>709</v>
      </c>
      <c r="D4" s="1">
        <v>2021</v>
      </c>
      <c r="E4" s="1" t="s">
        <v>542</v>
      </c>
      <c r="F4" s="1" t="s">
        <v>593</v>
      </c>
      <c r="G4" s="1" t="s">
        <v>610</v>
      </c>
      <c r="J4" s="2" t="s">
        <v>625</v>
      </c>
      <c r="K4" s="2"/>
      <c r="L4" s="2" t="s">
        <v>625</v>
      </c>
      <c r="M4" s="15" t="s">
        <v>871</v>
      </c>
      <c r="N4" s="15" t="s">
        <v>872</v>
      </c>
      <c r="O4" s="15" t="s">
        <v>873</v>
      </c>
      <c r="P4" s="2" t="s">
        <v>591</v>
      </c>
      <c r="Q4" s="15" t="s">
        <v>864</v>
      </c>
      <c r="R4" s="2" t="s">
        <v>868</v>
      </c>
    </row>
    <row r="5" spans="1:18" x14ac:dyDescent="0.25">
      <c r="A5" s="1" t="s">
        <v>629</v>
      </c>
      <c r="B5" s="1" t="s">
        <v>648</v>
      </c>
      <c r="C5" s="1" t="s">
        <v>649</v>
      </c>
      <c r="D5" s="1">
        <v>2013</v>
      </c>
      <c r="E5" s="1" t="s">
        <v>118</v>
      </c>
      <c r="F5" s="1" t="s">
        <v>593</v>
      </c>
      <c r="G5" s="1" t="s">
        <v>599</v>
      </c>
      <c r="J5" s="1" t="str" cm="1">
        <f t="array" ref="J5:J44">_xlfn.UNIQUE(venue[venue])</f>
        <v>Advanced Robotics</v>
      </c>
      <c r="L5" s="1" t="s">
        <v>595</v>
      </c>
      <c r="M5" s="16" cm="1">
        <f t="array" ref="M5">MEDIAN(IF(venue[venue]=venue_all[[#This Row],[unique venue]],venue[year]))</f>
        <v>2013</v>
      </c>
      <c r="N5" s="1" cm="1">
        <f t="array" ref="N5">MAX(IF(venue[venue]=venue_all[[#This Row],[unique venue]],venue[year]))</f>
        <v>2013</v>
      </c>
      <c r="O5" s="1" cm="1">
        <f t="array" ref="O5">_xlfn.STDEV.P(IF(venue[venue]=venue_all[[#This Row],[unique venue]],venue[year]))</f>
        <v>0</v>
      </c>
      <c r="P5" s="1">
        <f>COUNTIF(venue[venue],venue_all[[#This Row],[unique venue]])</f>
        <v>1</v>
      </c>
      <c r="Q5" s="14">
        <f>AVERAGEIF(venue[venue],venue_all[[#This Row],[unique venue]],venue[year])</f>
        <v>2013</v>
      </c>
      <c r="R5" s="10" t="s">
        <v>869</v>
      </c>
    </row>
    <row r="6" spans="1:18" x14ac:dyDescent="0.25">
      <c r="A6" s="1" t="s">
        <v>629</v>
      </c>
      <c r="B6" s="1" t="s">
        <v>186</v>
      </c>
      <c r="C6" s="1" t="s">
        <v>685</v>
      </c>
      <c r="D6" s="1">
        <v>2016</v>
      </c>
      <c r="E6" s="1" t="s">
        <v>188</v>
      </c>
      <c r="F6" s="1" t="s">
        <v>593</v>
      </c>
      <c r="G6" s="1" t="s">
        <v>599</v>
      </c>
      <c r="J6" s="1" t="str">
        <v>American Control Conference (ACC)</v>
      </c>
      <c r="L6" s="1" t="s">
        <v>858</v>
      </c>
      <c r="M6" s="14" cm="1">
        <f t="array" ref="M6">MEDIAN(IF(venue[venue]=venue_all[[#This Row],[unique venue]],venue[year]))</f>
        <v>2019</v>
      </c>
      <c r="N6" s="1" cm="1">
        <f t="array" ref="N6">MAX(IF(venue[venue]=venue_all[[#This Row],[unique venue]],venue[year]))</f>
        <v>2019</v>
      </c>
      <c r="O6" s="1" cm="1">
        <f t="array" ref="O6">_xlfn.STDEV.P(IF(venue[venue]=venue_all[[#This Row],[unique venue]],venue[year]))</f>
        <v>0</v>
      </c>
      <c r="P6" s="1">
        <f>COUNTIF(venue[venue],venue_all[[#This Row],[unique venue]])</f>
        <v>1</v>
      </c>
      <c r="Q6" s="14">
        <f>AVERAGEIF(venue[venue],venue_all[[#This Row],[unique venue]],venue[year])</f>
        <v>2019</v>
      </c>
      <c r="R6" s="10" t="s">
        <v>869</v>
      </c>
    </row>
    <row r="7" spans="1:18" x14ac:dyDescent="0.25">
      <c r="A7" s="1" t="s">
        <v>629</v>
      </c>
      <c r="B7" s="1" t="s">
        <v>802</v>
      </c>
      <c r="C7" s="1" t="s">
        <v>803</v>
      </c>
      <c r="D7" s="1">
        <v>2016</v>
      </c>
      <c r="E7" s="1" t="s">
        <v>192</v>
      </c>
      <c r="F7" s="1" t="s">
        <v>593</v>
      </c>
      <c r="G7" s="1" t="s">
        <v>599</v>
      </c>
      <c r="J7" s="1" t="str">
        <v>Applied Sciences</v>
      </c>
      <c r="L7" s="1" t="s">
        <v>610</v>
      </c>
      <c r="M7" s="14" cm="1">
        <f t="array" ref="M7">MEDIAN(IF(venue[venue]=venue_all[[#This Row],[unique venue]],venue[year]))</f>
        <v>2021</v>
      </c>
      <c r="N7" s="1" cm="1">
        <f t="array" ref="N7">MAX(IF(venue[venue]=venue_all[[#This Row],[unique venue]],venue[year]))</f>
        <v>2021</v>
      </c>
      <c r="O7" s="1" cm="1">
        <f t="array" ref="O7">_xlfn.STDEV.P(IF(venue[venue]=venue_all[[#This Row],[unique venue]],venue[year]))</f>
        <v>0</v>
      </c>
      <c r="P7" s="1">
        <f>COUNTIF(venue[venue],venue_all[[#This Row],[unique venue]])</f>
        <v>1</v>
      </c>
      <c r="Q7" s="14">
        <f>AVERAGEIF(venue[venue],venue_all[[#This Row],[unique venue]],venue[year])</f>
        <v>2021</v>
      </c>
      <c r="R7" s="10" t="s">
        <v>869</v>
      </c>
    </row>
    <row r="8" spans="1:18" x14ac:dyDescent="0.25">
      <c r="A8" s="1" t="s">
        <v>629</v>
      </c>
      <c r="B8" s="1" t="s">
        <v>666</v>
      </c>
      <c r="C8" s="1" t="s">
        <v>667</v>
      </c>
      <c r="D8" s="1">
        <v>2018</v>
      </c>
      <c r="E8" s="1" t="s">
        <v>323</v>
      </c>
      <c r="F8" s="1" t="s">
        <v>593</v>
      </c>
      <c r="G8" s="1" t="s">
        <v>599</v>
      </c>
      <c r="J8" s="1" t="str">
        <v>Autonomous Robots</v>
      </c>
      <c r="L8" s="1" t="s">
        <v>599</v>
      </c>
      <c r="M8" s="14" cm="1">
        <f t="array" ref="M8">MEDIAN(IF(venue[venue]=venue_all[[#This Row],[unique venue]],venue[year]))</f>
        <v>2018</v>
      </c>
      <c r="N8" s="1" cm="1">
        <f t="array" ref="N8">MAX(IF(venue[venue]=venue_all[[#This Row],[unique venue]],venue[year]))</f>
        <v>2020</v>
      </c>
      <c r="O8" s="1" cm="1">
        <f t="array" ref="O8">_xlfn.STDEV.P(IF(venue[venue]=venue_all[[#This Row],[unique venue]],venue[year]))</f>
        <v>2.1665358411575859</v>
      </c>
      <c r="P8" s="1">
        <f>COUNTIF(venue[venue],venue_all[[#This Row],[unique venue]])</f>
        <v>7</v>
      </c>
      <c r="Q8" s="14">
        <f>AVERAGEIF(venue[venue],venue_all[[#This Row],[unique venue]],venue[year])</f>
        <v>2017.1428571428571</v>
      </c>
      <c r="R8" s="10" t="s">
        <v>869</v>
      </c>
    </row>
    <row r="9" spans="1:18" x14ac:dyDescent="0.25">
      <c r="A9" s="1" t="s">
        <v>629</v>
      </c>
      <c r="B9" s="1" t="s">
        <v>782</v>
      </c>
      <c r="C9" s="1" t="s">
        <v>783</v>
      </c>
      <c r="D9" s="1">
        <v>2018</v>
      </c>
      <c r="E9" s="1" t="s">
        <v>259</v>
      </c>
      <c r="F9" s="1" t="s">
        <v>593</v>
      </c>
      <c r="G9" s="1" t="s">
        <v>599</v>
      </c>
      <c r="J9" s="1" t="str">
        <v>Cognitive Neurodynamics</v>
      </c>
      <c r="L9" s="1" t="s">
        <v>618</v>
      </c>
      <c r="M9" s="14" cm="1">
        <f t="array" ref="M9">MEDIAN(IF(venue[venue]=venue_all[[#This Row],[unique venue]],venue[year]))</f>
        <v>2021</v>
      </c>
      <c r="N9" s="1" cm="1">
        <f t="array" ref="N9">MAX(IF(venue[venue]=venue_all[[#This Row],[unique venue]],venue[year]))</f>
        <v>2021</v>
      </c>
      <c r="O9" s="1" cm="1">
        <f t="array" ref="O9">_xlfn.STDEV.P(IF(venue[venue]=venue_all[[#This Row],[unique venue]],venue[year]))</f>
        <v>0</v>
      </c>
      <c r="P9" s="1">
        <f>COUNTIF(venue[venue],venue_all[[#This Row],[unique venue]])</f>
        <v>1</v>
      </c>
      <c r="Q9" s="14">
        <f>AVERAGEIF(venue[venue],venue_all[[#This Row],[unique venue]],venue[year])</f>
        <v>2021</v>
      </c>
      <c r="R9" s="10" t="s">
        <v>869</v>
      </c>
    </row>
    <row r="10" spans="1:18" x14ac:dyDescent="0.25">
      <c r="A10" s="1" t="s">
        <v>629</v>
      </c>
      <c r="B10" s="1" t="s">
        <v>393</v>
      </c>
      <c r="C10" s="1" t="s">
        <v>735</v>
      </c>
      <c r="D10" s="1">
        <v>2019</v>
      </c>
      <c r="E10" s="1" t="s">
        <v>395</v>
      </c>
      <c r="F10" s="1" t="s">
        <v>593</v>
      </c>
      <c r="G10" s="1" t="s">
        <v>599</v>
      </c>
      <c r="J10" s="1" t="str">
        <v>Conference on Computer and Robot Vision (CRV)</v>
      </c>
      <c r="L10" s="1" t="s">
        <v>861</v>
      </c>
      <c r="M10" s="14" cm="1">
        <f t="array" ref="M10">MEDIAN(IF(venue[venue]=venue_all[[#This Row],[unique venue]],venue[year]))</f>
        <v>2019</v>
      </c>
      <c r="N10" s="1" cm="1">
        <f t="array" ref="N10">MAX(IF(venue[venue]=venue_all[[#This Row],[unique venue]],venue[year]))</f>
        <v>2019</v>
      </c>
      <c r="O10" s="1" cm="1">
        <f t="array" ref="O10">_xlfn.STDEV.P(IF(venue[venue]=venue_all[[#This Row],[unique venue]],venue[year]))</f>
        <v>0</v>
      </c>
      <c r="P10" s="1">
        <f>COUNTIF(venue[venue],venue_all[[#This Row],[unique venue]])</f>
        <v>1</v>
      </c>
      <c r="Q10" s="14">
        <f>AVERAGEIF(venue[venue],venue_all[[#This Row],[unique venue]],venue[year])</f>
        <v>2019</v>
      </c>
      <c r="R10" s="10" t="s">
        <v>869</v>
      </c>
    </row>
    <row r="11" spans="1:18" x14ac:dyDescent="0.25">
      <c r="A11" s="1" t="s">
        <v>629</v>
      </c>
      <c r="B11" s="1" t="s">
        <v>437</v>
      </c>
      <c r="C11" s="1" t="s">
        <v>685</v>
      </c>
      <c r="D11" s="1">
        <v>2020</v>
      </c>
      <c r="E11" s="1" t="s">
        <v>438</v>
      </c>
      <c r="F11" s="1" t="s">
        <v>593</v>
      </c>
      <c r="G11" s="1" t="s">
        <v>599</v>
      </c>
      <c r="J11" s="1" t="str">
        <v>European Conference on Mobile Robots (ECMR)</v>
      </c>
      <c r="L11" s="1" t="s">
        <v>852</v>
      </c>
      <c r="M11" s="14" cm="1">
        <f t="array" ref="M11">MEDIAN(IF(venue[venue]=venue_all[[#This Row],[unique venue]],venue[year]))</f>
        <v>2013</v>
      </c>
      <c r="N11" s="1" cm="1">
        <f t="array" ref="N11">MAX(IF(venue[venue]=venue_all[[#This Row],[unique venue]],venue[year]))</f>
        <v>2015</v>
      </c>
      <c r="O11" s="1" cm="1">
        <f t="array" ref="O11">_xlfn.STDEV.P(IF(venue[venue]=venue_all[[#This Row],[unique venue]],venue[year]))</f>
        <v>0.94280904158206336</v>
      </c>
      <c r="P11" s="1">
        <f>COUNTIF(venue[venue],venue_all[[#This Row],[unique venue]])</f>
        <v>3</v>
      </c>
      <c r="Q11" s="14">
        <f>AVERAGEIF(venue[venue],venue_all[[#This Row],[unique venue]],venue[year])</f>
        <v>2013.6666666666667</v>
      </c>
      <c r="R11" s="10" t="s">
        <v>869</v>
      </c>
    </row>
    <row r="12" spans="1:18" x14ac:dyDescent="0.25">
      <c r="A12" s="1" t="s">
        <v>629</v>
      </c>
      <c r="B12" s="1" t="s">
        <v>452</v>
      </c>
      <c r="C12" s="1" t="s">
        <v>813</v>
      </c>
      <c r="D12" s="1">
        <v>2021</v>
      </c>
      <c r="E12" s="1" t="s">
        <v>454</v>
      </c>
      <c r="F12" s="1" t="s">
        <v>593</v>
      </c>
      <c r="G12" s="1" t="s">
        <v>618</v>
      </c>
      <c r="J12" s="1" t="str">
        <v>Frontiers in Robotics and AI</v>
      </c>
      <c r="L12" s="1" t="s">
        <v>607</v>
      </c>
      <c r="M12" s="14" cm="1">
        <f t="array" ref="M12">MEDIAN(IF(venue[venue]=venue_all[[#This Row],[unique venue]],venue[year]))</f>
        <v>2021</v>
      </c>
      <c r="N12" s="1" cm="1">
        <f t="array" ref="N12">MAX(IF(venue[venue]=venue_all[[#This Row],[unique venue]],venue[year]))</f>
        <v>2021</v>
      </c>
      <c r="O12" s="1" cm="1">
        <f t="array" ref="O12">_xlfn.STDEV.P(IF(venue[venue]=venue_all[[#This Row],[unique venue]],venue[year]))</f>
        <v>0</v>
      </c>
      <c r="P12" s="1">
        <f>COUNTIF(venue[venue],venue_all[[#This Row],[unique venue]])</f>
        <v>1</v>
      </c>
      <c r="Q12" s="14">
        <f>AVERAGEIF(venue[venue],venue_all[[#This Row],[unique venue]],venue[year])</f>
        <v>2021</v>
      </c>
      <c r="R12" s="10" t="s">
        <v>869</v>
      </c>
    </row>
    <row r="13" spans="1:18" x14ac:dyDescent="0.25">
      <c r="A13" s="1" t="s">
        <v>626</v>
      </c>
      <c r="B13" s="1" t="s">
        <v>768</v>
      </c>
      <c r="C13" s="1" t="s">
        <v>769</v>
      </c>
      <c r="D13" s="1">
        <v>2019</v>
      </c>
      <c r="E13" s="1" t="s">
        <v>379</v>
      </c>
      <c r="F13" s="1" t="s">
        <v>593</v>
      </c>
      <c r="G13" s="1" t="s">
        <v>861</v>
      </c>
      <c r="J13" s="1" t="str">
        <v>IEEE Access</v>
      </c>
      <c r="L13" s="1" t="s">
        <v>598</v>
      </c>
      <c r="M13" s="14" cm="1">
        <f t="array" ref="M13">MEDIAN(IF(venue[venue]=venue_all[[#This Row],[unique venue]],venue[year]))</f>
        <v>2021</v>
      </c>
      <c r="N13" s="1" cm="1">
        <f t="array" ref="N13">MAX(IF(venue[venue]=venue_all[[#This Row],[unique venue]],venue[year]))</f>
        <v>2021</v>
      </c>
      <c r="O13" s="1" cm="1">
        <f t="array" ref="O13">_xlfn.STDEV.P(IF(venue[venue]=venue_all[[#This Row],[unique venue]],venue[year]))</f>
        <v>0</v>
      </c>
      <c r="P13" s="1">
        <f>COUNTIF(venue[venue],venue_all[[#This Row],[unique venue]])</f>
        <v>1</v>
      </c>
      <c r="Q13" s="14">
        <f>AVERAGEIF(venue[venue],venue_all[[#This Row],[unique venue]],venue[year])</f>
        <v>2021</v>
      </c>
      <c r="R13" s="10" t="s">
        <v>869</v>
      </c>
    </row>
    <row r="14" spans="1:18" x14ac:dyDescent="0.25">
      <c r="A14" s="1" t="s">
        <v>626</v>
      </c>
      <c r="B14" s="1" t="s">
        <v>656</v>
      </c>
      <c r="C14" s="1" t="s">
        <v>657</v>
      </c>
      <c r="D14" s="1">
        <v>2013</v>
      </c>
      <c r="E14" s="1" t="s">
        <v>98</v>
      </c>
      <c r="F14" s="1" t="s">
        <v>593</v>
      </c>
      <c r="G14" s="1" t="s">
        <v>852</v>
      </c>
      <c r="J14" s="1" t="str">
        <v>IEEE Intelligent Vehicles Symposium (IV)</v>
      </c>
      <c r="L14" s="1" t="s">
        <v>859</v>
      </c>
      <c r="M14" s="14" cm="1">
        <f t="array" ref="M14">MEDIAN(IF(venue[venue]=venue_all[[#This Row],[unique venue]],venue[year]))</f>
        <v>2018.5</v>
      </c>
      <c r="N14" s="1" cm="1">
        <f t="array" ref="N14">MAX(IF(venue[venue]=venue_all[[#This Row],[unique venue]],venue[year]))</f>
        <v>2019</v>
      </c>
      <c r="O14" s="1" cm="1">
        <f t="array" ref="O14">_xlfn.STDEV.P(IF(venue[venue]=venue_all[[#This Row],[unique venue]],venue[year]))</f>
        <v>0.5</v>
      </c>
      <c r="P14" s="1">
        <f>COUNTIF(venue[venue],venue_all[[#This Row],[unique venue]])</f>
        <v>2</v>
      </c>
      <c r="Q14" s="14">
        <f>AVERAGEIF(venue[venue],venue_all[[#This Row],[unique venue]],venue[year])</f>
        <v>2018.5</v>
      </c>
      <c r="R14" s="10" t="s">
        <v>869</v>
      </c>
    </row>
    <row r="15" spans="1:18" x14ac:dyDescent="0.25">
      <c r="A15" s="1" t="s">
        <v>626</v>
      </c>
      <c r="B15" s="1" t="s">
        <v>88</v>
      </c>
      <c r="C15" s="1" t="s">
        <v>675</v>
      </c>
      <c r="D15" s="1">
        <v>2013</v>
      </c>
      <c r="E15" s="1" t="s">
        <v>90</v>
      </c>
      <c r="F15" s="1" t="s">
        <v>593</v>
      </c>
      <c r="G15" s="1" t="s">
        <v>852</v>
      </c>
      <c r="J15" s="1" t="str">
        <v>IEEE International Conference on Robotics and Automation (ICRA)</v>
      </c>
      <c r="L15" s="1" t="s">
        <v>848</v>
      </c>
      <c r="M15" s="14" cm="1">
        <f t="array" ref="M15">MEDIAN(IF(venue[venue]=venue_all[[#This Row],[unique venue]],venue[year]))</f>
        <v>2016</v>
      </c>
      <c r="N15" s="1" cm="1">
        <f t="array" ref="N15">MAX(IF(venue[venue]=venue_all[[#This Row],[unique venue]],venue[year]))</f>
        <v>2021</v>
      </c>
      <c r="O15" s="1" cm="1">
        <f t="array" ref="O15">_xlfn.STDEV.P(IF(venue[venue]=venue_all[[#This Row],[unique venue]],venue[year]))</f>
        <v>3.9019490785465454</v>
      </c>
      <c r="P15" s="1">
        <f>COUNTIF(venue[venue],venue_all[[#This Row],[unique venue]])</f>
        <v>22</v>
      </c>
      <c r="Q15" s="14">
        <f>AVERAGEIF(venue[venue],venue_all[[#This Row],[unique venue]],venue[year])</f>
        <v>2016.0454545454545</v>
      </c>
      <c r="R15" s="10" t="s">
        <v>869</v>
      </c>
    </row>
    <row r="16" spans="1:18" x14ac:dyDescent="0.25">
      <c r="A16" s="1" t="s">
        <v>626</v>
      </c>
      <c r="B16" s="1" t="s">
        <v>806</v>
      </c>
      <c r="C16" s="1" t="s">
        <v>807</v>
      </c>
      <c r="D16" s="1">
        <v>2015</v>
      </c>
      <c r="E16" s="1" t="s">
        <v>184</v>
      </c>
      <c r="F16" s="1" t="s">
        <v>593</v>
      </c>
      <c r="G16" s="1" t="s">
        <v>852</v>
      </c>
      <c r="J16" s="1" t="str">
        <v>IEEE International Conference on Robotics and Biomimetics (ROBIO)</v>
      </c>
      <c r="L16" s="1" t="s">
        <v>850</v>
      </c>
      <c r="M16" s="14" cm="1">
        <f t="array" ref="M16">MEDIAN(IF(venue[venue]=venue_all[[#This Row],[unique venue]],venue[year]))</f>
        <v>2019</v>
      </c>
      <c r="N16" s="1" cm="1">
        <f t="array" ref="N16">MAX(IF(venue[venue]=venue_all[[#This Row],[unique venue]],venue[year]))</f>
        <v>2021</v>
      </c>
      <c r="O16" s="1" cm="1">
        <f t="array" ref="O16">_xlfn.STDEV.P(IF(venue[venue]=venue_all[[#This Row],[unique venue]],venue[year]))</f>
        <v>2.0548046676563256</v>
      </c>
      <c r="P16" s="1">
        <f>COUNTIF(venue[venue],venue_all[[#This Row],[unique venue]])</f>
        <v>3</v>
      </c>
      <c r="Q16" s="14">
        <f>AVERAGEIF(venue[venue],venue_all[[#This Row],[unique venue]],venue[year])</f>
        <v>2018.6666666666667</v>
      </c>
      <c r="R16" s="10" t="s">
        <v>869</v>
      </c>
    </row>
    <row r="17" spans="1:18" x14ac:dyDescent="0.25">
      <c r="A17" s="1" t="s">
        <v>629</v>
      </c>
      <c r="B17" s="1" t="s">
        <v>694</v>
      </c>
      <c r="C17" s="1" t="s">
        <v>695</v>
      </c>
      <c r="D17" s="1">
        <v>2021</v>
      </c>
      <c r="E17" s="1" t="s">
        <v>526</v>
      </c>
      <c r="F17" s="1" t="s">
        <v>593</v>
      </c>
      <c r="G17" s="1" t="s">
        <v>607</v>
      </c>
      <c r="J17" s="1" t="str">
        <v>IEEE International Conference on Technologies for Practical Robot Applications (TePRA)</v>
      </c>
      <c r="L17" s="1" t="s">
        <v>854</v>
      </c>
      <c r="M17" s="14" cm="1">
        <f t="array" ref="M17">MEDIAN(IF(venue[venue]=venue_all[[#This Row],[unique venue]],venue[year]))</f>
        <v>2009</v>
      </c>
      <c r="N17" s="1" cm="1">
        <f t="array" ref="N17">MAX(IF(venue[venue]=venue_all[[#This Row],[unique venue]],venue[year]))</f>
        <v>2009</v>
      </c>
      <c r="O17" s="1" cm="1">
        <f t="array" ref="O17">_xlfn.STDEV.P(IF(venue[venue]=venue_all[[#This Row],[unique venue]],venue[year]))</f>
        <v>0</v>
      </c>
      <c r="P17" s="1">
        <f>COUNTIF(venue[venue],venue_all[[#This Row],[unique venue]])</f>
        <v>1</v>
      </c>
      <c r="Q17" s="14">
        <f>AVERAGEIF(venue[venue],venue_all[[#This Row],[unique venue]],venue[year])</f>
        <v>2009</v>
      </c>
      <c r="R17" s="10" t="s">
        <v>870</v>
      </c>
    </row>
    <row r="18" spans="1:18" x14ac:dyDescent="0.25">
      <c r="A18" s="1" t="s">
        <v>629</v>
      </c>
      <c r="B18" s="1" t="s">
        <v>643</v>
      </c>
      <c r="C18" s="1" t="s">
        <v>644</v>
      </c>
      <c r="D18" s="1">
        <v>2021</v>
      </c>
      <c r="E18" s="1" t="s">
        <v>462</v>
      </c>
      <c r="F18" s="1" t="s">
        <v>593</v>
      </c>
      <c r="G18" s="1" t="s">
        <v>598</v>
      </c>
      <c r="J18" s="1" t="str">
        <v>IEEE International Intelligent Transportation Systems Conference (ITSC)</v>
      </c>
      <c r="L18" s="1" t="s">
        <v>853</v>
      </c>
      <c r="M18" s="14" cm="1">
        <f t="array" ref="M18">MEDIAN(IF(venue[venue]=venue_all[[#This Row],[unique venue]],venue[year]))</f>
        <v>2018</v>
      </c>
      <c r="N18" s="1" cm="1">
        <f t="array" ref="N18">MAX(IF(venue[venue]=venue_all[[#This Row],[unique venue]],venue[year]))</f>
        <v>2021</v>
      </c>
      <c r="O18" s="1" cm="1">
        <f t="array" ref="O18">_xlfn.STDEV.P(IF(venue[venue]=venue_all[[#This Row],[unique venue]],venue[year]))</f>
        <v>2.4494897427831779</v>
      </c>
      <c r="P18" s="1">
        <f>COUNTIF(venue[venue],venue_all[[#This Row],[unique venue]])</f>
        <v>3</v>
      </c>
      <c r="Q18" s="14">
        <f>AVERAGEIF(venue[venue],venue_all[[#This Row],[unique venue]],venue[year])</f>
        <v>2018</v>
      </c>
      <c r="R18" s="10" t="s">
        <v>869</v>
      </c>
    </row>
    <row r="19" spans="1:18" x14ac:dyDescent="0.25">
      <c r="A19" s="1" t="s">
        <v>626</v>
      </c>
      <c r="B19" s="1" t="s">
        <v>716</v>
      </c>
      <c r="C19" s="1" t="s">
        <v>717</v>
      </c>
      <c r="D19" s="1">
        <v>2018</v>
      </c>
      <c r="E19" s="1" t="s">
        <v>335</v>
      </c>
      <c r="F19" s="1" t="s">
        <v>593</v>
      </c>
      <c r="G19" s="1" t="s">
        <v>859</v>
      </c>
      <c r="J19" s="1" t="str">
        <v>IEEE Robotics and Automation Letters</v>
      </c>
      <c r="L19" s="1" t="s">
        <v>597</v>
      </c>
      <c r="M19" s="14" cm="1">
        <f t="array" ref="M19">MEDIAN(IF(venue[venue]=venue_all[[#This Row],[unique venue]],venue[year]))</f>
        <v>2018</v>
      </c>
      <c r="N19" s="1" cm="1">
        <f t="array" ref="N19">MAX(IF(venue[venue]=venue_all[[#This Row],[unique venue]],venue[year]))</f>
        <v>2022</v>
      </c>
      <c r="O19" s="1" cm="1">
        <f t="array" ref="O19">_xlfn.STDEV.P(IF(venue[venue]=venue_all[[#This Row],[unique venue]],venue[year]))</f>
        <v>1.7240134054647669</v>
      </c>
      <c r="P19" s="1">
        <f>COUNTIF(venue[venue],venue_all[[#This Row],[unique venue]])</f>
        <v>12</v>
      </c>
      <c r="Q19" s="14">
        <f>AVERAGEIF(venue[venue],venue_all[[#This Row],[unique venue]],venue[year])</f>
        <v>2018.8333333333333</v>
      </c>
      <c r="R19" s="10" t="s">
        <v>869</v>
      </c>
    </row>
    <row r="20" spans="1:18" x14ac:dyDescent="0.25">
      <c r="A20" s="1" t="s">
        <v>626</v>
      </c>
      <c r="B20" s="1" t="s">
        <v>369</v>
      </c>
      <c r="C20" s="1" t="s">
        <v>714</v>
      </c>
      <c r="D20" s="1">
        <v>2019</v>
      </c>
      <c r="E20" s="1" t="s">
        <v>371</v>
      </c>
      <c r="F20" s="1" t="s">
        <v>593</v>
      </c>
      <c r="G20" s="1" t="s">
        <v>859</v>
      </c>
      <c r="J20" s="1" t="str">
        <v>IEEE Sensors Journal</v>
      </c>
      <c r="L20" s="1" t="s">
        <v>602</v>
      </c>
      <c r="M20" s="14" cm="1">
        <f t="array" ref="M20">MEDIAN(IF(venue[venue]=venue_all[[#This Row],[unique venue]],venue[year]))</f>
        <v>2019.5</v>
      </c>
      <c r="N20" s="1" cm="1">
        <f t="array" ref="N20">MAX(IF(venue[venue]=venue_all[[#This Row],[unique venue]],venue[year]))</f>
        <v>2021</v>
      </c>
      <c r="O20" s="1" cm="1">
        <f t="array" ref="O20">_xlfn.STDEV.P(IF(venue[venue]=venue_all[[#This Row],[unique venue]],venue[year]))</f>
        <v>1.5</v>
      </c>
      <c r="P20" s="1">
        <f>COUNTIF(venue[venue],venue_all[[#This Row],[unique venue]])</f>
        <v>2</v>
      </c>
      <c r="Q20" s="14">
        <f>AVERAGEIF(venue[venue],venue_all[[#This Row],[unique venue]],venue[year])</f>
        <v>2019.5</v>
      </c>
      <c r="R20" s="10" t="s">
        <v>869</v>
      </c>
    </row>
    <row r="21" spans="1:18" x14ac:dyDescent="0.25">
      <c r="A21" s="1" t="s">
        <v>626</v>
      </c>
      <c r="B21" s="1" t="s">
        <v>9</v>
      </c>
      <c r="C21" s="1" t="s">
        <v>652</v>
      </c>
      <c r="D21" s="1">
        <v>2007</v>
      </c>
      <c r="E21" s="1" t="s">
        <v>11</v>
      </c>
      <c r="F21" s="1" t="s">
        <v>593</v>
      </c>
      <c r="G21" s="1" t="s">
        <v>848</v>
      </c>
      <c r="J21" s="1" t="str">
        <v>IEEE Transactions on Industrial Electronics</v>
      </c>
      <c r="L21" s="1" t="s">
        <v>601</v>
      </c>
      <c r="M21" s="14" cm="1">
        <f t="array" ref="M21">MEDIAN(IF(venue[venue]=venue_all[[#This Row],[unique venue]],venue[year]))</f>
        <v>2021</v>
      </c>
      <c r="N21" s="1" cm="1">
        <f t="array" ref="N21">MAX(IF(venue[venue]=venue_all[[#This Row],[unique venue]],venue[year]))</f>
        <v>2021</v>
      </c>
      <c r="O21" s="1" cm="1">
        <f t="array" ref="O21">_xlfn.STDEV.P(IF(venue[venue]=venue_all[[#This Row],[unique venue]],venue[year]))</f>
        <v>0</v>
      </c>
      <c r="P21" s="1">
        <f>COUNTIF(venue[venue],venue_all[[#This Row],[unique venue]])</f>
        <v>1</v>
      </c>
      <c r="Q21" s="14">
        <f>AVERAGEIF(venue[venue],venue_all[[#This Row],[unique venue]],venue[year])</f>
        <v>2021</v>
      </c>
      <c r="R21" s="10" t="s">
        <v>869</v>
      </c>
    </row>
    <row r="22" spans="1:18" x14ac:dyDescent="0.25">
      <c r="A22" s="1" t="s">
        <v>626</v>
      </c>
      <c r="B22" s="1" t="s">
        <v>631</v>
      </c>
      <c r="C22" s="1" t="s">
        <v>632</v>
      </c>
      <c r="D22" s="1">
        <v>2010</v>
      </c>
      <c r="E22" s="1" t="s">
        <v>38</v>
      </c>
      <c r="F22" s="1" t="s">
        <v>593</v>
      </c>
      <c r="G22" s="1" t="s">
        <v>848</v>
      </c>
      <c r="J22" s="1" t="str">
        <v>IEEE Transactions on Intelligent Transportation Systems</v>
      </c>
      <c r="L22" s="1" t="s">
        <v>608</v>
      </c>
      <c r="M22" s="14" cm="1">
        <f t="array" ref="M22">MEDIAN(IF(venue[venue]=venue_all[[#This Row],[unique venue]],venue[year]))</f>
        <v>2020.5</v>
      </c>
      <c r="N22" s="1" cm="1">
        <f t="array" ref="N22">MAX(IF(venue[venue]=venue_all[[#This Row],[unique venue]],venue[year]))</f>
        <v>2022</v>
      </c>
      <c r="O22" s="1" cm="1">
        <f t="array" ref="O22">_xlfn.STDEV.P(IF(venue[venue]=venue_all[[#This Row],[unique venue]],venue[year]))</f>
        <v>0.82915619758884995</v>
      </c>
      <c r="P22" s="1">
        <f>COUNTIF(venue[venue],venue_all[[#This Row],[unique venue]])</f>
        <v>4</v>
      </c>
      <c r="Q22" s="14">
        <f>AVERAGEIF(venue[venue],venue_all[[#This Row],[unique venue]],venue[year])</f>
        <v>2020.75</v>
      </c>
      <c r="R22" s="10" t="s">
        <v>869</v>
      </c>
    </row>
    <row r="23" spans="1:18" x14ac:dyDescent="0.25">
      <c r="A23" s="1" t="s">
        <v>626</v>
      </c>
      <c r="B23" s="1" t="s">
        <v>44</v>
      </c>
      <c r="C23" s="1" t="s">
        <v>719</v>
      </c>
      <c r="D23" s="1">
        <v>2010</v>
      </c>
      <c r="E23" s="1" t="s">
        <v>46</v>
      </c>
      <c r="F23" s="1" t="s">
        <v>593</v>
      </c>
      <c r="G23" s="1" t="s">
        <v>848</v>
      </c>
      <c r="J23" s="1" t="str">
        <v>IEEE Transactions on Pattern Analysis and Machine Intelligence</v>
      </c>
      <c r="L23" s="1" t="s">
        <v>594</v>
      </c>
      <c r="M23" s="14" cm="1">
        <f t="array" ref="M23">MEDIAN(IF(venue[venue]=venue_all[[#This Row],[unique venue]],venue[year]))</f>
        <v>2002</v>
      </c>
      <c r="N23" s="1" cm="1">
        <f t="array" ref="N23">MAX(IF(venue[venue]=venue_all[[#This Row],[unique venue]],venue[year]))</f>
        <v>2002</v>
      </c>
      <c r="O23" s="1" cm="1">
        <f t="array" ref="O23">_xlfn.STDEV.P(IF(venue[venue]=venue_all[[#This Row],[unique venue]],venue[year]))</f>
        <v>0</v>
      </c>
      <c r="P23" s="1">
        <f>COUNTIF(venue[venue],venue_all[[#This Row],[unique venue]])</f>
        <v>1</v>
      </c>
      <c r="Q23" s="14">
        <f>AVERAGEIF(venue[venue],venue_all[[#This Row],[unique venue]],venue[year])</f>
        <v>2002</v>
      </c>
      <c r="R23" s="10" t="s">
        <v>869</v>
      </c>
    </row>
    <row r="24" spans="1:18" x14ac:dyDescent="0.25">
      <c r="A24" s="1" t="s">
        <v>626</v>
      </c>
      <c r="B24" s="1" t="s">
        <v>822</v>
      </c>
      <c r="C24" s="1" t="s">
        <v>823</v>
      </c>
      <c r="D24" s="1">
        <v>2012</v>
      </c>
      <c r="E24" s="1" t="s">
        <v>62</v>
      </c>
      <c r="F24" s="1" t="s">
        <v>593</v>
      </c>
      <c r="G24" s="1" t="s">
        <v>848</v>
      </c>
      <c r="J24" s="1" t="str">
        <v>IEEE Transactions on Robotics</v>
      </c>
      <c r="L24" s="1" t="s">
        <v>613</v>
      </c>
      <c r="M24" s="14" cm="1">
        <f t="array" ref="M24">MEDIAN(IF(venue[venue]=venue_all[[#This Row],[unique venue]],venue[year]))</f>
        <v>2016</v>
      </c>
      <c r="N24" s="1" cm="1">
        <f t="array" ref="N24">MAX(IF(venue[venue]=venue_all[[#This Row],[unique venue]],venue[year]))</f>
        <v>2022</v>
      </c>
      <c r="O24" s="1" cm="1">
        <f t="array" ref="O24">_xlfn.STDEV.P(IF(venue[venue]=venue_all[[#This Row],[unique venue]],venue[year]))</f>
        <v>3.082207001484488</v>
      </c>
      <c r="P24" s="1">
        <f>COUNTIF(venue[venue],venue_all[[#This Row],[unique venue]])</f>
        <v>4</v>
      </c>
      <c r="Q24" s="14">
        <f>AVERAGEIF(venue[venue],venue_all[[#This Row],[unique venue]],venue[year])</f>
        <v>2017</v>
      </c>
      <c r="R24" s="10" t="s">
        <v>869</v>
      </c>
    </row>
    <row r="25" spans="1:18" x14ac:dyDescent="0.25">
      <c r="A25" s="1" t="s">
        <v>626</v>
      </c>
      <c r="B25" s="1" t="s">
        <v>683</v>
      </c>
      <c r="C25" s="1" t="s">
        <v>684</v>
      </c>
      <c r="D25" s="1">
        <v>2013</v>
      </c>
      <c r="E25" s="1" t="s">
        <v>126</v>
      </c>
      <c r="F25" s="1" t="s">
        <v>593</v>
      </c>
      <c r="G25" s="1" t="s">
        <v>848</v>
      </c>
      <c r="J25" s="1" t="str">
        <v>IEEE Transactions on Visualization and Computer Graphics</v>
      </c>
      <c r="L25" s="1" t="s">
        <v>621</v>
      </c>
      <c r="M25" s="14" cm="1">
        <f t="array" ref="M25">MEDIAN(IF(venue[venue]=venue_all[[#This Row],[unique venue]],venue[year]))</f>
        <v>2022</v>
      </c>
      <c r="N25" s="1" cm="1">
        <f t="array" ref="N25">MAX(IF(venue[venue]=venue_all[[#This Row],[unique venue]],venue[year]))</f>
        <v>2022</v>
      </c>
      <c r="O25" s="1" cm="1">
        <f t="array" ref="O25">_xlfn.STDEV.P(IF(venue[venue]=venue_all[[#This Row],[unique venue]],venue[year]))</f>
        <v>0</v>
      </c>
      <c r="P25" s="1">
        <f>COUNTIF(venue[venue],venue_all[[#This Row],[unique venue]])</f>
        <v>1</v>
      </c>
      <c r="Q25" s="14">
        <f>AVERAGEIF(venue[venue],venue_all[[#This Row],[unique venue]],venue[year])</f>
        <v>2022</v>
      </c>
      <c r="R25" s="10" t="s">
        <v>869</v>
      </c>
    </row>
    <row r="26" spans="1:18" x14ac:dyDescent="0.25">
      <c r="A26" s="1" t="s">
        <v>626</v>
      </c>
      <c r="B26" s="1" t="s">
        <v>672</v>
      </c>
      <c r="C26" s="1" t="s">
        <v>673</v>
      </c>
      <c r="D26" s="1">
        <v>2014</v>
      </c>
      <c r="E26" s="1" t="s">
        <v>145</v>
      </c>
      <c r="F26" s="1" t="s">
        <v>593</v>
      </c>
      <c r="G26" s="1" t="s">
        <v>848</v>
      </c>
      <c r="J26" s="1" t="str">
        <v>IEEE Winter Conference on Applications of Computer Vision (WACV)</v>
      </c>
      <c r="L26" s="1" t="s">
        <v>851</v>
      </c>
      <c r="M26" s="14" cm="1">
        <f t="array" ref="M26">MEDIAN(IF(venue[venue]=venue_all[[#This Row],[unique venue]],venue[year]))</f>
        <v>2018</v>
      </c>
      <c r="N26" s="1" cm="1">
        <f t="array" ref="N26">MAX(IF(venue[venue]=venue_all[[#This Row],[unique venue]],venue[year]))</f>
        <v>2018</v>
      </c>
      <c r="O26" s="1" cm="1">
        <f t="array" ref="O26">_xlfn.STDEV.P(IF(venue[venue]=venue_all[[#This Row],[unique venue]],venue[year]))</f>
        <v>0</v>
      </c>
      <c r="P26" s="1">
        <f>COUNTIF(venue[venue],venue_all[[#This Row],[unique venue]])</f>
        <v>1</v>
      </c>
      <c r="Q26" s="14">
        <f>AVERAGEIF(venue[venue],venue_all[[#This Row],[unique venue]],venue[year])</f>
        <v>2018</v>
      </c>
      <c r="R26" s="10" t="s">
        <v>869</v>
      </c>
    </row>
    <row r="27" spans="1:18" x14ac:dyDescent="0.25">
      <c r="A27" s="1" t="s">
        <v>626</v>
      </c>
      <c r="B27" s="1" t="s">
        <v>139</v>
      </c>
      <c r="C27" s="1" t="s">
        <v>730</v>
      </c>
      <c r="D27" s="1">
        <v>2014</v>
      </c>
      <c r="E27" s="1" t="s">
        <v>141</v>
      </c>
      <c r="F27" s="1" t="s">
        <v>593</v>
      </c>
      <c r="G27" s="1" t="s">
        <v>848</v>
      </c>
      <c r="J27" s="1" t="str">
        <v>IEEE/ASME Transactions on Mechatronics</v>
      </c>
      <c r="L27" s="1" t="s">
        <v>615</v>
      </c>
      <c r="M27" s="14" cm="1">
        <f t="array" ref="M27">MEDIAN(IF(venue[venue]=venue_all[[#This Row],[unique venue]],venue[year]))</f>
        <v>2021</v>
      </c>
      <c r="N27" s="1" cm="1">
        <f t="array" ref="N27">MAX(IF(venue[venue]=venue_all[[#This Row],[unique venue]],venue[year]))</f>
        <v>2021</v>
      </c>
      <c r="O27" s="1" cm="1">
        <f t="array" ref="O27">_xlfn.STDEV.P(IF(venue[venue]=venue_all[[#This Row],[unique venue]],venue[year]))</f>
        <v>0</v>
      </c>
      <c r="P27" s="1">
        <f>COUNTIF(venue[venue],venue_all[[#This Row],[unique venue]])</f>
        <v>1</v>
      </c>
      <c r="Q27" s="14">
        <f>AVERAGEIF(venue[venue],venue_all[[#This Row],[unique venue]],venue[year])</f>
        <v>2021</v>
      </c>
      <c r="R27" s="10" t="s">
        <v>869</v>
      </c>
    </row>
    <row r="28" spans="1:18" x14ac:dyDescent="0.25">
      <c r="A28" s="1" t="s">
        <v>626</v>
      </c>
      <c r="B28" s="1" t="s">
        <v>162</v>
      </c>
      <c r="C28" s="1" t="s">
        <v>703</v>
      </c>
      <c r="D28" s="1">
        <v>2015</v>
      </c>
      <c r="E28" s="1" t="s">
        <v>164</v>
      </c>
      <c r="F28" s="1" t="s">
        <v>593</v>
      </c>
      <c r="G28" s="1" t="s">
        <v>848</v>
      </c>
      <c r="J28" s="1" t="str">
        <v>IEEE/CAA Journal of Automatica Sinica</v>
      </c>
      <c r="L28" s="1" t="s">
        <v>604</v>
      </c>
      <c r="M28" s="14" cm="1">
        <f t="array" ref="M28">MEDIAN(IF(venue[venue]=venue_all[[#This Row],[unique venue]],venue[year]))</f>
        <v>2022</v>
      </c>
      <c r="N28" s="1" cm="1">
        <f t="array" ref="N28">MAX(IF(venue[venue]=venue_all[[#This Row],[unique venue]],venue[year]))</f>
        <v>2022</v>
      </c>
      <c r="O28" s="1" cm="1">
        <f t="array" ref="O28">_xlfn.STDEV.P(IF(venue[venue]=venue_all[[#This Row],[unique venue]],venue[year]))</f>
        <v>0</v>
      </c>
      <c r="P28" s="1">
        <f>COUNTIF(venue[venue],venue_all[[#This Row],[unique venue]])</f>
        <v>1</v>
      </c>
      <c r="Q28" s="14">
        <f>AVERAGEIF(venue[venue],venue_all[[#This Row],[unique venue]],venue[year])</f>
        <v>2022</v>
      </c>
      <c r="R28" s="10" t="s">
        <v>869</v>
      </c>
    </row>
    <row r="29" spans="1:18" x14ac:dyDescent="0.25">
      <c r="A29" s="1" t="s">
        <v>626</v>
      </c>
      <c r="B29" s="1" t="s">
        <v>178</v>
      </c>
      <c r="C29" s="1" t="s">
        <v>743</v>
      </c>
      <c r="D29" s="1">
        <v>2015</v>
      </c>
      <c r="E29" s="1" t="s">
        <v>180</v>
      </c>
      <c r="F29" s="1" t="s">
        <v>593</v>
      </c>
      <c r="G29" s="1" t="s">
        <v>848</v>
      </c>
      <c r="J29" s="1" t="str">
        <v>IEEE/RSJ International Conference on Intelligent Robots and Systems (IROS)</v>
      </c>
      <c r="L29" s="1" t="s">
        <v>849</v>
      </c>
      <c r="M29" s="14" cm="1">
        <f t="array" ref="M29">MEDIAN(IF(venue[venue]=venue_all[[#This Row],[unique venue]],venue[year]))</f>
        <v>2018</v>
      </c>
      <c r="N29" s="1" cm="1">
        <f t="array" ref="N29">MAX(IF(venue[venue]=venue_all[[#This Row],[unique venue]],venue[year]))</f>
        <v>2021</v>
      </c>
      <c r="O29" s="1" cm="1">
        <f t="array" ref="O29">_xlfn.STDEV.P(IF(venue[venue]=venue_all[[#This Row],[unique venue]],venue[year]))</f>
        <v>3.8005847503304593</v>
      </c>
      <c r="P29" s="1">
        <f>COUNTIF(venue[venue],venue_all[[#This Row],[unique venue]])</f>
        <v>18</v>
      </c>
      <c r="Q29" s="14">
        <f>AVERAGEIF(venue[venue],venue_all[[#This Row],[unique venue]],venue[year])</f>
        <v>2016.6666666666667</v>
      </c>
      <c r="R29" s="10" t="s">
        <v>869</v>
      </c>
    </row>
    <row r="30" spans="1:18" x14ac:dyDescent="0.25">
      <c r="A30" s="1" t="s">
        <v>626</v>
      </c>
      <c r="B30" s="1" t="s">
        <v>155</v>
      </c>
      <c r="C30" s="1" t="s">
        <v>750</v>
      </c>
      <c r="D30" s="1">
        <v>2015</v>
      </c>
      <c r="E30" s="1" t="s">
        <v>157</v>
      </c>
      <c r="F30" s="1" t="s">
        <v>593</v>
      </c>
      <c r="G30" s="1" t="s">
        <v>848</v>
      </c>
      <c r="J30" s="1" t="str">
        <v>IET Intelligent Transport Systems</v>
      </c>
      <c r="L30" s="1" t="s">
        <v>620</v>
      </c>
      <c r="M30" s="14" cm="1">
        <f t="array" ref="M30">MEDIAN(IF(venue[venue]=venue_all[[#This Row],[unique venue]],venue[year]))</f>
        <v>2021</v>
      </c>
      <c r="N30" s="1" cm="1">
        <f t="array" ref="N30">MAX(IF(venue[venue]=venue_all[[#This Row],[unique venue]],venue[year]))</f>
        <v>2021</v>
      </c>
      <c r="O30" s="1" cm="1">
        <f t="array" ref="O30">_xlfn.STDEV.P(IF(venue[venue]=venue_all[[#This Row],[unique venue]],venue[year]))</f>
        <v>0</v>
      </c>
      <c r="P30" s="1">
        <f>COUNTIF(venue[venue],venue_all[[#This Row],[unique venue]])</f>
        <v>1</v>
      </c>
      <c r="Q30" s="14">
        <f>AVERAGEIF(venue[venue],venue_all[[#This Row],[unique venue]],venue[year])</f>
        <v>2021</v>
      </c>
      <c r="R30" s="10" t="s">
        <v>869</v>
      </c>
    </row>
    <row r="31" spans="1:18" x14ac:dyDescent="0.25">
      <c r="A31" s="1" t="s">
        <v>626</v>
      </c>
      <c r="B31" s="1" t="s">
        <v>762</v>
      </c>
      <c r="C31" s="1" t="s">
        <v>763</v>
      </c>
      <c r="D31" s="1">
        <v>2015</v>
      </c>
      <c r="E31" s="1" t="s">
        <v>149</v>
      </c>
      <c r="F31" s="1" t="s">
        <v>593</v>
      </c>
      <c r="G31" s="1" t="s">
        <v>848</v>
      </c>
      <c r="J31" s="1" t="str">
        <v>International Conference on 3D Vision (3DV)</v>
      </c>
      <c r="L31" s="1" t="s">
        <v>860</v>
      </c>
      <c r="M31" s="14" cm="1">
        <f t="array" ref="M31">MEDIAN(IF(venue[venue]=venue_all[[#This Row],[unique venue]],venue[year]))</f>
        <v>2017.5</v>
      </c>
      <c r="N31" s="1" cm="1">
        <f t="array" ref="N31">MAX(IF(venue[venue]=venue_all[[#This Row],[unique venue]],venue[year]))</f>
        <v>2019</v>
      </c>
      <c r="O31" s="1" cm="1">
        <f t="array" ref="O31">_xlfn.STDEV.P(IF(venue[venue]=venue_all[[#This Row],[unique venue]],venue[year]))</f>
        <v>1.5</v>
      </c>
      <c r="P31" s="1">
        <f>COUNTIF(venue[venue],venue_all[[#This Row],[unique venue]])</f>
        <v>2</v>
      </c>
      <c r="Q31" s="14">
        <f>AVERAGEIF(venue[venue],venue_all[[#This Row],[unique venue]],venue[year])</f>
        <v>2017.5</v>
      </c>
      <c r="R31" s="10" t="s">
        <v>869</v>
      </c>
    </row>
    <row r="32" spans="1:18" x14ac:dyDescent="0.25">
      <c r="A32" s="1" t="s">
        <v>626</v>
      </c>
      <c r="B32" s="1" t="s">
        <v>233</v>
      </c>
      <c r="C32" s="1" t="s">
        <v>808</v>
      </c>
      <c r="D32" s="1">
        <v>2017</v>
      </c>
      <c r="E32" s="1" t="s">
        <v>235</v>
      </c>
      <c r="F32" s="1" t="s">
        <v>593</v>
      </c>
      <c r="G32" s="1" t="s">
        <v>848</v>
      </c>
      <c r="J32" s="1" t="str">
        <v>International Conference on Advanced Robotics (ICAR)</v>
      </c>
      <c r="L32" s="1" t="s">
        <v>855</v>
      </c>
      <c r="M32" s="14" cm="1">
        <f t="array" ref="M32">MEDIAN(IF(venue[venue]=venue_all[[#This Row],[unique venue]],venue[year]))</f>
        <v>2011</v>
      </c>
      <c r="N32" s="1" cm="1">
        <f t="array" ref="N32">MAX(IF(venue[venue]=venue_all[[#This Row],[unique venue]],venue[year]))</f>
        <v>2013</v>
      </c>
      <c r="O32" s="1" cm="1">
        <f t="array" ref="O32">_xlfn.STDEV.P(IF(venue[venue]=venue_all[[#This Row],[unique venue]],venue[year]))</f>
        <v>2</v>
      </c>
      <c r="P32" s="1">
        <f>COUNTIF(venue[venue],venue_all[[#This Row],[unique venue]])</f>
        <v>2</v>
      </c>
      <c r="Q32" s="14">
        <f>AVERAGEIF(venue[venue],venue_all[[#This Row],[unique venue]],venue[year])</f>
        <v>2011</v>
      </c>
      <c r="R32" s="10" t="s">
        <v>869</v>
      </c>
    </row>
    <row r="33" spans="1:18" x14ac:dyDescent="0.25">
      <c r="A33" s="1" t="s">
        <v>626</v>
      </c>
      <c r="B33" s="1" t="s">
        <v>297</v>
      </c>
      <c r="C33" s="1" t="s">
        <v>671</v>
      </c>
      <c r="D33" s="1">
        <v>2018</v>
      </c>
      <c r="E33" s="1" t="s">
        <v>299</v>
      </c>
      <c r="F33" s="1" t="s">
        <v>593</v>
      </c>
      <c r="G33" s="1" t="s">
        <v>848</v>
      </c>
      <c r="J33" s="1" t="str">
        <v>International Conference on Image Processing Theory, Tools and Applications (IPTA)</v>
      </c>
      <c r="L33" s="1" t="s">
        <v>856</v>
      </c>
      <c r="M33" s="14" cm="1">
        <f t="array" ref="M33">MEDIAN(IF(venue[venue]=venue_all[[#This Row],[unique venue]],venue[year]))</f>
        <v>2017</v>
      </c>
      <c r="N33" s="1" cm="1">
        <f t="array" ref="N33">MAX(IF(venue[venue]=venue_all[[#This Row],[unique venue]],venue[year]))</f>
        <v>2017</v>
      </c>
      <c r="O33" s="1" cm="1">
        <f t="array" ref="O33">_xlfn.STDEV.P(IF(venue[venue]=venue_all[[#This Row],[unique venue]],venue[year]))</f>
        <v>0</v>
      </c>
      <c r="P33" s="1">
        <f>COUNTIF(venue[venue],venue_all[[#This Row],[unique venue]])</f>
        <v>1</v>
      </c>
      <c r="Q33" s="14">
        <f>AVERAGEIF(venue[venue],venue_all[[#This Row],[unique venue]],venue[year])</f>
        <v>2017</v>
      </c>
      <c r="R33" s="10" t="s">
        <v>869</v>
      </c>
    </row>
    <row r="34" spans="1:18" x14ac:dyDescent="0.25">
      <c r="A34" s="1" t="s">
        <v>626</v>
      </c>
      <c r="B34" s="1" t="s">
        <v>285</v>
      </c>
      <c r="C34" s="1" t="s">
        <v>761</v>
      </c>
      <c r="D34" s="1">
        <v>2018</v>
      </c>
      <c r="E34" s="1" t="s">
        <v>287</v>
      </c>
      <c r="F34" s="1" t="s">
        <v>593</v>
      </c>
      <c r="G34" s="1" t="s">
        <v>848</v>
      </c>
      <c r="J34" s="1" t="str">
        <v>International Conference on Mobile Systems, Applications, and Services (MobySys)</v>
      </c>
      <c r="L34" s="1" t="s">
        <v>847</v>
      </c>
      <c r="M34" s="14" cm="1">
        <f t="array" ref="M34">MEDIAN(IF(venue[venue]=venue_all[[#This Row],[unique venue]],venue[year]))</f>
        <v>2020</v>
      </c>
      <c r="N34" s="1" cm="1">
        <f t="array" ref="N34">MAX(IF(venue[venue]=venue_all[[#This Row],[unique venue]],venue[year]))</f>
        <v>2020</v>
      </c>
      <c r="O34" s="1" cm="1">
        <f t="array" ref="O34">_xlfn.STDEV.P(IF(venue[venue]=venue_all[[#This Row],[unique venue]],venue[year]))</f>
        <v>0</v>
      </c>
      <c r="P34" s="1">
        <f>COUNTIF(venue[venue],venue_all[[#This Row],[unique venue]])</f>
        <v>1</v>
      </c>
      <c r="Q34" s="14">
        <f>AVERAGEIF(venue[venue],venue_all[[#This Row],[unique venue]],venue[year])</f>
        <v>2020</v>
      </c>
      <c r="R34" s="10" t="s">
        <v>869</v>
      </c>
    </row>
    <row r="35" spans="1:18" x14ac:dyDescent="0.25">
      <c r="A35" s="1" t="s">
        <v>626</v>
      </c>
      <c r="B35" s="1" t="s">
        <v>293</v>
      </c>
      <c r="C35" s="1" t="s">
        <v>795</v>
      </c>
      <c r="D35" s="1">
        <v>2018</v>
      </c>
      <c r="E35" s="1" t="s">
        <v>295</v>
      </c>
      <c r="F35" s="1" t="s">
        <v>593</v>
      </c>
      <c r="G35" s="1" t="s">
        <v>848</v>
      </c>
      <c r="J35" s="1" t="str">
        <v>International Journal of Advanced Robotic Systems</v>
      </c>
      <c r="L35" s="1" t="s">
        <v>609</v>
      </c>
      <c r="M35" s="14" cm="1">
        <f t="array" ref="M35">MEDIAN(IF(venue[venue]=venue_all[[#This Row],[unique venue]],venue[year]))</f>
        <v>2019.5</v>
      </c>
      <c r="N35" s="1" cm="1">
        <f t="array" ref="N35">MAX(IF(venue[venue]=venue_all[[#This Row],[unique venue]],venue[year]))</f>
        <v>2021</v>
      </c>
      <c r="O35" s="1" cm="1">
        <f t="array" ref="O35">_xlfn.STDEV.P(IF(venue[venue]=venue_all[[#This Row],[unique venue]],venue[year]))</f>
        <v>1.5</v>
      </c>
      <c r="P35" s="1">
        <f>COUNTIF(venue[venue],venue_all[[#This Row],[unique venue]])</f>
        <v>2</v>
      </c>
      <c r="Q35" s="14">
        <f>AVERAGEIF(venue[venue],venue_all[[#This Row],[unique venue]],venue[year])</f>
        <v>2019.5</v>
      </c>
      <c r="R35" s="10" t="s">
        <v>869</v>
      </c>
    </row>
    <row r="36" spans="1:18" x14ac:dyDescent="0.25">
      <c r="A36" s="1" t="s">
        <v>626</v>
      </c>
      <c r="B36" s="1" t="s">
        <v>724</v>
      </c>
      <c r="C36" s="1" t="s">
        <v>725</v>
      </c>
      <c r="D36" s="1">
        <v>2019</v>
      </c>
      <c r="E36" s="1" t="s">
        <v>351</v>
      </c>
      <c r="F36" s="1" t="s">
        <v>593</v>
      </c>
      <c r="G36" s="1" t="s">
        <v>848</v>
      </c>
      <c r="J36" s="1" t="str">
        <v>International Journal of Computer Vision</v>
      </c>
      <c r="L36" s="1" t="s">
        <v>614</v>
      </c>
      <c r="M36" s="14" cm="1">
        <f t="array" ref="M36">MEDIAN(IF(venue[venue]=venue_all[[#This Row],[unique venue]],venue[year]))</f>
        <v>2021</v>
      </c>
      <c r="N36" s="1" cm="1">
        <f t="array" ref="N36">MAX(IF(venue[venue]=venue_all[[#This Row],[unique venue]],venue[year]))</f>
        <v>2021</v>
      </c>
      <c r="O36" s="1" cm="1">
        <f t="array" ref="O36">_xlfn.STDEV.P(IF(venue[venue]=venue_all[[#This Row],[unique venue]],venue[year]))</f>
        <v>0</v>
      </c>
      <c r="P36" s="1">
        <f>COUNTIF(venue[venue],venue_all[[#This Row],[unique venue]])</f>
        <v>1</v>
      </c>
      <c r="Q36" s="14">
        <f>AVERAGEIF(venue[venue],venue_all[[#This Row],[unique venue]],venue[year])</f>
        <v>2021</v>
      </c>
      <c r="R36" s="10" t="s">
        <v>869</v>
      </c>
    </row>
    <row r="37" spans="1:18" x14ac:dyDescent="0.25">
      <c r="A37" s="1" t="s">
        <v>626</v>
      </c>
      <c r="B37" s="1" t="s">
        <v>728</v>
      </c>
      <c r="C37" s="1" t="s">
        <v>729</v>
      </c>
      <c r="D37" s="1">
        <v>2020</v>
      </c>
      <c r="E37" s="1" t="s">
        <v>419</v>
      </c>
      <c r="F37" s="1" t="s">
        <v>593</v>
      </c>
      <c r="G37" s="1" t="s">
        <v>848</v>
      </c>
      <c r="J37" s="1" t="str">
        <v>International Journal of Robotics Research</v>
      </c>
      <c r="L37" s="1" t="s">
        <v>603</v>
      </c>
      <c r="M37" s="14" cm="1">
        <f t="array" ref="M37">MEDIAN(IF(venue[venue]=venue_all[[#This Row],[unique venue]],venue[year]))</f>
        <v>2013</v>
      </c>
      <c r="N37" s="1" cm="1">
        <f t="array" ref="N37">MAX(IF(venue[venue]=venue_all[[#This Row],[unique venue]],venue[year]))</f>
        <v>2022</v>
      </c>
      <c r="O37" s="1" cm="1">
        <f t="array" ref="O37">_xlfn.STDEV.P(IF(venue[venue]=venue_all[[#This Row],[unique venue]],venue[year]))</f>
        <v>3.1753180357405419</v>
      </c>
      <c r="P37" s="1">
        <f>COUNTIF(venue[venue],venue_all[[#This Row],[unique venue]])</f>
        <v>11</v>
      </c>
      <c r="Q37" s="14">
        <f>AVERAGEIF(venue[venue],venue_all[[#This Row],[unique venue]],venue[year])</f>
        <v>2014.090909090909</v>
      </c>
      <c r="R37" s="10" t="s">
        <v>869</v>
      </c>
    </row>
    <row r="38" spans="1:18" x14ac:dyDescent="0.25">
      <c r="A38" s="1" t="s">
        <v>626</v>
      </c>
      <c r="B38" s="1" t="s">
        <v>433</v>
      </c>
      <c r="C38" s="1" t="s">
        <v>770</v>
      </c>
      <c r="D38" s="1">
        <v>2020</v>
      </c>
      <c r="E38" s="1" t="s">
        <v>435</v>
      </c>
      <c r="F38" s="1" t="s">
        <v>593</v>
      </c>
      <c r="G38" s="1" t="s">
        <v>848</v>
      </c>
      <c r="J38" s="1" t="str">
        <v>Journal of Field Robotics</v>
      </c>
      <c r="L38" s="1" t="s">
        <v>612</v>
      </c>
      <c r="M38" s="14" cm="1">
        <f t="array" ref="M38">MEDIAN(IF(venue[venue]=venue_all[[#This Row],[unique venue]],venue[year]))</f>
        <v>2017.5</v>
      </c>
      <c r="N38" s="1" cm="1">
        <f t="array" ref="N38">MAX(IF(venue[venue]=venue_all[[#This Row],[unique venue]],venue[year]))</f>
        <v>2022</v>
      </c>
      <c r="O38" s="1" cm="1">
        <f t="array" ref="O38">_xlfn.STDEV.P(IF(venue[venue]=venue_all[[#This Row],[unique venue]],venue[year]))</f>
        <v>3.5355339059327378</v>
      </c>
      <c r="P38" s="1">
        <f>COUNTIF(venue[venue],venue_all[[#This Row],[unique venue]])</f>
        <v>8</v>
      </c>
      <c r="Q38" s="14">
        <f>AVERAGEIF(venue[venue],venue_all[[#This Row],[unique venue]],venue[year])</f>
        <v>2017</v>
      </c>
      <c r="R38" s="10" t="s">
        <v>869</v>
      </c>
    </row>
    <row r="39" spans="1:18" x14ac:dyDescent="0.25">
      <c r="A39" s="1" t="s">
        <v>626</v>
      </c>
      <c r="B39" s="1" t="s">
        <v>409</v>
      </c>
      <c r="C39" s="1" t="s">
        <v>833</v>
      </c>
      <c r="D39" s="1">
        <v>2020</v>
      </c>
      <c r="E39" s="1" t="s">
        <v>411</v>
      </c>
      <c r="F39" s="1" t="s">
        <v>593</v>
      </c>
      <c r="G39" s="1" t="s">
        <v>848</v>
      </c>
      <c r="J39" s="1" t="str">
        <v>Journal of Intelligent and Robotic Systems: Theory and Applications</v>
      </c>
      <c r="L39" s="1" t="s">
        <v>611</v>
      </c>
      <c r="M39" s="14" cm="1">
        <f t="array" ref="M39">MEDIAN(IF(venue[venue]=venue_all[[#This Row],[unique venue]],venue[year]))</f>
        <v>2015</v>
      </c>
      <c r="N39" s="1" cm="1">
        <f t="array" ref="N39">MAX(IF(venue[venue]=venue_all[[#This Row],[unique venue]],venue[year]))</f>
        <v>2015</v>
      </c>
      <c r="O39" s="1" cm="1">
        <f t="array" ref="O39">_xlfn.STDEV.P(IF(venue[venue]=venue_all[[#This Row],[unique venue]],venue[year]))</f>
        <v>0</v>
      </c>
      <c r="P39" s="1">
        <f>COUNTIF(venue[venue],venue_all[[#This Row],[unique venue]])</f>
        <v>1</v>
      </c>
      <c r="Q39" s="14">
        <f>AVERAGEIF(venue[venue],venue_all[[#This Row],[unique venue]],venue[year])</f>
        <v>2015</v>
      </c>
      <c r="R39" s="10" t="s">
        <v>869</v>
      </c>
    </row>
    <row r="40" spans="1:18" x14ac:dyDescent="0.25">
      <c r="A40" s="1" t="s">
        <v>626</v>
      </c>
      <c r="B40" s="1" t="s">
        <v>456</v>
      </c>
      <c r="C40" s="1" t="s">
        <v>642</v>
      </c>
      <c r="D40" s="1">
        <v>2021</v>
      </c>
      <c r="E40" s="1" t="s">
        <v>458</v>
      </c>
      <c r="F40" s="1" t="s">
        <v>593</v>
      </c>
      <c r="G40" s="1" t="s">
        <v>848</v>
      </c>
      <c r="J40" s="1" t="str">
        <v>KI - Kunstliche Intelligenz</v>
      </c>
      <c r="L40" s="1" t="s">
        <v>606</v>
      </c>
      <c r="M40" s="14" cm="1">
        <f t="array" ref="M40">MEDIAN(IF(venue[venue]=venue_all[[#This Row],[unique venue]],venue[year]))</f>
        <v>2010</v>
      </c>
      <c r="N40" s="1" cm="1">
        <f t="array" ref="N40">MAX(IF(venue[venue]=venue_all[[#This Row],[unique venue]],venue[year]))</f>
        <v>2010</v>
      </c>
      <c r="O40" s="1" cm="1">
        <f t="array" ref="O40">_xlfn.STDEV.P(IF(venue[venue]=venue_all[[#This Row],[unique venue]],venue[year]))</f>
        <v>0</v>
      </c>
      <c r="P40" s="1">
        <f>COUNTIF(venue[venue],venue_all[[#This Row],[unique venue]])</f>
        <v>1</v>
      </c>
      <c r="Q40" s="14">
        <f>AVERAGEIF(venue[venue],venue_all[[#This Row],[unique venue]],venue[year])</f>
        <v>2010</v>
      </c>
      <c r="R40" s="10" t="s">
        <v>869</v>
      </c>
    </row>
    <row r="41" spans="1:18" x14ac:dyDescent="0.25">
      <c r="A41" s="1" t="s">
        <v>626</v>
      </c>
      <c r="B41" s="1" t="s">
        <v>692</v>
      </c>
      <c r="C41" s="1" t="s">
        <v>693</v>
      </c>
      <c r="D41" s="1">
        <v>2021</v>
      </c>
      <c r="E41" s="1" t="s">
        <v>538</v>
      </c>
      <c r="F41" s="1" t="s">
        <v>593</v>
      </c>
      <c r="G41" s="1" t="s">
        <v>848</v>
      </c>
      <c r="J41" s="1" t="str">
        <v>Multimedia Tools and Applications</v>
      </c>
      <c r="L41" s="1" t="s">
        <v>619</v>
      </c>
      <c r="M41" s="14" cm="1">
        <f t="array" ref="M41">MEDIAN(IF(venue[venue]=venue_all[[#This Row],[unique venue]],venue[year]))</f>
        <v>2022</v>
      </c>
      <c r="N41" s="1" cm="1">
        <f t="array" ref="N41">MAX(IF(venue[venue]=venue_all[[#This Row],[unique venue]],venue[year]))</f>
        <v>2022</v>
      </c>
      <c r="O41" s="1" cm="1">
        <f t="array" ref="O41">_xlfn.STDEV.P(IF(venue[venue]=venue_all[[#This Row],[unique venue]],venue[year]))</f>
        <v>0</v>
      </c>
      <c r="P41" s="1">
        <f>COUNTIF(venue[venue],venue_all[[#This Row],[unique venue]])</f>
        <v>1</v>
      </c>
      <c r="Q41" s="14">
        <f>AVERAGEIF(venue[venue],venue_all[[#This Row],[unique venue]],venue[year])</f>
        <v>2022</v>
      </c>
      <c r="R41" s="10" t="s">
        <v>869</v>
      </c>
    </row>
    <row r="42" spans="1:18" x14ac:dyDescent="0.25">
      <c r="A42" s="1" t="s">
        <v>626</v>
      </c>
      <c r="B42" s="1" t="s">
        <v>496</v>
      </c>
      <c r="C42" s="1" t="s">
        <v>801</v>
      </c>
      <c r="D42" s="1">
        <v>2021</v>
      </c>
      <c r="E42" s="1" t="s">
        <v>498</v>
      </c>
      <c r="F42" s="1" t="s">
        <v>593</v>
      </c>
      <c r="G42" s="1" t="s">
        <v>848</v>
      </c>
      <c r="J42" s="1" t="str">
        <v>Robotics and Autonomous Systems</v>
      </c>
      <c r="L42" s="1" t="s">
        <v>596</v>
      </c>
      <c r="M42" s="14" cm="1">
        <f t="array" ref="M42">MEDIAN(IF(venue[venue]=venue_all[[#This Row],[unique venue]],venue[year]))</f>
        <v>2017</v>
      </c>
      <c r="N42" s="1" cm="1">
        <f t="array" ref="N42">MAX(IF(venue[venue]=venue_all[[#This Row],[unique venue]],venue[year]))</f>
        <v>2021</v>
      </c>
      <c r="O42" s="1" cm="1">
        <f t="array" ref="O42">_xlfn.STDEV.P(IF(venue[venue]=venue_all[[#This Row],[unique venue]],venue[year]))</f>
        <v>3.8706909616643457</v>
      </c>
      <c r="P42" s="1">
        <f>COUNTIF(venue[venue],venue_all[[#This Row],[unique venue]])</f>
        <v>13</v>
      </c>
      <c r="Q42" s="14">
        <f>AVERAGEIF(venue[venue],venue_all[[#This Row],[unique venue]],venue[year])</f>
        <v>2016.3076923076924</v>
      </c>
      <c r="R42" s="10" t="s">
        <v>869</v>
      </c>
    </row>
    <row r="43" spans="1:18" x14ac:dyDescent="0.25">
      <c r="A43" s="1" t="s">
        <v>626</v>
      </c>
      <c r="B43" s="1" t="s">
        <v>811</v>
      </c>
      <c r="C43" s="1" t="s">
        <v>812</v>
      </c>
      <c r="D43" s="1">
        <v>2016</v>
      </c>
      <c r="E43" s="1" t="s">
        <v>212</v>
      </c>
      <c r="F43" s="1" t="s">
        <v>593</v>
      </c>
      <c r="G43" s="1" t="s">
        <v>850</v>
      </c>
      <c r="J43" s="1" t="str">
        <v>Robotics: Science and Systems (RSS)</v>
      </c>
      <c r="L43" s="1" t="s">
        <v>857</v>
      </c>
      <c r="M43" s="14" cm="1">
        <f t="array" ref="M43">MEDIAN(IF(venue[venue]=venue_all[[#This Row],[unique venue]],venue[year]))</f>
        <v>2013</v>
      </c>
      <c r="N43" s="1" cm="1">
        <f t="array" ref="N43">MAX(IF(venue[venue]=venue_all[[#This Row],[unique venue]],venue[year]))</f>
        <v>2013</v>
      </c>
      <c r="O43" s="1" cm="1">
        <f t="array" ref="O43">_xlfn.STDEV.P(IF(venue[venue]=venue_all[[#This Row],[unique venue]],venue[year]))</f>
        <v>0</v>
      </c>
      <c r="P43" s="1">
        <f>COUNTIF(venue[venue],venue_all[[#This Row],[unique venue]])</f>
        <v>1</v>
      </c>
      <c r="Q43" s="14">
        <f>AVERAGEIF(venue[venue],venue_all[[#This Row],[unique venue]],venue[year])</f>
        <v>2013</v>
      </c>
      <c r="R43" s="10" t="s">
        <v>869</v>
      </c>
    </row>
    <row r="44" spans="1:18" x14ac:dyDescent="0.25">
      <c r="A44" s="1" t="s">
        <v>626</v>
      </c>
      <c r="B44" s="1" t="s">
        <v>646</v>
      </c>
      <c r="C44" s="1" t="s">
        <v>647</v>
      </c>
      <c r="D44" s="1">
        <v>2019</v>
      </c>
      <c r="E44" s="1" t="s">
        <v>343</v>
      </c>
      <c r="F44" s="1" t="s">
        <v>593</v>
      </c>
      <c r="G44" s="1" t="s">
        <v>850</v>
      </c>
      <c r="J44" s="1" t="str">
        <v>Sensors</v>
      </c>
      <c r="L44" s="1" t="s">
        <v>600</v>
      </c>
      <c r="M44" s="14" cm="1">
        <f t="array" ref="M44">MEDIAN(IF(venue[venue]=venue_all[[#This Row],[unique venue]],venue[year]))</f>
        <v>2019.5</v>
      </c>
      <c r="N44" s="1" cm="1">
        <f t="array" ref="N44">MAX(IF(venue[venue]=venue_all[[#This Row],[unique venue]],venue[year]))</f>
        <v>2020</v>
      </c>
      <c r="O44" s="1" cm="1">
        <f t="array" ref="O44">_xlfn.STDEV.P(IF(venue[venue]=venue_all[[#This Row],[unique venue]],venue[year]))</f>
        <v>0.82915619758884995</v>
      </c>
      <c r="P44" s="1">
        <f>COUNTIF(venue[venue],venue_all[[#This Row],[unique venue]])</f>
        <v>4</v>
      </c>
      <c r="Q44" s="14">
        <f>AVERAGEIF(venue[venue],venue_all[[#This Row],[unique venue]],venue[year])</f>
        <v>2019.25</v>
      </c>
      <c r="R44" s="10" t="s">
        <v>869</v>
      </c>
    </row>
    <row r="45" spans="1:18" x14ac:dyDescent="0.25">
      <c r="A45" s="1" t="s">
        <v>626</v>
      </c>
      <c r="B45" s="1" t="s">
        <v>520</v>
      </c>
      <c r="C45" s="1" t="s">
        <v>838</v>
      </c>
      <c r="D45" s="1">
        <v>2021</v>
      </c>
      <c r="E45" s="1" t="s">
        <v>522</v>
      </c>
      <c r="F45" s="1" t="s">
        <v>593</v>
      </c>
      <c r="G45" s="1" t="s">
        <v>850</v>
      </c>
    </row>
    <row r="46" spans="1:18" x14ac:dyDescent="0.25">
      <c r="A46" s="1" t="s">
        <v>626</v>
      </c>
      <c r="B46" s="1" t="s">
        <v>21</v>
      </c>
      <c r="C46" s="1" t="s">
        <v>790</v>
      </c>
      <c r="D46" s="1">
        <v>2009</v>
      </c>
      <c r="E46" s="1" t="s">
        <v>23</v>
      </c>
      <c r="F46" s="1" t="s">
        <v>593</v>
      </c>
      <c r="G46" s="1" t="s">
        <v>854</v>
      </c>
    </row>
    <row r="47" spans="1:18" x14ac:dyDescent="0.25">
      <c r="A47" s="1" t="s">
        <v>626</v>
      </c>
      <c r="B47" s="1" t="s">
        <v>751</v>
      </c>
      <c r="C47" s="1" t="s">
        <v>752</v>
      </c>
      <c r="D47" s="1">
        <v>2015</v>
      </c>
      <c r="E47" s="1" t="s">
        <v>172</v>
      </c>
      <c r="F47" s="1" t="s">
        <v>593</v>
      </c>
      <c r="G47" s="1" t="s">
        <v>853</v>
      </c>
    </row>
    <row r="48" spans="1:18" x14ac:dyDescent="0.25">
      <c r="A48" s="1" t="s">
        <v>626</v>
      </c>
      <c r="B48" s="1" t="s">
        <v>791</v>
      </c>
      <c r="C48" s="1" t="s">
        <v>792</v>
      </c>
      <c r="D48" s="1">
        <v>2018</v>
      </c>
      <c r="E48" s="1" t="s">
        <v>291</v>
      </c>
      <c r="F48" s="1" t="s">
        <v>593</v>
      </c>
      <c r="G48" s="1" t="s">
        <v>853</v>
      </c>
    </row>
    <row r="49" spans="1:18" x14ac:dyDescent="0.25">
      <c r="A49" s="1" t="s">
        <v>626</v>
      </c>
      <c r="B49" s="1" t="s">
        <v>680</v>
      </c>
      <c r="C49" s="1" t="s">
        <v>681</v>
      </c>
      <c r="D49" s="1">
        <v>2021</v>
      </c>
      <c r="E49" s="1" t="s">
        <v>490</v>
      </c>
      <c r="F49" s="1" t="s">
        <v>593</v>
      </c>
      <c r="G49" s="1" t="s">
        <v>853</v>
      </c>
    </row>
    <row r="50" spans="1:18" x14ac:dyDescent="0.25">
      <c r="A50" s="1" t="s">
        <v>629</v>
      </c>
      <c r="B50" s="1" t="s">
        <v>704</v>
      </c>
      <c r="C50" s="1" t="s">
        <v>705</v>
      </c>
      <c r="D50" s="1">
        <v>2016</v>
      </c>
      <c r="E50" s="1" t="s">
        <v>204</v>
      </c>
      <c r="F50" s="1" t="s">
        <v>593</v>
      </c>
      <c r="G50" s="1" t="s">
        <v>597</v>
      </c>
      <c r="J50" s="2" t="s">
        <v>626</v>
      </c>
      <c r="L50" s="2" t="s">
        <v>626</v>
      </c>
    </row>
    <row r="51" spans="1:18" x14ac:dyDescent="0.25">
      <c r="A51" s="1" t="s">
        <v>629</v>
      </c>
      <c r="B51" s="1" t="s">
        <v>669</v>
      </c>
      <c r="C51" s="1" t="s">
        <v>670</v>
      </c>
      <c r="D51" s="1">
        <v>2017</v>
      </c>
      <c r="E51" s="1" t="s">
        <v>247</v>
      </c>
      <c r="F51" s="1" t="s">
        <v>593</v>
      </c>
      <c r="G51" s="1" t="s">
        <v>597</v>
      </c>
      <c r="J51" s="2" t="s">
        <v>625</v>
      </c>
      <c r="L51" s="2" t="s">
        <v>625</v>
      </c>
      <c r="M51" s="15" t="s">
        <v>864</v>
      </c>
      <c r="N51" s="15" t="s">
        <v>873</v>
      </c>
      <c r="O51" s="15" t="s">
        <v>872</v>
      </c>
      <c r="P51" s="2" t="s">
        <v>591</v>
      </c>
      <c r="Q51" s="15" t="s">
        <v>871</v>
      </c>
      <c r="R51" s="2" t="s">
        <v>868</v>
      </c>
    </row>
    <row r="52" spans="1:18" x14ac:dyDescent="0.25">
      <c r="A52" s="1" t="s">
        <v>629</v>
      </c>
      <c r="B52" s="1" t="s">
        <v>640</v>
      </c>
      <c r="C52" s="1" t="s">
        <v>641</v>
      </c>
      <c r="D52" s="1">
        <v>2018</v>
      </c>
      <c r="E52" s="1" t="s">
        <v>267</v>
      </c>
      <c r="F52" s="1" t="s">
        <v>593</v>
      </c>
      <c r="G52" s="1" t="s">
        <v>597</v>
      </c>
      <c r="J52" s="1" t="str" cm="1">
        <f t="array" ref="J52:J66">_xlfn.UNIQUE(_xlfn._xlws.FILTER(venue[venue],venue[type]=J50))</f>
        <v>American Control Conference (ACC)</v>
      </c>
      <c r="L52" s="1" t="s">
        <v>848</v>
      </c>
      <c r="M52" s="14">
        <f>AVERAGEIF(venue[venue],venue_conf[[#This Row],[unique venue]],venue[year])</f>
        <v>2016.0454545454545</v>
      </c>
      <c r="N52" s="18" cm="1">
        <f t="array" ref="N52">_xlfn.STDEV.P(IF(venue[venue]=venue_conf[[#This Row],[unique venue]],venue[year]))</f>
        <v>3.9019490785465454</v>
      </c>
      <c r="O52" s="1" cm="1">
        <f t="array" ref="O52">MAX(IF(venue[venue]=venue_conf[[#This Row],[unique venue]],venue[year]))</f>
        <v>2021</v>
      </c>
      <c r="P52" s="1">
        <f>COUNTIF(venue[venue],venue_conf[[#This Row],[unique venue]])</f>
        <v>22</v>
      </c>
      <c r="Q52" s="16" cm="1">
        <f t="array" ref="Q52">MEDIAN(IF(venue[venue]=venue_conf[[#This Row],[unique venue]],venue[year]))</f>
        <v>2016</v>
      </c>
      <c r="R52" s="10" t="str">
        <f>LOOKUP(venue_conf[[#This Row],[unique venue]],venue_all[unique venue],venue_all[active?])</f>
        <v>yes</v>
      </c>
    </row>
    <row r="53" spans="1:18" x14ac:dyDescent="0.25">
      <c r="A53" s="1" t="s">
        <v>629</v>
      </c>
      <c r="B53" s="1" t="s">
        <v>281</v>
      </c>
      <c r="C53" s="1" t="s">
        <v>668</v>
      </c>
      <c r="D53" s="1">
        <v>2018</v>
      </c>
      <c r="E53" s="1" t="s">
        <v>283</v>
      </c>
      <c r="F53" s="1" t="s">
        <v>593</v>
      </c>
      <c r="G53" s="1" t="s">
        <v>597</v>
      </c>
      <c r="J53" s="1" t="str">
        <v>Conference on Computer and Robot Vision (CRV)</v>
      </c>
      <c r="L53" s="1" t="s">
        <v>849</v>
      </c>
      <c r="M53" s="14">
        <f>AVERAGEIF(venue[venue],venue_conf[[#This Row],[unique venue]],venue[year])</f>
        <v>2016.6666666666667</v>
      </c>
      <c r="N53" s="18" cm="1">
        <f t="array" ref="N53">_xlfn.STDEV.P(IF(venue[venue]=venue_conf[[#This Row],[unique venue]],venue[year]))</f>
        <v>3.8005847503304593</v>
      </c>
      <c r="O53" s="1" cm="1">
        <f t="array" ref="O53">MAX(IF(venue[venue]=venue_conf[[#This Row],[unique venue]],venue[year]))</f>
        <v>2021</v>
      </c>
      <c r="P53" s="1">
        <f>COUNTIF(venue[venue],venue_conf[[#This Row],[unique venue]])</f>
        <v>18</v>
      </c>
      <c r="Q53" s="14" cm="1">
        <f t="array" ref="Q53">MEDIAN(IF(venue[venue]=venue_conf[[#This Row],[unique venue]],venue[year]))</f>
        <v>2018</v>
      </c>
      <c r="R53" s="10" t="str">
        <f>LOOKUP(venue_conf[[#This Row],[unique venue]],venue_all[unique venue],venue_all[active?])</f>
        <v>yes</v>
      </c>
    </row>
    <row r="54" spans="1:18" x14ac:dyDescent="0.25">
      <c r="A54" s="1" t="s">
        <v>629</v>
      </c>
      <c r="B54" s="1" t="s">
        <v>732</v>
      </c>
      <c r="C54" s="1" t="s">
        <v>733</v>
      </c>
      <c r="D54" s="1">
        <v>2018</v>
      </c>
      <c r="E54" s="1" t="s">
        <v>307</v>
      </c>
      <c r="F54" s="1" t="s">
        <v>593</v>
      </c>
      <c r="G54" s="1" t="s">
        <v>597</v>
      </c>
      <c r="J54" s="1" t="str">
        <v>European Conference on Mobile Robots (ECMR)</v>
      </c>
      <c r="L54" s="1" t="s">
        <v>850</v>
      </c>
      <c r="M54" s="14">
        <f>AVERAGEIF(venue[venue],venue_conf[[#This Row],[unique venue]],venue[year])</f>
        <v>2018.6666666666667</v>
      </c>
      <c r="N54" s="18" cm="1">
        <f t="array" ref="N54">_xlfn.STDEV.P(IF(venue[venue]=venue_conf[[#This Row],[unique venue]],venue[year]))</f>
        <v>2.0548046676563256</v>
      </c>
      <c r="O54" s="1" cm="1">
        <f t="array" ref="O54">MAX(IF(venue[venue]=venue_conf[[#This Row],[unique venue]],venue[year]))</f>
        <v>2021</v>
      </c>
      <c r="P54" s="1">
        <f>COUNTIF(venue[venue],venue_conf[[#This Row],[unique venue]])</f>
        <v>3</v>
      </c>
      <c r="Q54" s="14" cm="1">
        <f t="array" ref="Q54">MEDIAN(IF(venue[venue]=venue_conf[[#This Row],[unique venue]],venue[year]))</f>
        <v>2019</v>
      </c>
      <c r="R54" s="10" t="str">
        <f>LOOKUP(venue_conf[[#This Row],[unique venue]],venue_all[unique venue],venue_all[active?])</f>
        <v>yes</v>
      </c>
    </row>
    <row r="55" spans="1:18" x14ac:dyDescent="0.25">
      <c r="A55" s="1" t="s">
        <v>629</v>
      </c>
      <c r="B55" s="1" t="s">
        <v>758</v>
      </c>
      <c r="C55" s="1" t="s">
        <v>759</v>
      </c>
      <c r="D55" s="1">
        <v>2018</v>
      </c>
      <c r="E55" s="1" t="s">
        <v>311</v>
      </c>
      <c r="F55" s="1" t="s">
        <v>593</v>
      </c>
      <c r="G55" s="1" t="s">
        <v>597</v>
      </c>
      <c r="J55" s="1" t="str">
        <v>IEEE Intelligent Vehicles Symposium (IV)</v>
      </c>
      <c r="L55" s="1" t="s">
        <v>853</v>
      </c>
      <c r="M55" s="14">
        <f>AVERAGEIF(venue[venue],venue_conf[[#This Row],[unique venue]],venue[year])</f>
        <v>2018</v>
      </c>
      <c r="N55" s="18" cm="1">
        <f t="array" ref="N55">_xlfn.STDEV.P(IF(venue[venue]=venue_conf[[#This Row],[unique venue]],venue[year]))</f>
        <v>2.4494897427831779</v>
      </c>
      <c r="O55" s="1" cm="1">
        <f t="array" ref="O55">MAX(IF(venue[venue]=venue_conf[[#This Row],[unique venue]],venue[year]))</f>
        <v>2021</v>
      </c>
      <c r="P55" s="1">
        <f>COUNTIF(venue[venue],venue_conf[[#This Row],[unique venue]])</f>
        <v>3</v>
      </c>
      <c r="Q55" s="14" cm="1">
        <f t="array" ref="Q55">MEDIAN(IF(venue[venue]=venue_conf[[#This Row],[unique venue]],venue[year]))</f>
        <v>2018</v>
      </c>
      <c r="R55" s="10" t="str">
        <f>LOOKUP(venue_conf[[#This Row],[unique venue]],venue_all[unique venue],venue_all[active?])</f>
        <v>yes</v>
      </c>
    </row>
    <row r="56" spans="1:18" x14ac:dyDescent="0.25">
      <c r="A56" s="1" t="s">
        <v>629</v>
      </c>
      <c r="B56" s="1" t="s">
        <v>277</v>
      </c>
      <c r="C56" s="1" t="s">
        <v>834</v>
      </c>
      <c r="D56" s="1">
        <v>2018</v>
      </c>
      <c r="E56" s="1" t="s">
        <v>279</v>
      </c>
      <c r="F56" s="1" t="s">
        <v>593</v>
      </c>
      <c r="G56" s="1" t="s">
        <v>597</v>
      </c>
      <c r="J56" s="1" t="str">
        <v>IEEE International Conference on Robotics and Automation (ICRA)</v>
      </c>
      <c r="L56" s="1" t="s">
        <v>852</v>
      </c>
      <c r="M56" s="14">
        <f>AVERAGEIF(venue[venue],venue_conf[[#This Row],[unique venue]],venue[year])</f>
        <v>2013.6666666666667</v>
      </c>
      <c r="N56" s="18" cm="1">
        <f t="array" ref="N56">_xlfn.STDEV.P(IF(venue[venue]=venue_conf[[#This Row],[unique venue]],venue[year]))</f>
        <v>0.94280904158206336</v>
      </c>
      <c r="O56" s="1" cm="1">
        <f t="array" ref="O56">MAX(IF(venue[venue]=venue_conf[[#This Row],[unique venue]],venue[year]))</f>
        <v>2015</v>
      </c>
      <c r="P56" s="1">
        <f>COUNTIF(venue[venue],venue_conf[[#This Row],[unique venue]])</f>
        <v>3</v>
      </c>
      <c r="Q56" s="14" cm="1">
        <f t="array" ref="Q56">MEDIAN(IF(venue[venue]=venue_conf[[#This Row],[unique venue]],venue[year]))</f>
        <v>2013</v>
      </c>
      <c r="R56" s="10" t="str">
        <f>LOOKUP(venue_conf[[#This Row],[unique venue]],venue_all[unique venue],venue_all[active?])</f>
        <v>yes</v>
      </c>
    </row>
    <row r="57" spans="1:18" x14ac:dyDescent="0.25">
      <c r="A57" s="1" t="s">
        <v>629</v>
      </c>
      <c r="B57" s="1" t="s">
        <v>676</v>
      </c>
      <c r="C57" s="1" t="s">
        <v>677</v>
      </c>
      <c r="D57" s="1">
        <v>2019</v>
      </c>
      <c r="E57" s="1" t="s">
        <v>339</v>
      </c>
      <c r="F57" s="1" t="s">
        <v>593</v>
      </c>
      <c r="G57" s="1" t="s">
        <v>597</v>
      </c>
      <c r="J57" s="1" t="str">
        <v>IEEE International Conference on Robotics and Biomimetics (ROBIO)</v>
      </c>
      <c r="L57" s="1" t="s">
        <v>859</v>
      </c>
      <c r="M57" s="14">
        <f>AVERAGEIF(venue[venue],venue_conf[[#This Row],[unique venue]],venue[year])</f>
        <v>2018.5</v>
      </c>
      <c r="N57" s="18" cm="1">
        <f t="array" ref="N57">_xlfn.STDEV.P(IF(venue[venue]=venue_conf[[#This Row],[unique venue]],venue[year]))</f>
        <v>0.5</v>
      </c>
      <c r="O57" s="1" cm="1">
        <f t="array" ref="O57">MAX(IF(venue[venue]=venue_conf[[#This Row],[unique venue]],venue[year]))</f>
        <v>2019</v>
      </c>
      <c r="P57" s="1">
        <f>COUNTIF(venue[venue],venue_conf[[#This Row],[unique venue]])</f>
        <v>2</v>
      </c>
      <c r="Q57" s="14" cm="1">
        <f t="array" ref="Q57">MEDIAN(IF(venue[venue]=venue_conf[[#This Row],[unique venue]],venue[year]))</f>
        <v>2018.5</v>
      </c>
      <c r="R57" s="10" t="str">
        <f>LOOKUP(venue_conf[[#This Row],[unique venue]],venue_all[unique venue],venue_all[active?])</f>
        <v>yes</v>
      </c>
    </row>
    <row r="58" spans="1:18" x14ac:dyDescent="0.25">
      <c r="A58" s="1" t="s">
        <v>629</v>
      </c>
      <c r="B58" s="1" t="s">
        <v>425</v>
      </c>
      <c r="C58" s="1" t="s">
        <v>727</v>
      </c>
      <c r="D58" s="1">
        <v>2020</v>
      </c>
      <c r="E58" s="1" t="s">
        <v>427</v>
      </c>
      <c r="F58" s="1" t="s">
        <v>593</v>
      </c>
      <c r="G58" s="1" t="s">
        <v>597</v>
      </c>
      <c r="J58" s="1" t="str">
        <v>IEEE International Conference on Technologies for Practical Robot Applications (TePRA)</v>
      </c>
      <c r="L58" s="1" t="s">
        <v>860</v>
      </c>
      <c r="M58" s="14">
        <f>AVERAGEIF(venue[venue],venue_conf[[#This Row],[unique venue]],venue[year])</f>
        <v>2017.5</v>
      </c>
      <c r="N58" s="18" cm="1">
        <f t="array" ref="N58">_xlfn.STDEV.P(IF(venue[venue]=venue_conf[[#This Row],[unique venue]],venue[year]))</f>
        <v>1.5</v>
      </c>
      <c r="O58" s="1" cm="1">
        <f t="array" ref="O58">MAX(IF(venue[venue]=venue_conf[[#This Row],[unique venue]],venue[year]))</f>
        <v>2019</v>
      </c>
      <c r="P58" s="1">
        <f>COUNTIF(venue[venue],venue_conf[[#This Row],[unique venue]])</f>
        <v>2</v>
      </c>
      <c r="Q58" s="14" cm="1">
        <f t="array" ref="Q58">MEDIAN(IF(venue[venue]=venue_conf[[#This Row],[unique venue]],venue[year]))</f>
        <v>2017.5</v>
      </c>
      <c r="R58" s="10" t="str">
        <f>LOOKUP(venue_conf[[#This Row],[unique venue]],venue_all[unique venue],venue_all[active?])</f>
        <v>yes</v>
      </c>
    </row>
    <row r="59" spans="1:18" x14ac:dyDescent="0.25">
      <c r="A59" s="1" t="s">
        <v>629</v>
      </c>
      <c r="B59" s="1" t="s">
        <v>776</v>
      </c>
      <c r="C59" s="1" t="s">
        <v>777</v>
      </c>
      <c r="D59" s="1">
        <v>2021</v>
      </c>
      <c r="E59" s="1" t="s">
        <v>482</v>
      </c>
      <c r="F59" s="1" t="s">
        <v>593</v>
      </c>
      <c r="G59" s="1" t="s">
        <v>597</v>
      </c>
      <c r="J59" s="1" t="str">
        <v>IEEE International Intelligent Transportation Systems Conference (ITSC)</v>
      </c>
      <c r="L59" s="1" t="s">
        <v>855</v>
      </c>
      <c r="M59" s="14">
        <f>AVERAGEIF(venue[venue],venue_conf[[#This Row],[unique venue]],venue[year])</f>
        <v>2011</v>
      </c>
      <c r="N59" s="18" cm="1">
        <f t="array" ref="N59">_xlfn.STDEV.P(IF(venue[venue]=venue_conf[[#This Row],[unique venue]],venue[year]))</f>
        <v>2</v>
      </c>
      <c r="O59" s="1" cm="1">
        <f t="array" ref="O59">MAX(IF(venue[venue]=venue_conf[[#This Row],[unique venue]],venue[year]))</f>
        <v>2013</v>
      </c>
      <c r="P59" s="1">
        <f>COUNTIF(venue[venue],venue_conf[[#This Row],[unique venue]])</f>
        <v>2</v>
      </c>
      <c r="Q59" s="14" cm="1">
        <f t="array" ref="Q59">MEDIAN(IF(venue[venue]=venue_conf[[#This Row],[unique venue]],venue[year]))</f>
        <v>2011</v>
      </c>
      <c r="R59" s="10" t="str">
        <f>LOOKUP(venue_conf[[#This Row],[unique venue]],venue_all[unique venue],venue_all[active?])</f>
        <v>yes</v>
      </c>
    </row>
    <row r="60" spans="1:18" x14ac:dyDescent="0.25">
      <c r="A60" s="1" t="s">
        <v>629</v>
      </c>
      <c r="B60" s="1" t="s">
        <v>826</v>
      </c>
      <c r="C60" s="1" t="s">
        <v>827</v>
      </c>
      <c r="D60" s="1">
        <v>2021</v>
      </c>
      <c r="E60" s="1" t="s">
        <v>474</v>
      </c>
      <c r="F60" s="1" t="s">
        <v>593</v>
      </c>
      <c r="G60" s="1" t="s">
        <v>597</v>
      </c>
      <c r="J60" s="1" t="str">
        <v>IEEE Winter Conference on Applications of Computer Vision (WACV)</v>
      </c>
      <c r="L60" s="1" t="s">
        <v>847</v>
      </c>
      <c r="M60" s="14">
        <f>AVERAGEIF(venue[venue],venue_conf[[#This Row],[unique venue]],venue[year])</f>
        <v>2020</v>
      </c>
      <c r="N60" s="18" cm="1">
        <f t="array" ref="N60">_xlfn.STDEV.P(IF(venue[venue]=venue_conf[[#This Row],[unique venue]],venue[year]))</f>
        <v>0</v>
      </c>
      <c r="O60" s="1" cm="1">
        <f t="array" ref="O60">MAX(IF(venue[venue]=venue_conf[[#This Row],[unique venue]],venue[year]))</f>
        <v>2020</v>
      </c>
      <c r="P60" s="1">
        <f>COUNTIF(venue[venue],venue_conf[[#This Row],[unique venue]])</f>
        <v>1</v>
      </c>
      <c r="Q60" s="14" cm="1">
        <f t="array" ref="Q60">MEDIAN(IF(venue[venue]=venue_conf[[#This Row],[unique venue]],venue[year]))</f>
        <v>2020</v>
      </c>
      <c r="R60" s="10" t="str">
        <f>LOOKUP(venue_conf[[#This Row],[unique venue]],venue_all[unique venue],venue_all[active?])</f>
        <v>yes</v>
      </c>
    </row>
    <row r="61" spans="1:18" x14ac:dyDescent="0.25">
      <c r="A61" s="1" t="s">
        <v>629</v>
      </c>
      <c r="B61" s="1" t="s">
        <v>568</v>
      </c>
      <c r="C61" s="1" t="s">
        <v>702</v>
      </c>
      <c r="D61" s="1">
        <v>2022</v>
      </c>
      <c r="E61" s="1" t="s">
        <v>570</v>
      </c>
      <c r="F61" s="1" t="s">
        <v>593</v>
      </c>
      <c r="G61" s="1" t="s">
        <v>597</v>
      </c>
      <c r="J61" s="1" t="str">
        <v>IEEE/RSJ International Conference on Intelligent Robots and Systems (IROS)</v>
      </c>
      <c r="L61" s="1" t="s">
        <v>858</v>
      </c>
      <c r="M61" s="14">
        <f>AVERAGEIF(venue[venue],venue_conf[[#This Row],[unique venue]],venue[year])</f>
        <v>2019</v>
      </c>
      <c r="N61" s="18" cm="1">
        <f t="array" ref="N61">_xlfn.STDEV.P(IF(venue[venue]=venue_conf[[#This Row],[unique venue]],venue[year]))</f>
        <v>0</v>
      </c>
      <c r="O61" s="1" cm="1">
        <f t="array" ref="O61">MAX(IF(venue[venue]=venue_conf[[#This Row],[unique venue]],venue[year]))</f>
        <v>2019</v>
      </c>
      <c r="P61" s="1">
        <f>COUNTIF(venue[venue],venue_conf[[#This Row],[unique venue]])</f>
        <v>1</v>
      </c>
      <c r="Q61" s="14" cm="1">
        <f t="array" ref="Q61">MEDIAN(IF(venue[venue]=venue_conf[[#This Row],[unique venue]],venue[year]))</f>
        <v>2019</v>
      </c>
      <c r="R61" s="10" t="str">
        <f>LOOKUP(venue_conf[[#This Row],[unique venue]],venue_all[unique venue],venue_all[active?])</f>
        <v>yes</v>
      </c>
    </row>
    <row r="62" spans="1:18" x14ac:dyDescent="0.25">
      <c r="A62" s="1" t="s">
        <v>629</v>
      </c>
      <c r="B62" s="1" t="s">
        <v>663</v>
      </c>
      <c r="C62" s="1" t="s">
        <v>664</v>
      </c>
      <c r="D62" s="1">
        <v>2018</v>
      </c>
      <c r="E62" s="1" t="s">
        <v>315</v>
      </c>
      <c r="F62" s="1" t="s">
        <v>593</v>
      </c>
      <c r="G62" s="1" t="s">
        <v>602</v>
      </c>
      <c r="J62" s="1" t="str">
        <v>International Conference on 3D Vision (3DV)</v>
      </c>
      <c r="L62" s="1" t="s">
        <v>861</v>
      </c>
      <c r="M62" s="14">
        <f>AVERAGEIF(venue[venue],venue_conf[[#This Row],[unique venue]],venue[year])</f>
        <v>2019</v>
      </c>
      <c r="N62" s="18" cm="1">
        <f t="array" ref="N62">_xlfn.STDEV.P(IF(venue[venue]=venue_conf[[#This Row],[unique venue]],venue[year]))</f>
        <v>0</v>
      </c>
      <c r="O62" s="1" cm="1">
        <f t="array" ref="O62">MAX(IF(venue[venue]=venue_conf[[#This Row],[unique venue]],venue[year]))</f>
        <v>2019</v>
      </c>
      <c r="P62" s="1">
        <f>COUNTIF(venue[venue],venue_conf[[#This Row],[unique venue]])</f>
        <v>1</v>
      </c>
      <c r="Q62" s="14" cm="1">
        <f t="array" ref="Q62">MEDIAN(IF(venue[venue]=venue_conf[[#This Row],[unique venue]],venue[year]))</f>
        <v>2019</v>
      </c>
      <c r="R62" s="10" t="str">
        <f>LOOKUP(venue_conf[[#This Row],[unique venue]],venue_all[unique venue],venue_all[active?])</f>
        <v>yes</v>
      </c>
    </row>
    <row r="63" spans="1:18" x14ac:dyDescent="0.25">
      <c r="A63" s="1" t="s">
        <v>629</v>
      </c>
      <c r="B63" s="1" t="s">
        <v>819</v>
      </c>
      <c r="C63" s="1" t="s">
        <v>820</v>
      </c>
      <c r="D63" s="1">
        <v>2021</v>
      </c>
      <c r="E63" s="1" t="s">
        <v>466</v>
      </c>
      <c r="F63" s="1" t="s">
        <v>593</v>
      </c>
      <c r="G63" s="1" t="s">
        <v>602</v>
      </c>
      <c r="J63" s="1" t="str">
        <v>International Conference on Advanced Robotics (ICAR)</v>
      </c>
      <c r="L63" s="1" t="s">
        <v>851</v>
      </c>
      <c r="M63" s="14">
        <f>AVERAGEIF(venue[venue],venue_conf[[#This Row],[unique venue]],venue[year])</f>
        <v>2018</v>
      </c>
      <c r="N63" s="18" cm="1">
        <f t="array" ref="N63">_xlfn.STDEV.P(IF(venue[venue]=venue_conf[[#This Row],[unique venue]],venue[year]))</f>
        <v>0</v>
      </c>
      <c r="O63" s="1" cm="1">
        <f t="array" ref="O63">MAX(IF(venue[venue]=venue_conf[[#This Row],[unique venue]],venue[year]))</f>
        <v>2018</v>
      </c>
      <c r="P63" s="1">
        <f>COUNTIF(venue[venue],venue_conf[[#This Row],[unique venue]])</f>
        <v>1</v>
      </c>
      <c r="Q63" s="14" cm="1">
        <f t="array" ref="Q63">MEDIAN(IF(venue[venue]=venue_conf[[#This Row],[unique venue]],venue[year]))</f>
        <v>2018</v>
      </c>
      <c r="R63" s="10" t="str">
        <f>LOOKUP(venue_conf[[#This Row],[unique venue]],venue_all[unique venue],venue_all[active?])</f>
        <v>yes</v>
      </c>
    </row>
    <row r="64" spans="1:18" x14ac:dyDescent="0.25">
      <c r="A64" s="1" t="s">
        <v>629</v>
      </c>
      <c r="B64" s="1" t="s">
        <v>661</v>
      </c>
      <c r="C64" s="1" t="s">
        <v>662</v>
      </c>
      <c r="D64" s="1">
        <v>2021</v>
      </c>
      <c r="E64" s="1" t="s">
        <v>534</v>
      </c>
      <c r="F64" s="1" t="s">
        <v>593</v>
      </c>
      <c r="G64" s="1" t="s">
        <v>601</v>
      </c>
      <c r="J64" s="1" t="str">
        <v>International Conference on Image Processing Theory, Tools and Applications (IPTA)</v>
      </c>
      <c r="L64" s="1" t="s">
        <v>856</v>
      </c>
      <c r="M64" s="14">
        <f>AVERAGEIF(venue[venue],venue_conf[[#This Row],[unique venue]],venue[year])</f>
        <v>2017</v>
      </c>
      <c r="N64" s="18" cm="1">
        <f t="array" ref="N64">_xlfn.STDEV.P(IF(venue[venue]=venue_conf[[#This Row],[unique venue]],venue[year]))</f>
        <v>0</v>
      </c>
      <c r="O64" s="1" cm="1">
        <f t="array" ref="O64">MAX(IF(venue[venue]=venue_conf[[#This Row],[unique venue]],venue[year]))</f>
        <v>2017</v>
      </c>
      <c r="P64" s="1">
        <f>COUNTIF(venue[venue],venue_conf[[#This Row],[unique venue]])</f>
        <v>1</v>
      </c>
      <c r="Q64" s="14" cm="1">
        <f t="array" ref="Q64">MEDIAN(IF(venue[venue]=venue_conf[[#This Row],[unique venue]],venue[year]))</f>
        <v>2017</v>
      </c>
      <c r="R64" s="10" t="str">
        <f>LOOKUP(venue_conf[[#This Row],[unique venue]],venue_all[unique venue],venue_all[active?])</f>
        <v>yes</v>
      </c>
    </row>
    <row r="65" spans="1:18" x14ac:dyDescent="0.25">
      <c r="A65" s="1" t="s">
        <v>629</v>
      </c>
      <c r="B65" s="1" t="s">
        <v>696</v>
      </c>
      <c r="C65" s="1" t="s">
        <v>697</v>
      </c>
      <c r="D65" s="1">
        <v>2020</v>
      </c>
      <c r="E65" s="1" t="s">
        <v>399</v>
      </c>
      <c r="F65" s="1" t="s">
        <v>593</v>
      </c>
      <c r="G65" s="1" t="s">
        <v>608</v>
      </c>
      <c r="J65" s="1" t="str">
        <v>International Conference on Mobile Systems, Applications, and Services (MobySys)</v>
      </c>
      <c r="L65" s="1" t="s">
        <v>857</v>
      </c>
      <c r="M65" s="14">
        <f>AVERAGEIF(venue[venue],venue_conf[[#This Row],[unique venue]],venue[year])</f>
        <v>2013</v>
      </c>
      <c r="N65" s="18" cm="1">
        <f t="array" ref="N65">_xlfn.STDEV.P(IF(venue[venue]=venue_conf[[#This Row],[unique venue]],venue[year]))</f>
        <v>0</v>
      </c>
      <c r="O65" s="1" cm="1">
        <f t="array" ref="O65">MAX(IF(venue[venue]=venue_conf[[#This Row],[unique venue]],venue[year]))</f>
        <v>2013</v>
      </c>
      <c r="P65" s="1">
        <f>COUNTIF(venue[venue],venue_conf[[#This Row],[unique venue]])</f>
        <v>1</v>
      </c>
      <c r="Q65" s="14" cm="1">
        <f t="array" ref="Q65">MEDIAN(IF(venue[venue]=venue_conf[[#This Row],[unique venue]],venue[year]))</f>
        <v>2013</v>
      </c>
      <c r="R65" s="10" t="str">
        <f>LOOKUP(venue_conf[[#This Row],[unique venue]],venue_all[unique venue],venue_all[active?])</f>
        <v>yes</v>
      </c>
    </row>
    <row r="66" spans="1:18" x14ac:dyDescent="0.25">
      <c r="A66" s="1" t="s">
        <v>629</v>
      </c>
      <c r="B66" s="1" t="s">
        <v>440</v>
      </c>
      <c r="C66" s="1" t="s">
        <v>825</v>
      </c>
      <c r="D66" s="1">
        <v>2020</v>
      </c>
      <c r="E66" s="1" t="s">
        <v>442</v>
      </c>
      <c r="F66" s="1" t="s">
        <v>593</v>
      </c>
      <c r="G66" s="1" t="s">
        <v>608</v>
      </c>
      <c r="J66" s="1" t="str">
        <v>Robotics: Science and Systems (RSS)</v>
      </c>
      <c r="L66" s="1" t="s">
        <v>854</v>
      </c>
      <c r="M66" s="14">
        <f>AVERAGEIF(venue[venue],venue_conf[[#This Row],[unique venue]],venue[year])</f>
        <v>2009</v>
      </c>
      <c r="N66" s="18" cm="1">
        <f t="array" ref="N66">_xlfn.STDEV.P(IF(venue[venue]=venue_conf[[#This Row],[unique venue]],venue[year]))</f>
        <v>0</v>
      </c>
      <c r="O66" s="1" cm="1">
        <f t="array" ref="O66">MAX(IF(venue[venue]=venue_conf[[#This Row],[unique venue]],venue[year]))</f>
        <v>2009</v>
      </c>
      <c r="P66" s="1">
        <f>COUNTIF(venue[venue],venue_conf[[#This Row],[unique venue]])</f>
        <v>1</v>
      </c>
      <c r="Q66" s="14" cm="1">
        <f t="array" ref="Q66">MEDIAN(IF(venue[venue]=venue_conf[[#This Row],[unique venue]],venue[year]))</f>
        <v>2009</v>
      </c>
      <c r="R66" s="10" t="str">
        <f>LOOKUP(venue_conf[[#This Row],[unique venue]],venue_all[unique venue],venue_all[active?])</f>
        <v>no</v>
      </c>
    </row>
    <row r="67" spans="1:18" x14ac:dyDescent="0.25">
      <c r="A67" s="1" t="s">
        <v>629</v>
      </c>
      <c r="B67" s="1" t="s">
        <v>500</v>
      </c>
      <c r="C67" s="1" t="s">
        <v>715</v>
      </c>
      <c r="D67" s="1">
        <v>2021</v>
      </c>
      <c r="E67" s="1" t="s">
        <v>502</v>
      </c>
      <c r="F67" s="1" t="s">
        <v>593</v>
      </c>
      <c r="G67" s="1" t="s">
        <v>608</v>
      </c>
    </row>
    <row r="68" spans="1:18" x14ac:dyDescent="0.25">
      <c r="A68" s="1" t="s">
        <v>629</v>
      </c>
      <c r="B68" s="1" t="s">
        <v>548</v>
      </c>
      <c r="C68" s="1" t="s">
        <v>726</v>
      </c>
      <c r="D68" s="1">
        <v>2022</v>
      </c>
      <c r="E68" s="1" t="s">
        <v>550</v>
      </c>
      <c r="F68" s="1" t="s">
        <v>593</v>
      </c>
      <c r="G68" s="1" t="s">
        <v>608</v>
      </c>
    </row>
    <row r="69" spans="1:18" x14ac:dyDescent="0.25">
      <c r="A69" s="1" t="s">
        <v>629</v>
      </c>
      <c r="B69" s="1" t="s">
        <v>5</v>
      </c>
      <c r="C69" s="1" t="s">
        <v>630</v>
      </c>
      <c r="D69" s="1">
        <v>2002</v>
      </c>
      <c r="E69" s="1" t="s">
        <v>7</v>
      </c>
      <c r="F69" s="1" t="s">
        <v>593</v>
      </c>
      <c r="G69" s="1" t="s">
        <v>594</v>
      </c>
    </row>
    <row r="70" spans="1:18" x14ac:dyDescent="0.25">
      <c r="A70" s="1" t="s">
        <v>629</v>
      </c>
      <c r="B70" s="1" t="s">
        <v>756</v>
      </c>
      <c r="C70" s="1" t="s">
        <v>757</v>
      </c>
      <c r="D70" s="1">
        <v>2014</v>
      </c>
      <c r="E70" s="1" t="s">
        <v>137</v>
      </c>
      <c r="F70" s="1" t="s">
        <v>593</v>
      </c>
      <c r="G70" s="1" t="s">
        <v>613</v>
      </c>
    </row>
    <row r="71" spans="1:18" x14ac:dyDescent="0.25">
      <c r="A71" s="1" t="s">
        <v>629</v>
      </c>
      <c r="B71" s="1" t="s">
        <v>784</v>
      </c>
      <c r="C71" s="1" t="s">
        <v>785</v>
      </c>
      <c r="D71" s="1">
        <v>2015</v>
      </c>
      <c r="E71" s="1" t="s">
        <v>168</v>
      </c>
      <c r="F71" s="1" t="s">
        <v>593</v>
      </c>
      <c r="G71" s="1" t="s">
        <v>613</v>
      </c>
    </row>
    <row r="72" spans="1:18" x14ac:dyDescent="0.25">
      <c r="A72" s="1" t="s">
        <v>629</v>
      </c>
      <c r="B72" s="1" t="s">
        <v>804</v>
      </c>
      <c r="C72" s="1" t="s">
        <v>805</v>
      </c>
      <c r="D72" s="1">
        <v>2017</v>
      </c>
      <c r="E72" s="1" t="s">
        <v>231</v>
      </c>
      <c r="F72" s="1" t="s">
        <v>593</v>
      </c>
      <c r="G72" s="1" t="s">
        <v>613</v>
      </c>
      <c r="J72" s="2" t="s">
        <v>629</v>
      </c>
      <c r="L72" s="2" t="s">
        <v>629</v>
      </c>
    </row>
    <row r="73" spans="1:18" x14ac:dyDescent="0.25">
      <c r="A73" s="1" t="s">
        <v>629</v>
      </c>
      <c r="B73" s="1" t="s">
        <v>814</v>
      </c>
      <c r="C73" s="1" t="s">
        <v>815</v>
      </c>
      <c r="D73" s="1">
        <v>2022</v>
      </c>
      <c r="E73" s="1" t="s">
        <v>574</v>
      </c>
      <c r="F73" s="1" t="s">
        <v>593</v>
      </c>
      <c r="G73" s="1" t="s">
        <v>613</v>
      </c>
      <c r="J73" s="2" t="s">
        <v>625</v>
      </c>
      <c r="L73" s="2" t="s">
        <v>625</v>
      </c>
      <c r="M73" s="15" t="s">
        <v>864</v>
      </c>
      <c r="N73" s="15" t="s">
        <v>873</v>
      </c>
      <c r="O73" s="15" t="s">
        <v>872</v>
      </c>
      <c r="P73" s="2" t="s">
        <v>591</v>
      </c>
      <c r="Q73" s="15" t="s">
        <v>871</v>
      </c>
      <c r="R73" s="2" t="s">
        <v>868</v>
      </c>
    </row>
    <row r="74" spans="1:18" x14ac:dyDescent="0.25">
      <c r="A74" s="1" t="s">
        <v>629</v>
      </c>
      <c r="B74" s="1" t="s">
        <v>845</v>
      </c>
      <c r="C74" s="1" t="s">
        <v>846</v>
      </c>
      <c r="D74" s="1">
        <v>2022</v>
      </c>
      <c r="E74" s="1" t="s">
        <v>546</v>
      </c>
      <c r="F74" s="1" t="s">
        <v>593</v>
      </c>
      <c r="G74" s="1" t="s">
        <v>621</v>
      </c>
      <c r="J74" s="1" t="str" cm="1">
        <f t="array" ref="J74:J98">_xlfn.UNIQUE(_xlfn._xlws.FILTER(venue[venue],venue[type]=J72))</f>
        <v>Advanced Robotics</v>
      </c>
      <c r="L74" s="1" t="s">
        <v>596</v>
      </c>
      <c r="M74" s="14">
        <f>AVERAGEIF(venue[venue],venue_journal[[#This Row],[unique venue]],venue[year])</f>
        <v>2016.3076923076924</v>
      </c>
      <c r="N74" s="18" cm="1">
        <f t="array" ref="N74">_xlfn.STDEV.P(IF(venue[venue]=venue_journal[[#This Row],[unique venue]],venue[year]))</f>
        <v>3.8706909616643457</v>
      </c>
      <c r="O74" s="1" cm="1">
        <f t="array" ref="O74">MAX(IF(venue[venue]=venue_journal[[#This Row],[unique venue]],venue[year]))</f>
        <v>2021</v>
      </c>
      <c r="P74" s="1">
        <f>COUNTIF(venue[venue],venue_journal[[#This Row],[unique venue]])</f>
        <v>13</v>
      </c>
      <c r="Q74" s="16" cm="1">
        <f t="array" ref="Q74">MEDIAN(IF(venue[venue]=venue_journal[[#This Row],[unique venue]],venue[year]))</f>
        <v>2017</v>
      </c>
      <c r="R74" s="10" t="str">
        <f>LOOKUP(venue_journal[[#This Row],[unique venue]],venue_all[unique venue],venue_all[active?])</f>
        <v>yes</v>
      </c>
    </row>
    <row r="75" spans="1:18" x14ac:dyDescent="0.25">
      <c r="A75" s="1" t="s">
        <v>626</v>
      </c>
      <c r="B75" s="1" t="s">
        <v>653</v>
      </c>
      <c r="C75" s="1" t="s">
        <v>654</v>
      </c>
      <c r="D75" s="1">
        <v>2018</v>
      </c>
      <c r="E75" s="1" t="s">
        <v>275</v>
      </c>
      <c r="F75" s="1" t="s">
        <v>593</v>
      </c>
      <c r="G75" s="1" t="s">
        <v>851</v>
      </c>
      <c r="J75" s="1" t="str">
        <v>Applied Sciences</v>
      </c>
      <c r="L75" s="1" t="s">
        <v>597</v>
      </c>
      <c r="M75" s="14">
        <f>AVERAGEIF(venue[venue],venue_journal[[#This Row],[unique venue]],venue[year])</f>
        <v>2018.8333333333333</v>
      </c>
      <c r="N75" s="18" cm="1">
        <f t="array" ref="N75">_xlfn.STDEV.P(IF(venue[venue]=venue_journal[[#This Row],[unique venue]],venue[year]))</f>
        <v>1.7240134054647669</v>
      </c>
      <c r="O75" s="1" cm="1">
        <f t="array" ref="O75">MAX(IF(venue[venue]=venue_journal[[#This Row],[unique venue]],venue[year]))</f>
        <v>2022</v>
      </c>
      <c r="P75" s="1">
        <f>COUNTIF(venue[venue],venue_journal[[#This Row],[unique venue]])</f>
        <v>12</v>
      </c>
      <c r="Q75" s="14" cm="1">
        <f t="array" ref="Q75">MEDIAN(IF(venue[venue]=venue_journal[[#This Row],[unique venue]],venue[year]))</f>
        <v>2018</v>
      </c>
      <c r="R75" s="10" t="str">
        <f>LOOKUP(venue_journal[[#This Row],[unique venue]],venue_all[unique venue],venue_all[active?])</f>
        <v>yes</v>
      </c>
    </row>
    <row r="76" spans="1:18" x14ac:dyDescent="0.25">
      <c r="A76" s="1" t="s">
        <v>629</v>
      </c>
      <c r="B76" s="1" t="s">
        <v>780</v>
      </c>
      <c r="C76" s="1" t="s">
        <v>781</v>
      </c>
      <c r="D76" s="1">
        <v>2021</v>
      </c>
      <c r="E76" s="1" t="s">
        <v>510</v>
      </c>
      <c r="F76" s="1" t="s">
        <v>593</v>
      </c>
      <c r="G76" s="1" t="s">
        <v>615</v>
      </c>
      <c r="J76" s="1" t="str">
        <v>Autonomous Robots</v>
      </c>
      <c r="L76" s="1" t="s">
        <v>603</v>
      </c>
      <c r="M76" s="14">
        <f>AVERAGEIF(venue[venue],venue_journal[[#This Row],[unique venue]],venue[year])</f>
        <v>2014.090909090909</v>
      </c>
      <c r="N76" s="18" cm="1">
        <f t="array" ref="N76">_xlfn.STDEV.P(IF(venue[venue]=venue_journal[[#This Row],[unique venue]],venue[year]))</f>
        <v>3.1753180357405419</v>
      </c>
      <c r="O76" s="1" cm="1">
        <f t="array" ref="O76">MAX(IF(venue[venue]=venue_journal[[#This Row],[unique venue]],venue[year]))</f>
        <v>2022</v>
      </c>
      <c r="P76" s="1">
        <f>COUNTIF(venue[venue],venue_journal[[#This Row],[unique venue]])</f>
        <v>11</v>
      </c>
      <c r="Q76" s="14" cm="1">
        <f t="array" ref="Q76">MEDIAN(IF(venue[venue]=venue_journal[[#This Row],[unique venue]],venue[year]))</f>
        <v>2013</v>
      </c>
      <c r="R76" s="10" t="str">
        <f>LOOKUP(venue_journal[[#This Row],[unique venue]],venue_all[unique venue],venue_all[active?])</f>
        <v>yes</v>
      </c>
    </row>
    <row r="77" spans="1:18" x14ac:dyDescent="0.25">
      <c r="A77" s="1" t="s">
        <v>629</v>
      </c>
      <c r="B77" s="1" t="s">
        <v>556</v>
      </c>
      <c r="C77" s="1" t="s">
        <v>682</v>
      </c>
      <c r="D77" s="1">
        <v>2022</v>
      </c>
      <c r="E77" s="1" t="s">
        <v>558</v>
      </c>
      <c r="F77" s="1" t="s">
        <v>593</v>
      </c>
      <c r="G77" s="1" t="s">
        <v>604</v>
      </c>
      <c r="J77" s="1" t="str">
        <v>Cognitive Neurodynamics</v>
      </c>
      <c r="L77" s="1" t="s">
        <v>612</v>
      </c>
      <c r="M77" s="14">
        <f>AVERAGEIF(venue[venue],venue_journal[[#This Row],[unique venue]],venue[year])</f>
        <v>2017</v>
      </c>
      <c r="N77" s="18" cm="1">
        <f t="array" ref="N77">_xlfn.STDEV.P(IF(venue[venue]=venue_journal[[#This Row],[unique venue]],venue[year]))</f>
        <v>3.5355339059327378</v>
      </c>
      <c r="O77" s="1" cm="1">
        <f t="array" ref="O77">MAX(IF(venue[venue]=venue_journal[[#This Row],[unique venue]],venue[year]))</f>
        <v>2022</v>
      </c>
      <c r="P77" s="1">
        <f>COUNTIF(venue[venue],venue_journal[[#This Row],[unique venue]])</f>
        <v>8</v>
      </c>
      <c r="Q77" s="14" cm="1">
        <f t="array" ref="Q77">MEDIAN(IF(venue[venue]=venue_journal[[#This Row],[unique venue]],venue[year]))</f>
        <v>2017.5</v>
      </c>
      <c r="R77" s="10" t="str">
        <f>LOOKUP(venue_journal[[#This Row],[unique venue]],venue_all[unique venue],venue_all[active?])</f>
        <v>yes</v>
      </c>
    </row>
    <row r="78" spans="1:18" x14ac:dyDescent="0.25">
      <c r="A78" s="1" t="s">
        <v>626</v>
      </c>
      <c r="B78" s="1" t="s">
        <v>32</v>
      </c>
      <c r="C78" s="1" t="s">
        <v>720</v>
      </c>
      <c r="D78" s="1">
        <v>2009</v>
      </c>
      <c r="E78" s="1" t="s">
        <v>34</v>
      </c>
      <c r="F78" s="1" t="s">
        <v>593</v>
      </c>
      <c r="G78" s="1" t="s">
        <v>849</v>
      </c>
      <c r="J78" s="1" t="str">
        <v>Frontiers in Robotics and AI</v>
      </c>
      <c r="L78" s="1" t="s">
        <v>599</v>
      </c>
      <c r="M78" s="14">
        <f>AVERAGEIF(venue[venue],venue_journal[[#This Row],[unique venue]],venue[year])</f>
        <v>2017.1428571428571</v>
      </c>
      <c r="N78" s="18" cm="1">
        <f t="array" ref="N78">_xlfn.STDEV.P(IF(venue[venue]=venue_journal[[#This Row],[unique venue]],venue[year]))</f>
        <v>2.1665358411575859</v>
      </c>
      <c r="O78" s="1" cm="1">
        <f t="array" ref="O78">MAX(IF(venue[venue]=venue_journal[[#This Row],[unique venue]],venue[year]))</f>
        <v>2020</v>
      </c>
      <c r="P78" s="1">
        <f>COUNTIF(venue[venue],venue_journal[[#This Row],[unique venue]])</f>
        <v>7</v>
      </c>
      <c r="Q78" s="14" cm="1">
        <f t="array" ref="Q78">MEDIAN(IF(venue[venue]=venue_journal[[#This Row],[unique venue]],venue[year]))</f>
        <v>2018</v>
      </c>
      <c r="R78" s="10" t="str">
        <f>LOOKUP(venue_journal[[#This Row],[unique venue]],venue_all[unique venue],venue_all[active?])</f>
        <v>yes</v>
      </c>
    </row>
    <row r="79" spans="1:18" x14ac:dyDescent="0.25">
      <c r="A79" s="1" t="s">
        <v>626</v>
      </c>
      <c r="B79" s="1" t="s">
        <v>688</v>
      </c>
      <c r="C79" s="1" t="s">
        <v>689</v>
      </c>
      <c r="D79" s="1">
        <v>2011</v>
      </c>
      <c r="E79" s="1" t="s">
        <v>605</v>
      </c>
      <c r="F79" s="1" t="s">
        <v>593</v>
      </c>
      <c r="G79" s="1" t="s">
        <v>849</v>
      </c>
      <c r="J79" s="1" t="str">
        <v>IEEE Access</v>
      </c>
      <c r="L79" s="1" t="s">
        <v>608</v>
      </c>
      <c r="M79" s="14">
        <f>AVERAGEIF(venue[venue],venue_journal[[#This Row],[unique venue]],venue[year])</f>
        <v>2020.75</v>
      </c>
      <c r="N79" s="18" cm="1">
        <f t="array" ref="N79">_xlfn.STDEV.P(IF(venue[venue]=venue_journal[[#This Row],[unique venue]],venue[year]))</f>
        <v>0.82915619758884995</v>
      </c>
      <c r="O79" s="1" cm="1">
        <f t="array" ref="O79">MAX(IF(venue[venue]=venue_journal[[#This Row],[unique venue]],venue[year]))</f>
        <v>2022</v>
      </c>
      <c r="P79" s="1">
        <f>COUNTIF(venue[venue],venue_journal[[#This Row],[unique venue]])</f>
        <v>4</v>
      </c>
      <c r="Q79" s="14" cm="1">
        <f t="array" ref="Q79">MEDIAN(IF(venue[venue]=venue_journal[[#This Row],[unique venue]],venue[year]))</f>
        <v>2020.5</v>
      </c>
      <c r="R79" s="10" t="str">
        <f>LOOKUP(venue_journal[[#This Row],[unique venue]],venue_all[unique venue],venue_all[active?])</f>
        <v>yes</v>
      </c>
    </row>
    <row r="80" spans="1:18" x14ac:dyDescent="0.25">
      <c r="A80" s="1" t="s">
        <v>626</v>
      </c>
      <c r="B80" s="1" t="s">
        <v>722</v>
      </c>
      <c r="C80" s="1" t="s">
        <v>723</v>
      </c>
      <c r="D80" s="1">
        <v>2011</v>
      </c>
      <c r="E80" s="1" t="s">
        <v>50</v>
      </c>
      <c r="F80" s="1" t="s">
        <v>593</v>
      </c>
      <c r="G80" s="1" t="s">
        <v>849</v>
      </c>
      <c r="J80" s="1" t="str">
        <v>IEEE Robotics and Automation Letters</v>
      </c>
      <c r="L80" s="1" t="s">
        <v>600</v>
      </c>
      <c r="M80" s="14">
        <f>AVERAGEIF(venue[venue],venue_journal[[#This Row],[unique venue]],venue[year])</f>
        <v>2019.25</v>
      </c>
      <c r="N80" s="18" cm="1">
        <f t="array" ref="N80">_xlfn.STDEV.P(IF(venue[venue]=venue_journal[[#This Row],[unique venue]],venue[year]))</f>
        <v>0.82915619758884995</v>
      </c>
      <c r="O80" s="1" cm="1">
        <f t="array" ref="O80">MAX(IF(venue[venue]=venue_journal[[#This Row],[unique venue]],venue[year]))</f>
        <v>2020</v>
      </c>
      <c r="P80" s="1">
        <f>COUNTIF(venue[venue],venue_journal[[#This Row],[unique venue]])</f>
        <v>4</v>
      </c>
      <c r="Q80" s="14" cm="1">
        <f t="array" ref="Q80">MEDIAN(IF(venue[venue]=venue_journal[[#This Row],[unique venue]],venue[year]))</f>
        <v>2019.5</v>
      </c>
      <c r="R80" s="10" t="str">
        <f>LOOKUP(venue_journal[[#This Row],[unique venue]],venue_all[unique venue],venue_all[active?])</f>
        <v>yes</v>
      </c>
    </row>
    <row r="81" spans="1:18" x14ac:dyDescent="0.25">
      <c r="A81" s="1" t="s">
        <v>626</v>
      </c>
      <c r="B81" s="1" t="s">
        <v>637</v>
      </c>
      <c r="C81" s="1" t="s">
        <v>638</v>
      </c>
      <c r="D81" s="1">
        <v>2012</v>
      </c>
      <c r="E81" s="1" t="s">
        <v>66</v>
      </c>
      <c r="F81" s="1" t="s">
        <v>593</v>
      </c>
      <c r="G81" s="1" t="s">
        <v>849</v>
      </c>
      <c r="J81" s="1" t="str">
        <v>IEEE Sensors Journal</v>
      </c>
      <c r="L81" s="1" t="s">
        <v>613</v>
      </c>
      <c r="M81" s="14">
        <f>AVERAGEIF(venue[venue],venue_journal[[#This Row],[unique venue]],venue[year])</f>
        <v>2017</v>
      </c>
      <c r="N81" s="18" cm="1">
        <f t="array" ref="N81">_xlfn.STDEV.P(IF(venue[venue]=venue_journal[[#This Row],[unique venue]],venue[year]))</f>
        <v>3.082207001484488</v>
      </c>
      <c r="O81" s="1" cm="1">
        <f t="array" ref="O81">MAX(IF(venue[venue]=venue_journal[[#This Row],[unique venue]],venue[year]))</f>
        <v>2022</v>
      </c>
      <c r="P81" s="1">
        <f>COUNTIF(venue[venue],venue_journal[[#This Row],[unique venue]])</f>
        <v>4</v>
      </c>
      <c r="Q81" s="14" cm="1">
        <f t="array" ref="Q81">MEDIAN(IF(venue[venue]=venue_journal[[#This Row],[unique venue]],venue[year]))</f>
        <v>2016</v>
      </c>
      <c r="R81" s="10" t="str">
        <f>LOOKUP(venue_journal[[#This Row],[unique venue]],venue_all[unique venue],venue_all[active?])</f>
        <v>yes</v>
      </c>
    </row>
    <row r="82" spans="1:18" x14ac:dyDescent="0.25">
      <c r="A82" s="1" t="s">
        <v>626</v>
      </c>
      <c r="B82" s="1" t="s">
        <v>829</v>
      </c>
      <c r="C82" s="1" t="s">
        <v>830</v>
      </c>
      <c r="D82" s="1">
        <v>2012</v>
      </c>
      <c r="E82" s="1" t="s">
        <v>74</v>
      </c>
      <c r="F82" s="1" t="s">
        <v>593</v>
      </c>
      <c r="G82" s="1" t="s">
        <v>849</v>
      </c>
      <c r="J82" s="1" t="str">
        <v>IEEE Transactions on Industrial Electronics</v>
      </c>
      <c r="L82" s="1" t="s">
        <v>602</v>
      </c>
      <c r="M82" s="14">
        <f>AVERAGEIF(venue[venue],venue_journal[[#This Row],[unique venue]],venue[year])</f>
        <v>2019.5</v>
      </c>
      <c r="N82" s="18" cm="1">
        <f t="array" ref="N82">_xlfn.STDEV.P(IF(venue[venue]=venue_journal[[#This Row],[unique venue]],venue[year]))</f>
        <v>1.5</v>
      </c>
      <c r="O82" s="1" cm="1">
        <f t="array" ref="O82">MAX(IF(venue[venue]=venue_journal[[#This Row],[unique venue]],venue[year]))</f>
        <v>2021</v>
      </c>
      <c r="P82" s="1">
        <f>COUNTIF(venue[venue],venue_journal[[#This Row],[unique venue]])</f>
        <v>2</v>
      </c>
      <c r="Q82" s="14" cm="1">
        <f t="array" ref="Q82">MEDIAN(IF(venue[venue]=venue_journal[[#This Row],[unique venue]],venue[year]))</f>
        <v>2019.5</v>
      </c>
      <c r="R82" s="10" t="str">
        <f>LOOKUP(venue_journal[[#This Row],[unique venue]],venue_all[unique venue],venue_all[active?])</f>
        <v>yes</v>
      </c>
    </row>
    <row r="83" spans="1:18" x14ac:dyDescent="0.25">
      <c r="A83" s="1" t="s">
        <v>626</v>
      </c>
      <c r="B83" s="1" t="s">
        <v>198</v>
      </c>
      <c r="C83" s="1" t="s">
        <v>744</v>
      </c>
      <c r="D83" s="1">
        <v>2016</v>
      </c>
      <c r="E83" s="1" t="s">
        <v>200</v>
      </c>
      <c r="F83" s="1" t="s">
        <v>593</v>
      </c>
      <c r="G83" s="1" t="s">
        <v>849</v>
      </c>
      <c r="J83" s="1" t="str">
        <v>IEEE Transactions on Intelligent Transportation Systems</v>
      </c>
      <c r="L83" s="1" t="s">
        <v>609</v>
      </c>
      <c r="M83" s="14">
        <f>AVERAGEIF(venue[venue],venue_journal[[#This Row],[unique venue]],venue[year])</f>
        <v>2019.5</v>
      </c>
      <c r="N83" s="18" cm="1">
        <f t="array" ref="N83">_xlfn.STDEV.P(IF(venue[venue]=venue_journal[[#This Row],[unique venue]],venue[year]))</f>
        <v>1.5</v>
      </c>
      <c r="O83" s="1" cm="1">
        <f t="array" ref="O83">MAX(IF(venue[venue]=venue_journal[[#This Row],[unique venue]],venue[year]))</f>
        <v>2021</v>
      </c>
      <c r="P83" s="1">
        <f>COUNTIF(venue[venue],venue_journal[[#This Row],[unique venue]])</f>
        <v>2</v>
      </c>
      <c r="Q83" s="14" cm="1">
        <f t="array" ref="Q83">MEDIAN(IF(venue[venue]=venue_journal[[#This Row],[unique venue]],venue[year]))</f>
        <v>2019.5</v>
      </c>
      <c r="R83" s="10" t="str">
        <f>LOOKUP(venue_journal[[#This Row],[unique venue]],venue_all[unique venue],venue_all[active?])</f>
        <v>yes</v>
      </c>
    </row>
    <row r="84" spans="1:18" x14ac:dyDescent="0.25">
      <c r="A84" s="1" t="s">
        <v>626</v>
      </c>
      <c r="B84" s="1" t="s">
        <v>194</v>
      </c>
      <c r="C84" s="1" t="s">
        <v>745</v>
      </c>
      <c r="D84" s="1">
        <v>2016</v>
      </c>
      <c r="E84" s="1" t="s">
        <v>196</v>
      </c>
      <c r="F84" s="1" t="s">
        <v>593</v>
      </c>
      <c r="G84" s="1" t="s">
        <v>849</v>
      </c>
      <c r="J84" s="1" t="str">
        <v>IEEE Transactions on Pattern Analysis and Machine Intelligence</v>
      </c>
      <c r="L84" s="1" t="s">
        <v>621</v>
      </c>
      <c r="M84" s="14">
        <f>AVERAGEIF(venue[venue],venue_journal[[#This Row],[unique venue]],venue[year])</f>
        <v>2022</v>
      </c>
      <c r="N84" s="18" cm="1">
        <f t="array" ref="N84">_xlfn.STDEV.P(IF(venue[venue]=venue_journal[[#This Row],[unique venue]],venue[year]))</f>
        <v>0</v>
      </c>
      <c r="O84" s="1" cm="1">
        <f t="array" ref="O84">MAX(IF(venue[venue]=venue_journal[[#This Row],[unique venue]],venue[year]))</f>
        <v>2022</v>
      </c>
      <c r="P84" s="1">
        <f>COUNTIF(venue[venue],venue_journal[[#This Row],[unique venue]])</f>
        <v>1</v>
      </c>
      <c r="Q84" s="14" cm="1">
        <f t="array" ref="Q84">MEDIAN(IF(venue[venue]=venue_journal[[#This Row],[unique venue]],venue[year]))</f>
        <v>2022</v>
      </c>
      <c r="R84" s="10" t="str">
        <f>LOOKUP(venue_journal[[#This Row],[unique venue]],venue_all[unique venue],venue_all[active?])</f>
        <v>yes</v>
      </c>
    </row>
    <row r="85" spans="1:18" x14ac:dyDescent="0.25">
      <c r="A85" s="1" t="s">
        <v>626</v>
      </c>
      <c r="B85" s="1" t="s">
        <v>269</v>
      </c>
      <c r="C85" s="1" t="s">
        <v>753</v>
      </c>
      <c r="D85" s="1">
        <v>2018</v>
      </c>
      <c r="E85" s="1" t="s">
        <v>271</v>
      </c>
      <c r="F85" s="1" t="s">
        <v>593</v>
      </c>
      <c r="G85" s="1" t="s">
        <v>849</v>
      </c>
      <c r="J85" s="1" t="str">
        <v>IEEE Transactions on Robotics</v>
      </c>
      <c r="L85" s="1" t="s">
        <v>604</v>
      </c>
      <c r="M85" s="14">
        <f>AVERAGEIF(venue[venue],venue_journal[[#This Row],[unique venue]],venue[year])</f>
        <v>2022</v>
      </c>
      <c r="N85" s="18" cm="1">
        <f t="array" ref="N85">_xlfn.STDEV.P(IF(venue[venue]=venue_journal[[#This Row],[unique venue]],venue[year]))</f>
        <v>0</v>
      </c>
      <c r="O85" s="1" cm="1">
        <f t="array" ref="O85">MAX(IF(venue[venue]=venue_journal[[#This Row],[unique venue]],venue[year]))</f>
        <v>2022</v>
      </c>
      <c r="P85" s="1">
        <f>COUNTIF(venue[venue],venue_journal[[#This Row],[unique venue]])</f>
        <v>1</v>
      </c>
      <c r="Q85" s="14" cm="1">
        <f t="array" ref="Q85">MEDIAN(IF(venue[venue]=venue_journal[[#This Row],[unique venue]],venue[year]))</f>
        <v>2022</v>
      </c>
      <c r="R85" s="10" t="str">
        <f>LOOKUP(venue_journal[[#This Row],[unique venue]],venue_all[unique venue],venue_all[active?])</f>
        <v>yes</v>
      </c>
    </row>
    <row r="86" spans="1:18" x14ac:dyDescent="0.25">
      <c r="A86" s="1" t="s">
        <v>626</v>
      </c>
      <c r="B86" s="1" t="s">
        <v>766</v>
      </c>
      <c r="C86" s="1" t="s">
        <v>767</v>
      </c>
      <c r="D86" s="1">
        <v>2018</v>
      </c>
      <c r="E86" s="1" t="s">
        <v>303</v>
      </c>
      <c r="F86" s="1" t="s">
        <v>593</v>
      </c>
      <c r="G86" s="1" t="s">
        <v>849</v>
      </c>
      <c r="J86" s="1" t="str">
        <v>IEEE Transactions on Visualization and Computer Graphics</v>
      </c>
      <c r="L86" s="1" t="s">
        <v>619</v>
      </c>
      <c r="M86" s="14">
        <f>AVERAGEIF(venue[venue],venue_journal[[#This Row],[unique venue]],venue[year])</f>
        <v>2022</v>
      </c>
      <c r="N86" s="18" cm="1">
        <f t="array" ref="N86">_xlfn.STDEV.P(IF(venue[venue]=venue_journal[[#This Row],[unique venue]],venue[year]))</f>
        <v>0</v>
      </c>
      <c r="O86" s="1" cm="1">
        <f t="array" ref="O86">MAX(IF(venue[venue]=venue_journal[[#This Row],[unique venue]],venue[year]))</f>
        <v>2022</v>
      </c>
      <c r="P86" s="1">
        <f>COUNTIF(venue[venue],venue_journal[[#This Row],[unique venue]])</f>
        <v>1</v>
      </c>
      <c r="Q86" s="14" cm="1">
        <f t="array" ref="Q86">MEDIAN(IF(venue[venue]=venue_journal[[#This Row],[unique venue]],venue[year]))</f>
        <v>2022</v>
      </c>
      <c r="R86" s="10" t="str">
        <f>LOOKUP(venue_journal[[#This Row],[unique venue]],venue_all[unique venue],venue_all[active?])</f>
        <v>yes</v>
      </c>
    </row>
    <row r="87" spans="1:18" x14ac:dyDescent="0.25">
      <c r="A87" s="1" t="s">
        <v>626</v>
      </c>
      <c r="B87" s="1" t="s">
        <v>778</v>
      </c>
      <c r="C87" s="1" t="s">
        <v>779</v>
      </c>
      <c r="D87" s="1">
        <v>2018</v>
      </c>
      <c r="E87" s="1" t="s">
        <v>327</v>
      </c>
      <c r="F87" s="1" t="s">
        <v>593</v>
      </c>
      <c r="G87" s="1" t="s">
        <v>849</v>
      </c>
      <c r="J87" s="1" t="str">
        <v>IEEE/ASME Transactions on Mechatronics</v>
      </c>
      <c r="L87" s="1" t="s">
        <v>610</v>
      </c>
      <c r="M87" s="14">
        <f>AVERAGEIF(venue[venue],venue_journal[[#This Row],[unique venue]],venue[year])</f>
        <v>2021</v>
      </c>
      <c r="N87" s="18" cm="1">
        <f t="array" ref="N87">_xlfn.STDEV.P(IF(venue[venue]=venue_journal[[#This Row],[unique venue]],venue[year]))</f>
        <v>0</v>
      </c>
      <c r="O87" s="1" cm="1">
        <f t="array" ref="O87">MAX(IF(venue[venue]=venue_journal[[#This Row],[unique venue]],venue[year]))</f>
        <v>2021</v>
      </c>
      <c r="P87" s="1">
        <f>COUNTIF(venue[venue],venue_journal[[#This Row],[unique venue]])</f>
        <v>1</v>
      </c>
      <c r="Q87" s="14" cm="1">
        <f t="array" ref="Q87">MEDIAN(IF(venue[venue]=venue_journal[[#This Row],[unique venue]],venue[year]))</f>
        <v>2021</v>
      </c>
      <c r="R87" s="10" t="str">
        <f>LOOKUP(venue_journal[[#This Row],[unique venue]],venue_all[unique venue],venue_all[active?])</f>
        <v>yes</v>
      </c>
    </row>
    <row r="88" spans="1:18" x14ac:dyDescent="0.25">
      <c r="A88" s="1" t="s">
        <v>626</v>
      </c>
      <c r="B88" s="1" t="s">
        <v>365</v>
      </c>
      <c r="C88" s="1" t="s">
        <v>737</v>
      </c>
      <c r="D88" s="1">
        <v>2019</v>
      </c>
      <c r="E88" s="1" t="s">
        <v>367</v>
      </c>
      <c r="F88" s="1" t="s">
        <v>593</v>
      </c>
      <c r="G88" s="1" t="s">
        <v>849</v>
      </c>
      <c r="J88" s="1" t="str">
        <v>IEEE/CAA Journal of Automatica Sinica</v>
      </c>
      <c r="L88" s="1" t="s">
        <v>618</v>
      </c>
      <c r="M88" s="14">
        <f>AVERAGEIF(venue[venue],venue_journal[[#This Row],[unique venue]],venue[year])</f>
        <v>2021</v>
      </c>
      <c r="N88" s="18" cm="1">
        <f t="array" ref="N88">_xlfn.STDEV.P(IF(venue[venue]=venue_journal[[#This Row],[unique venue]],venue[year]))</f>
        <v>0</v>
      </c>
      <c r="O88" s="1" cm="1">
        <f t="array" ref="O88">MAX(IF(venue[venue]=venue_journal[[#This Row],[unique venue]],venue[year]))</f>
        <v>2021</v>
      </c>
      <c r="P88" s="1">
        <f>COUNTIF(venue[venue],venue_journal[[#This Row],[unique venue]])</f>
        <v>1</v>
      </c>
      <c r="Q88" s="14" cm="1">
        <f t="array" ref="Q88">MEDIAN(IF(venue[venue]=venue_journal[[#This Row],[unique venue]],venue[year]))</f>
        <v>2021</v>
      </c>
      <c r="R88" s="10" t="str">
        <f>LOOKUP(venue_journal[[#This Row],[unique venue]],venue_all[unique venue],venue_all[active?])</f>
        <v>yes</v>
      </c>
    </row>
    <row r="89" spans="1:18" x14ac:dyDescent="0.25">
      <c r="A89" s="1" t="s">
        <v>626</v>
      </c>
      <c r="B89" s="1" t="s">
        <v>361</v>
      </c>
      <c r="C89" s="1" t="s">
        <v>824</v>
      </c>
      <c r="D89" s="1">
        <v>2019</v>
      </c>
      <c r="E89" s="1" t="s">
        <v>363</v>
      </c>
      <c r="F89" s="1" t="s">
        <v>593</v>
      </c>
      <c r="G89" s="1" t="s">
        <v>849</v>
      </c>
      <c r="J89" s="1" t="str">
        <v>IET Intelligent Transport Systems</v>
      </c>
      <c r="L89" s="1" t="s">
        <v>607</v>
      </c>
      <c r="M89" s="14">
        <f>AVERAGEIF(venue[venue],venue_journal[[#This Row],[unique venue]],venue[year])</f>
        <v>2021</v>
      </c>
      <c r="N89" s="18" cm="1">
        <f t="array" ref="N89">_xlfn.STDEV.P(IF(venue[venue]=venue_journal[[#This Row],[unique venue]],venue[year]))</f>
        <v>0</v>
      </c>
      <c r="O89" s="1" cm="1">
        <f t="array" ref="O89">MAX(IF(venue[venue]=venue_journal[[#This Row],[unique venue]],venue[year]))</f>
        <v>2021</v>
      </c>
      <c r="P89" s="1">
        <f>COUNTIF(venue[venue],venue_journal[[#This Row],[unique venue]])</f>
        <v>1</v>
      </c>
      <c r="Q89" s="16" cm="1">
        <f t="array" ref="Q89">MEDIAN(IF(venue[venue]=venue_journal[[#This Row],[unique venue]],venue[year]))</f>
        <v>2021</v>
      </c>
      <c r="R89" s="10" t="str">
        <f>LOOKUP(venue_journal[[#This Row],[unique venue]],venue_all[unique venue],venue_all[active?])</f>
        <v>yes</v>
      </c>
    </row>
    <row r="90" spans="1:18" x14ac:dyDescent="0.25">
      <c r="A90" s="1" t="s">
        <v>626</v>
      </c>
      <c r="B90" s="1" t="s">
        <v>373</v>
      </c>
      <c r="C90" s="1" t="s">
        <v>832</v>
      </c>
      <c r="D90" s="1">
        <v>2019</v>
      </c>
      <c r="E90" s="1" t="s">
        <v>375</v>
      </c>
      <c r="F90" s="1" t="s">
        <v>593</v>
      </c>
      <c r="G90" s="1" t="s">
        <v>849</v>
      </c>
      <c r="J90" s="1" t="str">
        <v>International Journal of Advanced Robotic Systems</v>
      </c>
      <c r="L90" s="1" t="s">
        <v>598</v>
      </c>
      <c r="M90" s="14">
        <f>AVERAGEIF(venue[venue],venue_journal[[#This Row],[unique venue]],venue[year])</f>
        <v>2021</v>
      </c>
      <c r="N90" s="18" cm="1">
        <f t="array" ref="N90">_xlfn.STDEV.P(IF(venue[venue]=venue_journal[[#This Row],[unique venue]],venue[year]))</f>
        <v>0</v>
      </c>
      <c r="O90" s="1" cm="1">
        <f t="array" ref="O90">MAX(IF(venue[venue]=venue_journal[[#This Row],[unique venue]],venue[year]))</f>
        <v>2021</v>
      </c>
      <c r="P90" s="1">
        <f>COUNTIF(venue[venue],venue_journal[[#This Row],[unique venue]])</f>
        <v>1</v>
      </c>
      <c r="Q90" s="14" cm="1">
        <f t="array" ref="Q90">MEDIAN(IF(venue[venue]=venue_journal[[#This Row],[unique venue]],venue[year]))</f>
        <v>2021</v>
      </c>
      <c r="R90" s="10" t="str">
        <f>LOOKUP(venue_journal[[#This Row],[unique venue]],venue_all[unique venue],venue_all[active?])</f>
        <v>yes</v>
      </c>
    </row>
    <row r="91" spans="1:18" x14ac:dyDescent="0.25">
      <c r="A91" s="1" t="s">
        <v>626</v>
      </c>
      <c r="B91" s="1" t="s">
        <v>429</v>
      </c>
      <c r="C91" s="1" t="s">
        <v>736</v>
      </c>
      <c r="D91" s="1">
        <v>2020</v>
      </c>
      <c r="E91" s="1" t="s">
        <v>431</v>
      </c>
      <c r="F91" s="1" t="s">
        <v>593</v>
      </c>
      <c r="G91" s="1" t="s">
        <v>849</v>
      </c>
      <c r="J91" s="1" t="str">
        <v>International Journal of Computer Vision</v>
      </c>
      <c r="L91" s="1" t="s">
        <v>601</v>
      </c>
      <c r="M91" s="14">
        <f>AVERAGEIF(venue[venue],venue_journal[[#This Row],[unique venue]],venue[year])</f>
        <v>2021</v>
      </c>
      <c r="N91" s="18" cm="1">
        <f t="array" ref="N91">_xlfn.STDEV.P(IF(venue[venue]=venue_journal[[#This Row],[unique venue]],venue[year]))</f>
        <v>0</v>
      </c>
      <c r="O91" s="1" cm="1">
        <f t="array" ref="O91">MAX(IF(venue[venue]=venue_journal[[#This Row],[unique venue]],venue[year]))</f>
        <v>2021</v>
      </c>
      <c r="P91" s="1">
        <f>COUNTIF(venue[venue],venue_journal[[#This Row],[unique venue]])</f>
        <v>1</v>
      </c>
      <c r="Q91" s="14" cm="1">
        <f t="array" ref="Q91">MEDIAN(IF(venue[venue]=venue_journal[[#This Row],[unique venue]],venue[year]))</f>
        <v>2021</v>
      </c>
      <c r="R91" s="10" t="str">
        <f>LOOKUP(venue_journal[[#This Row],[unique venue]],venue_all[unique venue],venue_all[active?])</f>
        <v>yes</v>
      </c>
    </row>
    <row r="92" spans="1:18" x14ac:dyDescent="0.25">
      <c r="A92" s="1" t="s">
        <v>626</v>
      </c>
      <c r="B92" s="1" t="s">
        <v>796</v>
      </c>
      <c r="C92" s="1" t="s">
        <v>797</v>
      </c>
      <c r="D92" s="1">
        <v>2020</v>
      </c>
      <c r="E92" s="1" t="s">
        <v>450</v>
      </c>
      <c r="F92" s="1" t="s">
        <v>593</v>
      </c>
      <c r="G92" s="1" t="s">
        <v>849</v>
      </c>
      <c r="J92" s="1" t="str">
        <v>International Journal of Robotics Research</v>
      </c>
      <c r="L92" s="1" t="s">
        <v>615</v>
      </c>
      <c r="M92" s="14">
        <f>AVERAGEIF(venue[venue],venue_journal[[#This Row],[unique venue]],venue[year])</f>
        <v>2021</v>
      </c>
      <c r="N92" s="18" cm="1">
        <f t="array" ref="N92">_xlfn.STDEV.P(IF(venue[venue]=venue_journal[[#This Row],[unique venue]],venue[year]))</f>
        <v>0</v>
      </c>
      <c r="O92" s="1" cm="1">
        <f t="array" ref="O92">MAX(IF(venue[venue]=venue_journal[[#This Row],[unique venue]],venue[year]))</f>
        <v>2021</v>
      </c>
      <c r="P92" s="1">
        <f>COUNTIF(venue[venue],venue_journal[[#This Row],[unique venue]])</f>
        <v>1</v>
      </c>
      <c r="Q92" s="14" cm="1">
        <f t="array" ref="Q92">MEDIAN(IF(venue[venue]=venue_journal[[#This Row],[unique venue]],venue[year]))</f>
        <v>2021</v>
      </c>
      <c r="R92" s="10" t="str">
        <f>LOOKUP(venue_journal[[#This Row],[unique venue]],venue_all[unique venue],venue_all[active?])</f>
        <v>yes</v>
      </c>
    </row>
    <row r="93" spans="1:18" x14ac:dyDescent="0.25">
      <c r="A93" s="1" t="s">
        <v>626</v>
      </c>
      <c r="B93" s="1" t="s">
        <v>809</v>
      </c>
      <c r="C93" s="1" t="s">
        <v>810</v>
      </c>
      <c r="D93" s="1">
        <v>2020</v>
      </c>
      <c r="E93" s="1" t="s">
        <v>407</v>
      </c>
      <c r="F93" s="1" t="s">
        <v>593</v>
      </c>
      <c r="G93" s="1" t="s">
        <v>849</v>
      </c>
      <c r="J93" s="1" t="str">
        <v>Journal of Field Robotics</v>
      </c>
      <c r="L93" s="1" t="s">
        <v>620</v>
      </c>
      <c r="M93" s="14">
        <f>AVERAGEIF(venue[venue],venue_journal[[#This Row],[unique venue]],venue[year])</f>
        <v>2021</v>
      </c>
      <c r="N93" s="18" cm="1">
        <f t="array" ref="N93">_xlfn.STDEV.P(IF(venue[venue]=venue_journal[[#This Row],[unique venue]],venue[year]))</f>
        <v>0</v>
      </c>
      <c r="O93" s="1" cm="1">
        <f t="array" ref="O93">MAX(IF(venue[venue]=venue_journal[[#This Row],[unique venue]],venue[year]))</f>
        <v>2021</v>
      </c>
      <c r="P93" s="1">
        <f>COUNTIF(venue[venue],venue_journal[[#This Row],[unique venue]])</f>
        <v>1</v>
      </c>
      <c r="Q93" s="14" cm="1">
        <f t="array" ref="Q93">MEDIAN(IF(venue[venue]=venue_journal[[#This Row],[unique venue]],venue[year]))</f>
        <v>2021</v>
      </c>
      <c r="R93" s="10" t="str">
        <f>LOOKUP(venue_journal[[#This Row],[unique venue]],venue_all[unique venue],venue_all[active?])</f>
        <v>yes</v>
      </c>
    </row>
    <row r="94" spans="1:18" x14ac:dyDescent="0.25">
      <c r="A94" s="1" t="s">
        <v>626</v>
      </c>
      <c r="B94" s="1" t="s">
        <v>678</v>
      </c>
      <c r="C94" s="1" t="s">
        <v>679</v>
      </c>
      <c r="D94" s="1">
        <v>2021</v>
      </c>
      <c r="E94" s="1" t="s">
        <v>486</v>
      </c>
      <c r="F94" s="1" t="s">
        <v>593</v>
      </c>
      <c r="G94" s="1" t="s">
        <v>849</v>
      </c>
      <c r="J94" s="1" t="str">
        <v>Journal of Intelligent and Robotic Systems: Theory and Applications</v>
      </c>
      <c r="L94" s="1" t="s">
        <v>614</v>
      </c>
      <c r="M94" s="14">
        <f>AVERAGEIF(venue[venue],venue_journal[[#This Row],[unique venue]],venue[year])</f>
        <v>2021</v>
      </c>
      <c r="N94" s="18" cm="1">
        <f t="array" ref="N94">_xlfn.STDEV.P(IF(venue[venue]=venue_journal[[#This Row],[unique venue]],venue[year]))</f>
        <v>0</v>
      </c>
      <c r="O94" s="1" cm="1">
        <f t="array" ref="O94">MAX(IF(venue[venue]=venue_journal[[#This Row],[unique venue]],venue[year]))</f>
        <v>2021</v>
      </c>
      <c r="P94" s="1">
        <f>COUNTIF(venue[venue],venue_journal[[#This Row],[unique venue]])</f>
        <v>1</v>
      </c>
      <c r="Q94" s="14" cm="1">
        <f t="array" ref="Q94">MEDIAN(IF(venue[venue]=venue_journal[[#This Row],[unique venue]],venue[year]))</f>
        <v>2021</v>
      </c>
      <c r="R94" s="10" t="str">
        <f>LOOKUP(venue_journal[[#This Row],[unique venue]],venue_all[unique venue],venue_all[active?])</f>
        <v>yes</v>
      </c>
    </row>
    <row r="95" spans="1:18" x14ac:dyDescent="0.25">
      <c r="A95" s="1" t="s">
        <v>626</v>
      </c>
      <c r="B95" s="1" t="s">
        <v>528</v>
      </c>
      <c r="C95" s="1" t="s">
        <v>731</v>
      </c>
      <c r="D95" s="1">
        <v>2021</v>
      </c>
      <c r="E95" s="1" t="s">
        <v>530</v>
      </c>
      <c r="F95" s="1" t="s">
        <v>593</v>
      </c>
      <c r="G95" s="1" t="s">
        <v>849</v>
      </c>
      <c r="J95" s="1" t="str">
        <v>KI - Kunstliche Intelligenz</v>
      </c>
      <c r="L95" s="1" t="s">
        <v>611</v>
      </c>
      <c r="M95" s="14">
        <f>AVERAGEIF(venue[venue],venue_journal[[#This Row],[unique venue]],venue[year])</f>
        <v>2015</v>
      </c>
      <c r="N95" s="18" cm="1">
        <f t="array" ref="N95">_xlfn.STDEV.P(IF(venue[venue]=venue_journal[[#This Row],[unique venue]],venue[year]))</f>
        <v>0</v>
      </c>
      <c r="O95" s="1" cm="1">
        <f t="array" ref="O95">MAX(IF(venue[venue]=venue_journal[[#This Row],[unique venue]],venue[year]))</f>
        <v>2015</v>
      </c>
      <c r="P95" s="1">
        <f>COUNTIF(venue[venue],venue_journal[[#This Row],[unique venue]])</f>
        <v>1</v>
      </c>
      <c r="Q95" s="14" cm="1">
        <f t="array" ref="Q95">MEDIAN(IF(venue[venue]=venue_journal[[#This Row],[unique venue]],venue[year]))</f>
        <v>2015</v>
      </c>
      <c r="R95" s="10" t="str">
        <f>LOOKUP(venue_journal[[#This Row],[unique venue]],venue_all[unique venue],venue_all[active?])</f>
        <v>yes</v>
      </c>
    </row>
    <row r="96" spans="1:18" x14ac:dyDescent="0.25">
      <c r="A96" s="1" t="s">
        <v>629</v>
      </c>
      <c r="B96" s="1" t="s">
        <v>843</v>
      </c>
      <c r="C96" s="1" t="s">
        <v>844</v>
      </c>
      <c r="D96" s="1">
        <v>2021</v>
      </c>
      <c r="E96" s="1" t="s">
        <v>518</v>
      </c>
      <c r="F96" s="1" t="s">
        <v>593</v>
      </c>
      <c r="G96" s="1" t="s">
        <v>620</v>
      </c>
      <c r="J96" s="1" t="str">
        <v>Multimedia Tools and Applications</v>
      </c>
      <c r="L96" s="1" t="s">
        <v>595</v>
      </c>
      <c r="M96" s="14">
        <f>AVERAGEIF(venue[venue],venue_journal[[#This Row],[unique venue]],venue[year])</f>
        <v>2013</v>
      </c>
      <c r="N96" s="18" cm="1">
        <f t="array" ref="N96">_xlfn.STDEV.P(IF(venue[venue]=venue_journal[[#This Row],[unique venue]],venue[year]))</f>
        <v>0</v>
      </c>
      <c r="O96" s="1" cm="1">
        <f t="array" ref="O96">MAX(IF(venue[venue]=venue_journal[[#This Row],[unique venue]],venue[year]))</f>
        <v>2013</v>
      </c>
      <c r="P96" s="1">
        <f>COUNTIF(venue[venue],venue_journal[[#This Row],[unique venue]])</f>
        <v>1</v>
      </c>
      <c r="Q96" s="14" cm="1">
        <f t="array" ref="Q96">MEDIAN(IF(venue[venue]=venue_journal[[#This Row],[unique venue]],venue[year]))</f>
        <v>2013</v>
      </c>
      <c r="R96" s="10" t="str">
        <f>LOOKUP(venue_journal[[#This Row],[unique venue]],venue_all[unique venue],venue_all[active?])</f>
        <v>yes</v>
      </c>
    </row>
    <row r="97" spans="1:18" x14ac:dyDescent="0.25">
      <c r="A97" s="1" t="s">
        <v>626</v>
      </c>
      <c r="B97" s="1" t="s">
        <v>741</v>
      </c>
      <c r="C97" s="1" t="s">
        <v>742</v>
      </c>
      <c r="D97" s="1">
        <v>2016</v>
      </c>
      <c r="E97" s="1" t="s">
        <v>224</v>
      </c>
      <c r="F97" s="1" t="s">
        <v>593</v>
      </c>
      <c r="G97" s="1" t="s">
        <v>860</v>
      </c>
      <c r="J97" s="1" t="str">
        <v>Robotics and Autonomous Systems</v>
      </c>
      <c r="L97" s="1" t="s">
        <v>606</v>
      </c>
      <c r="M97" s="14">
        <f>AVERAGEIF(venue[venue],venue_journal[[#This Row],[unique venue]],venue[year])</f>
        <v>2010</v>
      </c>
      <c r="N97" s="18" cm="1">
        <f t="array" ref="N97">_xlfn.STDEV.P(IF(venue[venue]=venue_journal[[#This Row],[unique venue]],venue[year]))</f>
        <v>0</v>
      </c>
      <c r="O97" s="1" cm="1">
        <f t="array" ref="O97">MAX(IF(venue[venue]=venue_journal[[#This Row],[unique venue]],venue[year]))</f>
        <v>2010</v>
      </c>
      <c r="P97" s="1">
        <f>COUNTIF(venue[venue],venue_journal[[#This Row],[unique venue]])</f>
        <v>1</v>
      </c>
      <c r="Q97" s="14" cm="1">
        <f t="array" ref="Q97">MEDIAN(IF(venue[venue]=venue_journal[[#This Row],[unique venue]],venue[year]))</f>
        <v>2010</v>
      </c>
      <c r="R97" s="10" t="str">
        <f>LOOKUP(venue_journal[[#This Row],[unique venue]],venue_all[unique venue],venue_all[active?])</f>
        <v>yes</v>
      </c>
    </row>
    <row r="98" spans="1:18" x14ac:dyDescent="0.25">
      <c r="A98" s="1" t="s">
        <v>626</v>
      </c>
      <c r="B98" s="1" t="s">
        <v>774</v>
      </c>
      <c r="C98" s="1" t="s">
        <v>775</v>
      </c>
      <c r="D98" s="1">
        <v>2019</v>
      </c>
      <c r="E98" s="1" t="s">
        <v>383</v>
      </c>
      <c r="F98" s="1" t="s">
        <v>593</v>
      </c>
      <c r="G98" s="1" t="s">
        <v>860</v>
      </c>
      <c r="J98" s="1" t="str">
        <v>Sensors</v>
      </c>
      <c r="L98" s="1" t="s">
        <v>594</v>
      </c>
      <c r="M98" s="14">
        <f>AVERAGEIF(venue[venue],venue_journal[[#This Row],[unique venue]],venue[year])</f>
        <v>2002</v>
      </c>
      <c r="N98" s="18" cm="1">
        <f t="array" ref="N98">_xlfn.STDEV.P(IF(venue[venue]=venue_journal[[#This Row],[unique venue]],venue[year]))</f>
        <v>0</v>
      </c>
      <c r="O98" s="1" cm="1">
        <f t="array" ref="O98">MAX(IF(venue[venue]=venue_journal[[#This Row],[unique venue]],venue[year]))</f>
        <v>2002</v>
      </c>
      <c r="P98" s="1">
        <f>COUNTIF(venue[venue],venue_journal[[#This Row],[unique venue]])</f>
        <v>1</v>
      </c>
      <c r="Q98" s="14" cm="1">
        <f t="array" ref="Q98">MEDIAN(IF(venue[venue]=venue_journal[[#This Row],[unique venue]],venue[year]))</f>
        <v>2002</v>
      </c>
      <c r="R98" s="10" t="str">
        <f>LOOKUP(venue_journal[[#This Row],[unique venue]],venue_all[unique venue],venue_all[active?])</f>
        <v>yes</v>
      </c>
    </row>
    <row r="99" spans="1:18" x14ac:dyDescent="0.25">
      <c r="A99" s="1" t="s">
        <v>626</v>
      </c>
      <c r="B99" s="1" t="s">
        <v>788</v>
      </c>
      <c r="C99" s="1" t="s">
        <v>789</v>
      </c>
      <c r="D99" s="1">
        <v>2009</v>
      </c>
      <c r="E99" s="1" t="s">
        <v>593</v>
      </c>
      <c r="F99" s="1" t="s">
        <v>616</v>
      </c>
      <c r="G99" s="1" t="s">
        <v>855</v>
      </c>
    </row>
    <row r="100" spans="1:18" x14ac:dyDescent="0.25">
      <c r="A100" s="1" t="s">
        <v>626</v>
      </c>
      <c r="B100" s="1" t="s">
        <v>706</v>
      </c>
      <c r="C100" s="1" t="s">
        <v>707</v>
      </c>
      <c r="D100" s="1">
        <v>2013</v>
      </c>
      <c r="E100" s="1" t="s">
        <v>102</v>
      </c>
      <c r="F100" s="1" t="s">
        <v>593</v>
      </c>
      <c r="G100" s="1" t="s">
        <v>855</v>
      </c>
    </row>
    <row r="101" spans="1:18" x14ac:dyDescent="0.25">
      <c r="A101" s="1" t="s">
        <v>626</v>
      </c>
      <c r="B101" s="1" t="s">
        <v>839</v>
      </c>
      <c r="C101" s="1" t="s">
        <v>840</v>
      </c>
      <c r="D101" s="1">
        <v>2017</v>
      </c>
      <c r="E101" s="1" t="s">
        <v>255</v>
      </c>
      <c r="F101" s="1" t="s">
        <v>593</v>
      </c>
      <c r="G101" s="1" t="s">
        <v>856</v>
      </c>
    </row>
    <row r="102" spans="1:18" x14ac:dyDescent="0.25">
      <c r="A102" s="1" t="s">
        <v>626</v>
      </c>
      <c r="B102" s="1" t="s">
        <v>627</v>
      </c>
      <c r="C102" s="1" t="s">
        <v>628</v>
      </c>
      <c r="D102" s="1">
        <v>2020</v>
      </c>
      <c r="E102" s="1" t="s">
        <v>415</v>
      </c>
      <c r="F102" s="1" t="s">
        <v>593</v>
      </c>
      <c r="G102" s="1" t="s">
        <v>847</v>
      </c>
    </row>
    <row r="103" spans="1:18" x14ac:dyDescent="0.25">
      <c r="A103" s="1" t="s">
        <v>629</v>
      </c>
      <c r="B103" s="1" t="s">
        <v>261</v>
      </c>
      <c r="C103" s="1" t="s">
        <v>698</v>
      </c>
      <c r="D103" s="1">
        <v>2018</v>
      </c>
      <c r="E103" s="1" t="s">
        <v>263</v>
      </c>
      <c r="F103" s="1" t="s">
        <v>593</v>
      </c>
      <c r="G103" s="1" t="s">
        <v>609</v>
      </c>
    </row>
    <row r="104" spans="1:18" x14ac:dyDescent="0.25">
      <c r="A104" s="1" t="s">
        <v>629</v>
      </c>
      <c r="B104" s="1" t="s">
        <v>476</v>
      </c>
      <c r="C104" s="1" t="s">
        <v>734</v>
      </c>
      <c r="D104" s="1">
        <v>2021</v>
      </c>
      <c r="E104" s="1" t="s">
        <v>478</v>
      </c>
      <c r="F104" s="1" t="s">
        <v>593</v>
      </c>
      <c r="G104" s="1" t="s">
        <v>609</v>
      </c>
    </row>
    <row r="105" spans="1:18" x14ac:dyDescent="0.25">
      <c r="A105" s="1" t="s">
        <v>629</v>
      </c>
      <c r="B105" s="1" t="s">
        <v>492</v>
      </c>
      <c r="C105" s="1" t="s">
        <v>760</v>
      </c>
      <c r="D105" s="1">
        <v>2021</v>
      </c>
      <c r="E105" s="1" t="s">
        <v>494</v>
      </c>
      <c r="F105" s="1" t="s">
        <v>593</v>
      </c>
      <c r="G105" s="1" t="s">
        <v>614</v>
      </c>
    </row>
    <row r="106" spans="1:18" x14ac:dyDescent="0.25">
      <c r="A106" s="1" t="s">
        <v>629</v>
      </c>
      <c r="B106" s="1" t="s">
        <v>764</v>
      </c>
      <c r="C106" s="1" t="s">
        <v>765</v>
      </c>
      <c r="D106" s="1">
        <v>2009</v>
      </c>
      <c r="E106" s="1" t="s">
        <v>15</v>
      </c>
      <c r="F106" s="1" t="s">
        <v>593</v>
      </c>
      <c r="G106" s="1" t="s">
        <v>603</v>
      </c>
    </row>
    <row r="107" spans="1:18" x14ac:dyDescent="0.25">
      <c r="A107" s="1" t="s">
        <v>629</v>
      </c>
      <c r="B107" s="1" t="s">
        <v>686</v>
      </c>
      <c r="C107" s="1" t="s">
        <v>687</v>
      </c>
      <c r="D107" s="1">
        <v>2012</v>
      </c>
      <c r="E107" s="1" t="s">
        <v>70</v>
      </c>
      <c r="F107" s="1" t="s">
        <v>593</v>
      </c>
      <c r="G107" s="1" t="s">
        <v>603</v>
      </c>
    </row>
    <row r="108" spans="1:18" x14ac:dyDescent="0.25">
      <c r="A108" s="1" t="s">
        <v>629</v>
      </c>
      <c r="B108" s="1" t="s">
        <v>104</v>
      </c>
      <c r="C108" s="1" t="s">
        <v>674</v>
      </c>
      <c r="D108" s="1">
        <v>2013</v>
      </c>
      <c r="E108" s="1" t="s">
        <v>106</v>
      </c>
      <c r="F108" s="1" t="s">
        <v>593</v>
      </c>
      <c r="G108" s="1" t="s">
        <v>603</v>
      </c>
    </row>
    <row r="109" spans="1:18" x14ac:dyDescent="0.25">
      <c r="A109" s="1" t="s">
        <v>629</v>
      </c>
      <c r="B109" s="1" t="s">
        <v>699</v>
      </c>
      <c r="C109" s="1" t="s">
        <v>700</v>
      </c>
      <c r="D109" s="1">
        <v>2013</v>
      </c>
      <c r="E109" s="1" t="s">
        <v>110</v>
      </c>
      <c r="F109" s="1" t="s">
        <v>593</v>
      </c>
      <c r="G109" s="1" t="s">
        <v>603</v>
      </c>
    </row>
    <row r="110" spans="1:18" x14ac:dyDescent="0.25">
      <c r="A110" s="1" t="s">
        <v>629</v>
      </c>
      <c r="B110" s="1" t="s">
        <v>710</v>
      </c>
      <c r="C110" s="1" t="s">
        <v>711</v>
      </c>
      <c r="D110" s="1">
        <v>2013</v>
      </c>
      <c r="E110" s="1" t="s">
        <v>78</v>
      </c>
      <c r="F110" s="1" t="s">
        <v>593</v>
      </c>
      <c r="G110" s="1" t="s">
        <v>603</v>
      </c>
    </row>
    <row r="111" spans="1:18" x14ac:dyDescent="0.25">
      <c r="A111" s="1" t="s">
        <v>629</v>
      </c>
      <c r="B111" s="1" t="s">
        <v>120</v>
      </c>
      <c r="C111" s="1" t="s">
        <v>786</v>
      </c>
      <c r="D111" s="1">
        <v>2013</v>
      </c>
      <c r="E111" s="1" t="s">
        <v>122</v>
      </c>
      <c r="F111" s="1" t="s">
        <v>593</v>
      </c>
      <c r="G111" s="1" t="s">
        <v>603</v>
      </c>
    </row>
    <row r="112" spans="1:18" x14ac:dyDescent="0.25">
      <c r="A112" s="1" t="s">
        <v>629</v>
      </c>
      <c r="B112" s="1" t="s">
        <v>92</v>
      </c>
      <c r="C112" s="1" t="s">
        <v>821</v>
      </c>
      <c r="D112" s="1">
        <v>2013</v>
      </c>
      <c r="E112" s="1" t="s">
        <v>94</v>
      </c>
      <c r="F112" s="1" t="s">
        <v>593</v>
      </c>
      <c r="G112" s="1" t="s">
        <v>603</v>
      </c>
    </row>
    <row r="113" spans="1:7" x14ac:dyDescent="0.25">
      <c r="A113" s="1" t="s">
        <v>629</v>
      </c>
      <c r="B113" s="1" t="s">
        <v>131</v>
      </c>
      <c r="C113" s="1" t="s">
        <v>798</v>
      </c>
      <c r="D113" s="1">
        <v>2014</v>
      </c>
      <c r="E113" s="1" t="s">
        <v>133</v>
      </c>
      <c r="F113" s="1" t="s">
        <v>593</v>
      </c>
      <c r="G113" s="1" t="s">
        <v>603</v>
      </c>
    </row>
    <row r="114" spans="1:7" x14ac:dyDescent="0.25">
      <c r="A114" s="1" t="s">
        <v>629</v>
      </c>
      <c r="B114" s="1" t="s">
        <v>748</v>
      </c>
      <c r="C114" s="1" t="s">
        <v>749</v>
      </c>
      <c r="D114" s="1">
        <v>2016</v>
      </c>
      <c r="E114" s="1" t="s">
        <v>216</v>
      </c>
      <c r="F114" s="1" t="s">
        <v>593</v>
      </c>
      <c r="G114" s="1" t="s">
        <v>603</v>
      </c>
    </row>
    <row r="115" spans="1:7" x14ac:dyDescent="0.25">
      <c r="A115" s="1" t="s">
        <v>629</v>
      </c>
      <c r="B115" s="1" t="s">
        <v>817</v>
      </c>
      <c r="C115" s="1" t="s">
        <v>818</v>
      </c>
      <c r="D115" s="1">
        <v>2017</v>
      </c>
      <c r="E115" s="1" t="s">
        <v>239</v>
      </c>
      <c r="F115" s="1" t="s">
        <v>593</v>
      </c>
      <c r="G115" s="1" t="s">
        <v>603</v>
      </c>
    </row>
    <row r="116" spans="1:7" x14ac:dyDescent="0.25">
      <c r="A116" s="1" t="s">
        <v>629</v>
      </c>
      <c r="B116" s="1" t="s">
        <v>835</v>
      </c>
      <c r="C116" s="1" t="s">
        <v>836</v>
      </c>
      <c r="D116" s="1">
        <v>2022</v>
      </c>
      <c r="E116" s="1" t="s">
        <v>566</v>
      </c>
      <c r="F116" s="1" t="s">
        <v>593</v>
      </c>
      <c r="G116" s="1" t="s">
        <v>603</v>
      </c>
    </row>
    <row r="117" spans="1:7" x14ac:dyDescent="0.25">
      <c r="A117" s="1" t="s">
        <v>629</v>
      </c>
      <c r="B117" s="1" t="s">
        <v>25</v>
      </c>
      <c r="C117" s="1" t="s">
        <v>793</v>
      </c>
      <c r="D117" s="1">
        <v>2009</v>
      </c>
      <c r="E117" s="1" t="s">
        <v>27</v>
      </c>
      <c r="F117" s="1" t="s">
        <v>593</v>
      </c>
      <c r="G117" s="1" t="s">
        <v>612</v>
      </c>
    </row>
    <row r="118" spans="1:7" x14ac:dyDescent="0.25">
      <c r="A118" s="1" t="s">
        <v>629</v>
      </c>
      <c r="B118" s="1" t="s">
        <v>218</v>
      </c>
      <c r="C118" s="1" t="s">
        <v>771</v>
      </c>
      <c r="D118" s="1">
        <v>2016</v>
      </c>
      <c r="E118" s="1" t="s">
        <v>220</v>
      </c>
      <c r="F118" s="1" t="s">
        <v>593</v>
      </c>
      <c r="G118" s="1" t="s">
        <v>612</v>
      </c>
    </row>
    <row r="119" spans="1:7" x14ac:dyDescent="0.25">
      <c r="A119" s="1" t="s">
        <v>629</v>
      </c>
      <c r="B119" s="1" t="s">
        <v>206</v>
      </c>
      <c r="C119" s="1" t="s">
        <v>773</v>
      </c>
      <c r="D119" s="1">
        <v>2016</v>
      </c>
      <c r="E119" s="1" t="s">
        <v>208</v>
      </c>
      <c r="F119" s="1" t="s">
        <v>593</v>
      </c>
      <c r="G119" s="1" t="s">
        <v>612</v>
      </c>
    </row>
    <row r="120" spans="1:7" x14ac:dyDescent="0.25">
      <c r="A120" s="1" t="s">
        <v>629</v>
      </c>
      <c r="B120" s="1" t="s">
        <v>249</v>
      </c>
      <c r="C120" s="1" t="s">
        <v>787</v>
      </c>
      <c r="D120" s="1">
        <v>2017</v>
      </c>
      <c r="E120" s="1" t="s">
        <v>251</v>
      </c>
      <c r="F120" s="1" t="s">
        <v>593</v>
      </c>
      <c r="G120" s="1" t="s">
        <v>612</v>
      </c>
    </row>
    <row r="121" spans="1:7" x14ac:dyDescent="0.25">
      <c r="A121" s="1" t="s">
        <v>629</v>
      </c>
      <c r="B121" s="1" t="s">
        <v>317</v>
      </c>
      <c r="C121" s="1" t="s">
        <v>721</v>
      </c>
      <c r="D121" s="1">
        <v>2018</v>
      </c>
      <c r="E121" s="1" t="s">
        <v>319</v>
      </c>
      <c r="F121" s="1" t="s">
        <v>593</v>
      </c>
      <c r="G121" s="1" t="s">
        <v>612</v>
      </c>
    </row>
    <row r="122" spans="1:7" x14ac:dyDescent="0.25">
      <c r="A122" s="1" t="s">
        <v>629</v>
      </c>
      <c r="B122" s="1" t="s">
        <v>353</v>
      </c>
      <c r="C122" s="1" t="s">
        <v>740</v>
      </c>
      <c r="D122" s="1">
        <v>2019</v>
      </c>
      <c r="E122" s="1" t="s">
        <v>355</v>
      </c>
      <c r="F122" s="1" t="s">
        <v>593</v>
      </c>
      <c r="G122" s="1" t="s">
        <v>612</v>
      </c>
    </row>
    <row r="123" spans="1:7" x14ac:dyDescent="0.25">
      <c r="A123" s="1" t="s">
        <v>629</v>
      </c>
      <c r="B123" s="1" t="s">
        <v>746</v>
      </c>
      <c r="C123" s="1" t="s">
        <v>747</v>
      </c>
      <c r="D123" s="1">
        <v>2019</v>
      </c>
      <c r="E123" s="1" t="s">
        <v>387</v>
      </c>
      <c r="F123" s="1" t="s">
        <v>593</v>
      </c>
      <c r="G123" s="1" t="s">
        <v>612</v>
      </c>
    </row>
    <row r="124" spans="1:7" x14ac:dyDescent="0.25">
      <c r="A124" s="1" t="s">
        <v>629</v>
      </c>
      <c r="B124" s="1" t="s">
        <v>841</v>
      </c>
      <c r="C124" s="1" t="s">
        <v>842</v>
      </c>
      <c r="D124" s="1">
        <v>2022</v>
      </c>
      <c r="E124" s="1" t="s">
        <v>554</v>
      </c>
      <c r="F124" s="1" t="s">
        <v>593</v>
      </c>
      <c r="G124" s="1" t="s">
        <v>612</v>
      </c>
    </row>
    <row r="125" spans="1:7" x14ac:dyDescent="0.25">
      <c r="A125" s="1" t="s">
        <v>629</v>
      </c>
      <c r="B125" s="1" t="s">
        <v>712</v>
      </c>
      <c r="C125" s="1" t="s">
        <v>713</v>
      </c>
      <c r="D125" s="1">
        <v>2015</v>
      </c>
      <c r="E125" s="1" t="s">
        <v>153</v>
      </c>
      <c r="F125" s="1" t="s">
        <v>593</v>
      </c>
      <c r="G125" s="1" t="s">
        <v>611</v>
      </c>
    </row>
    <row r="126" spans="1:7" x14ac:dyDescent="0.25">
      <c r="A126" s="1" t="s">
        <v>629</v>
      </c>
      <c r="B126" s="1" t="s">
        <v>690</v>
      </c>
      <c r="C126" s="1" t="s">
        <v>691</v>
      </c>
      <c r="D126" s="1">
        <v>2010</v>
      </c>
      <c r="E126" s="1" t="s">
        <v>42</v>
      </c>
      <c r="F126" s="1" t="s">
        <v>593</v>
      </c>
      <c r="G126" s="1" t="s">
        <v>606</v>
      </c>
    </row>
    <row r="127" spans="1:7" x14ac:dyDescent="0.25">
      <c r="A127" s="1" t="s">
        <v>629</v>
      </c>
      <c r="B127" s="1" t="s">
        <v>560</v>
      </c>
      <c r="C127" s="1" t="s">
        <v>828</v>
      </c>
      <c r="D127" s="1">
        <v>2022</v>
      </c>
      <c r="E127" s="1" t="s">
        <v>562</v>
      </c>
      <c r="F127" s="1" t="s">
        <v>593</v>
      </c>
      <c r="G127" s="1" t="s">
        <v>619</v>
      </c>
    </row>
    <row r="128" spans="1:7" x14ac:dyDescent="0.25">
      <c r="A128" s="1" t="s">
        <v>629</v>
      </c>
      <c r="B128" s="1" t="s">
        <v>738</v>
      </c>
      <c r="C128" s="1" t="s">
        <v>739</v>
      </c>
      <c r="D128" s="1">
        <v>2009</v>
      </c>
      <c r="E128" s="1" t="s">
        <v>19</v>
      </c>
      <c r="F128" s="1" t="s">
        <v>593</v>
      </c>
      <c r="G128" s="1" t="s">
        <v>596</v>
      </c>
    </row>
    <row r="129" spans="1:7" x14ac:dyDescent="0.25">
      <c r="A129" s="1" t="s">
        <v>629</v>
      </c>
      <c r="B129" s="1" t="s">
        <v>56</v>
      </c>
      <c r="C129" s="1" t="s">
        <v>665</v>
      </c>
      <c r="D129" s="1">
        <v>2011</v>
      </c>
      <c r="E129" s="1" t="s">
        <v>58</v>
      </c>
      <c r="F129" s="1" t="s">
        <v>593</v>
      </c>
      <c r="G129" s="1" t="s">
        <v>596</v>
      </c>
    </row>
    <row r="130" spans="1:7" x14ac:dyDescent="0.25">
      <c r="A130" s="1" t="s">
        <v>629</v>
      </c>
      <c r="B130" s="1" t="s">
        <v>112</v>
      </c>
      <c r="C130" s="1" t="s">
        <v>639</v>
      </c>
      <c r="D130" s="1">
        <v>2013</v>
      </c>
      <c r="E130" s="1" t="s">
        <v>114</v>
      </c>
      <c r="F130" s="1" t="s">
        <v>593</v>
      </c>
      <c r="G130" s="1" t="s">
        <v>596</v>
      </c>
    </row>
    <row r="131" spans="1:7" x14ac:dyDescent="0.25">
      <c r="A131" s="1" t="s">
        <v>629</v>
      </c>
      <c r="B131" s="1" t="s">
        <v>80</v>
      </c>
      <c r="C131" s="1" t="s">
        <v>816</v>
      </c>
      <c r="D131" s="1">
        <v>2013</v>
      </c>
      <c r="E131" s="1" t="s">
        <v>82</v>
      </c>
      <c r="F131" s="1" t="s">
        <v>593</v>
      </c>
      <c r="G131" s="1" t="s">
        <v>596</v>
      </c>
    </row>
    <row r="132" spans="1:7" x14ac:dyDescent="0.25">
      <c r="A132" s="1" t="s">
        <v>629</v>
      </c>
      <c r="B132" s="1" t="s">
        <v>658</v>
      </c>
      <c r="C132" s="1" t="s">
        <v>657</v>
      </c>
      <c r="D132" s="1">
        <v>2015</v>
      </c>
      <c r="E132" s="1" t="s">
        <v>160</v>
      </c>
      <c r="F132" s="1" t="s">
        <v>593</v>
      </c>
      <c r="G132" s="1" t="s">
        <v>596</v>
      </c>
    </row>
    <row r="133" spans="1:7" x14ac:dyDescent="0.25">
      <c r="A133" s="1" t="s">
        <v>629</v>
      </c>
      <c r="B133" s="1" t="s">
        <v>174</v>
      </c>
      <c r="C133" s="1" t="s">
        <v>772</v>
      </c>
      <c r="D133" s="1">
        <v>2015</v>
      </c>
      <c r="E133" s="1" t="s">
        <v>176</v>
      </c>
      <c r="F133" s="1" t="s">
        <v>593</v>
      </c>
      <c r="G133" s="1" t="s">
        <v>596</v>
      </c>
    </row>
    <row r="134" spans="1:7" x14ac:dyDescent="0.25">
      <c r="A134" s="1" t="s">
        <v>629</v>
      </c>
      <c r="B134" s="1" t="s">
        <v>701</v>
      </c>
      <c r="C134" s="1" t="s">
        <v>700</v>
      </c>
      <c r="D134" s="1">
        <v>2017</v>
      </c>
      <c r="E134" s="1" t="s">
        <v>227</v>
      </c>
      <c r="F134" s="1" t="s">
        <v>593</v>
      </c>
      <c r="G134" s="1" t="s">
        <v>596</v>
      </c>
    </row>
    <row r="135" spans="1:7" x14ac:dyDescent="0.25">
      <c r="A135" s="1" t="s">
        <v>629</v>
      </c>
      <c r="B135" s="1" t="s">
        <v>241</v>
      </c>
      <c r="C135" s="1" t="s">
        <v>831</v>
      </c>
      <c r="D135" s="1">
        <v>2017</v>
      </c>
      <c r="E135" s="1" t="s">
        <v>243</v>
      </c>
      <c r="F135" s="1" t="s">
        <v>593</v>
      </c>
      <c r="G135" s="1" t="s">
        <v>596</v>
      </c>
    </row>
    <row r="136" spans="1:7" x14ac:dyDescent="0.25">
      <c r="A136" s="1" t="s">
        <v>629</v>
      </c>
      <c r="B136" s="1" t="s">
        <v>659</v>
      </c>
      <c r="C136" s="1" t="s">
        <v>660</v>
      </c>
      <c r="D136" s="1">
        <v>2019</v>
      </c>
      <c r="E136" s="1" t="s">
        <v>347</v>
      </c>
      <c r="F136" s="1" t="s">
        <v>593</v>
      </c>
      <c r="G136" s="1" t="s">
        <v>596</v>
      </c>
    </row>
    <row r="137" spans="1:7" x14ac:dyDescent="0.25">
      <c r="A137" s="1" t="s">
        <v>629</v>
      </c>
      <c r="B137" s="1" t="s">
        <v>401</v>
      </c>
      <c r="C137" s="1" t="s">
        <v>645</v>
      </c>
      <c r="D137" s="1">
        <v>2020</v>
      </c>
      <c r="E137" s="1" t="s">
        <v>403</v>
      </c>
      <c r="F137" s="1" t="s">
        <v>593</v>
      </c>
      <c r="G137" s="1" t="s">
        <v>596</v>
      </c>
    </row>
    <row r="138" spans="1:7" x14ac:dyDescent="0.25">
      <c r="A138" s="1" t="s">
        <v>629</v>
      </c>
      <c r="B138" s="1" t="s">
        <v>635</v>
      </c>
      <c r="C138" s="1" t="s">
        <v>636</v>
      </c>
      <c r="D138" s="1">
        <v>2021</v>
      </c>
      <c r="E138" s="1" t="s">
        <v>506</v>
      </c>
      <c r="F138" s="1" t="s">
        <v>593</v>
      </c>
      <c r="G138" s="1" t="s">
        <v>596</v>
      </c>
    </row>
    <row r="139" spans="1:7" x14ac:dyDescent="0.25">
      <c r="A139" s="1" t="s">
        <v>629</v>
      </c>
      <c r="B139" s="1" t="s">
        <v>468</v>
      </c>
      <c r="C139" s="1" t="s">
        <v>655</v>
      </c>
      <c r="D139" s="1">
        <v>2021</v>
      </c>
      <c r="E139" s="1" t="s">
        <v>470</v>
      </c>
      <c r="F139" s="1" t="s">
        <v>593</v>
      </c>
      <c r="G139" s="1" t="s">
        <v>596</v>
      </c>
    </row>
    <row r="140" spans="1:7" x14ac:dyDescent="0.25">
      <c r="A140" s="1" t="s">
        <v>629</v>
      </c>
      <c r="B140" s="1" t="s">
        <v>512</v>
      </c>
      <c r="C140" s="1" t="s">
        <v>718</v>
      </c>
      <c r="D140" s="1">
        <v>2021</v>
      </c>
      <c r="E140" s="1" t="s">
        <v>514</v>
      </c>
      <c r="F140" s="1" t="s">
        <v>593</v>
      </c>
      <c r="G140" s="1" t="s">
        <v>596</v>
      </c>
    </row>
    <row r="141" spans="1:7" x14ac:dyDescent="0.25">
      <c r="A141" s="1" t="s">
        <v>626</v>
      </c>
      <c r="B141" s="1" t="s">
        <v>128</v>
      </c>
      <c r="C141" s="1" t="s">
        <v>823</v>
      </c>
      <c r="D141" s="1">
        <v>2013</v>
      </c>
      <c r="E141" s="1" t="s">
        <v>129</v>
      </c>
      <c r="F141" s="1" t="s">
        <v>593</v>
      </c>
      <c r="G141" s="1" t="s">
        <v>857</v>
      </c>
    </row>
    <row r="142" spans="1:7" x14ac:dyDescent="0.25">
      <c r="A142" s="1" t="s">
        <v>629</v>
      </c>
      <c r="B142" s="1" t="s">
        <v>617</v>
      </c>
      <c r="C142" s="1" t="s">
        <v>794</v>
      </c>
      <c r="D142" s="1">
        <v>2018</v>
      </c>
      <c r="E142" s="1" t="s">
        <v>331</v>
      </c>
      <c r="F142" s="1" t="s">
        <v>593</v>
      </c>
      <c r="G142" s="1" t="s">
        <v>600</v>
      </c>
    </row>
    <row r="143" spans="1:7" x14ac:dyDescent="0.25">
      <c r="A143" s="1" t="s">
        <v>629</v>
      </c>
      <c r="B143" s="1" t="s">
        <v>357</v>
      </c>
      <c r="C143" s="1" t="s">
        <v>837</v>
      </c>
      <c r="D143" s="1">
        <v>2019</v>
      </c>
      <c r="E143" s="1" t="s">
        <v>359</v>
      </c>
      <c r="F143" s="1" t="s">
        <v>593</v>
      </c>
      <c r="G143" s="1" t="s">
        <v>600</v>
      </c>
    </row>
    <row r="144" spans="1:7" x14ac:dyDescent="0.25">
      <c r="A144" s="1" t="s">
        <v>629</v>
      </c>
      <c r="B144" s="1" t="s">
        <v>650</v>
      </c>
      <c r="C144" s="1" t="s">
        <v>651</v>
      </c>
      <c r="D144" s="1">
        <v>2020</v>
      </c>
      <c r="E144" s="1" t="s">
        <v>423</v>
      </c>
      <c r="F144" s="1" t="s">
        <v>593</v>
      </c>
      <c r="G144" s="1" t="s">
        <v>600</v>
      </c>
    </row>
    <row r="145" spans="1:7" x14ac:dyDescent="0.25">
      <c r="A145" s="1" t="s">
        <v>629</v>
      </c>
      <c r="B145" s="1" t="s">
        <v>799</v>
      </c>
      <c r="C145" s="1" t="s">
        <v>800</v>
      </c>
      <c r="D145" s="1">
        <v>2020</v>
      </c>
      <c r="E145" s="1" t="s">
        <v>446</v>
      </c>
      <c r="F145" s="1" t="s">
        <v>593</v>
      </c>
      <c r="G145" s="1" t="s">
        <v>600</v>
      </c>
    </row>
  </sheetData>
  <conditionalFormatting sqref="O2:O3 R4:R44 O99:O145 R73:R98 O45:O50 O67:O72 R51:R66">
    <cfRule type="containsText" dxfId="9" priority="4" operator="containsText" text="no">
      <formula>NOT(ISERROR(SEARCH("no",O2)))</formula>
    </cfRule>
    <cfRule type="containsText" dxfId="8" priority="5" operator="containsText" text="yes">
      <formula>NOT(ISERROR(SEARCH("yes",O2)))</formula>
    </cfRule>
  </conditionalFormatting>
  <conditionalFormatting sqref="M5:M44 Q5:Q44">
    <cfRule type="expression" dxfId="7" priority="8">
      <formula>($Q5=$M5)</formula>
    </cfRule>
  </conditionalFormatting>
  <conditionalFormatting sqref="M74:M98 Q74:Q98 M52:M66 Q52:Q66">
    <cfRule type="expression" dxfId="6" priority="13">
      <formula>($M52=$Q52)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</vt:lpstr>
      <vt:lpstr>analysis-db</vt:lpstr>
      <vt:lpstr>year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2022-07-29T15:07:32Z</dcterms:modified>
</cp:coreProperties>
</file>