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idenuniv1-my.sharepoint.com/personal/s2874725_vuw_leidenuniv_nl/Documents/thesis/writing/"/>
    </mc:Choice>
  </mc:AlternateContent>
  <xr:revisionPtr revIDLastSave="5221" documentId="11_E60897F41BE170836B02CE998F75CCDC64E183C8" xr6:coauthVersionLast="47" xr6:coauthVersionMax="47" xr10:uidLastSave="{0D87C4F3-E1FC-4979-8CF3-DFCC2F942F2B}"/>
  <bookViews>
    <workbookView xWindow="-108" yWindow="-108" windowWidth="23256" windowHeight="12456" activeTab="2" xr2:uid="{00000000-000D-0000-FFFF-FFFF00000000}"/>
  </bookViews>
  <sheets>
    <sheet name="MFA" sheetId="8" r:id="rId1"/>
    <sheet name="Waste Generation" sheetId="2" r:id="rId2"/>
    <sheet name="Informal Sector" sheetId="5" r:id="rId3"/>
    <sheet name="Formal Sector" sheetId="4" r:id="rId4"/>
    <sheet name="Primary Data" sheetId="7" r:id="rId5"/>
    <sheet name="Downstream Data" sheetId="10" r:id="rId6"/>
    <sheet name="Other" sheetId="1" r:id="rId7"/>
    <sheet name="Global Statistics" sheetId="6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7" l="1"/>
  <c r="C69" i="5"/>
  <c r="C4" i="8"/>
  <c r="C65" i="5"/>
  <c r="C64" i="5"/>
  <c r="C63" i="5"/>
  <c r="E5" i="8"/>
  <c r="D5" i="8"/>
  <c r="E10" i="8"/>
  <c r="E9" i="8"/>
  <c r="D9" i="8"/>
  <c r="I7" i="10" l="1"/>
  <c r="I8" i="10"/>
  <c r="I6" i="10"/>
  <c r="D21" i="10"/>
  <c r="B22" i="10"/>
  <c r="D22" i="10" s="1"/>
  <c r="B25" i="10"/>
  <c r="D25" i="10" s="1"/>
  <c r="D24" i="10"/>
  <c r="D23" i="10"/>
  <c r="D9" i="10"/>
  <c r="D7" i="10"/>
  <c r="D8" i="10"/>
  <c r="D18" i="10"/>
  <c r="D17" i="10"/>
  <c r="D16" i="10"/>
  <c r="D10" i="8"/>
  <c r="K33" i="5"/>
  <c r="C39" i="5"/>
  <c r="K25" i="5"/>
  <c r="E17" i="8"/>
  <c r="D17" i="8"/>
  <c r="C31" i="5"/>
  <c r="B8" i="6"/>
  <c r="C8" i="6"/>
  <c r="A8" i="6"/>
  <c r="C37" i="5"/>
  <c r="C45" i="5"/>
  <c r="Q43" i="5"/>
  <c r="Q30" i="5"/>
  <c r="Q17" i="5"/>
  <c r="K20" i="5"/>
  <c r="K19" i="5"/>
  <c r="C7" i="8" l="1"/>
</calcChain>
</file>

<file path=xl/sharedStrings.xml><?xml version="1.0" encoding="utf-8"?>
<sst xmlns="http://schemas.openxmlformats.org/spreadsheetml/2006/main" count="1093" uniqueCount="561">
  <si>
    <t>Flow number</t>
  </si>
  <si>
    <t>Flow name</t>
  </si>
  <si>
    <t>Plastic waste generated from households</t>
  </si>
  <si>
    <t>Mass balance</t>
  </si>
  <si>
    <t xml:space="preserve"> </t>
  </si>
  <si>
    <t>Collection</t>
  </si>
  <si>
    <t>-</t>
  </si>
  <si>
    <t xml:space="preserve">Plastic scrap collected door-to-door by IWBs from households </t>
  </si>
  <si>
    <t>Plastic scrap collected door-to-door by the formal sector using BOVs</t>
  </si>
  <si>
    <t>Plastic waste collected with MSW as unsegregated waste from corporation bins</t>
  </si>
  <si>
    <t>Uncollected waste</t>
  </si>
  <si>
    <t>Plastic scrap recovered by wastepickers from MSW in corporation bins</t>
  </si>
  <si>
    <t>Plastic scrap by wastepickers from unsegregated waste in landfills</t>
  </si>
  <si>
    <t>Plastic scrap sold by IWBs to small scrap shops</t>
  </si>
  <si>
    <t>Recyclable Plastic scrap sold by formal workers to small scrap shops</t>
  </si>
  <si>
    <t>Recyclable Plastic scrap sold by wastepickers to small scrap shops</t>
  </si>
  <si>
    <t>Discarded (non-recyclable) plastic from small scrap shops</t>
  </si>
  <si>
    <t>Non-recyclable plastic collected by formal workers to MRFs</t>
  </si>
  <si>
    <t>Plastic waste in ungregated MSW that is transproted from corporation bins to Transfer stations</t>
  </si>
  <si>
    <t>Sorted recyclable plastic scrap sold by small scrap shops to large aggregators</t>
  </si>
  <si>
    <t>Non-recyclable plastic transported from MRFs to L2 aggregators</t>
  </si>
  <si>
    <t>Recycling</t>
  </si>
  <si>
    <t>Sorted plastic scrap to recyclers</t>
  </si>
  <si>
    <t xml:space="preserve">Plastic with recycling potential recovered from non-recyclable plastic stream </t>
  </si>
  <si>
    <t>Plastic scrap exported to other cities in India for recycling</t>
  </si>
  <si>
    <t>Recycled plastic sent for manufacturing</t>
  </si>
  <si>
    <t>Non-recyclable plastic sent for pyrolysis</t>
  </si>
  <si>
    <t>Non-recyclable plastic sent to cement plants for co-processing</t>
  </si>
  <si>
    <t>Plastic in unsegregated MSW dumped in landfills</t>
  </si>
  <si>
    <t>Uncollected waste that ends up in litter</t>
  </si>
  <si>
    <t>Uncollected waste that is open-burned</t>
  </si>
  <si>
    <t>Plastic entering natural environments (water bodies or in land)</t>
  </si>
  <si>
    <t>Particles entering environment (air, water, and land) after burning</t>
  </si>
  <si>
    <t>MFA flows</t>
  </si>
  <si>
    <t>Name</t>
  </si>
  <si>
    <t>Value</t>
  </si>
  <si>
    <t>Unit</t>
  </si>
  <si>
    <t>Explanation</t>
  </si>
  <si>
    <t>min</t>
  </si>
  <si>
    <t>max</t>
  </si>
  <si>
    <t>F1</t>
  </si>
  <si>
    <t>tons per mon</t>
  </si>
  <si>
    <t>F2</t>
  </si>
  <si>
    <t>tons per month</t>
  </si>
  <si>
    <t>Range of number of IWBs * waste collected per IWB</t>
  </si>
  <si>
    <t>F3</t>
  </si>
  <si>
    <t>F4</t>
  </si>
  <si>
    <t>F5</t>
  </si>
  <si>
    <t>F6</t>
  </si>
  <si>
    <t>F7</t>
  </si>
  <si>
    <t>F8</t>
  </si>
  <si>
    <t>F7 = F1</t>
  </si>
  <si>
    <t>All the scrap collected is assumed to be deposited to small scrap shops</t>
  </si>
  <si>
    <t>F9</t>
  </si>
  <si>
    <t>F18 = 0.5* F3</t>
  </si>
  <si>
    <t>F10</t>
  </si>
  <si>
    <t>F11</t>
  </si>
  <si>
    <t>F12</t>
  </si>
  <si>
    <t>F12 = 0.5 * F3</t>
  </si>
  <si>
    <t>F13</t>
  </si>
  <si>
    <t>F14</t>
  </si>
  <si>
    <t>1600-2307</t>
  </si>
  <si>
    <t>F15</t>
  </si>
  <si>
    <t>F16</t>
  </si>
  <si>
    <t>F17</t>
  </si>
  <si>
    <t>F26 = 0.05*F22</t>
  </si>
  <si>
    <t>F26 = 0.1*F22</t>
  </si>
  <si>
    <t>Primary data</t>
  </si>
  <si>
    <t xml:space="preserve">Assumed an average of 7.5% since the value is 5-10% </t>
  </si>
  <si>
    <t>F18</t>
  </si>
  <si>
    <t>F29 = 0.13 * total value</t>
  </si>
  <si>
    <t>F19</t>
  </si>
  <si>
    <t>F20</t>
  </si>
  <si>
    <t>F23 = 0.1 * F22</t>
  </si>
  <si>
    <t>F21</t>
  </si>
  <si>
    <t>F22</t>
  </si>
  <si>
    <t>F11 = F10</t>
  </si>
  <si>
    <t>Everything that is sent to the transfer station is sent to landfills</t>
  </si>
  <si>
    <t>F23</t>
  </si>
  <si>
    <t>F24</t>
  </si>
  <si>
    <t>F25</t>
  </si>
  <si>
    <t>F26</t>
  </si>
  <si>
    <t>Region</t>
  </si>
  <si>
    <t>What data</t>
  </si>
  <si>
    <t>Source</t>
  </si>
  <si>
    <t>Year of data</t>
  </si>
  <si>
    <t>National and State level data*</t>
  </si>
  <si>
    <t>Specific surveys within Chennai</t>
  </si>
  <si>
    <t>Total waste generated</t>
  </si>
  <si>
    <t>Ward 100, Chennai</t>
  </si>
  <si>
    <t>India</t>
  </si>
  <si>
    <t>Total waste generated by urban india</t>
  </si>
  <si>
    <t>Population</t>
  </si>
  <si>
    <t>2017-2019</t>
  </si>
  <si>
    <t>Total waste generation per day</t>
  </si>
  <si>
    <t>MT</t>
  </si>
  <si>
    <t>% of total waste generated in India that is recyclable</t>
  </si>
  <si>
    <t>%</t>
  </si>
  <si>
    <t>kg</t>
  </si>
  <si>
    <t>number of streets</t>
  </si>
  <si>
    <t>Total plastic waste generated</t>
  </si>
  <si>
    <t>Wet waste</t>
  </si>
  <si>
    <t>Rafey and Siddique (2021)</t>
  </si>
  <si>
    <t>million tons per annum</t>
  </si>
  <si>
    <t>Paper</t>
  </si>
  <si>
    <t>(Ahmed et al. 2022)</t>
  </si>
  <si>
    <t>Plastic</t>
  </si>
  <si>
    <t>CPCB (2012)</t>
  </si>
  <si>
    <t xml:space="preserve">Glass </t>
  </si>
  <si>
    <t>Metal</t>
  </si>
  <si>
    <t>Tamil Nadu</t>
  </si>
  <si>
    <t>Total plastic waste produced in Tamil Nadu</t>
  </si>
  <si>
    <t>tons per annum</t>
  </si>
  <si>
    <r>
      <t>(</t>
    </r>
    <r>
      <rPr>
        <i/>
        <sz val="11"/>
        <color theme="1"/>
        <rFont val="Calibri"/>
        <family val="2"/>
        <scheme val="minor"/>
      </rPr>
      <t>Statista</t>
    </r>
    <r>
      <rPr>
        <sz val="11"/>
        <color theme="1"/>
        <rFont val="Calibri"/>
        <family val="2"/>
        <scheme val="minor"/>
      </rPr>
      <t>, n.d.)</t>
    </r>
  </si>
  <si>
    <t>Hazardous and inerts</t>
  </si>
  <si>
    <t>Imports</t>
  </si>
  <si>
    <t>Chennai</t>
  </si>
  <si>
    <t>% contribution of imports to total plastic waste that needs to be managed</t>
  </si>
  <si>
    <t>3-4%</t>
  </si>
  <si>
    <t>WBSCD (2016)</t>
  </si>
  <si>
    <t>Total pieces of plastic collected</t>
  </si>
  <si>
    <t>(Narayanan &amp; Kapilavai, 2021)</t>
  </si>
  <si>
    <t>Amount of imported plastic waste</t>
  </si>
  <si>
    <t>tons</t>
  </si>
  <si>
    <t>Total participants</t>
  </si>
  <si>
    <t>Recycling in Delhi</t>
  </si>
  <si>
    <t>Composition of plastic waste</t>
  </si>
  <si>
    <t>PET</t>
  </si>
  <si>
    <t>Delhi</t>
  </si>
  <si>
    <t>% of recycled plastic in india that is produced in Delhi</t>
  </si>
  <si>
    <t>HDPE</t>
  </si>
  <si>
    <t>% of plastic waste generated in india that comes from Delhi</t>
  </si>
  <si>
    <t>PVC</t>
  </si>
  <si>
    <t>Amount of waste plastic transported to Delhi for processing</t>
  </si>
  <si>
    <t>million tons</t>
  </si>
  <si>
    <t>LDPE</t>
  </si>
  <si>
    <t>% of all waste plastic that is transported to Delhi for processing</t>
  </si>
  <si>
    <t>PP</t>
  </si>
  <si>
    <t>PS</t>
  </si>
  <si>
    <t>Chennai data</t>
  </si>
  <si>
    <t>Other/no information</t>
  </si>
  <si>
    <t>Plastic Use Composition</t>
  </si>
  <si>
    <t>Food packaging</t>
  </si>
  <si>
    <t>Total (MSW) waste generated</t>
  </si>
  <si>
    <t>Packing material</t>
  </si>
  <si>
    <t>(Parvathamma 2014)</t>
  </si>
  <si>
    <t>tons per day</t>
  </si>
  <si>
    <t>Personal care</t>
  </si>
  <si>
    <t>Household products</t>
  </si>
  <si>
    <t>total solid waste collected from the city</t>
  </si>
  <si>
    <t>Chennai corporation</t>
  </si>
  <si>
    <t>(GCC, it’s time to look at your waste line again 2023)</t>
  </si>
  <si>
    <t>tonnes per month</t>
  </si>
  <si>
    <t>tonnes per annum</t>
  </si>
  <si>
    <t>% of MLP in plastic waste audited</t>
  </si>
  <si>
    <t>(Narayanan and Rajkumar, 2022)</t>
  </si>
  <si>
    <r>
      <t>(</t>
    </r>
    <r>
      <rPr>
        <i/>
        <sz val="11"/>
        <color theme="1"/>
        <rFont val="Calibri"/>
        <family val="2"/>
        <scheme val="minor"/>
      </rPr>
      <t>Database on Solid Waste Management in Tamil Nadu</t>
    </r>
    <r>
      <rPr>
        <sz val="11"/>
        <color theme="1"/>
        <rFont val="Calibri"/>
        <family val="2"/>
        <scheme val="minor"/>
      </rPr>
      <t>, 2016)</t>
    </r>
  </si>
  <si>
    <t>(Chennai lacks proper infra to dispose of recyclable plastic 2023)</t>
  </si>
  <si>
    <t>total generation of plastic waste in a month in Chennai</t>
  </si>
  <si>
    <t>Chennai CMDA</t>
  </si>
  <si>
    <t>(CMDA, n.d.)</t>
  </si>
  <si>
    <t>Chennai 2015 - Corporation of Chennai</t>
  </si>
  <si>
    <t>Contribution of households to MSW</t>
  </si>
  <si>
    <t>% of total waste generated that is from small and medium generators</t>
  </si>
  <si>
    <t>Contribution of households to total waste generated</t>
  </si>
  <si>
    <t>Notes</t>
  </si>
  <si>
    <t>Waste handled per worker</t>
  </si>
  <si>
    <t>Number of Workers</t>
  </si>
  <si>
    <t>Wastepickers collection by foot on average</t>
  </si>
  <si>
    <t>kg/day</t>
  </si>
  <si>
    <t>plastic waste collected</t>
  </si>
  <si>
    <t>1.38 - 2.61</t>
  </si>
  <si>
    <t>Injection grade PP and PE scraps</t>
  </si>
  <si>
    <t>&gt;60</t>
  </si>
  <si>
    <t>Hande (2019)</t>
  </si>
  <si>
    <t>Total number of wastepickers in India</t>
  </si>
  <si>
    <t>average volume of plastic collected</t>
  </si>
  <si>
    <t>6.23 - 10.7</t>
  </si>
  <si>
    <t>Chandramohan et al (2010) - Hande (2019)</t>
  </si>
  <si>
    <t>million</t>
  </si>
  <si>
    <t>(Raj, 2019)</t>
  </si>
  <si>
    <t>Lizner and Lange (2013)</t>
  </si>
  <si>
    <t>Distribution of plastic types at L0 level</t>
  </si>
  <si>
    <t>(Bonner, 2008)</t>
  </si>
  <si>
    <t>on foot</t>
  </si>
  <si>
    <t>Bommai</t>
  </si>
  <si>
    <t>% of India's working population engaged in the informal waste sector</t>
  </si>
  <si>
    <t>on cycle</t>
  </si>
  <si>
    <t>on pushcarts</t>
  </si>
  <si>
    <t>Masala</t>
  </si>
  <si>
    <t>Number of ragpickers</t>
  </si>
  <si>
    <t>&gt;100000</t>
  </si>
  <si>
    <t>Sharholy et al. 2008</t>
  </si>
  <si>
    <t>average quantity of solid waste materials collected by one rag picker</t>
  </si>
  <si>
    <t>10-15</t>
  </si>
  <si>
    <t>Milkcover</t>
  </si>
  <si>
    <t>number of active pickers</t>
  </si>
  <si>
    <t>80000-100000</t>
  </si>
  <si>
    <t>(Agarwal et al., 2005; Nandy et al., 2015)</t>
  </si>
  <si>
    <t>average quantity of recyclables collected by one ragpicker</t>
  </si>
  <si>
    <t>Water Packet</t>
  </si>
  <si>
    <t>Bubbletop</t>
  </si>
  <si>
    <t>Waste handled by IWS</t>
  </si>
  <si>
    <t>Trichy</t>
  </si>
  <si>
    <t>total volume collected by ragpickers on average</t>
  </si>
  <si>
    <t>White odappu</t>
  </si>
  <si>
    <t>average volume of plastic collected by ragpickers</t>
  </si>
  <si>
    <t>Colour odappu</t>
  </si>
  <si>
    <t>% of recyclables recovered by IWS</t>
  </si>
  <si>
    <t>average volume of milk packets</t>
  </si>
  <si>
    <t xml:space="preserve"> Hard piece</t>
  </si>
  <si>
    <t>% of plastic recycling done by informal sector</t>
  </si>
  <si>
    <t>% of plastic</t>
  </si>
  <si>
    <t>% of milk covers</t>
  </si>
  <si>
    <t>% of total revenue that is earned from plastic by waste pickers</t>
  </si>
  <si>
    <t>kg/month</t>
  </si>
  <si>
    <t>average volume of plastic of a L0 aggregator (IWBs and WPs)</t>
  </si>
  <si>
    <t>average waste collected by waste pickers on foot from garbage bins in a day</t>
  </si>
  <si>
    <t>Odappu</t>
  </si>
  <si>
    <t>Hardpiece</t>
  </si>
  <si>
    <t>Karuppu</t>
  </si>
  <si>
    <t>Number of waste pickers</t>
  </si>
  <si>
    <t>64.59 - 115</t>
  </si>
  <si>
    <t>Milk packet</t>
  </si>
  <si>
    <t>Total number of waste pickers</t>
  </si>
  <si>
    <t>(Sudhir, Srinivasan, and Muraleedharan 1997)</t>
  </si>
  <si>
    <t>LD</t>
  </si>
  <si>
    <t>Total number of active pickers</t>
  </si>
  <si>
    <t>50000-100000</t>
  </si>
  <si>
    <t>number of ragpicker</t>
  </si>
  <si>
    <t>&gt;8000</t>
  </si>
  <si>
    <t>(GCC to employ 400 rag pickers 2023)</t>
  </si>
  <si>
    <t>estimate of total number of waste pickers*</t>
  </si>
  <si>
    <t>22780 -25244</t>
  </si>
  <si>
    <t>average volume of plastic handled by L1 aggregator</t>
  </si>
  <si>
    <t>Kodam</t>
  </si>
  <si>
    <t>plastic handled by 1 scrap shop in a month</t>
  </si>
  <si>
    <t>(PoS and QR Code based material traceability pilot at Sri Kailash Waste Paper Mart (Chennai) 2021)</t>
  </si>
  <si>
    <t>8330 - 174911</t>
  </si>
  <si>
    <t>volume handled by 1 small scrap shop</t>
  </si>
  <si>
    <t>Distribution of plastic types at L2 level</t>
  </si>
  <si>
    <t>Total number of IWBs</t>
  </si>
  <si>
    <t>volume of plastic handled by a scrap shop - from total volume per scrap shop</t>
  </si>
  <si>
    <t>tons/month</t>
  </si>
  <si>
    <t>Los (2022)</t>
  </si>
  <si>
    <t>Average volume of a large scrap shop</t>
  </si>
  <si>
    <t xml:space="preserve">Primary data, (Chennai City Population 2023 | Literacy and Hindu Muslim Population n.d.) </t>
  </si>
  <si>
    <t>average volume of plastic handled by L2 aggregators</t>
  </si>
  <si>
    <t>Hard Piece</t>
  </si>
  <si>
    <t>Average storage capacity of a large scrap shop</t>
  </si>
  <si>
    <t>Number of small scrap shops</t>
  </si>
  <si>
    <t>Super PP</t>
  </si>
  <si>
    <t>Total number of dealers</t>
  </si>
  <si>
    <t>Road Waste</t>
  </si>
  <si>
    <t>total number of small scrap shops</t>
  </si>
  <si>
    <t>Survey on Informal Waste Sector, North Chennai</t>
  </si>
  <si>
    <t>Super Bommai</t>
  </si>
  <si>
    <t>total number of L1 aggregators</t>
  </si>
  <si>
    <t>estimate of total number of scrap shops*</t>
  </si>
  <si>
    <t>2278 - 2524</t>
  </si>
  <si>
    <t>% of owners that get their recyclable plastic from residents</t>
  </si>
  <si>
    <t>% of scrap shops who sort the scrap</t>
  </si>
  <si>
    <t>Number of L2 aggregators (all materials)</t>
  </si>
  <si>
    <t>Destination of scrap from small scrap shops</t>
  </si>
  <si>
    <t>Number of processors (all materials)</t>
  </si>
  <si>
    <t>Wholesaler</t>
  </si>
  <si>
    <t>Retailer</t>
  </si>
  <si>
    <t>Other (including processor)</t>
  </si>
  <si>
    <t>% of total recyclables that is handled by the informal sector</t>
  </si>
  <si>
    <r>
      <t>(</t>
    </r>
    <r>
      <rPr>
        <i/>
        <sz val="11"/>
        <color theme="1"/>
        <rFont val="Calibri"/>
        <family val="2"/>
        <scheme val="minor"/>
      </rPr>
      <t>From Trash to Resource</t>
    </r>
    <r>
      <rPr>
        <sz val="11"/>
        <color theme="1"/>
        <rFont val="Calibri"/>
        <family val="2"/>
        <scheme val="minor"/>
      </rPr>
      <t>, 2017)</t>
    </r>
  </si>
  <si>
    <t>(Hande 2021)</t>
  </si>
  <si>
    <t>% of recyclable waste generated by residents that is collected by IWS</t>
  </si>
  <si>
    <t>population</t>
  </si>
  <si>
    <t>Amount of material collected by the informal sector</t>
  </si>
  <si>
    <t>total material collected by IWS</t>
  </si>
  <si>
    <t xml:space="preserve">Total waste recovery by ragpickers+IWBs </t>
  </si>
  <si>
    <t>Amount of (recyclable) plastic collected by the informal sector</t>
  </si>
  <si>
    <t>amount of plastic material recovered by Chennai's IWS</t>
  </si>
  <si>
    <t>total plastic waste recovered by ragpickers + IWBs</t>
  </si>
  <si>
    <t xml:space="preserve">% by volume of plastic among all material handled by IWS  </t>
  </si>
  <si>
    <t>% of generated plastic that is recovered by the IWS</t>
  </si>
  <si>
    <t>% of recovery of post-consumer plastic by IWS</t>
  </si>
  <si>
    <t>Infrastructure</t>
  </si>
  <si>
    <t>Waste collected</t>
  </si>
  <si>
    <t>(Jayaraman 2023)</t>
  </si>
  <si>
    <t>Total solid waste collected every day</t>
  </si>
  <si>
    <t>(Welcome to Greater Chennai Corporation n.d.)</t>
  </si>
  <si>
    <t>Number of tricycles</t>
  </si>
  <si>
    <t xml:space="preserve">Number of transfer stations </t>
  </si>
  <si>
    <t>Waste to energy plants (for biodegradable waste)</t>
  </si>
  <si>
    <t>Number</t>
  </si>
  <si>
    <t>tonnes per day</t>
  </si>
  <si>
    <t>Total capacity</t>
  </si>
  <si>
    <t>Total plastic waste handled by the formal sector (GCC and Urbaser Sumeet)</t>
  </si>
  <si>
    <t>440 - 786</t>
  </si>
  <si>
    <t>total capacity of incinerator plants</t>
  </si>
  <si>
    <t>Nonsaleable dry waste</t>
  </si>
  <si>
    <t>(Soon, battery-operated vehicles to clean Chennai 2019)</t>
  </si>
  <si>
    <t>Total number of BOVs</t>
  </si>
  <si>
    <t>(Greater Chennai Corporation saves 3,000 tonne of emissions through its battery vehicles 2022)</t>
  </si>
  <si>
    <t>Number of workers</t>
  </si>
  <si>
    <t>(Sanjeevi and Shahabudeen 2016)</t>
  </si>
  <si>
    <t>number of BOV (battery-operated vehicles)</t>
  </si>
  <si>
    <t>total capacity of BOV</t>
  </si>
  <si>
    <t>tons per trip</t>
  </si>
  <si>
    <t>Total number of sanitary workers (sweeping, door-to-door collection, transporting)</t>
  </si>
  <si>
    <t>(MS 2016)</t>
  </si>
  <si>
    <t>number of corporation bins</t>
  </si>
  <si>
    <t>total capacity of corporation bins</t>
  </si>
  <si>
    <t>tricycles</t>
  </si>
  <si>
    <t>Permanent workers</t>
  </si>
  <si>
    <t>total capacity of tricycles</t>
  </si>
  <si>
    <t>Panchayat/NMR/Consolidated</t>
  </si>
  <si>
    <t>NULM (SHGs) Temporary</t>
  </si>
  <si>
    <t>Ramky (private contractor)</t>
  </si>
  <si>
    <t>Landfill</t>
  </si>
  <si>
    <t>% of waste from the city that goes to each landfill</t>
  </si>
  <si>
    <t>Kodungaiyur</t>
  </si>
  <si>
    <t>Perungudi</t>
  </si>
  <si>
    <t>% of MSW dumped in landfills</t>
  </si>
  <si>
    <t>% of waste dumped in open landfills</t>
  </si>
  <si>
    <t>Kondungaiyur</t>
  </si>
  <si>
    <t>acres</t>
  </si>
  <si>
    <t>2600 - 2800</t>
  </si>
  <si>
    <t>2400-2600</t>
  </si>
  <si>
    <t>Volume</t>
  </si>
  <si>
    <t>Wastage</t>
  </si>
  <si>
    <t>Destination of scrap</t>
  </si>
  <si>
    <t>GCs</t>
  </si>
  <si>
    <t>10-15 kg per day</t>
  </si>
  <si>
    <t>L1 aggregator - small scrap shops</t>
  </si>
  <si>
    <t>&gt; 400 ragpickers inside landfills</t>
  </si>
  <si>
    <t>10 kg/day</t>
  </si>
  <si>
    <t>5-8 kg per day</t>
  </si>
  <si>
    <t>500 kg per month</t>
  </si>
  <si>
    <t>L2 (NRP)</t>
  </si>
  <si>
    <t>200-300kg/month</t>
  </si>
  <si>
    <t>150 kg/month</t>
  </si>
  <si>
    <t>Distribution of destination</t>
  </si>
  <si>
    <t>50 tons per month</t>
  </si>
  <si>
    <t>5-10 %</t>
  </si>
  <si>
    <t>120-160 tons per month</t>
  </si>
  <si>
    <t>Pyrolysis</t>
  </si>
  <si>
    <t>300 tons a month</t>
  </si>
  <si>
    <t>Cement</t>
  </si>
  <si>
    <t>Private service provider</t>
  </si>
  <si>
    <t>total</t>
  </si>
  <si>
    <t>500-600 kg</t>
  </si>
  <si>
    <t>100 kg</t>
  </si>
  <si>
    <t>Bommai/HDPE</t>
  </si>
  <si>
    <t>270 kg</t>
  </si>
  <si>
    <t>Odappu (buckets)</t>
  </si>
  <si>
    <t>56 kg</t>
  </si>
  <si>
    <t>Colour</t>
  </si>
  <si>
    <t>43 kg</t>
  </si>
  <si>
    <t>Masala/mixings</t>
  </si>
  <si>
    <t>70 kg</t>
  </si>
  <si>
    <t>Glass odappu</t>
  </si>
  <si>
    <t>Milk packets</t>
  </si>
  <si>
    <t>20 kg</t>
  </si>
  <si>
    <t>Sum</t>
  </si>
  <si>
    <t>1-1.5 tons a month from 1500 houses</t>
  </si>
  <si>
    <t>MSW</t>
  </si>
  <si>
    <t>10000-15000 tons</t>
  </si>
  <si>
    <t>8000 tons</t>
  </si>
  <si>
    <t>Waste picker</t>
  </si>
  <si>
    <t>10 kg of recyclables per day on average</t>
  </si>
  <si>
    <t>Data from Sankey diagram of MSW generation and final destinations</t>
  </si>
  <si>
    <t>Data from Waste flow diagram of plastic generation and final destinations</t>
  </si>
  <si>
    <t>% of total</t>
  </si>
  <si>
    <t>total MSW generated</t>
  </si>
  <si>
    <t>Percentage</t>
  </si>
  <si>
    <t>% of uncollected MSW</t>
  </si>
  <si>
    <t>Uncollected</t>
  </si>
  <si>
    <t>Retained on land</t>
  </si>
  <si>
    <t>% of uncollected waste that is retained on land (including street sweeping)</t>
  </si>
  <si>
    <t>collection by informal sector</t>
  </si>
  <si>
    <t>openly burnt plastic waste</t>
  </si>
  <si>
    <t>% of openly burnt plastic waste out of all uncollected waste</t>
  </si>
  <si>
    <t>collection by service providers</t>
  </si>
  <si>
    <t>Source of plastic (by sector) among the litter</t>
  </si>
  <si>
    <t>Sorting by formal sector</t>
  </si>
  <si>
    <t>Food and beverage category</t>
  </si>
  <si>
    <t>Sorting by informal sector</t>
  </si>
  <si>
    <t>household utilities</t>
  </si>
  <si>
    <t>Disposal</t>
  </si>
  <si>
    <t>personal care products</t>
  </si>
  <si>
    <t>Miscellaneous</t>
  </si>
  <si>
    <t>EOL destination</t>
  </si>
  <si>
    <t>Unmanaged waste</t>
  </si>
  <si>
    <t>Waste sorted for recovery (both informal and formal)</t>
  </si>
  <si>
    <t>waste retained at disposal site</t>
  </si>
  <si>
    <t>Leakages</t>
  </si>
  <si>
    <t>Leakage from collection by informal sector</t>
  </si>
  <si>
    <t>% of leakage from collection</t>
  </si>
  <si>
    <t>Leakage from collection by formal sector</t>
  </si>
  <si>
    <t>Leakage from (formal) sorting to unmanaged waste</t>
  </si>
  <si>
    <t>% of leakage from sorting processes</t>
  </si>
  <si>
    <t>Leakage from (informal) sorting to unmanaged waste</t>
  </si>
  <si>
    <t>Leakage from disposal</t>
  </si>
  <si>
    <t>% of leakage from waste sent for disposal</t>
  </si>
  <si>
    <t>National data</t>
  </si>
  <si>
    <t>Specific survey within Chennai</t>
  </si>
  <si>
    <t>Average savings created for municipality per ton per year</t>
  </si>
  <si>
    <t>Rs</t>
  </si>
  <si>
    <t>% of plastic waste that is recovered</t>
  </si>
  <si>
    <t>50-70</t>
  </si>
  <si>
    <t>% of plastic waste that is recycled</t>
  </si>
  <si>
    <t>Waste collected by municipality per day</t>
  </si>
  <si>
    <t>Waste collected by the informal sector per day</t>
  </si>
  <si>
    <t>Distribution of actors in plastic recycling</t>
  </si>
  <si>
    <t>Capacity of small scrap shops</t>
  </si>
  <si>
    <t>MT/day</t>
  </si>
  <si>
    <t>% of plastic recycling done by formal sector</t>
  </si>
  <si>
    <t>% of plastic recycling done domestically</t>
  </si>
  <si>
    <t>Monetary data</t>
  </si>
  <si>
    <t>Expenditure on waste collection per day</t>
  </si>
  <si>
    <t>$</t>
  </si>
  <si>
    <t>Average monthly income (small scrap shop)</t>
  </si>
  <si>
    <t>Average monthly income (large scrap shop)</t>
  </si>
  <si>
    <t>Average revenue of a large scrap shop</t>
  </si>
  <si>
    <t>10000 - 12000</t>
  </si>
  <si>
    <t>dollars</t>
  </si>
  <si>
    <t>Capacity and number of employees</t>
  </si>
  <si>
    <t>Number of employees in a small scrap shop</t>
  </si>
  <si>
    <t>1 to 2</t>
  </si>
  <si>
    <t>employees</t>
  </si>
  <si>
    <t>Average shop size for small scrap shop</t>
  </si>
  <si>
    <t>sq feet</t>
  </si>
  <si>
    <t>Number of employees in a large scrap shop</t>
  </si>
  <si>
    <t>7 to 10</t>
  </si>
  <si>
    <t>Average shop size for large scrap shop</t>
  </si>
  <si>
    <t>Population and administrative boundaries</t>
  </si>
  <si>
    <t>Population of chennai</t>
  </si>
  <si>
    <t>Census of India</t>
  </si>
  <si>
    <t>GCC</t>
  </si>
  <si>
    <t>Zones</t>
  </si>
  <si>
    <t>wards</t>
  </si>
  <si>
    <t>Urban population</t>
  </si>
  <si>
    <t>Proportion of waste pickers in urban population</t>
  </si>
  <si>
    <t>tons/year</t>
  </si>
  <si>
    <t>(Hande, 2021)</t>
  </si>
  <si>
    <t>Hande (2021)</t>
  </si>
  <si>
    <t>*this is not an exhaustive list</t>
  </si>
  <si>
    <t>Flow Number</t>
  </si>
  <si>
    <t>Bottom up value</t>
  </si>
  <si>
    <t>Top down value</t>
  </si>
  <si>
    <t>This denotes the total amount of plastic waste that is collected by the formal sector as MSW from households: total MSW * % waste generation from households (68%) * % plastic in MSW (7.4%)</t>
  </si>
  <si>
    <t>(Total number of wastepickers in the city - wastepickers in landfill) * Amount of plastic they can pick per day * 30 days</t>
  </si>
  <si>
    <t>Number of wastepickers is obtained from from ID drive of wastepickers in landfills</t>
  </si>
  <si>
    <t>F5 = 0.299*F1</t>
  </si>
  <si>
    <t>This is the total amount of plastic collected by the formal sector, that is subtracted with the reported plastic waste collected by BOVs.</t>
  </si>
  <si>
    <t>F24 = 0.0698*F5</t>
  </si>
  <si>
    <t>10-20% of collected scrap is discarded as waste in bins</t>
  </si>
  <si>
    <t>Nandy et al. (2015)</t>
  </si>
  <si>
    <t>Operating capacity of small scrap shops</t>
  </si>
  <si>
    <t>Capacity of waste pickers</t>
  </si>
  <si>
    <t>Operating capacity of waste pickers</t>
  </si>
  <si>
    <t>Total plastic collected</t>
  </si>
  <si>
    <t>Plastic collected on streets</t>
  </si>
  <si>
    <t>Plastic collected by dumpsites</t>
  </si>
  <si>
    <t>Estimated proportion of wastepickers in 2016, based on Lizner and Lange (2013)</t>
  </si>
  <si>
    <t>Estimated annual mass of plastic waste collected per waste picker in urban archetypes, Lau et al. (2020)</t>
  </si>
  <si>
    <r>
      <t xml:space="preserve">F21 = 0.1 * </t>
    </r>
    <r>
      <rPr>
        <sz val="11"/>
        <rFont val="Calibri"/>
        <family val="2"/>
      </rPr>
      <t>Σ</t>
    </r>
    <r>
      <rPr>
        <sz val="11"/>
        <rFont val="Calibri"/>
        <family val="2"/>
        <scheme val="minor"/>
      </rPr>
      <t>(inputs)</t>
    </r>
  </si>
  <si>
    <t>F21 = 0.2*Σ(inputs)</t>
  </si>
  <si>
    <t xml:space="preserve">From primary data, collection of non-recyclable plastic is about 10 -15 kg per day and collection of recyclable plastic is about 5-10 kg per day. </t>
  </si>
  <si>
    <t>From primary data, collection of non-recyclable plastic is about 10 -15 kg per day and collection of recyclable plastic is about 5-10 kg per day. Top down value is estimated using a 50-50 distribution.</t>
  </si>
  <si>
    <t>Mass balance is used in the model, not the top-down or bottom-up values</t>
  </si>
  <si>
    <t>Assumed that 13% is exported from national data</t>
  </si>
  <si>
    <t>Top-down value from secondary sources</t>
  </si>
  <si>
    <t>CPCB (2015)</t>
  </si>
  <si>
    <t>Parvathamma (2014)</t>
  </si>
  <si>
    <t>Total generation of plastic waste in a month in Chennai</t>
  </si>
  <si>
    <t>Total generation of plastic waste</t>
  </si>
  <si>
    <t>Generation of recylable plastic</t>
  </si>
  <si>
    <t>% of plastic waste in total MSW generated</t>
  </si>
  <si>
    <t>MSW and Plastic waste generation</t>
  </si>
  <si>
    <t>Ahmed et al. (2022)</t>
  </si>
  <si>
    <t>Total per capita waste generation per day</t>
  </si>
  <si>
    <t>Composition of waste generated</t>
  </si>
  <si>
    <t>% Contribution of Households</t>
  </si>
  <si>
    <t>*this is not exhaustive</t>
  </si>
  <si>
    <t>Data from National and Other cities*</t>
  </si>
  <si>
    <t>Sharholy et al. (2008)</t>
  </si>
  <si>
    <t>Lau et al. (2020); Chaturvedi (2010)</t>
  </si>
  <si>
    <t>extrapolated from Ward 100</t>
  </si>
  <si>
    <t>extrapolated 2011 ward population to 2023 by using growth rate of total population of Chennai</t>
  </si>
  <si>
    <t>extrapolated from primary data</t>
  </si>
  <si>
    <t>RANGE: 2050-3566</t>
  </si>
  <si>
    <t>RANGE: 22780 - 40,000</t>
  </si>
  <si>
    <t>RANGE: 1970 - 2524</t>
  </si>
  <si>
    <t>range is too high, so this value is not used</t>
  </si>
  <si>
    <t>A combination of local (Chennai) data and national data</t>
  </si>
  <si>
    <t>No of IWBs in ward 132 (approximation)</t>
  </si>
  <si>
    <t>Number of IWBs in Pammal region (population of 100,000)</t>
  </si>
  <si>
    <t>Total number of IWBs from literature</t>
  </si>
  <si>
    <t>total IWBs for Chennai, extrapolated from Pammal region</t>
  </si>
  <si>
    <t>total IWBs for Chennai, extrapolated from ward 132</t>
  </si>
  <si>
    <t>Total Waste handled by IWS - Top-down values</t>
  </si>
  <si>
    <t>Hande (2021); Census of India; GCC population data</t>
  </si>
  <si>
    <t>Hande (2021); Census of India; GCC</t>
  </si>
  <si>
    <t>Plastic types - Survey of IWS in Chennai</t>
  </si>
  <si>
    <t>Average waste collected by waste pickers</t>
  </si>
  <si>
    <t>Total number of scrap shops interviewed</t>
  </si>
  <si>
    <t>Number of scrap shops</t>
  </si>
  <si>
    <t>RANGE: 800-1517</t>
  </si>
  <si>
    <t>Average total volume of a small scrap shop</t>
  </si>
  <si>
    <t>verage volume of plastic handled by L1 aggregator</t>
  </si>
  <si>
    <t>Primary data - 1 ton in scrap shop, 8 IWBs per shop</t>
  </si>
  <si>
    <t>Calculated from range of values for ragpickers on cycles, 15.38% plastic collection</t>
  </si>
  <si>
    <t>Plastic Waste collected per IWB</t>
  </si>
  <si>
    <t>Plastic waste collected by ragpickers on cycles (IWB)</t>
  </si>
  <si>
    <t>Average volume collected by waste pickers (IWBs, and wastepickers)</t>
  </si>
  <si>
    <t>Agarwal et al., (2005)</t>
  </si>
  <si>
    <t>14-25</t>
  </si>
  <si>
    <t>9-17</t>
  </si>
  <si>
    <t>Agarwal et al. (2005); Nandy et al. (2015)</t>
  </si>
  <si>
    <t>RANGE: 1.38 - 10.7</t>
  </si>
  <si>
    <t>Based on 15.35% plastic in total volume handled by IWS, Agarwal et al. (2005); Sharholy et al. (2008); Chandramohan et al (2010)</t>
  </si>
  <si>
    <t>Chandramohan, et al. (2010)</t>
  </si>
  <si>
    <t>Total number of bins on the roads</t>
  </si>
  <si>
    <t>Number of centres for plastic baling to be sent to cement factories</t>
  </si>
  <si>
    <t>Incinerator plants</t>
  </si>
  <si>
    <t>Sweepers</t>
  </si>
  <si>
    <t>Number of workers with tricycles collecting waste</t>
  </si>
  <si>
    <t>Total workforce</t>
  </si>
  <si>
    <t>Number of permanent employees</t>
  </si>
  <si>
    <t>Total workers employed</t>
  </si>
  <si>
    <t>Kondungaiyur landfill</t>
  </si>
  <si>
    <t>Perungudi landfill</t>
  </si>
  <si>
    <t>Area of landfill</t>
  </si>
  <si>
    <t>Daily waste disposed in landfill</t>
  </si>
  <si>
    <t>Daily quantity of waste transferred to transfer stations</t>
  </si>
  <si>
    <t>Recyclable plastic waste that is disposed off properly, including IWS</t>
  </si>
  <si>
    <t>Amount of recyclable waste sorted by conservancy workers</t>
  </si>
  <si>
    <t>Monthly range in 2022</t>
  </si>
  <si>
    <t>Total in 2022</t>
  </si>
  <si>
    <t>Indoor Audit 2021 - Chennai</t>
  </si>
  <si>
    <t>Outdoor Audit 2022 - Chennai</t>
  </si>
  <si>
    <t>18-28 out of around 300 work as conservancy workers for Urbaser Sumeet, rest are waste pickers</t>
  </si>
  <si>
    <t>950 ragpickers registered for IDs in Landfills</t>
  </si>
  <si>
    <t xml:space="preserve">8 IWBs working in 1 small scrap shop </t>
  </si>
  <si>
    <t>~45 IWBs working in ward 132</t>
  </si>
  <si>
    <t>32 kabadiwalas for 25000 households, 100,000 people in the Pammal region</t>
  </si>
  <si>
    <t>thinner non-reyclable plastic</t>
  </si>
  <si>
    <t>"cover" category</t>
  </si>
  <si>
    <t>10-15 kg/day</t>
  </si>
  <si>
    <t>recyclable plastic</t>
  </si>
  <si>
    <t>IWB2</t>
  </si>
  <si>
    <t>L1 aggregator</t>
  </si>
  <si>
    <t>1 ton/month</t>
  </si>
  <si>
    <t>700 - 1000 kg/month</t>
  </si>
  <si>
    <t>250 kg/week</t>
  </si>
  <si>
    <t>Karuppu Odappu</t>
  </si>
  <si>
    <t>~0</t>
  </si>
  <si>
    <t>10 kg/day waste generated in total</t>
  </si>
  <si>
    <t>L2 aggregator of non-recyclable plastic</t>
  </si>
  <si>
    <t>L2 aggregator of recyclable plastic</t>
  </si>
  <si>
    <t>Plastic generation</t>
  </si>
  <si>
    <t>Quantity (tons/annum)</t>
  </si>
  <si>
    <t>Data from the 66 wards of interest around Adyar and Cooum rivers (from Kabadiwalla Connect, (2023))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</si>
</sst>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rgb="FF1A1A1A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4"/>
      </top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ck">
        <color theme="4" tint="0.499984740745262"/>
      </bottom>
      <diagonal/>
    </border>
    <border>
      <left/>
      <right/>
      <top style="thin">
        <color indexed="64"/>
      </top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theme="4" tint="0.499984740745262"/>
      </top>
      <bottom/>
      <diagonal/>
    </border>
    <border>
      <left/>
      <right/>
      <top style="thick">
        <color theme="4" tint="0.499984740745262"/>
      </top>
      <bottom style="thin">
        <color indexed="64"/>
      </bottom>
      <diagonal/>
    </border>
    <border>
      <left/>
      <right style="thin">
        <color indexed="64"/>
      </right>
      <top style="thick">
        <color theme="4" tint="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4" tint="0.499984740745262"/>
      </top>
      <bottom/>
      <diagonal/>
    </border>
    <border>
      <left/>
      <right/>
      <top style="thick">
        <color theme="4" tint="0.499984740745262"/>
      </top>
      <bottom/>
      <diagonal/>
    </border>
    <border>
      <left/>
      <right style="thin">
        <color indexed="64"/>
      </right>
      <top style="thick">
        <color theme="4" tint="0.499984740745262"/>
      </top>
      <bottom/>
      <diagonal/>
    </border>
  </borders>
  <cellStyleXfs count="6">
    <xf numFmtId="0" fontId="0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3" borderId="3" applyNumberFormat="0" applyAlignment="0" applyProtection="0"/>
  </cellStyleXfs>
  <cellXfs count="139">
    <xf numFmtId="0" fontId="0" fillId="0" borderId="0" xfId="0"/>
    <xf numFmtId="0" fontId="1" fillId="0" borderId="0" xfId="0" applyFont="1"/>
    <xf numFmtId="9" fontId="0" fillId="0" borderId="0" xfId="0" applyNumberFormat="1"/>
    <xf numFmtId="16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5" fillId="0" borderId="0" xfId="0" applyFont="1" applyAlignment="1">
      <alignment vertical="center" wrapText="1"/>
    </xf>
    <xf numFmtId="0" fontId="6" fillId="0" borderId="0" xfId="2" applyAlignment="1">
      <alignment vertical="center" wrapText="1"/>
    </xf>
    <xf numFmtId="0" fontId="0" fillId="2" borderId="0" xfId="0" applyFill="1"/>
    <xf numFmtId="0" fontId="1" fillId="2" borderId="0" xfId="0" applyFont="1" applyFill="1"/>
    <xf numFmtId="49" fontId="0" fillId="0" borderId="0" xfId="0" applyNumberFormat="1" applyAlignment="1">
      <alignment horizontal="right"/>
    </xf>
    <xf numFmtId="0" fontId="0" fillId="0" borderId="0" xfId="1" applyNumberFormat="1" applyFont="1"/>
    <xf numFmtId="0" fontId="7" fillId="0" borderId="0" xfId="0" applyFont="1"/>
    <xf numFmtId="0" fontId="1" fillId="0" borderId="0" xfId="0" applyFont="1" applyAlignment="1">
      <alignment horizontal="left"/>
    </xf>
    <xf numFmtId="0" fontId="11" fillId="0" borderId="0" xfId="0" applyFont="1"/>
    <xf numFmtId="0" fontId="0" fillId="0" borderId="0" xfId="0" applyAlignment="1">
      <alignment horizontal="right"/>
    </xf>
    <xf numFmtId="0" fontId="0" fillId="0" borderId="4" xfId="0" applyBorder="1"/>
    <xf numFmtId="0" fontId="0" fillId="0" borderId="5" xfId="0" applyBorder="1" applyAlignment="1">
      <alignment horizontal="left" indent="3"/>
    </xf>
    <xf numFmtId="0" fontId="0" fillId="0" borderId="5" xfId="0" applyBorder="1"/>
    <xf numFmtId="0" fontId="0" fillId="0" borderId="0" xfId="0" applyAlignment="1">
      <alignment wrapText="1"/>
    </xf>
    <xf numFmtId="0" fontId="0" fillId="0" borderId="6" xfId="0" applyBorder="1"/>
    <xf numFmtId="0" fontId="0" fillId="0" borderId="0" xfId="0" quotePrefix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9" fontId="0" fillId="0" borderId="12" xfId="0" applyNumberFormat="1" applyBorder="1"/>
    <xf numFmtId="0" fontId="0" fillId="0" borderId="12" xfId="0" applyBorder="1"/>
    <xf numFmtId="0" fontId="0" fillId="0" borderId="14" xfId="0" applyBorder="1"/>
    <xf numFmtId="0" fontId="0" fillId="0" borderId="13" xfId="0" applyBorder="1"/>
    <xf numFmtId="9" fontId="1" fillId="0" borderId="12" xfId="0" applyNumberFormat="1" applyFont="1" applyBorder="1"/>
    <xf numFmtId="0" fontId="8" fillId="5" borderId="1" xfId="3" applyFill="1"/>
    <xf numFmtId="10" fontId="0" fillId="0" borderId="0" xfId="0" applyNumberFormat="1"/>
    <xf numFmtId="0" fontId="12" fillId="0" borderId="0" xfId="0" applyFont="1"/>
    <xf numFmtId="0" fontId="0" fillId="0" borderId="8" xfId="0" applyBorder="1"/>
    <xf numFmtId="0" fontId="1" fillId="0" borderId="8" xfId="0" applyFont="1" applyBorder="1"/>
    <xf numFmtId="0" fontId="0" fillId="0" borderId="8" xfId="0" applyBorder="1" applyAlignment="1">
      <alignment horizontal="left" indent="2"/>
    </xf>
    <xf numFmtId="0" fontId="0" fillId="0" borderId="9" xfId="0" applyBorder="1" applyAlignment="1">
      <alignment horizontal="left" indent="2"/>
    </xf>
    <xf numFmtId="0" fontId="0" fillId="0" borderId="9" xfId="0" applyBorder="1"/>
    <xf numFmtId="0" fontId="14" fillId="0" borderId="0" xfId="0" applyFont="1"/>
    <xf numFmtId="0" fontId="13" fillId="0" borderId="0" xfId="0" applyFont="1"/>
    <xf numFmtId="0" fontId="0" fillId="0" borderId="6" xfId="0" applyBorder="1" applyAlignment="1">
      <alignment horizontal="center"/>
    </xf>
    <xf numFmtId="0" fontId="8" fillId="4" borderId="1" xfId="3" applyFill="1" applyAlignment="1">
      <alignment horizontal="center"/>
    </xf>
    <xf numFmtId="0" fontId="8" fillId="5" borderId="1" xfId="3" applyFill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9" fillId="5" borderId="17" xfId="4" applyFill="1" applyBorder="1" applyAlignment="1">
      <alignment horizontal="center"/>
    </xf>
    <xf numFmtId="0" fontId="0" fillId="0" borderId="0" xfId="0" applyAlignment="1">
      <alignment horizontal="left"/>
    </xf>
    <xf numFmtId="0" fontId="9" fillId="5" borderId="2" xfId="4" applyFill="1" applyAlignment="1">
      <alignment horizontal="center"/>
    </xf>
    <xf numFmtId="0" fontId="1" fillId="0" borderId="0" xfId="0" applyFont="1" applyAlignment="1">
      <alignment horizontal="center"/>
    </xf>
    <xf numFmtId="0" fontId="14" fillId="0" borderId="0" xfId="0" applyFont="1" applyBorder="1"/>
    <xf numFmtId="0" fontId="0" fillId="0" borderId="0" xfId="0" applyBorder="1" applyAlignment="1">
      <alignment wrapText="1"/>
    </xf>
    <xf numFmtId="0" fontId="0" fillId="0" borderId="0" xfId="0" applyBorder="1"/>
    <xf numFmtId="0" fontId="13" fillId="0" borderId="21" xfId="0" applyFont="1" applyBorder="1"/>
    <xf numFmtId="0" fontId="0" fillId="0" borderId="21" xfId="0" applyBorder="1" applyAlignment="1">
      <alignment wrapText="1"/>
    </xf>
    <xf numFmtId="0" fontId="13" fillId="0" borderId="21" xfId="0" applyFont="1" applyBorder="1" applyAlignment="1">
      <alignment wrapText="1"/>
    </xf>
    <xf numFmtId="0" fontId="13" fillId="0" borderId="16" xfId="0" applyFont="1" applyBorder="1"/>
    <xf numFmtId="0" fontId="0" fillId="0" borderId="16" xfId="0" applyBorder="1" applyAlignment="1">
      <alignment wrapText="1"/>
    </xf>
    <xf numFmtId="0" fontId="13" fillId="0" borderId="15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3" fillId="0" borderId="21" xfId="0" applyFont="1" applyBorder="1" applyAlignment="1"/>
    <xf numFmtId="0" fontId="13" fillId="0" borderId="21" xfId="0" applyFont="1" applyBorder="1" applyAlignment="1">
      <alignment vertical="top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/>
    </xf>
    <xf numFmtId="0" fontId="9" fillId="5" borderId="2" xfId="4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0" xfId="0" applyFont="1"/>
    <xf numFmtId="0" fontId="13" fillId="0" borderId="7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2" fillId="2" borderId="10" xfId="5" applyFont="1" applyFill="1" applyBorder="1" applyAlignment="1">
      <alignment horizontal="center" wrapText="1"/>
    </xf>
    <xf numFmtId="0" fontId="10" fillId="2" borderId="10" xfId="5" applyFill="1" applyBorder="1" applyAlignment="1">
      <alignment horizontal="center"/>
    </xf>
    <xf numFmtId="0" fontId="10" fillId="2" borderId="10" xfId="5" applyFill="1" applyBorder="1" applyAlignment="1">
      <alignment horizontal="center" wrapText="1"/>
    </xf>
    <xf numFmtId="0" fontId="12" fillId="2" borderId="16" xfId="5" applyFont="1" applyFill="1" applyBorder="1" applyAlignment="1">
      <alignment horizontal="center" wrapText="1"/>
    </xf>
    <xf numFmtId="0" fontId="10" fillId="2" borderId="16" xfId="5" applyFill="1" applyBorder="1" applyAlignment="1">
      <alignment horizontal="center"/>
    </xf>
    <xf numFmtId="0" fontId="10" fillId="2" borderId="15" xfId="5" applyFill="1" applyBorder="1" applyAlignment="1"/>
    <xf numFmtId="0" fontId="10" fillId="2" borderId="16" xfId="5" applyFill="1" applyBorder="1" applyAlignment="1">
      <alignment horizontal="center" wrapText="1"/>
    </xf>
    <xf numFmtId="0" fontId="0" fillId="0" borderId="0" xfId="0" applyFill="1"/>
    <xf numFmtId="0" fontId="12" fillId="2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0" fillId="0" borderId="0" xfId="0" applyFont="1" applyFill="1"/>
    <xf numFmtId="10" fontId="0" fillId="0" borderId="0" xfId="0" applyNumberFormat="1" applyFont="1" applyFill="1"/>
    <xf numFmtId="0" fontId="0" fillId="0" borderId="0" xfId="0" applyFont="1" applyFill="1" applyAlignment="1">
      <alignment horizontal="left" indent="4"/>
    </xf>
    <xf numFmtId="0" fontId="13" fillId="0" borderId="0" xfId="0" applyFont="1" applyAlignment="1">
      <alignment horizontal="left" indent="3"/>
    </xf>
    <xf numFmtId="3" fontId="0" fillId="0" borderId="0" xfId="0" applyNumberFormat="1" applyAlignment="1">
      <alignment horizontal="right"/>
    </xf>
    <xf numFmtId="0" fontId="0" fillId="0" borderId="0" xfId="0" applyFill="1" applyAlignment="1">
      <alignment horizontal="left" indent="3"/>
    </xf>
    <xf numFmtId="0" fontId="14" fillId="0" borderId="0" xfId="0" applyFont="1" applyFill="1" applyBorder="1"/>
    <xf numFmtId="0" fontId="13" fillId="0" borderId="8" xfId="0" applyFont="1" applyFill="1" applyBorder="1" applyAlignment="1"/>
    <xf numFmtId="0" fontId="13" fillId="0" borderId="8" xfId="0" applyFont="1" applyFill="1" applyBorder="1"/>
    <xf numFmtId="0" fontId="0" fillId="0" borderId="8" xfId="0" applyBorder="1" applyAlignment="1">
      <alignment wrapText="1"/>
    </xf>
    <xf numFmtId="0" fontId="0" fillId="0" borderId="0" xfId="0" applyFill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vertical="center"/>
    </xf>
    <xf numFmtId="0" fontId="1" fillId="0" borderId="12" xfId="0" applyFont="1" applyBorder="1" applyAlignment="1">
      <alignment horizontal="right"/>
    </xf>
    <xf numFmtId="0" fontId="1" fillId="0" borderId="23" xfId="0" applyFont="1" applyBorder="1"/>
    <xf numFmtId="0" fontId="0" fillId="0" borderId="24" xfId="0" applyBorder="1"/>
    <xf numFmtId="0" fontId="1" fillId="0" borderId="0" xfId="0" applyFont="1" applyBorder="1" applyAlignment="1">
      <alignment horizontal="left" indent="3"/>
    </xf>
    <xf numFmtId="0" fontId="1" fillId="0" borderId="4" xfId="0" applyFont="1" applyBorder="1" applyAlignment="1">
      <alignment horizontal="left" indent="3"/>
    </xf>
    <xf numFmtId="9" fontId="1" fillId="0" borderId="14" xfId="0" applyNumberFormat="1" applyFont="1" applyBorder="1"/>
    <xf numFmtId="0" fontId="1" fillId="0" borderId="2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8" xfId="0" applyBorder="1" applyAlignment="1"/>
    <xf numFmtId="0" fontId="0" fillId="0" borderId="0" xfId="0" applyBorder="1" applyAlignment="1"/>
    <xf numFmtId="0" fontId="1" fillId="0" borderId="22" xfId="0" applyFont="1" applyBorder="1" applyAlignment="1">
      <alignment horizontal="center" vertical="center" wrapText="1"/>
    </xf>
    <xf numFmtId="9" fontId="0" fillId="0" borderId="27" xfId="0" applyNumberFormat="1" applyBorder="1"/>
    <xf numFmtId="9" fontId="0" fillId="0" borderId="0" xfId="0" applyNumberFormat="1" applyBorder="1"/>
    <xf numFmtId="0" fontId="1" fillId="0" borderId="6" xfId="0" applyFont="1" applyBorder="1" applyAlignment="1">
      <alignment vertical="center" wrapText="1"/>
    </xf>
    <xf numFmtId="0" fontId="1" fillId="0" borderId="0" xfId="0" applyFont="1" applyBorder="1" applyAlignment="1">
      <alignment wrapText="1"/>
    </xf>
    <xf numFmtId="0" fontId="0" fillId="0" borderId="22" xfId="0" applyBorder="1" applyAlignment="1"/>
    <xf numFmtId="0" fontId="0" fillId="0" borderId="26" xfId="0" applyBorder="1" applyAlignment="1"/>
    <xf numFmtId="0" fontId="0" fillId="0" borderId="27" xfId="0" applyBorder="1" applyAlignment="1"/>
    <xf numFmtId="0" fontId="0" fillId="0" borderId="12" xfId="0" applyBorder="1" applyAlignment="1"/>
    <xf numFmtId="0" fontId="0" fillId="0" borderId="9" xfId="0" applyBorder="1" applyAlignment="1"/>
    <xf numFmtId="0" fontId="0" fillId="0" borderId="4" xfId="0" applyBorder="1" applyAlignment="1"/>
    <xf numFmtId="0" fontId="0" fillId="0" borderId="14" xfId="0" applyBorder="1" applyAlignment="1"/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/>
    <xf numFmtId="0" fontId="1" fillId="0" borderId="1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Border="1"/>
    <xf numFmtId="0" fontId="0" fillId="0" borderId="14" xfId="0" applyBorder="1" applyAlignment="1">
      <alignment horizontal="left"/>
    </xf>
    <xf numFmtId="0" fontId="9" fillId="5" borderId="18" xfId="4" applyFill="1" applyBorder="1" applyAlignment="1">
      <alignment horizontal="center"/>
    </xf>
    <xf numFmtId="0" fontId="9" fillId="5" borderId="19" xfId="4" applyFill="1" applyBorder="1" applyAlignment="1">
      <alignment horizontal="center"/>
    </xf>
    <xf numFmtId="0" fontId="9" fillId="5" borderId="20" xfId="4" applyFill="1" applyBorder="1" applyAlignment="1">
      <alignment horizontal="center"/>
    </xf>
    <xf numFmtId="0" fontId="9" fillId="5" borderId="2" xfId="4" applyFill="1" applyBorder="1" applyAlignment="1">
      <alignment horizontal="left"/>
    </xf>
    <xf numFmtId="0" fontId="1" fillId="0" borderId="12" xfId="0" applyFont="1" applyBorder="1" applyAlignment="1">
      <alignment horizontal="center"/>
    </xf>
  </cellXfs>
  <cellStyles count="6">
    <cellStyle name="Heading 1" xfId="3" builtinId="16"/>
    <cellStyle name="Heading 2" xfId="4" builtinId="17"/>
    <cellStyle name="Hyperlink" xfId="2" builtinId="8"/>
    <cellStyle name="Normal" xfId="0" builtinId="0"/>
    <cellStyle name="Output" xfId="5" builtinId="21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55</xdr:row>
      <xdr:rowOff>0</xdr:rowOff>
    </xdr:from>
    <xdr:to>
      <xdr:col>1</xdr:col>
      <xdr:colOff>2274877</xdr:colOff>
      <xdr:row>61</xdr:row>
      <xdr:rowOff>152509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058400"/>
          <a:ext cx="4130398" cy="12497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53340</xdr:rowOff>
    </xdr:from>
    <xdr:to>
      <xdr:col>1</xdr:col>
      <xdr:colOff>2229153</xdr:colOff>
      <xdr:row>69</xdr:row>
      <xdr:rowOff>106796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391900"/>
          <a:ext cx="4084674" cy="1333616"/>
        </a:xfrm>
        <a:prstGeom prst="rect">
          <a:avLst/>
        </a:prstGeom>
      </xdr:spPr>
    </xdr:pic>
    <xdr:clientData/>
  </xdr:twoCellAnchor>
  <xdr:twoCellAnchor editAs="oneCell">
    <xdr:from>
      <xdr:col>9</xdr:col>
      <xdr:colOff>154111</xdr:colOff>
      <xdr:row>35</xdr:row>
      <xdr:rowOff>145551</xdr:rowOff>
    </xdr:from>
    <xdr:to>
      <xdr:col>15</xdr:col>
      <xdr:colOff>207422</xdr:colOff>
      <xdr:row>50</xdr:row>
      <xdr:rowOff>88596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25100" y="6438472"/>
          <a:ext cx="3845780" cy="264001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655E9-BB45-453E-BA8E-54881B10182A}">
  <dimension ref="A1:K30"/>
  <sheetViews>
    <sheetView zoomScale="68" workbookViewId="0">
      <selection activeCell="L33" sqref="L33"/>
    </sheetView>
  </sheetViews>
  <sheetFormatPr defaultRowHeight="14.4" x14ac:dyDescent="0.3"/>
  <cols>
    <col min="1" max="1" width="9.109375" style="42" customWidth="1"/>
    <col min="2" max="2" width="79.44140625" bestFit="1" customWidth="1"/>
    <col min="3" max="3" width="18.6640625" customWidth="1"/>
    <col min="4" max="4" width="9" customWidth="1"/>
    <col min="5" max="5" width="10.109375" customWidth="1"/>
    <col min="6" max="6" width="14.5546875" customWidth="1"/>
    <col min="7" max="7" width="40.88671875" style="21" customWidth="1"/>
  </cols>
  <sheetData>
    <row r="1" spans="1:10" ht="20.399999999999999" thickBot="1" x14ac:dyDescent="0.45">
      <c r="A1" s="44" t="s">
        <v>33</v>
      </c>
      <c r="B1" s="44"/>
      <c r="C1" s="44"/>
      <c r="D1" s="44"/>
      <c r="E1" s="44"/>
      <c r="F1" s="44"/>
      <c r="G1" s="44"/>
    </row>
    <row r="2" spans="1:10" ht="15" thickTop="1" x14ac:dyDescent="0.3">
      <c r="A2" s="78" t="s">
        <v>444</v>
      </c>
      <c r="B2" s="79" t="s">
        <v>34</v>
      </c>
      <c r="C2" s="79" t="s">
        <v>446</v>
      </c>
      <c r="D2" s="79" t="s">
        <v>445</v>
      </c>
      <c r="E2" s="79"/>
      <c r="F2" s="79" t="s">
        <v>36</v>
      </c>
      <c r="G2" s="80" t="s">
        <v>37</v>
      </c>
    </row>
    <row r="3" spans="1:10" x14ac:dyDescent="0.3">
      <c r="A3" s="81"/>
      <c r="B3" s="82"/>
      <c r="C3" s="82"/>
      <c r="D3" s="83" t="s">
        <v>38</v>
      </c>
      <c r="E3" s="83" t="s">
        <v>39</v>
      </c>
      <c r="F3" s="82"/>
      <c r="G3" s="84"/>
    </row>
    <row r="4" spans="1:10" x14ac:dyDescent="0.3">
      <c r="A4" s="58" t="s">
        <v>40</v>
      </c>
      <c r="B4" s="58" t="s">
        <v>2</v>
      </c>
      <c r="C4" s="58">
        <f>162000*68/100*7.48/100</f>
        <v>8239.9680000000008</v>
      </c>
      <c r="D4" s="63" t="s">
        <v>3</v>
      </c>
      <c r="E4" s="63"/>
      <c r="F4" s="58" t="s">
        <v>41</v>
      </c>
      <c r="G4" s="65" t="s">
        <v>447</v>
      </c>
      <c r="H4" s="96" t="s">
        <v>4</v>
      </c>
      <c r="I4" s="57"/>
    </row>
    <row r="5" spans="1:10" x14ac:dyDescent="0.3">
      <c r="A5" s="58" t="s">
        <v>42</v>
      </c>
      <c r="B5" s="58" t="s">
        <v>7</v>
      </c>
      <c r="C5" s="58" t="s">
        <v>6</v>
      </c>
      <c r="D5" s="58">
        <f>2050*125/1000</f>
        <v>256.25</v>
      </c>
      <c r="E5" s="58">
        <f>3566*323/1000</f>
        <v>1151.818</v>
      </c>
      <c r="F5" s="58" t="s">
        <v>43</v>
      </c>
      <c r="G5" s="65" t="s">
        <v>44</v>
      </c>
      <c r="H5" s="96" t="s">
        <v>4</v>
      </c>
      <c r="I5" s="57"/>
    </row>
    <row r="6" spans="1:10" x14ac:dyDescent="0.3">
      <c r="A6" s="58" t="s">
        <v>45</v>
      </c>
      <c r="B6" s="58" t="s">
        <v>8</v>
      </c>
      <c r="C6" s="58">
        <v>599</v>
      </c>
      <c r="D6" s="63" t="s">
        <v>3</v>
      </c>
      <c r="E6" s="63"/>
      <c r="F6" s="58" t="s">
        <v>43</v>
      </c>
      <c r="G6" s="60" t="s">
        <v>469</v>
      </c>
      <c r="H6" s="41"/>
      <c r="I6" s="55"/>
    </row>
    <row r="7" spans="1:10" x14ac:dyDescent="0.3">
      <c r="A7" s="58" t="s">
        <v>46</v>
      </c>
      <c r="B7" s="58" t="s">
        <v>9</v>
      </c>
      <c r="C7" s="58">
        <f>C4-C6</f>
        <v>7640.9680000000008</v>
      </c>
      <c r="D7" s="58" t="s">
        <v>6</v>
      </c>
      <c r="E7" s="58" t="s">
        <v>6</v>
      </c>
      <c r="F7" s="58" t="s">
        <v>43</v>
      </c>
      <c r="G7" s="65" t="s">
        <v>451</v>
      </c>
      <c r="H7" s="96" t="s">
        <v>4</v>
      </c>
      <c r="I7" s="57"/>
    </row>
    <row r="8" spans="1:10" x14ac:dyDescent="0.3">
      <c r="A8" s="58" t="s">
        <v>47</v>
      </c>
      <c r="B8" s="58" t="s">
        <v>10</v>
      </c>
      <c r="C8" s="75" t="s">
        <v>450</v>
      </c>
      <c r="D8" s="76"/>
      <c r="E8" s="76"/>
      <c r="F8" s="77"/>
      <c r="G8" s="60" t="s">
        <v>6</v>
      </c>
      <c r="H8" s="41"/>
      <c r="I8" s="57"/>
    </row>
    <row r="9" spans="1:10" x14ac:dyDescent="0.3">
      <c r="A9" s="58" t="s">
        <v>48</v>
      </c>
      <c r="B9" s="58" t="s">
        <v>11</v>
      </c>
      <c r="C9" s="58" t="s">
        <v>6</v>
      </c>
      <c r="D9" s="58">
        <f>(22780-950)*1.38*30/1000</f>
        <v>903.76199999999983</v>
      </c>
      <c r="E9" s="58">
        <f>(40000-950)*10.7*30/1000</f>
        <v>12535.05</v>
      </c>
      <c r="F9" s="58" t="s">
        <v>43</v>
      </c>
      <c r="G9" s="58" t="s">
        <v>448</v>
      </c>
      <c r="H9" s="41" t="s">
        <v>4</v>
      </c>
      <c r="I9" s="55"/>
      <c r="J9" s="41"/>
    </row>
    <row r="10" spans="1:10" x14ac:dyDescent="0.3">
      <c r="A10" s="58" t="s">
        <v>49</v>
      </c>
      <c r="B10" s="58" t="s">
        <v>12</v>
      </c>
      <c r="C10" s="58" t="s">
        <v>6</v>
      </c>
      <c r="D10" s="58">
        <f>950*9*30/1000*0.1538</f>
        <v>39.4497</v>
      </c>
      <c r="E10" s="58">
        <f>950*10.7*30/1000</f>
        <v>304.95</v>
      </c>
      <c r="F10" s="58" t="s">
        <v>43</v>
      </c>
      <c r="G10" s="66" t="s">
        <v>449</v>
      </c>
      <c r="H10" s="41" t="s">
        <v>4</v>
      </c>
      <c r="I10" s="55"/>
      <c r="J10" s="41"/>
    </row>
    <row r="11" spans="1:10" x14ac:dyDescent="0.3">
      <c r="A11" s="58" t="s">
        <v>50</v>
      </c>
      <c r="B11" s="58" t="s">
        <v>13</v>
      </c>
      <c r="C11" s="75" t="s">
        <v>51</v>
      </c>
      <c r="D11" s="76"/>
      <c r="E11" s="76"/>
      <c r="F11" s="77"/>
      <c r="G11" s="65" t="s">
        <v>52</v>
      </c>
      <c r="H11" s="41" t="s">
        <v>4</v>
      </c>
      <c r="I11" s="57"/>
    </row>
    <row r="12" spans="1:10" x14ac:dyDescent="0.3">
      <c r="A12" s="58" t="s">
        <v>53</v>
      </c>
      <c r="B12" s="58" t="s">
        <v>14</v>
      </c>
      <c r="C12" s="58" t="s">
        <v>54</v>
      </c>
      <c r="D12" s="58">
        <v>879.45</v>
      </c>
      <c r="E12" s="58">
        <v>1758.9</v>
      </c>
      <c r="F12" s="58" t="s">
        <v>43</v>
      </c>
      <c r="G12" s="66" t="s">
        <v>465</v>
      </c>
      <c r="H12" s="95" t="s">
        <v>4</v>
      </c>
      <c r="I12" s="57"/>
    </row>
    <row r="13" spans="1:10" x14ac:dyDescent="0.3">
      <c r="A13" s="58" t="s">
        <v>55</v>
      </c>
      <c r="B13" s="58" t="s">
        <v>15</v>
      </c>
      <c r="C13" s="75" t="s">
        <v>3</v>
      </c>
      <c r="D13" s="76"/>
      <c r="E13" s="76"/>
      <c r="F13" s="77"/>
      <c r="G13" s="60" t="s">
        <v>6</v>
      </c>
      <c r="I13" s="57"/>
    </row>
    <row r="14" spans="1:10" x14ac:dyDescent="0.3">
      <c r="A14" s="58" t="s">
        <v>56</v>
      </c>
      <c r="B14" s="58" t="s">
        <v>16</v>
      </c>
      <c r="C14" s="58" t="s">
        <v>6</v>
      </c>
      <c r="D14" s="58" t="s">
        <v>463</v>
      </c>
      <c r="E14" s="58" t="s">
        <v>464</v>
      </c>
      <c r="F14" s="58" t="s">
        <v>43</v>
      </c>
      <c r="G14" s="65" t="s">
        <v>453</v>
      </c>
      <c r="H14" s="95" t="s">
        <v>4</v>
      </c>
      <c r="I14" s="57"/>
    </row>
    <row r="15" spans="1:10" x14ac:dyDescent="0.3">
      <c r="A15" s="58" t="s">
        <v>57</v>
      </c>
      <c r="B15" s="58" t="s">
        <v>17</v>
      </c>
      <c r="C15" s="58" t="s">
        <v>58</v>
      </c>
      <c r="D15" s="58">
        <v>1758.9</v>
      </c>
      <c r="E15" s="58">
        <v>2638.35</v>
      </c>
      <c r="F15" s="58" t="s">
        <v>43</v>
      </c>
      <c r="G15" s="66" t="s">
        <v>466</v>
      </c>
      <c r="H15" s="95" t="s">
        <v>4</v>
      </c>
      <c r="I15" s="57"/>
    </row>
    <row r="16" spans="1:10" x14ac:dyDescent="0.3">
      <c r="A16" s="58" t="s">
        <v>59</v>
      </c>
      <c r="B16" s="58" t="s">
        <v>18</v>
      </c>
      <c r="C16" s="75" t="s">
        <v>3</v>
      </c>
      <c r="D16" s="76"/>
      <c r="E16" s="76"/>
      <c r="F16" s="77"/>
      <c r="G16" s="60" t="s">
        <v>6</v>
      </c>
      <c r="I16" s="57"/>
    </row>
    <row r="17" spans="1:11" x14ac:dyDescent="0.3">
      <c r="A17" s="58" t="s">
        <v>60</v>
      </c>
      <c r="B17" s="58" t="s">
        <v>19</v>
      </c>
      <c r="C17" s="58" t="s">
        <v>61</v>
      </c>
      <c r="D17" s="58">
        <f>1970*0.8</f>
        <v>1576</v>
      </c>
      <c r="E17" s="58">
        <f>2524*1.517</f>
        <v>3828.9079999999999</v>
      </c>
      <c r="F17" s="58" t="s">
        <v>43</v>
      </c>
      <c r="G17" s="65" t="s">
        <v>467</v>
      </c>
      <c r="H17" s="95" t="s">
        <v>4</v>
      </c>
      <c r="I17" s="57"/>
    </row>
    <row r="18" spans="1:11" x14ac:dyDescent="0.3">
      <c r="A18" s="58" t="s">
        <v>62</v>
      </c>
      <c r="B18" s="58" t="s">
        <v>20</v>
      </c>
      <c r="C18" s="75" t="s">
        <v>3</v>
      </c>
      <c r="D18" s="76"/>
      <c r="E18" s="76"/>
      <c r="F18" s="77"/>
      <c r="G18" s="60" t="s">
        <v>6</v>
      </c>
      <c r="I18" s="57"/>
    </row>
    <row r="19" spans="1:11" x14ac:dyDescent="0.3">
      <c r="A19" s="58" t="s">
        <v>63</v>
      </c>
      <c r="B19" s="58" t="s">
        <v>22</v>
      </c>
      <c r="C19" s="75" t="s">
        <v>3</v>
      </c>
      <c r="D19" s="76"/>
      <c r="E19" s="76"/>
      <c r="F19" s="77"/>
      <c r="G19" s="60" t="s">
        <v>6</v>
      </c>
      <c r="I19" s="57"/>
    </row>
    <row r="20" spans="1:11" ht="17.399999999999999" customHeight="1" x14ac:dyDescent="0.3">
      <c r="A20" s="58" t="s">
        <v>64</v>
      </c>
      <c r="B20" s="58" t="s">
        <v>23</v>
      </c>
      <c r="C20" s="58" t="s">
        <v>6</v>
      </c>
      <c r="D20" s="58" t="s">
        <v>65</v>
      </c>
      <c r="E20" s="58" t="s">
        <v>66</v>
      </c>
      <c r="F20" s="58" t="s">
        <v>43</v>
      </c>
      <c r="G20" s="58" t="s">
        <v>68</v>
      </c>
      <c r="H20" s="97" t="s">
        <v>4</v>
      </c>
      <c r="I20" s="57"/>
      <c r="K20" s="41"/>
    </row>
    <row r="21" spans="1:11" x14ac:dyDescent="0.3">
      <c r="A21" s="58" t="s">
        <v>69</v>
      </c>
      <c r="B21" s="58" t="s">
        <v>24</v>
      </c>
      <c r="C21" s="63" t="s">
        <v>70</v>
      </c>
      <c r="D21" s="63"/>
      <c r="E21" s="63"/>
      <c r="F21" s="63"/>
      <c r="G21" s="65" t="s">
        <v>468</v>
      </c>
      <c r="H21" s="96" t="s">
        <v>4</v>
      </c>
      <c r="I21" s="57"/>
    </row>
    <row r="22" spans="1:11" x14ac:dyDescent="0.3">
      <c r="A22" s="58" t="s">
        <v>71</v>
      </c>
      <c r="B22" s="58" t="s">
        <v>25</v>
      </c>
      <c r="C22" s="75" t="s">
        <v>3</v>
      </c>
      <c r="D22" s="76"/>
      <c r="E22" s="76"/>
      <c r="F22" s="77"/>
      <c r="G22" s="60" t="s">
        <v>6</v>
      </c>
    </row>
    <row r="23" spans="1:11" x14ac:dyDescent="0.3">
      <c r="A23" s="58" t="s">
        <v>72</v>
      </c>
      <c r="B23" s="58" t="s">
        <v>26</v>
      </c>
      <c r="C23" s="69" t="s">
        <v>73</v>
      </c>
      <c r="D23" s="70"/>
      <c r="E23" s="70"/>
      <c r="F23" s="71"/>
      <c r="G23" s="59" t="s">
        <v>67</v>
      </c>
    </row>
    <row r="24" spans="1:11" x14ac:dyDescent="0.3">
      <c r="A24" s="58" t="s">
        <v>74</v>
      </c>
      <c r="B24" s="58" t="s">
        <v>27</v>
      </c>
      <c r="C24" s="69" t="s">
        <v>3</v>
      </c>
      <c r="D24" s="70"/>
      <c r="E24" s="70"/>
      <c r="F24" s="71"/>
      <c r="G24" s="59" t="s">
        <v>6</v>
      </c>
    </row>
    <row r="25" spans="1:11" ht="14.4" customHeight="1" x14ac:dyDescent="0.3">
      <c r="A25" s="58" t="s">
        <v>75</v>
      </c>
      <c r="B25" s="58" t="s">
        <v>28</v>
      </c>
      <c r="C25" s="69" t="s">
        <v>76</v>
      </c>
      <c r="D25" s="70"/>
      <c r="E25" s="70"/>
      <c r="F25" s="71"/>
      <c r="G25" s="59" t="s">
        <v>77</v>
      </c>
    </row>
    <row r="26" spans="1:11" x14ac:dyDescent="0.3">
      <c r="A26" s="58" t="s">
        <v>78</v>
      </c>
      <c r="B26" s="58" t="s">
        <v>29</v>
      </c>
      <c r="C26" s="69" t="s">
        <v>3</v>
      </c>
      <c r="D26" s="70"/>
      <c r="E26" s="70"/>
      <c r="F26" s="71"/>
      <c r="G26" s="59" t="s">
        <v>6</v>
      </c>
    </row>
    <row r="27" spans="1:11" x14ac:dyDescent="0.3">
      <c r="A27" s="58" t="s">
        <v>79</v>
      </c>
      <c r="B27" s="58" t="s">
        <v>30</v>
      </c>
      <c r="C27" s="69" t="s">
        <v>452</v>
      </c>
      <c r="D27" s="70"/>
      <c r="E27" s="70"/>
      <c r="F27" s="71"/>
      <c r="G27" s="59" t="s">
        <v>6</v>
      </c>
    </row>
    <row r="28" spans="1:11" x14ac:dyDescent="0.3">
      <c r="A28" s="58" t="s">
        <v>80</v>
      </c>
      <c r="B28" s="58" t="s">
        <v>31</v>
      </c>
      <c r="C28" s="69" t="s">
        <v>3</v>
      </c>
      <c r="D28" s="70"/>
      <c r="E28" s="70"/>
      <c r="F28" s="71"/>
      <c r="G28" s="59" t="s">
        <v>6</v>
      </c>
    </row>
    <row r="29" spans="1:11" x14ac:dyDescent="0.3">
      <c r="A29" s="61" t="s">
        <v>81</v>
      </c>
      <c r="B29" s="61" t="s">
        <v>32</v>
      </c>
      <c r="C29" s="69" t="s">
        <v>3</v>
      </c>
      <c r="D29" s="70"/>
      <c r="E29" s="70"/>
      <c r="F29" s="71"/>
      <c r="G29" s="62" t="s">
        <v>6</v>
      </c>
    </row>
    <row r="30" spans="1:11" x14ac:dyDescent="0.3">
      <c r="B30" s="42"/>
    </row>
  </sheetData>
  <mergeCells count="24">
    <mergeCell ref="A1:G1"/>
    <mergeCell ref="C23:F23"/>
    <mergeCell ref="C24:F24"/>
    <mergeCell ref="C25:F25"/>
    <mergeCell ref="C26:F26"/>
    <mergeCell ref="C27:F27"/>
    <mergeCell ref="C28:F28"/>
    <mergeCell ref="C29:F29"/>
    <mergeCell ref="G2:G3"/>
    <mergeCell ref="D4:E4"/>
    <mergeCell ref="C11:F11"/>
    <mergeCell ref="C8:F8"/>
    <mergeCell ref="C13:F13"/>
    <mergeCell ref="C16:F16"/>
    <mergeCell ref="A2:A3"/>
    <mergeCell ref="B2:B3"/>
    <mergeCell ref="C2:C3"/>
    <mergeCell ref="F2:F3"/>
    <mergeCell ref="C22:F22"/>
    <mergeCell ref="C21:F21"/>
    <mergeCell ref="C18:F18"/>
    <mergeCell ref="C19:F19"/>
    <mergeCell ref="D2:E2"/>
    <mergeCell ref="D6:E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8ACEA-ED8C-4E2D-8EF8-F17D58C4D443}">
  <dimension ref="A1:L55"/>
  <sheetViews>
    <sheetView zoomScale="66" zoomScaleNormal="55" workbookViewId="0">
      <selection activeCell="A16" sqref="A16:F16"/>
    </sheetView>
  </sheetViews>
  <sheetFormatPr defaultRowHeight="14.4" x14ac:dyDescent="0.3"/>
  <cols>
    <col min="1" max="1" width="10.109375" customWidth="1"/>
    <col min="2" max="2" width="62.33203125" bestFit="1" customWidth="1"/>
    <col min="3" max="3" width="11.109375" customWidth="1"/>
    <col min="4" max="4" width="13.44140625" customWidth="1"/>
    <col min="5" max="5" width="27.6640625" bestFit="1" customWidth="1"/>
    <col min="6" max="6" width="15.5546875" customWidth="1"/>
    <col min="8" max="8" width="35.88671875" customWidth="1"/>
    <col min="11" max="11" width="14.88671875" customWidth="1"/>
    <col min="12" max="12" width="17.33203125" customWidth="1"/>
  </cols>
  <sheetData>
    <row r="1" spans="1:12" ht="20.399999999999999" thickBot="1" x14ac:dyDescent="0.45">
      <c r="A1" s="33" t="s">
        <v>82</v>
      </c>
      <c r="B1" s="33" t="s">
        <v>83</v>
      </c>
      <c r="C1" s="33" t="s">
        <v>35</v>
      </c>
      <c r="D1" s="33" t="s">
        <v>36</v>
      </c>
      <c r="E1" s="33" t="s">
        <v>84</v>
      </c>
      <c r="F1" s="33" t="s">
        <v>85</v>
      </c>
      <c r="H1" s="33" t="s">
        <v>83</v>
      </c>
      <c r="I1" s="33" t="s">
        <v>35</v>
      </c>
      <c r="J1" s="33" t="s">
        <v>36</v>
      </c>
      <c r="K1" s="33" t="s">
        <v>84</v>
      </c>
      <c r="L1" s="33" t="s">
        <v>85</v>
      </c>
    </row>
    <row r="2" spans="1:12" ht="15" thickTop="1" x14ac:dyDescent="0.3"/>
    <row r="3" spans="1:12" ht="18" thickBot="1" x14ac:dyDescent="0.4">
      <c r="A3" s="53" t="s">
        <v>86</v>
      </c>
      <c r="B3" s="53"/>
      <c r="C3" s="53"/>
      <c r="D3" s="53"/>
      <c r="E3" s="53"/>
      <c r="F3" s="53"/>
      <c r="H3" s="53" t="s">
        <v>87</v>
      </c>
      <c r="I3" s="53"/>
      <c r="J3" s="53"/>
      <c r="K3" s="53"/>
      <c r="L3" s="53"/>
    </row>
    <row r="4" spans="1:12" ht="15" thickTop="1" x14ac:dyDescent="0.3">
      <c r="E4" t="s">
        <v>443</v>
      </c>
    </row>
    <row r="5" spans="1:12" x14ac:dyDescent="0.3">
      <c r="A5" s="10"/>
      <c r="B5" s="11" t="s">
        <v>88</v>
      </c>
      <c r="C5" s="10"/>
      <c r="D5" s="10"/>
      <c r="E5" s="10"/>
      <c r="F5" s="10"/>
      <c r="H5" s="50" t="s">
        <v>89</v>
      </c>
      <c r="I5" s="50"/>
      <c r="J5" s="50"/>
      <c r="K5" s="50"/>
      <c r="L5" s="50"/>
    </row>
    <row r="7" spans="1:12" x14ac:dyDescent="0.3">
      <c r="A7" t="s">
        <v>90</v>
      </c>
      <c r="B7" t="s">
        <v>91</v>
      </c>
      <c r="C7">
        <v>68.8</v>
      </c>
      <c r="D7" t="s">
        <v>103</v>
      </c>
      <c r="E7" t="s">
        <v>442</v>
      </c>
      <c r="H7" t="s">
        <v>92</v>
      </c>
      <c r="I7">
        <v>45000</v>
      </c>
      <c r="K7" t="s">
        <v>442</v>
      </c>
      <c r="L7" t="s">
        <v>93</v>
      </c>
    </row>
    <row r="8" spans="1:12" x14ac:dyDescent="0.3">
      <c r="A8" t="s">
        <v>90</v>
      </c>
      <c r="B8" t="s">
        <v>96</v>
      </c>
      <c r="C8">
        <v>20</v>
      </c>
      <c r="D8" s="2" t="s">
        <v>97</v>
      </c>
      <c r="E8" t="s">
        <v>442</v>
      </c>
      <c r="H8" t="s">
        <v>94</v>
      </c>
      <c r="I8">
        <v>39</v>
      </c>
      <c r="J8" t="s">
        <v>95</v>
      </c>
      <c r="K8" t="s">
        <v>442</v>
      </c>
      <c r="L8" t="s">
        <v>93</v>
      </c>
    </row>
    <row r="9" spans="1:12" x14ac:dyDescent="0.3">
      <c r="A9" t="s">
        <v>90</v>
      </c>
      <c r="B9" s="15" t="s">
        <v>100</v>
      </c>
      <c r="H9" t="s">
        <v>478</v>
      </c>
      <c r="I9">
        <v>0.8</v>
      </c>
      <c r="J9" t="s">
        <v>98</v>
      </c>
      <c r="K9" t="s">
        <v>442</v>
      </c>
      <c r="L9" t="s">
        <v>93</v>
      </c>
    </row>
    <row r="10" spans="1:12" x14ac:dyDescent="0.3">
      <c r="B10" s="6" t="s">
        <v>102</v>
      </c>
      <c r="C10">
        <v>1.28</v>
      </c>
      <c r="D10" t="s">
        <v>103</v>
      </c>
      <c r="E10" s="5" t="s">
        <v>102</v>
      </c>
      <c r="H10" t="s">
        <v>99</v>
      </c>
      <c r="I10">
        <v>185</v>
      </c>
      <c r="K10" t="s">
        <v>442</v>
      </c>
      <c r="L10" t="s">
        <v>93</v>
      </c>
    </row>
    <row r="11" spans="1:12" x14ac:dyDescent="0.3">
      <c r="B11" s="6" t="s">
        <v>105</v>
      </c>
      <c r="C11">
        <v>9.49</v>
      </c>
      <c r="D11" t="s">
        <v>103</v>
      </c>
      <c r="E11" s="5" t="s">
        <v>477</v>
      </c>
      <c r="H11" s="1" t="s">
        <v>479</v>
      </c>
      <c r="K11" t="s">
        <v>442</v>
      </c>
      <c r="L11" t="s">
        <v>93</v>
      </c>
    </row>
    <row r="12" spans="1:12" x14ac:dyDescent="0.3">
      <c r="B12" s="6" t="s">
        <v>107</v>
      </c>
      <c r="C12">
        <v>5.6</v>
      </c>
      <c r="D12" t="s">
        <v>103</v>
      </c>
      <c r="E12" t="s">
        <v>107</v>
      </c>
      <c r="F12">
        <v>2012</v>
      </c>
      <c r="H12" s="6" t="s">
        <v>101</v>
      </c>
      <c r="I12">
        <v>19</v>
      </c>
      <c r="J12" t="s">
        <v>95</v>
      </c>
    </row>
    <row r="13" spans="1:12" x14ac:dyDescent="0.3">
      <c r="H13" s="6" t="s">
        <v>104</v>
      </c>
      <c r="I13">
        <v>2</v>
      </c>
      <c r="J13" t="s">
        <v>95</v>
      </c>
    </row>
    <row r="14" spans="1:12" x14ac:dyDescent="0.3">
      <c r="A14" t="s">
        <v>110</v>
      </c>
      <c r="B14" t="s">
        <v>111</v>
      </c>
      <c r="C14">
        <v>431471</v>
      </c>
      <c r="D14" t="s">
        <v>112</v>
      </c>
      <c r="E14" t="s">
        <v>113</v>
      </c>
      <c r="F14">
        <v>2020</v>
      </c>
      <c r="H14" s="6" t="s">
        <v>106</v>
      </c>
      <c r="I14">
        <v>3</v>
      </c>
      <c r="J14" t="s">
        <v>95</v>
      </c>
    </row>
    <row r="15" spans="1:12" x14ac:dyDescent="0.3">
      <c r="H15" s="6" t="s">
        <v>108</v>
      </c>
      <c r="I15">
        <v>0.75</v>
      </c>
      <c r="J15" t="s">
        <v>95</v>
      </c>
    </row>
    <row r="16" spans="1:12" ht="18" thickBot="1" x14ac:dyDescent="0.4">
      <c r="A16" s="53" t="s">
        <v>139</v>
      </c>
      <c r="B16" s="53"/>
      <c r="C16" s="53"/>
      <c r="D16" s="53"/>
      <c r="E16" s="53"/>
      <c r="F16" s="53"/>
      <c r="H16" s="6" t="s">
        <v>109</v>
      </c>
      <c r="I16">
        <v>3</v>
      </c>
      <c r="J16" t="s">
        <v>95</v>
      </c>
    </row>
    <row r="17" spans="1:12" ht="15" thickTop="1" x14ac:dyDescent="0.3">
      <c r="H17" s="6" t="s">
        <v>114</v>
      </c>
      <c r="I17">
        <v>9</v>
      </c>
      <c r="J17" t="s">
        <v>95</v>
      </c>
    </row>
    <row r="18" spans="1:12" x14ac:dyDescent="0.3">
      <c r="A18" s="50" t="s">
        <v>476</v>
      </c>
      <c r="B18" s="50"/>
      <c r="C18" s="50"/>
      <c r="D18" s="50"/>
      <c r="E18" s="50"/>
      <c r="F18" s="50"/>
    </row>
    <row r="19" spans="1:12" x14ac:dyDescent="0.3">
      <c r="H19" s="50" t="s">
        <v>537</v>
      </c>
      <c r="I19" s="50"/>
      <c r="J19" s="50"/>
      <c r="K19" s="50"/>
      <c r="L19" s="50"/>
    </row>
    <row r="20" spans="1:12" x14ac:dyDescent="0.3">
      <c r="A20" s="74" t="s">
        <v>116</v>
      </c>
      <c r="B20" s="87" t="s">
        <v>143</v>
      </c>
    </row>
    <row r="21" spans="1:12" x14ac:dyDescent="0.3">
      <c r="A21" s="74"/>
      <c r="B21" s="6" t="s">
        <v>145</v>
      </c>
      <c r="C21">
        <v>6404</v>
      </c>
      <c r="D21" t="s">
        <v>146</v>
      </c>
      <c r="E21" t="s">
        <v>471</v>
      </c>
      <c r="H21" t="s">
        <v>120</v>
      </c>
      <c r="I21">
        <v>5759</v>
      </c>
      <c r="K21" t="s">
        <v>121</v>
      </c>
      <c r="L21">
        <v>2021</v>
      </c>
    </row>
    <row r="22" spans="1:12" x14ac:dyDescent="0.3">
      <c r="A22" s="74"/>
      <c r="B22" s="6" t="s">
        <v>149</v>
      </c>
      <c r="C22">
        <v>5400</v>
      </c>
      <c r="D22" t="s">
        <v>146</v>
      </c>
      <c r="E22" t="s">
        <v>150</v>
      </c>
      <c r="F22">
        <v>2023</v>
      </c>
      <c r="H22" t="s">
        <v>124</v>
      </c>
      <c r="I22">
        <v>203</v>
      </c>
      <c r="K22" t="s">
        <v>121</v>
      </c>
      <c r="L22">
        <v>2021</v>
      </c>
    </row>
    <row r="23" spans="1:12" x14ac:dyDescent="0.3">
      <c r="A23" s="74"/>
      <c r="B23" s="6" t="s">
        <v>151</v>
      </c>
      <c r="C23">
        <v>130000</v>
      </c>
      <c r="D23" t="s">
        <v>152</v>
      </c>
      <c r="E23" t="s">
        <v>151</v>
      </c>
      <c r="F23">
        <v>2022</v>
      </c>
    </row>
    <row r="24" spans="1:12" x14ac:dyDescent="0.3">
      <c r="A24" s="74"/>
      <c r="H24" s="87" t="s">
        <v>126</v>
      </c>
      <c r="K24" t="s">
        <v>121</v>
      </c>
      <c r="L24">
        <v>2021</v>
      </c>
    </row>
    <row r="25" spans="1:12" x14ac:dyDescent="0.3">
      <c r="A25" s="74" t="s">
        <v>116</v>
      </c>
      <c r="B25" s="87" t="s">
        <v>100</v>
      </c>
      <c r="H25" s="6" t="s">
        <v>127</v>
      </c>
      <c r="I25">
        <v>5.5</v>
      </c>
      <c r="J25" t="s">
        <v>97</v>
      </c>
    </row>
    <row r="26" spans="1:12" x14ac:dyDescent="0.3">
      <c r="B26" s="6" t="s">
        <v>156</v>
      </c>
      <c r="C26">
        <v>116212</v>
      </c>
      <c r="D26" t="s">
        <v>112</v>
      </c>
      <c r="E26" t="s">
        <v>156</v>
      </c>
      <c r="F26">
        <v>2013</v>
      </c>
      <c r="H26" s="6" t="s">
        <v>130</v>
      </c>
      <c r="I26">
        <v>5.0999999999999996</v>
      </c>
      <c r="J26" t="s">
        <v>97</v>
      </c>
    </row>
    <row r="27" spans="1:12" x14ac:dyDescent="0.3">
      <c r="B27" s="6" t="s">
        <v>174</v>
      </c>
      <c r="C27">
        <v>205313</v>
      </c>
      <c r="D27" t="s">
        <v>112</v>
      </c>
      <c r="E27" t="s">
        <v>174</v>
      </c>
      <c r="H27" s="6" t="s">
        <v>132</v>
      </c>
      <c r="I27">
        <v>0.9</v>
      </c>
      <c r="J27" t="s">
        <v>97</v>
      </c>
    </row>
    <row r="28" spans="1:12" x14ac:dyDescent="0.3">
      <c r="B28" s="6" t="s">
        <v>474</v>
      </c>
      <c r="C28">
        <v>140000</v>
      </c>
      <c r="D28" t="s">
        <v>112</v>
      </c>
      <c r="E28" t="s">
        <v>157</v>
      </c>
      <c r="F28">
        <v>2023</v>
      </c>
      <c r="H28" s="6" t="s">
        <v>135</v>
      </c>
      <c r="I28">
        <v>12.3</v>
      </c>
      <c r="J28" t="s">
        <v>97</v>
      </c>
    </row>
    <row r="29" spans="1:12" x14ac:dyDescent="0.3">
      <c r="B29" s="6" t="s">
        <v>472</v>
      </c>
      <c r="C29">
        <v>8000</v>
      </c>
      <c r="D29" t="s">
        <v>152</v>
      </c>
      <c r="E29" t="s">
        <v>174</v>
      </c>
      <c r="H29" s="6" t="s">
        <v>137</v>
      </c>
      <c r="I29">
        <v>8.3000000000000007</v>
      </c>
      <c r="J29" t="s">
        <v>97</v>
      </c>
    </row>
    <row r="30" spans="1:12" x14ac:dyDescent="0.3">
      <c r="B30" s="6" t="s">
        <v>473</v>
      </c>
      <c r="C30" s="4">
        <v>130000</v>
      </c>
      <c r="D30" t="s">
        <v>112</v>
      </c>
      <c r="E30" t="s">
        <v>470</v>
      </c>
      <c r="H30" s="6" t="s">
        <v>138</v>
      </c>
      <c r="I30">
        <v>0.8</v>
      </c>
      <c r="J30" t="s">
        <v>97</v>
      </c>
    </row>
    <row r="31" spans="1:12" x14ac:dyDescent="0.3">
      <c r="H31" s="6" t="s">
        <v>140</v>
      </c>
      <c r="I31">
        <v>67</v>
      </c>
      <c r="J31" t="s">
        <v>97</v>
      </c>
    </row>
    <row r="32" spans="1:12" x14ac:dyDescent="0.3">
      <c r="A32" t="s">
        <v>116</v>
      </c>
      <c r="B32" s="87" t="s">
        <v>475</v>
      </c>
      <c r="H32" s="6"/>
    </row>
    <row r="33" spans="1:12" x14ac:dyDescent="0.3">
      <c r="B33" s="6" t="s">
        <v>159</v>
      </c>
      <c r="C33">
        <v>7.48</v>
      </c>
      <c r="D33" t="s">
        <v>97</v>
      </c>
      <c r="E33" t="s">
        <v>160</v>
      </c>
      <c r="F33">
        <v>2006</v>
      </c>
      <c r="H33" s="88" t="s">
        <v>141</v>
      </c>
      <c r="K33" t="s">
        <v>121</v>
      </c>
      <c r="L33">
        <v>2021</v>
      </c>
    </row>
    <row r="34" spans="1:12" x14ac:dyDescent="0.3">
      <c r="B34" s="6" t="s">
        <v>161</v>
      </c>
      <c r="C34">
        <v>7.04</v>
      </c>
      <c r="D34" t="s">
        <v>97</v>
      </c>
      <c r="E34" t="s">
        <v>156</v>
      </c>
      <c r="F34">
        <v>2015</v>
      </c>
      <c r="H34" s="6" t="s">
        <v>142</v>
      </c>
      <c r="I34">
        <v>62.6</v>
      </c>
      <c r="J34" t="s">
        <v>97</v>
      </c>
    </row>
    <row r="35" spans="1:12" x14ac:dyDescent="0.3">
      <c r="B35" s="6"/>
      <c r="H35" s="6" t="s">
        <v>144</v>
      </c>
      <c r="I35">
        <v>6</v>
      </c>
      <c r="J35" t="s">
        <v>97</v>
      </c>
    </row>
    <row r="36" spans="1:12" x14ac:dyDescent="0.3">
      <c r="A36" s="50" t="s">
        <v>162</v>
      </c>
      <c r="B36" s="50"/>
      <c r="C36" s="50"/>
      <c r="D36" s="50"/>
      <c r="E36" s="50"/>
      <c r="F36" s="50"/>
      <c r="H36" s="6" t="s">
        <v>147</v>
      </c>
      <c r="I36">
        <v>16.100000000000001</v>
      </c>
      <c r="J36" t="s">
        <v>97</v>
      </c>
    </row>
    <row r="37" spans="1:12" x14ac:dyDescent="0.3">
      <c r="H37" s="6" t="s">
        <v>148</v>
      </c>
      <c r="I37">
        <v>15.3</v>
      </c>
      <c r="J37" t="s">
        <v>97</v>
      </c>
    </row>
    <row r="38" spans="1:12" x14ac:dyDescent="0.3">
      <c r="A38" s="74" t="s">
        <v>116</v>
      </c>
      <c r="B38" s="87" t="s">
        <v>480</v>
      </c>
      <c r="H38" s="6"/>
    </row>
    <row r="39" spans="1:12" x14ac:dyDescent="0.3">
      <c r="B39" s="6" t="s">
        <v>163</v>
      </c>
      <c r="C39">
        <v>70</v>
      </c>
      <c r="D39" s="2" t="s">
        <v>97</v>
      </c>
      <c r="E39" t="s">
        <v>442</v>
      </c>
      <c r="H39" s="50" t="s">
        <v>538</v>
      </c>
      <c r="I39" s="50"/>
      <c r="J39" s="50"/>
      <c r="K39" s="50"/>
      <c r="L39" s="50"/>
    </row>
    <row r="40" spans="1:12" x14ac:dyDescent="0.3">
      <c r="B40" s="6" t="s">
        <v>164</v>
      </c>
      <c r="C40">
        <v>68</v>
      </c>
      <c r="D40" s="2" t="s">
        <v>97</v>
      </c>
      <c r="E40" t="s">
        <v>160</v>
      </c>
      <c r="F40">
        <v>1996</v>
      </c>
    </row>
    <row r="41" spans="1:12" x14ac:dyDescent="0.3">
      <c r="B41" s="6" t="s">
        <v>164</v>
      </c>
      <c r="C41">
        <v>68</v>
      </c>
      <c r="D41" s="2" t="s">
        <v>97</v>
      </c>
      <c r="E41" t="s">
        <v>156</v>
      </c>
      <c r="F41">
        <v>2015</v>
      </c>
      <c r="H41" s="87" t="s">
        <v>154</v>
      </c>
      <c r="I41" s="1">
        <v>60</v>
      </c>
      <c r="J41" t="s">
        <v>97</v>
      </c>
      <c r="K41" t="s">
        <v>155</v>
      </c>
      <c r="L41">
        <v>2022</v>
      </c>
    </row>
    <row r="42" spans="1:12" x14ac:dyDescent="0.3">
      <c r="H42" s="1" t="s">
        <v>126</v>
      </c>
      <c r="K42" t="s">
        <v>155</v>
      </c>
      <c r="L42">
        <v>2022</v>
      </c>
    </row>
    <row r="43" spans="1:12" x14ac:dyDescent="0.3">
      <c r="H43" s="6" t="s">
        <v>127</v>
      </c>
      <c r="I43">
        <v>3.58</v>
      </c>
      <c r="J43" t="s">
        <v>97</v>
      </c>
    </row>
    <row r="44" spans="1:12" x14ac:dyDescent="0.3">
      <c r="H44" s="6" t="s">
        <v>130</v>
      </c>
      <c r="I44">
        <v>1.63</v>
      </c>
      <c r="J44" t="s">
        <v>97</v>
      </c>
    </row>
    <row r="45" spans="1:12" x14ac:dyDescent="0.3">
      <c r="H45" s="6" t="s">
        <v>132</v>
      </c>
      <c r="I45">
        <v>0</v>
      </c>
      <c r="J45" t="s">
        <v>97</v>
      </c>
    </row>
    <row r="46" spans="1:12" x14ac:dyDescent="0.3">
      <c r="H46" s="6" t="s">
        <v>135</v>
      </c>
      <c r="I46">
        <v>14.01</v>
      </c>
      <c r="J46" t="s">
        <v>97</v>
      </c>
    </row>
    <row r="47" spans="1:12" x14ac:dyDescent="0.3">
      <c r="H47" s="6" t="s">
        <v>137</v>
      </c>
      <c r="I47">
        <v>3.58</v>
      </c>
      <c r="J47" t="s">
        <v>97</v>
      </c>
    </row>
    <row r="48" spans="1:12" x14ac:dyDescent="0.3">
      <c r="H48" s="6" t="s">
        <v>138</v>
      </c>
      <c r="I48">
        <v>0.65</v>
      </c>
      <c r="J48" t="s">
        <v>97</v>
      </c>
    </row>
    <row r="49" spans="8:12" x14ac:dyDescent="0.3">
      <c r="H49" s="6" t="s">
        <v>140</v>
      </c>
      <c r="I49">
        <v>76.55</v>
      </c>
      <c r="J49" t="s">
        <v>97</v>
      </c>
    </row>
    <row r="50" spans="8:12" x14ac:dyDescent="0.3">
      <c r="H50" s="6"/>
    </row>
    <row r="51" spans="8:12" x14ac:dyDescent="0.3">
      <c r="H51" s="15" t="s">
        <v>141</v>
      </c>
      <c r="K51" t="s">
        <v>155</v>
      </c>
      <c r="L51">
        <v>2022</v>
      </c>
    </row>
    <row r="52" spans="8:12" x14ac:dyDescent="0.3">
      <c r="H52" s="6" t="s">
        <v>142</v>
      </c>
      <c r="I52">
        <v>82</v>
      </c>
      <c r="J52" t="s">
        <v>97</v>
      </c>
    </row>
    <row r="53" spans="8:12" x14ac:dyDescent="0.3">
      <c r="H53" s="6" t="s">
        <v>144</v>
      </c>
      <c r="I53">
        <v>5.8</v>
      </c>
      <c r="J53" t="s">
        <v>97</v>
      </c>
    </row>
    <row r="54" spans="8:12" x14ac:dyDescent="0.3">
      <c r="H54" s="6" t="s">
        <v>147</v>
      </c>
      <c r="I54">
        <v>3.2</v>
      </c>
      <c r="J54" t="s">
        <v>97</v>
      </c>
    </row>
    <row r="55" spans="8:12" x14ac:dyDescent="0.3">
      <c r="H55" s="6" t="s">
        <v>148</v>
      </c>
      <c r="I55">
        <v>6.1</v>
      </c>
      <c r="J55" t="s">
        <v>97</v>
      </c>
    </row>
  </sheetData>
  <mergeCells count="8">
    <mergeCell ref="A36:F36"/>
    <mergeCell ref="H19:L19"/>
    <mergeCell ref="H39:L39"/>
    <mergeCell ref="H3:L3"/>
    <mergeCell ref="H5:L5"/>
    <mergeCell ref="A3:F3"/>
    <mergeCell ref="A16:F16"/>
    <mergeCell ref="A18:F18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EE605-C3B5-4801-B625-8EF7974C6034}">
  <dimension ref="A1:T93"/>
  <sheetViews>
    <sheetView tabSelected="1" zoomScale="45" zoomScaleNormal="85" workbookViewId="0">
      <selection activeCell="R52" sqref="R52"/>
    </sheetView>
  </sheetViews>
  <sheetFormatPr defaultRowHeight="14.4" x14ac:dyDescent="0.3"/>
  <cols>
    <col min="1" max="1" width="9.33203125" customWidth="1"/>
    <col min="2" max="2" width="46.33203125" customWidth="1"/>
    <col min="3" max="3" width="10.33203125" bestFit="1" customWidth="1"/>
    <col min="4" max="4" width="11.44140625" customWidth="1"/>
    <col min="5" max="5" width="16.77734375" customWidth="1"/>
    <col min="6" max="6" width="10.5546875" customWidth="1"/>
    <col min="7" max="7" width="12.21875" customWidth="1"/>
    <col min="9" max="9" width="9.6640625" customWidth="1"/>
    <col min="10" max="10" width="46.33203125" customWidth="1"/>
    <col min="11" max="11" width="17" customWidth="1"/>
    <col min="12" max="12" width="9.44140625" customWidth="1"/>
    <col min="13" max="13" width="22.109375" customWidth="1"/>
    <col min="14" max="14" width="9.44140625" customWidth="1"/>
    <col min="16" max="16" width="23.33203125" customWidth="1"/>
    <col min="17" max="17" width="12.33203125" customWidth="1"/>
    <col min="19" max="19" width="12.33203125" customWidth="1"/>
    <col min="20" max="20" width="7.33203125" customWidth="1"/>
  </cols>
  <sheetData>
    <row r="1" spans="1:20" ht="20.399999999999999" thickBot="1" x14ac:dyDescent="0.45">
      <c r="A1" s="33" t="s">
        <v>82</v>
      </c>
      <c r="B1" s="33" t="s">
        <v>83</v>
      </c>
      <c r="C1" s="33" t="s">
        <v>35</v>
      </c>
      <c r="D1" s="33" t="s">
        <v>36</v>
      </c>
      <c r="E1" s="33" t="s">
        <v>84</v>
      </c>
      <c r="F1" s="33" t="s">
        <v>85</v>
      </c>
      <c r="G1" s="33" t="s">
        <v>165</v>
      </c>
      <c r="I1" s="33" t="s">
        <v>82</v>
      </c>
      <c r="J1" s="33" t="s">
        <v>83</v>
      </c>
      <c r="K1" s="33" t="s">
        <v>35</v>
      </c>
      <c r="L1" s="33" t="s">
        <v>36</v>
      </c>
      <c r="M1" s="33" t="s">
        <v>84</v>
      </c>
      <c r="N1" s="33" t="s">
        <v>85</v>
      </c>
      <c r="P1" s="33" t="s">
        <v>83</v>
      </c>
      <c r="Q1" s="33" t="s">
        <v>35</v>
      </c>
      <c r="R1" s="33" t="s">
        <v>36</v>
      </c>
      <c r="S1" s="33" t="s">
        <v>84</v>
      </c>
      <c r="T1" s="33" t="s">
        <v>85</v>
      </c>
    </row>
    <row r="2" spans="1:20" ht="15" thickTop="1" x14ac:dyDescent="0.3"/>
    <row r="3" spans="1:20" ht="18" thickBot="1" x14ac:dyDescent="0.4">
      <c r="A3" s="53" t="s">
        <v>482</v>
      </c>
      <c r="B3" s="53"/>
      <c r="C3" s="53"/>
      <c r="D3" s="53"/>
      <c r="E3" s="53"/>
      <c r="F3" s="53"/>
      <c r="G3" s="53"/>
      <c r="I3" s="50" t="s">
        <v>166</v>
      </c>
      <c r="J3" s="50"/>
      <c r="K3" s="50"/>
      <c r="L3" s="50"/>
      <c r="M3" s="50"/>
      <c r="N3" s="50"/>
      <c r="P3" s="50" t="s">
        <v>501</v>
      </c>
      <c r="Q3" s="50"/>
      <c r="R3" s="50"/>
      <c r="S3" s="50"/>
      <c r="T3" s="50"/>
    </row>
    <row r="4" spans="1:20" ht="15" thickTop="1" x14ac:dyDescent="0.3">
      <c r="D4" t="s">
        <v>481</v>
      </c>
    </row>
    <row r="5" spans="1:20" x14ac:dyDescent="0.3">
      <c r="A5" s="50" t="s">
        <v>167</v>
      </c>
      <c r="B5" s="50"/>
      <c r="C5" s="50"/>
      <c r="D5" s="50"/>
      <c r="E5" s="50"/>
      <c r="F5" s="50"/>
      <c r="G5" s="50"/>
      <c r="J5" s="35" t="s">
        <v>168</v>
      </c>
      <c r="K5" s="1" t="s">
        <v>517</v>
      </c>
      <c r="L5" s="1" t="s">
        <v>169</v>
      </c>
      <c r="N5" t="s">
        <v>4</v>
      </c>
      <c r="P5" s="5" t="s">
        <v>172</v>
      </c>
      <c r="Q5" s="17" t="s">
        <v>173</v>
      </c>
      <c r="R5" t="s">
        <v>97</v>
      </c>
      <c r="S5" t="s">
        <v>174</v>
      </c>
      <c r="T5">
        <v>2017</v>
      </c>
    </row>
    <row r="6" spans="1:20" x14ac:dyDescent="0.3">
      <c r="J6" s="92" t="s">
        <v>170</v>
      </c>
      <c r="K6" s="42" t="s">
        <v>171</v>
      </c>
      <c r="L6" s="42" t="s">
        <v>169</v>
      </c>
      <c r="M6" t="s">
        <v>518</v>
      </c>
      <c r="N6" t="s">
        <v>4</v>
      </c>
    </row>
    <row r="7" spans="1:20" x14ac:dyDescent="0.3">
      <c r="A7" t="s">
        <v>90</v>
      </c>
      <c r="B7" s="1" t="s">
        <v>175</v>
      </c>
      <c r="J7" s="92" t="s">
        <v>176</v>
      </c>
      <c r="K7" s="42" t="s">
        <v>177</v>
      </c>
      <c r="L7" t="s">
        <v>169</v>
      </c>
      <c r="M7" s="42" t="s">
        <v>178</v>
      </c>
      <c r="N7" t="s">
        <v>4</v>
      </c>
      <c r="P7" s="1" t="s">
        <v>182</v>
      </c>
      <c r="S7" t="s">
        <v>174</v>
      </c>
      <c r="T7">
        <v>2017</v>
      </c>
    </row>
    <row r="8" spans="1:20" x14ac:dyDescent="0.3">
      <c r="B8" s="6" t="s">
        <v>442</v>
      </c>
      <c r="C8">
        <v>1.5</v>
      </c>
      <c r="D8" t="s">
        <v>179</v>
      </c>
      <c r="E8" t="s">
        <v>441</v>
      </c>
      <c r="N8" s="16" t="s">
        <v>4</v>
      </c>
      <c r="P8" s="6" t="s">
        <v>185</v>
      </c>
      <c r="Q8">
        <v>22.67</v>
      </c>
    </row>
    <row r="9" spans="1:20" x14ac:dyDescent="0.3">
      <c r="B9" s="6" t="s">
        <v>180</v>
      </c>
      <c r="C9">
        <v>1.5</v>
      </c>
      <c r="D9" t="s">
        <v>179</v>
      </c>
      <c r="E9" t="s">
        <v>180</v>
      </c>
      <c r="I9" t="s">
        <v>90</v>
      </c>
      <c r="J9" s="1" t="s">
        <v>502</v>
      </c>
      <c r="K9" s="4">
        <v>49</v>
      </c>
      <c r="L9" t="s">
        <v>169</v>
      </c>
      <c r="M9" t="s">
        <v>181</v>
      </c>
      <c r="N9" t="s">
        <v>4</v>
      </c>
      <c r="P9" s="6" t="s">
        <v>127</v>
      </c>
      <c r="Q9">
        <v>14.07</v>
      </c>
    </row>
    <row r="10" spans="1:20" x14ac:dyDescent="0.3">
      <c r="B10" s="6" t="s">
        <v>183</v>
      </c>
      <c r="C10">
        <v>6</v>
      </c>
      <c r="D10" t="s">
        <v>179</v>
      </c>
      <c r="E10" t="s">
        <v>183</v>
      </c>
      <c r="J10" s="91" t="s">
        <v>184</v>
      </c>
      <c r="K10" s="12" t="s">
        <v>515</v>
      </c>
      <c r="L10" t="s">
        <v>169</v>
      </c>
      <c r="M10" t="s">
        <v>513</v>
      </c>
      <c r="N10" t="s">
        <v>4</v>
      </c>
      <c r="P10" s="6" t="s">
        <v>189</v>
      </c>
      <c r="Q10">
        <v>3.43</v>
      </c>
    </row>
    <row r="11" spans="1:20" x14ac:dyDescent="0.3">
      <c r="B11" t="s">
        <v>186</v>
      </c>
      <c r="C11">
        <v>1</v>
      </c>
      <c r="D11" t="s">
        <v>97</v>
      </c>
      <c r="E11" t="s">
        <v>180</v>
      </c>
      <c r="J11" s="7" t="s">
        <v>187</v>
      </c>
      <c r="K11" s="93" t="s">
        <v>514</v>
      </c>
      <c r="L11" t="s">
        <v>169</v>
      </c>
      <c r="M11" t="s">
        <v>513</v>
      </c>
      <c r="P11" s="6" t="s">
        <v>195</v>
      </c>
      <c r="Q11">
        <v>2.6</v>
      </c>
    </row>
    <row r="12" spans="1:20" x14ac:dyDescent="0.3">
      <c r="J12" s="7" t="s">
        <v>188</v>
      </c>
      <c r="K12" s="4">
        <v>200</v>
      </c>
      <c r="L12" t="s">
        <v>169</v>
      </c>
      <c r="M12" t="s">
        <v>513</v>
      </c>
      <c r="P12" s="6" t="s">
        <v>200</v>
      </c>
      <c r="Q12">
        <v>0.14000000000000001</v>
      </c>
    </row>
    <row r="13" spans="1:20" x14ac:dyDescent="0.3">
      <c r="A13" t="s">
        <v>128</v>
      </c>
      <c r="B13" s="1" t="s">
        <v>190</v>
      </c>
      <c r="C13" t="s">
        <v>191</v>
      </c>
      <c r="E13" t="s">
        <v>483</v>
      </c>
      <c r="F13" t="s">
        <v>4</v>
      </c>
      <c r="I13" t="s">
        <v>128</v>
      </c>
      <c r="J13" t="s">
        <v>193</v>
      </c>
      <c r="K13" s="12" t="s">
        <v>194</v>
      </c>
      <c r="L13" t="s">
        <v>169</v>
      </c>
      <c r="M13" t="s">
        <v>192</v>
      </c>
      <c r="P13" s="6" t="s">
        <v>201</v>
      </c>
      <c r="Q13">
        <v>0.06</v>
      </c>
    </row>
    <row r="14" spans="1:20" x14ac:dyDescent="0.3">
      <c r="B14" s="6" t="s">
        <v>196</v>
      </c>
      <c r="C14" t="s">
        <v>197</v>
      </c>
      <c r="E14" t="s">
        <v>198</v>
      </c>
      <c r="F14" t="s">
        <v>4</v>
      </c>
      <c r="I14" t="s">
        <v>128</v>
      </c>
      <c r="J14" t="s">
        <v>199</v>
      </c>
      <c r="K14">
        <v>36</v>
      </c>
      <c r="L14" t="s">
        <v>169</v>
      </c>
      <c r="M14" t="s">
        <v>516</v>
      </c>
      <c r="N14" t="s">
        <v>4</v>
      </c>
      <c r="P14" s="6" t="s">
        <v>205</v>
      </c>
      <c r="Q14">
        <v>0.05</v>
      </c>
    </row>
    <row r="15" spans="1:20" x14ac:dyDescent="0.3">
      <c r="P15" s="6" t="s">
        <v>207</v>
      </c>
      <c r="Q15">
        <v>0.05</v>
      </c>
    </row>
    <row r="16" spans="1:20" x14ac:dyDescent="0.3">
      <c r="A16" s="50" t="s">
        <v>202</v>
      </c>
      <c r="B16" s="50"/>
      <c r="C16" s="50"/>
      <c r="D16" s="50"/>
      <c r="E16" s="50"/>
      <c r="F16" s="50"/>
      <c r="G16" s="50"/>
      <c r="I16" t="s">
        <v>203</v>
      </c>
      <c r="J16" t="s">
        <v>204</v>
      </c>
      <c r="K16">
        <v>13.6</v>
      </c>
      <c r="L16" t="s">
        <v>169</v>
      </c>
      <c r="M16" t="s">
        <v>519</v>
      </c>
      <c r="P16" s="6" t="s">
        <v>210</v>
      </c>
      <c r="Q16">
        <v>0.03</v>
      </c>
    </row>
    <row r="17" spans="1:20" x14ac:dyDescent="0.3">
      <c r="J17" s="35" t="s">
        <v>206</v>
      </c>
      <c r="K17" s="35">
        <v>6.29</v>
      </c>
      <c r="L17" t="s">
        <v>169</v>
      </c>
      <c r="M17" t="s">
        <v>519</v>
      </c>
      <c r="Q17">
        <f>SUM(Q8:Q16)</f>
        <v>43.1</v>
      </c>
    </row>
    <row r="18" spans="1:20" x14ac:dyDescent="0.3">
      <c r="A18" t="s">
        <v>90</v>
      </c>
      <c r="B18" t="s">
        <v>208</v>
      </c>
      <c r="C18">
        <v>20</v>
      </c>
      <c r="D18" s="2" t="s">
        <v>97</v>
      </c>
      <c r="E18" t="s">
        <v>441</v>
      </c>
      <c r="J18" t="s">
        <v>209</v>
      </c>
      <c r="K18">
        <v>1.85</v>
      </c>
      <c r="L18" t="s">
        <v>169</v>
      </c>
      <c r="M18" t="s">
        <v>519</v>
      </c>
    </row>
    <row r="19" spans="1:20" x14ac:dyDescent="0.3">
      <c r="A19" t="s">
        <v>90</v>
      </c>
      <c r="B19" s="5" t="s">
        <v>211</v>
      </c>
      <c r="C19">
        <v>20</v>
      </c>
      <c r="D19" t="s">
        <v>97</v>
      </c>
      <c r="E19" t="s">
        <v>102</v>
      </c>
      <c r="F19" t="s">
        <v>4</v>
      </c>
      <c r="J19" t="s">
        <v>212</v>
      </c>
      <c r="K19">
        <f>K17/K16*100</f>
        <v>46.25</v>
      </c>
      <c r="L19" t="s">
        <v>97</v>
      </c>
      <c r="M19" t="s">
        <v>519</v>
      </c>
      <c r="P19" s="1" t="s">
        <v>182</v>
      </c>
      <c r="S19" t="s">
        <v>174</v>
      </c>
      <c r="T19">
        <v>2017</v>
      </c>
    </row>
    <row r="20" spans="1:20" x14ac:dyDescent="0.3">
      <c r="A20" t="s">
        <v>128</v>
      </c>
      <c r="B20" t="s">
        <v>214</v>
      </c>
      <c r="C20">
        <v>59.65</v>
      </c>
      <c r="D20" t="s">
        <v>97</v>
      </c>
      <c r="E20" t="s">
        <v>180</v>
      </c>
      <c r="J20" t="s">
        <v>213</v>
      </c>
      <c r="K20">
        <f>K18/K16*100</f>
        <v>13.602941176470591</v>
      </c>
      <c r="L20" t="s">
        <v>97</v>
      </c>
      <c r="M20" t="s">
        <v>519</v>
      </c>
      <c r="P20" s="6" t="s">
        <v>185</v>
      </c>
      <c r="Q20">
        <v>764</v>
      </c>
    </row>
    <row r="21" spans="1:20" x14ac:dyDescent="0.3">
      <c r="P21" s="6" t="s">
        <v>127</v>
      </c>
      <c r="Q21">
        <v>379</v>
      </c>
    </row>
    <row r="22" spans="1:20" ht="18" thickBot="1" x14ac:dyDescent="0.4">
      <c r="A22" s="53" t="s">
        <v>116</v>
      </c>
      <c r="B22" s="53"/>
      <c r="C22" s="53"/>
      <c r="D22" s="53"/>
      <c r="E22" s="53"/>
      <c r="F22" s="53"/>
      <c r="G22" s="53"/>
      <c r="I22" s="74" t="s">
        <v>116</v>
      </c>
      <c r="J22" s="1" t="s">
        <v>512</v>
      </c>
      <c r="K22">
        <v>1000</v>
      </c>
      <c r="L22" t="s">
        <v>215</v>
      </c>
      <c r="M22" t="s">
        <v>441</v>
      </c>
      <c r="N22" t="s">
        <v>93</v>
      </c>
      <c r="P22" s="6" t="s">
        <v>218</v>
      </c>
      <c r="Q22">
        <v>124</v>
      </c>
    </row>
    <row r="23" spans="1:20" ht="15" thickTop="1" x14ac:dyDescent="0.3">
      <c r="I23" s="1"/>
      <c r="J23" s="6" t="s">
        <v>216</v>
      </c>
      <c r="K23">
        <v>323</v>
      </c>
      <c r="L23" t="s">
        <v>215</v>
      </c>
      <c r="M23" t="s">
        <v>174</v>
      </c>
      <c r="N23" t="s">
        <v>93</v>
      </c>
      <c r="P23" s="6" t="s">
        <v>219</v>
      </c>
      <c r="Q23">
        <v>79</v>
      </c>
    </row>
    <row r="24" spans="1:20" x14ac:dyDescent="0.3">
      <c r="A24" s="50" t="s">
        <v>167</v>
      </c>
      <c r="B24" s="50"/>
      <c r="C24" s="50"/>
      <c r="D24" s="50"/>
      <c r="E24" s="50"/>
      <c r="F24" s="50"/>
      <c r="G24" s="50"/>
      <c r="J24" s="6" t="s">
        <v>217</v>
      </c>
      <c r="K24">
        <v>10</v>
      </c>
      <c r="L24" t="s">
        <v>169</v>
      </c>
      <c r="M24" s="85" t="s">
        <v>67</v>
      </c>
      <c r="P24" s="6" t="s">
        <v>220</v>
      </c>
      <c r="Q24">
        <v>57</v>
      </c>
    </row>
    <row r="25" spans="1:20" x14ac:dyDescent="0.3">
      <c r="J25" s="6" t="s">
        <v>510</v>
      </c>
      <c r="K25">
        <f>K32/8</f>
        <v>125</v>
      </c>
      <c r="L25" t="s">
        <v>215</v>
      </c>
      <c r="M25" s="85" t="s">
        <v>508</v>
      </c>
      <c r="N25" t="s">
        <v>4</v>
      </c>
      <c r="P25" s="6" t="s">
        <v>223</v>
      </c>
      <c r="Q25">
        <v>33</v>
      </c>
    </row>
    <row r="26" spans="1:20" x14ac:dyDescent="0.3">
      <c r="A26" s="74" t="s">
        <v>116</v>
      </c>
      <c r="B26" s="87" t="s">
        <v>221</v>
      </c>
      <c r="C26" s="35" t="s">
        <v>489</v>
      </c>
      <c r="E26" t="s">
        <v>492</v>
      </c>
      <c r="F26" t="s">
        <v>4</v>
      </c>
      <c r="J26" s="6" t="s">
        <v>511</v>
      </c>
      <c r="K26" t="s">
        <v>222</v>
      </c>
      <c r="L26" t="s">
        <v>215</v>
      </c>
      <c r="M26" s="85" t="s">
        <v>509</v>
      </c>
      <c r="N26" s="85" t="s">
        <v>4</v>
      </c>
      <c r="P26" s="6" t="s">
        <v>226</v>
      </c>
      <c r="Q26">
        <v>30</v>
      </c>
    </row>
    <row r="27" spans="1:20" x14ac:dyDescent="0.3">
      <c r="A27" s="74"/>
      <c r="B27" s="6" t="s">
        <v>224</v>
      </c>
      <c r="C27" s="4">
        <v>40000</v>
      </c>
      <c r="E27" t="s">
        <v>225</v>
      </c>
      <c r="F27">
        <v>1995</v>
      </c>
      <c r="H27" t="s">
        <v>4</v>
      </c>
      <c r="P27" s="6" t="s">
        <v>132</v>
      </c>
      <c r="Q27">
        <v>29</v>
      </c>
    </row>
    <row r="28" spans="1:20" x14ac:dyDescent="0.3">
      <c r="A28" s="74"/>
      <c r="B28" s="6" t="s">
        <v>227</v>
      </c>
      <c r="C28" t="s">
        <v>228</v>
      </c>
      <c r="E28" t="s">
        <v>181</v>
      </c>
      <c r="F28" t="s">
        <v>4</v>
      </c>
      <c r="I28" s="74" t="s">
        <v>116</v>
      </c>
      <c r="J28" s="1" t="s">
        <v>506</v>
      </c>
      <c r="K28">
        <v>6000</v>
      </c>
      <c r="L28" t="s">
        <v>215</v>
      </c>
      <c r="M28" t="s">
        <v>441</v>
      </c>
      <c r="N28" t="s">
        <v>93</v>
      </c>
      <c r="P28" s="6" t="s">
        <v>137</v>
      </c>
      <c r="Q28">
        <v>17</v>
      </c>
    </row>
    <row r="29" spans="1:20" x14ac:dyDescent="0.3">
      <c r="A29" s="74"/>
      <c r="B29" s="6" t="s">
        <v>229</v>
      </c>
      <c r="C29" t="s">
        <v>230</v>
      </c>
      <c r="E29" t="s">
        <v>231</v>
      </c>
      <c r="F29">
        <v>2018</v>
      </c>
      <c r="H29" t="s">
        <v>4</v>
      </c>
      <c r="I29" s="74"/>
      <c r="J29" s="1" t="s">
        <v>507</v>
      </c>
      <c r="K29" s="1" t="s">
        <v>505</v>
      </c>
      <c r="L29" t="s">
        <v>215</v>
      </c>
      <c r="P29" s="6" t="s">
        <v>235</v>
      </c>
      <c r="Q29">
        <v>12</v>
      </c>
    </row>
    <row r="30" spans="1:20" x14ac:dyDescent="0.3">
      <c r="A30" s="74"/>
      <c r="B30" s="6" t="s">
        <v>232</v>
      </c>
      <c r="C30" t="s">
        <v>233</v>
      </c>
      <c r="E30" t="s">
        <v>500</v>
      </c>
      <c r="F30">
        <v>2019</v>
      </c>
      <c r="G30" t="s">
        <v>485</v>
      </c>
      <c r="H30" t="s">
        <v>4</v>
      </c>
      <c r="I30" s="74"/>
      <c r="J30" s="6" t="s">
        <v>236</v>
      </c>
      <c r="K30">
        <v>800</v>
      </c>
      <c r="L30" t="s">
        <v>215</v>
      </c>
      <c r="M30" t="s">
        <v>237</v>
      </c>
      <c r="N30" t="s">
        <v>93</v>
      </c>
      <c r="Q30">
        <f>SUM(Q20:Q29)</f>
        <v>1524</v>
      </c>
    </row>
    <row r="31" spans="1:20" x14ac:dyDescent="0.3">
      <c r="A31" s="74"/>
      <c r="B31" s="6" t="s">
        <v>224</v>
      </c>
      <c r="C31">
        <f>'Global Statistics'!B3*6407000</f>
        <v>26268.7</v>
      </c>
      <c r="E31" t="s">
        <v>484</v>
      </c>
      <c r="F31">
        <v>2016</v>
      </c>
      <c r="H31" t="s">
        <v>4</v>
      </c>
      <c r="I31" s="74"/>
      <c r="J31" s="6" t="s">
        <v>234</v>
      </c>
      <c r="K31">
        <v>1517</v>
      </c>
      <c r="L31" t="s">
        <v>215</v>
      </c>
      <c r="M31" t="s">
        <v>174</v>
      </c>
      <c r="N31" t="s">
        <v>93</v>
      </c>
    </row>
    <row r="32" spans="1:20" x14ac:dyDescent="0.3">
      <c r="A32" s="74"/>
      <c r="B32" s="6" t="s">
        <v>224</v>
      </c>
      <c r="C32" t="s">
        <v>238</v>
      </c>
      <c r="E32" t="s">
        <v>181</v>
      </c>
      <c r="F32" t="s">
        <v>4</v>
      </c>
      <c r="G32" t="s">
        <v>491</v>
      </c>
      <c r="H32" t="s">
        <v>4</v>
      </c>
      <c r="I32" s="74"/>
      <c r="J32" s="6" t="s">
        <v>239</v>
      </c>
      <c r="K32">
        <v>1000</v>
      </c>
      <c r="L32" t="s">
        <v>215</v>
      </c>
      <c r="M32" s="85" t="s">
        <v>67</v>
      </c>
      <c r="P32" s="15" t="s">
        <v>240</v>
      </c>
      <c r="S32" t="s">
        <v>174</v>
      </c>
      <c r="T32">
        <v>2017</v>
      </c>
    </row>
    <row r="33" spans="1:17" x14ac:dyDescent="0.3">
      <c r="A33" s="74"/>
      <c r="H33" t="s">
        <v>4</v>
      </c>
      <c r="I33" s="74"/>
      <c r="J33" s="6" t="s">
        <v>242</v>
      </c>
      <c r="K33">
        <f>9.293*0.1538</f>
        <v>1.4292633999999997</v>
      </c>
      <c r="L33" t="s">
        <v>243</v>
      </c>
      <c r="M33" t="s">
        <v>244</v>
      </c>
      <c r="P33" s="6" t="s">
        <v>185</v>
      </c>
      <c r="Q33">
        <v>91</v>
      </c>
    </row>
    <row r="34" spans="1:17" x14ac:dyDescent="0.3">
      <c r="A34" s="74"/>
      <c r="B34" s="87" t="s">
        <v>241</v>
      </c>
      <c r="C34" s="1" t="s">
        <v>488</v>
      </c>
      <c r="I34" s="74"/>
      <c r="P34" s="6" t="s">
        <v>137</v>
      </c>
      <c r="Q34">
        <v>83</v>
      </c>
    </row>
    <row r="35" spans="1:17" x14ac:dyDescent="0.3">
      <c r="A35" s="74"/>
      <c r="B35" s="6" t="s">
        <v>495</v>
      </c>
      <c r="C35" s="4">
        <v>3000</v>
      </c>
      <c r="E35" t="s">
        <v>225</v>
      </c>
      <c r="F35">
        <v>1994</v>
      </c>
      <c r="I35" s="74" t="s">
        <v>116</v>
      </c>
      <c r="J35" s="1" t="s">
        <v>245</v>
      </c>
      <c r="K35" s="4">
        <v>30000</v>
      </c>
      <c r="L35" t="s">
        <v>215</v>
      </c>
      <c r="M35" t="s">
        <v>441</v>
      </c>
      <c r="N35" t="s">
        <v>93</v>
      </c>
      <c r="P35" s="6" t="s">
        <v>127</v>
      </c>
      <c r="Q35">
        <v>63</v>
      </c>
    </row>
    <row r="36" spans="1:17" x14ac:dyDescent="0.3">
      <c r="A36" s="74"/>
      <c r="B36" s="6" t="s">
        <v>493</v>
      </c>
      <c r="C36">
        <v>45</v>
      </c>
      <c r="E36" s="85" t="s">
        <v>67</v>
      </c>
      <c r="F36">
        <v>2023</v>
      </c>
      <c r="I36" s="74"/>
      <c r="J36" t="s">
        <v>247</v>
      </c>
      <c r="K36">
        <v>8833</v>
      </c>
      <c r="L36" t="s">
        <v>215</v>
      </c>
      <c r="M36" t="s">
        <v>174</v>
      </c>
      <c r="N36" t="s">
        <v>93</v>
      </c>
      <c r="P36" s="6" t="s">
        <v>248</v>
      </c>
      <c r="Q36">
        <v>52</v>
      </c>
    </row>
    <row r="37" spans="1:17" x14ac:dyDescent="0.3">
      <c r="A37" s="74"/>
      <c r="B37" s="6" t="s">
        <v>497</v>
      </c>
      <c r="C37">
        <f>45*6407000/((6407000/4646732)*58648)</f>
        <v>3565.3891010776156</v>
      </c>
      <c r="E37" s="85" t="s">
        <v>246</v>
      </c>
      <c r="F37">
        <v>2023</v>
      </c>
      <c r="G37" t="s">
        <v>486</v>
      </c>
      <c r="H37" t="s">
        <v>4</v>
      </c>
      <c r="I37" s="74"/>
      <c r="P37" s="6" t="s">
        <v>218</v>
      </c>
      <c r="Q37">
        <v>39</v>
      </c>
    </row>
    <row r="38" spans="1:17" x14ac:dyDescent="0.3">
      <c r="A38" s="74"/>
      <c r="B38" s="6" t="s">
        <v>494</v>
      </c>
      <c r="C38">
        <v>32</v>
      </c>
      <c r="E38" s="85" t="s">
        <v>67</v>
      </c>
      <c r="H38" t="s">
        <v>4</v>
      </c>
      <c r="I38" s="74" t="s">
        <v>116</v>
      </c>
      <c r="J38" t="s">
        <v>249</v>
      </c>
      <c r="K38">
        <v>36</v>
      </c>
      <c r="L38" t="s">
        <v>123</v>
      </c>
      <c r="M38" t="s">
        <v>441</v>
      </c>
      <c r="N38" t="s">
        <v>93</v>
      </c>
      <c r="P38" s="6" t="s">
        <v>132</v>
      </c>
      <c r="Q38">
        <v>25</v>
      </c>
    </row>
    <row r="39" spans="1:17" x14ac:dyDescent="0.3">
      <c r="A39" s="74"/>
      <c r="B39" s="6" t="s">
        <v>496</v>
      </c>
      <c r="C39">
        <f>32*6407000/100000</f>
        <v>2050.2399999999998</v>
      </c>
      <c r="E39" s="85" t="s">
        <v>67</v>
      </c>
      <c r="P39" s="6" t="s">
        <v>220</v>
      </c>
      <c r="Q39">
        <v>20</v>
      </c>
    </row>
    <row r="40" spans="1:17" ht="18" thickBot="1" x14ac:dyDescent="0.4">
      <c r="A40" s="74"/>
      <c r="E40" s="85"/>
      <c r="I40" s="53" t="s">
        <v>87</v>
      </c>
      <c r="J40" s="53"/>
      <c r="K40" s="53"/>
      <c r="L40" s="53"/>
      <c r="M40" s="53"/>
      <c r="N40" s="53"/>
      <c r="P40" s="6" t="s">
        <v>251</v>
      </c>
      <c r="Q40">
        <v>15</v>
      </c>
    </row>
    <row r="41" spans="1:17" ht="15" thickTop="1" x14ac:dyDescent="0.3">
      <c r="A41" s="74"/>
      <c r="B41" s="87" t="s">
        <v>250</v>
      </c>
      <c r="C41" s="1" t="s">
        <v>490</v>
      </c>
      <c r="E41" s="85"/>
      <c r="P41" s="6" t="s">
        <v>253</v>
      </c>
      <c r="Q41">
        <v>15</v>
      </c>
    </row>
    <row r="42" spans="1:17" x14ac:dyDescent="0.3">
      <c r="A42" s="74"/>
      <c r="B42" s="7" t="s">
        <v>252</v>
      </c>
      <c r="C42" s="4">
        <v>2700</v>
      </c>
      <c r="E42" s="85" t="s">
        <v>225</v>
      </c>
      <c r="F42">
        <v>1990</v>
      </c>
      <c r="I42" s="50" t="s">
        <v>255</v>
      </c>
      <c r="J42" s="50"/>
      <c r="K42" s="50"/>
      <c r="L42" s="50"/>
      <c r="M42" s="50"/>
      <c r="N42" s="50"/>
      <c r="P42" s="6" t="s">
        <v>256</v>
      </c>
      <c r="Q42">
        <v>13</v>
      </c>
    </row>
    <row r="43" spans="1:17" x14ac:dyDescent="0.3">
      <c r="A43" s="74"/>
      <c r="B43" s="7" t="s">
        <v>254</v>
      </c>
      <c r="C43">
        <v>2000</v>
      </c>
      <c r="E43" s="85" t="s">
        <v>441</v>
      </c>
      <c r="J43" t="s">
        <v>503</v>
      </c>
      <c r="K43">
        <v>101</v>
      </c>
      <c r="M43" t="s">
        <v>180</v>
      </c>
      <c r="N43">
        <v>2019</v>
      </c>
      <c r="Q43">
        <f>SUM(Q33:Q42)</f>
        <v>416</v>
      </c>
    </row>
    <row r="44" spans="1:17" x14ac:dyDescent="0.3">
      <c r="A44" s="74"/>
      <c r="B44" s="7" t="s">
        <v>257</v>
      </c>
      <c r="C44" s="4">
        <v>1970</v>
      </c>
      <c r="E44" s="85" t="s">
        <v>174</v>
      </c>
      <c r="J44" t="s">
        <v>260</v>
      </c>
      <c r="K44">
        <v>33</v>
      </c>
      <c r="L44" t="s">
        <v>97</v>
      </c>
      <c r="M44" t="s">
        <v>180</v>
      </c>
      <c r="N44">
        <v>2019</v>
      </c>
    </row>
    <row r="45" spans="1:17" x14ac:dyDescent="0.3">
      <c r="A45" s="74"/>
      <c r="B45" s="7" t="s">
        <v>254</v>
      </c>
      <c r="C45" s="4">
        <f>32*(6407000/100000)</f>
        <v>2050.2399999999998</v>
      </c>
      <c r="E45" s="85" t="s">
        <v>67</v>
      </c>
      <c r="F45">
        <v>2022</v>
      </c>
      <c r="G45" t="s">
        <v>487</v>
      </c>
      <c r="H45" t="s">
        <v>4</v>
      </c>
      <c r="J45" s="1" t="s">
        <v>261</v>
      </c>
      <c r="K45" s="13">
        <v>93</v>
      </c>
      <c r="L45" t="s">
        <v>97</v>
      </c>
      <c r="M45" t="s">
        <v>180</v>
      </c>
      <c r="N45">
        <v>2019</v>
      </c>
    </row>
    <row r="46" spans="1:17" x14ac:dyDescent="0.3">
      <c r="A46" s="74"/>
      <c r="B46" s="7" t="s">
        <v>258</v>
      </c>
      <c r="C46" t="s">
        <v>259</v>
      </c>
      <c r="E46" t="s">
        <v>499</v>
      </c>
      <c r="F46">
        <v>2019</v>
      </c>
      <c r="G46" t="s">
        <v>485</v>
      </c>
      <c r="H46" t="s">
        <v>4</v>
      </c>
      <c r="J46" s="1" t="s">
        <v>263</v>
      </c>
      <c r="M46" t="s">
        <v>180</v>
      </c>
      <c r="N46">
        <v>2019</v>
      </c>
    </row>
    <row r="47" spans="1:17" x14ac:dyDescent="0.3">
      <c r="A47" s="74"/>
      <c r="H47" t="s">
        <v>4</v>
      </c>
      <c r="J47" s="6" t="s">
        <v>265</v>
      </c>
      <c r="K47">
        <v>65</v>
      </c>
    </row>
    <row r="48" spans="1:17" x14ac:dyDescent="0.3">
      <c r="A48" s="74"/>
      <c r="B48" s="88" t="s">
        <v>262</v>
      </c>
      <c r="C48">
        <v>280</v>
      </c>
      <c r="E48" t="s">
        <v>174</v>
      </c>
      <c r="H48" t="s">
        <v>4</v>
      </c>
      <c r="J48" s="6" t="s">
        <v>266</v>
      </c>
      <c r="K48">
        <v>31</v>
      </c>
    </row>
    <row r="49" spans="1:14" x14ac:dyDescent="0.3">
      <c r="A49" s="74"/>
      <c r="B49" s="88" t="s">
        <v>264</v>
      </c>
      <c r="C49">
        <v>46</v>
      </c>
      <c r="E49" t="s">
        <v>174</v>
      </c>
      <c r="J49" s="6" t="s">
        <v>267</v>
      </c>
      <c r="K49">
        <v>4</v>
      </c>
    </row>
    <row r="50" spans="1:14" x14ac:dyDescent="0.3">
      <c r="A50" s="74"/>
    </row>
    <row r="51" spans="1:14" x14ac:dyDescent="0.3">
      <c r="A51" s="50" t="s">
        <v>498</v>
      </c>
      <c r="B51" s="50"/>
      <c r="C51" s="50"/>
      <c r="D51" s="50"/>
      <c r="E51" s="50"/>
      <c r="F51" s="50"/>
      <c r="G51" s="50"/>
      <c r="I51" s="50" t="s">
        <v>89</v>
      </c>
      <c r="J51" s="50"/>
      <c r="K51" s="50"/>
      <c r="L51" s="50"/>
      <c r="M51" s="50"/>
      <c r="N51" s="50"/>
    </row>
    <row r="52" spans="1:14" x14ac:dyDescent="0.3">
      <c r="A52" s="74"/>
      <c r="J52" s="7"/>
    </row>
    <row r="53" spans="1:14" x14ac:dyDescent="0.3">
      <c r="A53" s="74" t="s">
        <v>116</v>
      </c>
      <c r="B53" s="74" t="s">
        <v>268</v>
      </c>
      <c r="C53">
        <v>33</v>
      </c>
      <c r="D53" t="s">
        <v>97</v>
      </c>
      <c r="E53" t="s">
        <v>269</v>
      </c>
      <c r="F53">
        <v>2015</v>
      </c>
      <c r="J53" s="5" t="s">
        <v>92</v>
      </c>
      <c r="K53">
        <v>45000</v>
      </c>
      <c r="M53" s="85" t="s">
        <v>270</v>
      </c>
    </row>
    <row r="54" spans="1:14" x14ac:dyDescent="0.3">
      <c r="A54" s="74" t="s">
        <v>116</v>
      </c>
      <c r="B54" t="s">
        <v>271</v>
      </c>
      <c r="C54" s="4">
        <v>24</v>
      </c>
      <c r="D54" t="s">
        <v>97</v>
      </c>
      <c r="E54" t="s">
        <v>231</v>
      </c>
      <c r="F54" t="s">
        <v>4</v>
      </c>
      <c r="J54" s="5" t="s">
        <v>504</v>
      </c>
      <c r="K54">
        <v>16</v>
      </c>
      <c r="M54" s="85" t="s">
        <v>270</v>
      </c>
    </row>
    <row r="55" spans="1:14" x14ac:dyDescent="0.3">
      <c r="A55" s="74"/>
      <c r="B55" t="s">
        <v>268</v>
      </c>
      <c r="C55" s="4">
        <v>25</v>
      </c>
      <c r="D55" t="s">
        <v>97</v>
      </c>
      <c r="E55" t="s">
        <v>174</v>
      </c>
      <c r="J55" s="5" t="s">
        <v>221</v>
      </c>
      <c r="K55">
        <v>160</v>
      </c>
      <c r="M55" s="85" t="s">
        <v>270</v>
      </c>
    </row>
    <row r="56" spans="1:14" x14ac:dyDescent="0.3">
      <c r="A56" s="74"/>
    </row>
    <row r="57" spans="1:14" x14ac:dyDescent="0.3">
      <c r="A57" s="74" t="s">
        <v>116</v>
      </c>
      <c r="B57" s="1" t="s">
        <v>273</v>
      </c>
      <c r="C57" s="4">
        <v>130000</v>
      </c>
      <c r="D57" t="s">
        <v>112</v>
      </c>
      <c r="E57" t="s">
        <v>442</v>
      </c>
      <c r="F57" t="s">
        <v>4</v>
      </c>
    </row>
    <row r="58" spans="1:14" x14ac:dyDescent="0.3">
      <c r="A58" s="74"/>
      <c r="B58" s="6" t="s">
        <v>274</v>
      </c>
      <c r="C58" s="4">
        <v>180000</v>
      </c>
      <c r="D58" t="s">
        <v>112</v>
      </c>
      <c r="E58" t="s">
        <v>174</v>
      </c>
    </row>
    <row r="59" spans="1:14" x14ac:dyDescent="0.3">
      <c r="A59" s="74" t="s">
        <v>116</v>
      </c>
      <c r="B59" t="s">
        <v>275</v>
      </c>
      <c r="C59">
        <v>400</v>
      </c>
      <c r="D59" t="s">
        <v>146</v>
      </c>
      <c r="E59" t="s">
        <v>160</v>
      </c>
      <c r="J59" s="5"/>
    </row>
    <row r="60" spans="1:14" x14ac:dyDescent="0.3">
      <c r="A60" s="74"/>
      <c r="C60" s="4"/>
      <c r="J60" s="5"/>
      <c r="K60" s="4"/>
    </row>
    <row r="61" spans="1:14" x14ac:dyDescent="0.3">
      <c r="A61" s="74" t="s">
        <v>116</v>
      </c>
      <c r="B61" s="87" t="s">
        <v>276</v>
      </c>
      <c r="J61" s="7"/>
    </row>
    <row r="62" spans="1:14" x14ac:dyDescent="0.3">
      <c r="A62" s="74"/>
      <c r="B62" s="7" t="s">
        <v>277</v>
      </c>
      <c r="C62" s="4">
        <v>20000</v>
      </c>
      <c r="D62" t="s">
        <v>112</v>
      </c>
      <c r="E62" t="s">
        <v>174</v>
      </c>
      <c r="J62" s="7"/>
    </row>
    <row r="63" spans="1:14" x14ac:dyDescent="0.3">
      <c r="A63" s="74"/>
      <c r="B63" s="7" t="s">
        <v>278</v>
      </c>
      <c r="C63" s="74">
        <f>C59*30*15.38/100</f>
        <v>1845.6</v>
      </c>
      <c r="D63" t="s">
        <v>43</v>
      </c>
      <c r="E63" t="s">
        <v>160</v>
      </c>
      <c r="J63" s="5"/>
    </row>
    <row r="64" spans="1:14" x14ac:dyDescent="0.3">
      <c r="A64" s="74"/>
      <c r="C64" s="74">
        <f>C58*15.38/100/12</f>
        <v>2307</v>
      </c>
      <c r="D64" t="s">
        <v>43</v>
      </c>
      <c r="E64" t="s">
        <v>174</v>
      </c>
    </row>
    <row r="65" spans="1:5" x14ac:dyDescent="0.3">
      <c r="A65" s="74"/>
      <c r="C65" s="74">
        <f>C57*15.38/100/12</f>
        <v>1666.1666666666667</v>
      </c>
      <c r="D65" t="s">
        <v>43</v>
      </c>
      <c r="E65" t="s">
        <v>441</v>
      </c>
    </row>
    <row r="66" spans="1:5" x14ac:dyDescent="0.3">
      <c r="A66" s="74"/>
    </row>
    <row r="67" spans="1:5" x14ac:dyDescent="0.3">
      <c r="A67" s="74"/>
      <c r="B67" t="s">
        <v>158</v>
      </c>
      <c r="C67">
        <v>8000</v>
      </c>
      <c r="D67" t="s">
        <v>43</v>
      </c>
      <c r="E67" t="s">
        <v>174</v>
      </c>
    </row>
    <row r="68" spans="1:5" x14ac:dyDescent="0.3">
      <c r="A68" s="74"/>
    </row>
    <row r="69" spans="1:5" x14ac:dyDescent="0.3">
      <c r="A69" s="89" t="s">
        <v>116</v>
      </c>
      <c r="B69" s="89" t="s">
        <v>279</v>
      </c>
      <c r="C69" s="90">
        <f>C62/C57</f>
        <v>0.15384615384615385</v>
      </c>
    </row>
    <row r="70" spans="1:5" x14ac:dyDescent="0.3">
      <c r="A70" s="74"/>
    </row>
    <row r="71" spans="1:5" x14ac:dyDescent="0.3">
      <c r="A71" s="74" t="s">
        <v>116</v>
      </c>
      <c r="B71" t="s">
        <v>280</v>
      </c>
      <c r="C71">
        <v>11</v>
      </c>
      <c r="D71" t="s">
        <v>97</v>
      </c>
      <c r="E71" t="s">
        <v>174</v>
      </c>
    </row>
    <row r="72" spans="1:5" x14ac:dyDescent="0.3">
      <c r="A72" s="74"/>
      <c r="B72" s="7" t="s">
        <v>281</v>
      </c>
      <c r="C72">
        <v>20</v>
      </c>
      <c r="D72" t="s">
        <v>97</v>
      </c>
      <c r="E72" t="s">
        <v>174</v>
      </c>
    </row>
    <row r="74" spans="1:5" x14ac:dyDescent="0.3">
      <c r="A74" s="74"/>
    </row>
    <row r="76" spans="1:5" x14ac:dyDescent="0.3">
      <c r="A76" s="74"/>
    </row>
    <row r="92" spans="2:2" x14ac:dyDescent="0.3">
      <c r="B92" s="8"/>
    </row>
    <row r="93" spans="2:2" x14ac:dyDescent="0.3">
      <c r="B93" s="9"/>
    </row>
  </sheetData>
  <mergeCells count="11">
    <mergeCell ref="A51:G51"/>
    <mergeCell ref="A5:G5"/>
    <mergeCell ref="P3:T3"/>
    <mergeCell ref="I3:N3"/>
    <mergeCell ref="I40:N40"/>
    <mergeCell ref="I51:N51"/>
    <mergeCell ref="I42:N42"/>
    <mergeCell ref="A3:G3"/>
    <mergeCell ref="A24:G24"/>
    <mergeCell ref="A16:G16"/>
    <mergeCell ref="A22:G22"/>
  </mergeCells>
  <phoneticPr fontId="2" type="noConversion"/>
  <pageMargins left="0.7" right="0.7" top="0.75" bottom="0.75" header="0.3" footer="0.3"/>
  <pageSetup paperSize="9" orientation="portrait" r:id="rId1"/>
  <ignoredErrors>
    <ignoredError sqref="K10 K13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2657E-1B27-4CCC-A3AD-6D0D62D105BD}">
  <dimension ref="B1:L49"/>
  <sheetViews>
    <sheetView zoomScale="64" workbookViewId="0">
      <selection activeCell="H1" activeCellId="1" sqref="B1:F1 H1:L1"/>
    </sheetView>
  </sheetViews>
  <sheetFormatPr defaultRowHeight="14.4" x14ac:dyDescent="0.3"/>
  <cols>
    <col min="1" max="1" width="6.44140625" customWidth="1"/>
    <col min="2" max="2" width="55.5546875" customWidth="1"/>
    <col min="5" max="5" width="22.44140625" customWidth="1"/>
    <col min="6" max="6" width="16.6640625" customWidth="1"/>
    <col min="7" max="7" width="12.109375" customWidth="1"/>
    <col min="8" max="8" width="46.109375" customWidth="1"/>
    <col min="9" max="9" width="11.5546875" customWidth="1"/>
    <col min="10" max="10" width="12.33203125" customWidth="1"/>
    <col min="11" max="11" width="14" customWidth="1"/>
    <col min="12" max="12" width="15.44140625" customWidth="1"/>
    <col min="13" max="13" width="12.6640625" customWidth="1"/>
  </cols>
  <sheetData>
    <row r="1" spans="2:12" ht="20.399999999999999" thickBot="1" x14ac:dyDescent="0.45">
      <c r="B1" s="33" t="s">
        <v>83</v>
      </c>
      <c r="C1" s="33" t="s">
        <v>35</v>
      </c>
      <c r="D1" s="33" t="s">
        <v>36</v>
      </c>
      <c r="E1" s="33" t="s">
        <v>84</v>
      </c>
      <c r="F1" s="33" t="s">
        <v>85</v>
      </c>
      <c r="G1" s="14"/>
      <c r="H1" s="33" t="s">
        <v>83</v>
      </c>
      <c r="I1" s="33" t="s">
        <v>35</v>
      </c>
      <c r="J1" s="33" t="s">
        <v>36</v>
      </c>
      <c r="K1" s="33" t="s">
        <v>84</v>
      </c>
      <c r="L1" s="33" t="s">
        <v>85</v>
      </c>
    </row>
    <row r="2" spans="2:12" ht="15" thickTop="1" x14ac:dyDescent="0.3"/>
    <row r="3" spans="2:12" x14ac:dyDescent="0.3">
      <c r="B3" s="50" t="s">
        <v>282</v>
      </c>
      <c r="C3" s="50"/>
      <c r="D3" s="50"/>
      <c r="E3" s="50"/>
      <c r="F3" s="50"/>
      <c r="H3" s="50" t="s">
        <v>283</v>
      </c>
      <c r="I3" s="50"/>
      <c r="J3" s="50"/>
      <c r="K3" s="50"/>
      <c r="L3" s="50"/>
    </row>
    <row r="5" spans="2:12" x14ac:dyDescent="0.3">
      <c r="B5" t="s">
        <v>520</v>
      </c>
      <c r="C5">
        <v>11511</v>
      </c>
      <c r="E5" t="s">
        <v>284</v>
      </c>
      <c r="F5">
        <v>2023</v>
      </c>
      <c r="H5" s="85" t="s">
        <v>285</v>
      </c>
      <c r="I5">
        <v>5400</v>
      </c>
      <c r="J5" t="s">
        <v>146</v>
      </c>
      <c r="K5" t="s">
        <v>286</v>
      </c>
      <c r="L5" t="s">
        <v>4</v>
      </c>
    </row>
    <row r="6" spans="2:12" x14ac:dyDescent="0.3">
      <c r="B6" t="s">
        <v>287</v>
      </c>
      <c r="C6">
        <v>5400</v>
      </c>
      <c r="E6" t="s">
        <v>286</v>
      </c>
      <c r="F6">
        <v>2023</v>
      </c>
      <c r="H6" s="85"/>
    </row>
    <row r="7" spans="2:12" x14ac:dyDescent="0.3">
      <c r="B7" t="s">
        <v>288</v>
      </c>
      <c r="C7">
        <v>7</v>
      </c>
      <c r="E7" t="s">
        <v>286</v>
      </c>
      <c r="F7">
        <v>2023</v>
      </c>
      <c r="H7" s="85" t="s">
        <v>532</v>
      </c>
      <c r="I7">
        <v>3600</v>
      </c>
      <c r="J7" t="s">
        <v>146</v>
      </c>
      <c r="K7" t="s">
        <v>286</v>
      </c>
      <c r="L7" t="s">
        <v>4</v>
      </c>
    </row>
    <row r="8" spans="2:12" x14ac:dyDescent="0.3">
      <c r="H8" s="85"/>
    </row>
    <row r="9" spans="2:12" x14ac:dyDescent="0.3">
      <c r="B9" s="1" t="s">
        <v>289</v>
      </c>
      <c r="E9" t="s">
        <v>286</v>
      </c>
      <c r="F9">
        <v>2023</v>
      </c>
      <c r="H9" s="85" t="s">
        <v>533</v>
      </c>
      <c r="I9">
        <v>30000</v>
      </c>
      <c r="J9" t="s">
        <v>112</v>
      </c>
      <c r="K9" t="s">
        <v>157</v>
      </c>
      <c r="L9" t="s">
        <v>4</v>
      </c>
    </row>
    <row r="10" spans="2:12" x14ac:dyDescent="0.3">
      <c r="B10" s="6" t="s">
        <v>290</v>
      </c>
      <c r="C10">
        <v>5</v>
      </c>
      <c r="H10" s="85" t="s">
        <v>534</v>
      </c>
      <c r="I10">
        <v>50</v>
      </c>
      <c r="J10" t="s">
        <v>146</v>
      </c>
      <c r="K10" t="s">
        <v>157</v>
      </c>
      <c r="L10" t="s">
        <v>4</v>
      </c>
    </row>
    <row r="11" spans="2:12" x14ac:dyDescent="0.3">
      <c r="B11" s="6" t="s">
        <v>292</v>
      </c>
      <c r="C11">
        <v>8.8000000000000007</v>
      </c>
      <c r="D11" t="s">
        <v>123</v>
      </c>
      <c r="H11" s="85"/>
    </row>
    <row r="12" spans="2:12" x14ac:dyDescent="0.3">
      <c r="H12" s="87" t="s">
        <v>293</v>
      </c>
      <c r="I12" t="s">
        <v>4</v>
      </c>
      <c r="K12" t="s">
        <v>151</v>
      </c>
      <c r="L12" t="s">
        <v>4</v>
      </c>
    </row>
    <row r="13" spans="2:12" x14ac:dyDescent="0.3">
      <c r="B13" s="1" t="s">
        <v>522</v>
      </c>
      <c r="C13">
        <v>3</v>
      </c>
      <c r="E13" t="s">
        <v>157</v>
      </c>
      <c r="F13">
        <v>2023</v>
      </c>
      <c r="H13" s="94" t="s">
        <v>535</v>
      </c>
      <c r="I13" t="s">
        <v>294</v>
      </c>
      <c r="J13" t="s">
        <v>43</v>
      </c>
      <c r="K13" t="s">
        <v>4</v>
      </c>
    </row>
    <row r="14" spans="2:12" x14ac:dyDescent="0.3">
      <c r="B14" s="6" t="s">
        <v>295</v>
      </c>
      <c r="C14">
        <v>65</v>
      </c>
      <c r="D14" t="s">
        <v>123</v>
      </c>
      <c r="E14" t="s">
        <v>157</v>
      </c>
      <c r="F14">
        <v>2023</v>
      </c>
      <c r="H14" s="94" t="s">
        <v>536</v>
      </c>
      <c r="I14">
        <v>7188</v>
      </c>
      <c r="J14" t="s">
        <v>112</v>
      </c>
      <c r="K14" t="s">
        <v>4</v>
      </c>
    </row>
    <row r="15" spans="2:12" x14ac:dyDescent="0.3">
      <c r="B15" s="85" t="s">
        <v>521</v>
      </c>
      <c r="C15">
        <v>5</v>
      </c>
      <c r="E15" t="s">
        <v>157</v>
      </c>
      <c r="F15">
        <v>2023</v>
      </c>
      <c r="H15" s="85"/>
    </row>
    <row r="16" spans="2:12" x14ac:dyDescent="0.3">
      <c r="H16" s="85" t="s">
        <v>296</v>
      </c>
      <c r="I16">
        <v>500</v>
      </c>
      <c r="J16" t="s">
        <v>146</v>
      </c>
      <c r="K16" t="s">
        <v>297</v>
      </c>
      <c r="L16">
        <v>2019</v>
      </c>
    </row>
    <row r="17" spans="2:12" x14ac:dyDescent="0.3">
      <c r="B17" t="s">
        <v>298</v>
      </c>
      <c r="C17">
        <v>5863</v>
      </c>
      <c r="E17" t="s">
        <v>299</v>
      </c>
      <c r="F17" t="s">
        <v>4</v>
      </c>
    </row>
    <row r="18" spans="2:12" x14ac:dyDescent="0.3">
      <c r="H18" s="50" t="s">
        <v>89</v>
      </c>
      <c r="I18" s="50"/>
      <c r="J18" s="50"/>
      <c r="K18" s="50"/>
      <c r="L18" s="50"/>
    </row>
    <row r="19" spans="2:12" x14ac:dyDescent="0.3">
      <c r="B19" s="50" t="s">
        <v>300</v>
      </c>
      <c r="C19" s="50"/>
      <c r="D19" s="50"/>
      <c r="E19" s="50"/>
      <c r="F19" s="50"/>
      <c r="H19" s="7"/>
    </row>
    <row r="20" spans="2:12" x14ac:dyDescent="0.3">
      <c r="H20" s="5" t="s">
        <v>272</v>
      </c>
      <c r="I20">
        <v>45000</v>
      </c>
      <c r="K20" s="85" t="s">
        <v>270</v>
      </c>
    </row>
    <row r="21" spans="2:12" x14ac:dyDescent="0.3">
      <c r="B21" s="85" t="s">
        <v>523</v>
      </c>
      <c r="C21">
        <v>6900</v>
      </c>
      <c r="E21" t="s">
        <v>301</v>
      </c>
      <c r="F21" t="s">
        <v>4</v>
      </c>
      <c r="H21" s="5" t="s">
        <v>302</v>
      </c>
      <c r="I21">
        <v>8</v>
      </c>
      <c r="K21" s="85" t="s">
        <v>270</v>
      </c>
    </row>
    <row r="22" spans="2:12" x14ac:dyDescent="0.3">
      <c r="B22" s="85" t="s">
        <v>524</v>
      </c>
      <c r="C22">
        <v>5022</v>
      </c>
      <c r="F22" s="1"/>
      <c r="H22" t="s">
        <v>303</v>
      </c>
      <c r="I22">
        <v>2.8</v>
      </c>
      <c r="J22" t="s">
        <v>304</v>
      </c>
      <c r="K22" s="85" t="s">
        <v>270</v>
      </c>
    </row>
    <row r="23" spans="2:12" x14ac:dyDescent="0.3">
      <c r="B23" t="s">
        <v>525</v>
      </c>
      <c r="C23">
        <v>19390</v>
      </c>
      <c r="H23" t="s">
        <v>307</v>
      </c>
      <c r="I23">
        <v>61</v>
      </c>
      <c r="K23" s="85" t="s">
        <v>270</v>
      </c>
    </row>
    <row r="24" spans="2:12" x14ac:dyDescent="0.3">
      <c r="H24" t="s">
        <v>308</v>
      </c>
      <c r="I24">
        <v>30</v>
      </c>
      <c r="J24" t="s">
        <v>146</v>
      </c>
      <c r="K24" s="85" t="s">
        <v>270</v>
      </c>
    </row>
    <row r="25" spans="2:12" x14ac:dyDescent="0.3">
      <c r="B25" s="1" t="s">
        <v>305</v>
      </c>
      <c r="C25">
        <v>15000</v>
      </c>
      <c r="E25" t="s">
        <v>306</v>
      </c>
      <c r="H25" t="s">
        <v>309</v>
      </c>
      <c r="I25">
        <v>36</v>
      </c>
      <c r="K25" s="85" t="s">
        <v>270</v>
      </c>
    </row>
    <row r="26" spans="2:12" x14ac:dyDescent="0.3">
      <c r="B26" s="7" t="s">
        <v>526</v>
      </c>
      <c r="C26">
        <v>8500</v>
      </c>
      <c r="H26" s="5" t="s">
        <v>311</v>
      </c>
      <c r="I26">
        <v>5.5</v>
      </c>
      <c r="J26" t="s">
        <v>304</v>
      </c>
      <c r="K26" s="85" t="s">
        <v>270</v>
      </c>
    </row>
    <row r="28" spans="2:12" x14ac:dyDescent="0.3">
      <c r="B28" s="1" t="s">
        <v>527</v>
      </c>
      <c r="C28">
        <v>19109</v>
      </c>
      <c r="E28" t="s">
        <v>286</v>
      </c>
      <c r="F28" t="s">
        <v>4</v>
      </c>
    </row>
    <row r="29" spans="2:12" x14ac:dyDescent="0.3">
      <c r="B29" s="7" t="s">
        <v>310</v>
      </c>
      <c r="C29">
        <v>6990</v>
      </c>
    </row>
    <row r="30" spans="2:12" x14ac:dyDescent="0.3">
      <c r="B30" s="7" t="s">
        <v>312</v>
      </c>
      <c r="C30">
        <v>545</v>
      </c>
      <c r="H30" s="7"/>
    </row>
    <row r="31" spans="2:12" x14ac:dyDescent="0.3">
      <c r="B31" s="7" t="s">
        <v>313</v>
      </c>
      <c r="C31">
        <v>8171</v>
      </c>
    </row>
    <row r="32" spans="2:12" x14ac:dyDescent="0.3">
      <c r="B32" s="7" t="s">
        <v>314</v>
      </c>
      <c r="C32">
        <v>3403</v>
      </c>
      <c r="H32" s="5"/>
      <c r="L32" s="5"/>
    </row>
    <row r="34" spans="2:8" x14ac:dyDescent="0.3">
      <c r="B34" s="50" t="s">
        <v>315</v>
      </c>
      <c r="C34" s="50"/>
      <c r="D34" s="50"/>
      <c r="E34" s="50"/>
      <c r="F34" s="50"/>
    </row>
    <row r="36" spans="2:8" x14ac:dyDescent="0.3">
      <c r="B36" s="1" t="s">
        <v>316</v>
      </c>
      <c r="E36" t="s">
        <v>160</v>
      </c>
    </row>
    <row r="37" spans="2:8" x14ac:dyDescent="0.3">
      <c r="B37" s="6" t="s">
        <v>317</v>
      </c>
      <c r="C37">
        <v>45</v>
      </c>
      <c r="D37" t="s">
        <v>97</v>
      </c>
    </row>
    <row r="38" spans="2:8" x14ac:dyDescent="0.3">
      <c r="B38" s="6" t="s">
        <v>318</v>
      </c>
      <c r="C38">
        <v>55</v>
      </c>
      <c r="D38" t="s">
        <v>97</v>
      </c>
      <c r="H38" s="5"/>
    </row>
    <row r="40" spans="2:8" x14ac:dyDescent="0.3">
      <c r="B40" t="s">
        <v>319</v>
      </c>
      <c r="C40">
        <v>91</v>
      </c>
      <c r="D40" t="s">
        <v>97</v>
      </c>
      <c r="E40" t="s">
        <v>156</v>
      </c>
      <c r="F40">
        <v>2000</v>
      </c>
    </row>
    <row r="41" spans="2:8" x14ac:dyDescent="0.3">
      <c r="B41" t="s">
        <v>320</v>
      </c>
      <c r="C41">
        <v>91</v>
      </c>
      <c r="D41" s="2" t="s">
        <v>97</v>
      </c>
      <c r="E41" t="s">
        <v>441</v>
      </c>
    </row>
    <row r="43" spans="2:8" x14ac:dyDescent="0.3">
      <c r="B43" s="1" t="s">
        <v>530</v>
      </c>
    </row>
    <row r="44" spans="2:8" x14ac:dyDescent="0.3">
      <c r="B44" s="6" t="s">
        <v>321</v>
      </c>
      <c r="C44">
        <v>269</v>
      </c>
      <c r="D44" t="s">
        <v>322</v>
      </c>
    </row>
    <row r="45" spans="2:8" x14ac:dyDescent="0.3">
      <c r="B45" s="6" t="s">
        <v>318</v>
      </c>
      <c r="C45">
        <v>200</v>
      </c>
      <c r="D45" t="s">
        <v>322</v>
      </c>
    </row>
    <row r="47" spans="2:8" x14ac:dyDescent="0.3">
      <c r="B47" s="87" t="s">
        <v>531</v>
      </c>
    </row>
    <row r="48" spans="2:8" x14ac:dyDescent="0.3">
      <c r="B48" s="6" t="s">
        <v>528</v>
      </c>
      <c r="C48" t="s">
        <v>323</v>
      </c>
      <c r="D48" t="s">
        <v>291</v>
      </c>
      <c r="E48" t="s">
        <v>286</v>
      </c>
    </row>
    <row r="49" spans="2:4" x14ac:dyDescent="0.3">
      <c r="B49" s="6" t="s">
        <v>529</v>
      </c>
      <c r="C49" t="s">
        <v>324</v>
      </c>
      <c r="D49" t="s">
        <v>291</v>
      </c>
    </row>
  </sheetData>
  <mergeCells count="5">
    <mergeCell ref="B34:F34"/>
    <mergeCell ref="B19:F19"/>
    <mergeCell ref="B3:F3"/>
    <mergeCell ref="H3:L3"/>
    <mergeCell ref="H18:L1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A656F-3530-4140-993B-24D189CF1D30}">
  <dimension ref="A1:I31"/>
  <sheetViews>
    <sheetView zoomScale="71" workbookViewId="0">
      <selection activeCell="L24" sqref="L24"/>
    </sheetView>
  </sheetViews>
  <sheetFormatPr defaultRowHeight="14.4" x14ac:dyDescent="0.3"/>
  <cols>
    <col min="1" max="1" width="23.5546875" customWidth="1"/>
    <col min="2" max="2" width="19.109375" customWidth="1"/>
    <col min="3" max="3" width="21" customWidth="1"/>
    <col min="4" max="4" width="9.77734375" customWidth="1"/>
    <col min="5" max="5" width="13.6640625" customWidth="1"/>
    <col min="6" max="6" width="14.6640625" customWidth="1"/>
    <col min="7" max="7" width="19.109375" customWidth="1"/>
    <col min="8" max="8" width="9.6640625" customWidth="1"/>
  </cols>
  <sheetData>
    <row r="1" spans="1:9" ht="20.399999999999999" thickBot="1" x14ac:dyDescent="0.45">
      <c r="A1" s="45" t="s">
        <v>67</v>
      </c>
      <c r="B1" s="45"/>
      <c r="C1" s="45"/>
      <c r="D1" s="45"/>
      <c r="E1" s="45"/>
      <c r="F1" s="45"/>
      <c r="G1" s="45"/>
    </row>
    <row r="2" spans="1:9" ht="18.600000000000001" thickTop="1" thickBot="1" x14ac:dyDescent="0.4">
      <c r="A2" s="53" t="s">
        <v>325</v>
      </c>
      <c r="B2" s="53"/>
      <c r="C2" s="53"/>
      <c r="E2" s="53" t="s">
        <v>326</v>
      </c>
      <c r="F2" s="53"/>
      <c r="G2" s="53"/>
    </row>
    <row r="3" spans="1:9" ht="15" customHeight="1" thickTop="1" x14ac:dyDescent="0.3">
      <c r="A3" s="109" t="s">
        <v>328</v>
      </c>
      <c r="B3" t="s">
        <v>544</v>
      </c>
      <c r="C3" s="25" t="s">
        <v>329</v>
      </c>
      <c r="E3" s="113" t="s">
        <v>330</v>
      </c>
      <c r="F3" s="125"/>
      <c r="G3" s="114">
        <v>0.1</v>
      </c>
      <c r="I3" s="99" t="s">
        <v>4</v>
      </c>
    </row>
    <row r="4" spans="1:9" x14ac:dyDescent="0.3">
      <c r="A4" s="110"/>
      <c r="B4" s="23" t="s">
        <v>545</v>
      </c>
      <c r="C4" s="25" t="s">
        <v>332</v>
      </c>
      <c r="D4" s="56"/>
      <c r="E4" s="48"/>
      <c r="F4" s="126"/>
      <c r="G4" s="28">
        <v>0.2</v>
      </c>
    </row>
    <row r="5" spans="1:9" x14ac:dyDescent="0.3">
      <c r="A5" s="110"/>
      <c r="C5" s="25" t="s">
        <v>546</v>
      </c>
      <c r="D5" s="56"/>
      <c r="E5" s="49"/>
      <c r="F5" s="127"/>
      <c r="G5" s="29" t="s">
        <v>555</v>
      </c>
      <c r="H5" t="s">
        <v>4</v>
      </c>
      <c r="I5" s="99" t="s">
        <v>4</v>
      </c>
    </row>
    <row r="6" spans="1:9" x14ac:dyDescent="0.3">
      <c r="A6" s="110"/>
      <c r="B6" t="s">
        <v>547</v>
      </c>
      <c r="C6" s="25" t="s">
        <v>332</v>
      </c>
      <c r="D6" s="56"/>
      <c r="E6" s="116"/>
      <c r="F6" s="116"/>
      <c r="G6" s="22"/>
    </row>
    <row r="7" spans="1:9" x14ac:dyDescent="0.3">
      <c r="A7" s="110"/>
      <c r="C7" s="56" t="s">
        <v>332</v>
      </c>
      <c r="D7" s="98"/>
      <c r="E7" s="117"/>
      <c r="F7" s="115"/>
      <c r="G7" s="100"/>
      <c r="H7" s="5"/>
    </row>
    <row r="8" spans="1:9" ht="18" thickBot="1" x14ac:dyDescent="0.4">
      <c r="A8" s="46"/>
      <c r="C8" s="25" t="s">
        <v>333</v>
      </c>
      <c r="D8" s="56"/>
      <c r="E8" s="53" t="s">
        <v>327</v>
      </c>
      <c r="F8" s="53"/>
      <c r="G8" s="53"/>
      <c r="H8" s="101"/>
      <c r="I8" s="99" t="s">
        <v>4</v>
      </c>
    </row>
    <row r="9" spans="1:9" ht="15" thickTop="1" x14ac:dyDescent="0.3">
      <c r="A9" s="128" t="s">
        <v>548</v>
      </c>
      <c r="B9" s="20" t="s">
        <v>106</v>
      </c>
      <c r="C9" s="26" t="s">
        <v>334</v>
      </c>
      <c r="D9" s="56"/>
      <c r="E9" s="109" t="s">
        <v>335</v>
      </c>
      <c r="F9" s="104" t="s">
        <v>338</v>
      </c>
      <c r="G9" s="105"/>
      <c r="H9" s="57"/>
    </row>
    <row r="10" spans="1:9" x14ac:dyDescent="0.3">
      <c r="A10" s="129" t="s">
        <v>549</v>
      </c>
      <c r="B10" s="22" t="s">
        <v>106</v>
      </c>
      <c r="C10" s="24" t="s">
        <v>550</v>
      </c>
      <c r="D10" s="56"/>
      <c r="E10" s="110"/>
      <c r="F10" s="106" t="s">
        <v>21</v>
      </c>
      <c r="G10" s="103" t="s">
        <v>340</v>
      </c>
      <c r="H10" s="57"/>
    </row>
    <row r="11" spans="1:9" x14ac:dyDescent="0.3">
      <c r="A11" s="130"/>
      <c r="C11" s="25" t="s">
        <v>551</v>
      </c>
      <c r="D11" s="56"/>
      <c r="E11" s="110"/>
      <c r="F11" s="106" t="s">
        <v>342</v>
      </c>
      <c r="G11" s="32">
        <v>0.1</v>
      </c>
      <c r="H11" s="57"/>
    </row>
    <row r="12" spans="1:9" x14ac:dyDescent="0.3">
      <c r="A12" s="130"/>
      <c r="C12" s="25" t="s">
        <v>552</v>
      </c>
      <c r="D12" s="56"/>
      <c r="E12" s="46"/>
      <c r="F12" s="107" t="s">
        <v>344</v>
      </c>
      <c r="G12" s="108">
        <v>0.8</v>
      </c>
      <c r="H12" s="57"/>
    </row>
    <row r="13" spans="1:9" x14ac:dyDescent="0.3">
      <c r="A13" s="130"/>
      <c r="B13" t="s">
        <v>185</v>
      </c>
      <c r="C13" s="25" t="s">
        <v>336</v>
      </c>
      <c r="D13" s="56"/>
      <c r="G13" s="102"/>
      <c r="H13" s="57"/>
    </row>
    <row r="14" spans="1:9" x14ac:dyDescent="0.3">
      <c r="A14" s="131"/>
      <c r="B14" s="18" t="s">
        <v>553</v>
      </c>
      <c r="C14" s="27" t="s">
        <v>337</v>
      </c>
      <c r="D14" s="56"/>
      <c r="G14" s="102"/>
      <c r="H14" s="57"/>
    </row>
    <row r="15" spans="1:9" ht="18" thickBot="1" x14ac:dyDescent="0.4">
      <c r="A15" s="129" t="s">
        <v>557</v>
      </c>
      <c r="B15" s="22" t="s">
        <v>106</v>
      </c>
      <c r="C15" s="24" t="s">
        <v>339</v>
      </c>
      <c r="D15" s="56"/>
      <c r="E15" s="53" t="s">
        <v>300</v>
      </c>
      <c r="F15" s="53"/>
      <c r="G15" s="53"/>
      <c r="H15" s="57"/>
    </row>
    <row r="16" spans="1:9" ht="15" thickTop="1" x14ac:dyDescent="0.3">
      <c r="A16" s="131"/>
      <c r="B16" s="18" t="s">
        <v>106</v>
      </c>
      <c r="C16" s="133" t="s">
        <v>341</v>
      </c>
      <c r="D16" s="56" t="s">
        <v>4</v>
      </c>
      <c r="E16" s="118" t="s">
        <v>539</v>
      </c>
      <c r="F16" s="119"/>
      <c r="G16" s="120"/>
      <c r="H16" s="57"/>
    </row>
    <row r="17" spans="1:8" x14ac:dyDescent="0.3">
      <c r="A17" s="132" t="s">
        <v>556</v>
      </c>
      <c r="B17" s="18" t="s">
        <v>343</v>
      </c>
      <c r="C17" s="27"/>
      <c r="D17" s="56"/>
      <c r="E17" s="111" t="s">
        <v>331</v>
      </c>
      <c r="F17" s="112"/>
      <c r="G17" s="121"/>
      <c r="H17" s="57"/>
    </row>
    <row r="18" spans="1:8" ht="14.4" customHeight="1" x14ac:dyDescent="0.3">
      <c r="A18" s="129" t="s">
        <v>345</v>
      </c>
      <c r="B18" s="22" t="s">
        <v>346</v>
      </c>
      <c r="C18" s="24" t="s">
        <v>347</v>
      </c>
      <c r="D18" s="56"/>
      <c r="E18" s="111" t="s">
        <v>540</v>
      </c>
      <c r="F18" s="112"/>
      <c r="G18" s="121"/>
      <c r="H18" s="57"/>
    </row>
    <row r="19" spans="1:8" x14ac:dyDescent="0.3">
      <c r="A19" s="130"/>
      <c r="B19" s="6" t="s">
        <v>127</v>
      </c>
      <c r="C19" s="25" t="s">
        <v>348</v>
      </c>
      <c r="D19" s="56"/>
      <c r="E19" s="111" t="s">
        <v>541</v>
      </c>
      <c r="F19" s="112"/>
      <c r="G19" s="121"/>
      <c r="H19" s="57"/>
    </row>
    <row r="20" spans="1:8" x14ac:dyDescent="0.3">
      <c r="A20" s="130"/>
      <c r="B20" s="6" t="s">
        <v>349</v>
      </c>
      <c r="C20" s="25" t="s">
        <v>350</v>
      </c>
      <c r="D20" s="56"/>
      <c r="E20" s="111" t="s">
        <v>542</v>
      </c>
      <c r="F20" s="112"/>
      <c r="G20" s="121"/>
    </row>
    <row r="21" spans="1:8" x14ac:dyDescent="0.3">
      <c r="A21" s="130"/>
      <c r="B21" s="6" t="s">
        <v>351</v>
      </c>
      <c r="C21" s="25" t="s">
        <v>352</v>
      </c>
      <c r="D21" s="56"/>
      <c r="E21" s="122" t="s">
        <v>543</v>
      </c>
      <c r="F21" s="123"/>
      <c r="G21" s="124"/>
    </row>
    <row r="22" spans="1:8" x14ac:dyDescent="0.3">
      <c r="A22" s="130"/>
      <c r="B22" s="6" t="s">
        <v>353</v>
      </c>
      <c r="C22" s="25" t="s">
        <v>354</v>
      </c>
      <c r="D22" s="56"/>
    </row>
    <row r="23" spans="1:8" x14ac:dyDescent="0.3">
      <c r="A23" s="130"/>
      <c r="B23" s="6" t="s">
        <v>355</v>
      </c>
      <c r="C23" s="25" t="s">
        <v>356</v>
      </c>
      <c r="D23" s="56"/>
    </row>
    <row r="24" spans="1:8" x14ac:dyDescent="0.3">
      <c r="A24" s="130"/>
      <c r="B24" s="6" t="s">
        <v>357</v>
      </c>
      <c r="C24" s="25" t="s">
        <v>356</v>
      </c>
      <c r="D24" s="56"/>
    </row>
    <row r="25" spans="1:8" x14ac:dyDescent="0.3">
      <c r="A25" s="130"/>
      <c r="B25" s="6" t="s">
        <v>358</v>
      </c>
      <c r="C25" s="25" t="s">
        <v>359</v>
      </c>
      <c r="D25" s="56"/>
    </row>
    <row r="26" spans="1:8" x14ac:dyDescent="0.3">
      <c r="A26" s="130"/>
      <c r="B26" s="6" t="s">
        <v>132</v>
      </c>
      <c r="C26" s="25" t="s">
        <v>554</v>
      </c>
      <c r="D26" s="56"/>
    </row>
    <row r="27" spans="1:8" x14ac:dyDescent="0.3">
      <c r="A27" s="130"/>
      <c r="B27" s="19" t="s">
        <v>360</v>
      </c>
      <c r="C27" s="26">
        <f>100+270+56+43+70+70+20</f>
        <v>629</v>
      </c>
      <c r="D27" s="56"/>
    </row>
    <row r="28" spans="1:8" ht="28.8" x14ac:dyDescent="0.3">
      <c r="A28" s="131"/>
      <c r="B28" s="18" t="s">
        <v>106</v>
      </c>
      <c r="C28" s="27" t="s">
        <v>361</v>
      </c>
      <c r="D28" s="56"/>
    </row>
    <row r="29" spans="1:8" x14ac:dyDescent="0.3">
      <c r="A29" s="47" t="s">
        <v>362</v>
      </c>
      <c r="B29" s="43" t="s">
        <v>363</v>
      </c>
      <c r="C29" s="64"/>
      <c r="D29" s="56"/>
    </row>
    <row r="30" spans="1:8" x14ac:dyDescent="0.3">
      <c r="A30" s="110"/>
      <c r="B30" s="67" t="s">
        <v>364</v>
      </c>
      <c r="C30" s="68"/>
      <c r="D30" s="56"/>
    </row>
    <row r="31" spans="1:8" x14ac:dyDescent="0.3">
      <c r="A31" s="128" t="s">
        <v>365</v>
      </c>
      <c r="B31" s="20" t="s">
        <v>366</v>
      </c>
      <c r="C31" s="31"/>
      <c r="D31" s="57"/>
    </row>
  </sheetData>
  <mergeCells count="20">
    <mergeCell ref="A1:G1"/>
    <mergeCell ref="E2:G2"/>
    <mergeCell ref="E3:F5"/>
    <mergeCell ref="B29:C29"/>
    <mergeCell ref="B30:C30"/>
    <mergeCell ref="A29:A30"/>
    <mergeCell ref="E15:G15"/>
    <mergeCell ref="E16:G16"/>
    <mergeCell ref="E17:G17"/>
    <mergeCell ref="E18:G18"/>
    <mergeCell ref="E19:G19"/>
    <mergeCell ref="E20:G20"/>
    <mergeCell ref="E21:G21"/>
    <mergeCell ref="E8:G8"/>
    <mergeCell ref="A2:C2"/>
    <mergeCell ref="A18:A28"/>
    <mergeCell ref="A3:A8"/>
    <mergeCell ref="A10:A14"/>
    <mergeCell ref="A15:A16"/>
    <mergeCell ref="E9:E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1D48-586A-420E-9CB8-9D5B07C9CFDF}">
  <dimension ref="A1:K25"/>
  <sheetViews>
    <sheetView zoomScale="70" zoomScaleNormal="70" workbookViewId="0">
      <selection activeCell="K19" sqref="K19"/>
    </sheetView>
  </sheetViews>
  <sheetFormatPr defaultRowHeight="14.4" x14ac:dyDescent="0.3"/>
  <cols>
    <col min="1" max="1" width="42.109375" customWidth="1"/>
    <col min="3" max="3" width="15.33203125" customWidth="1"/>
    <col min="6" max="6" width="12.109375" bestFit="1" customWidth="1"/>
    <col min="7" max="7" width="24.77734375" bestFit="1" customWidth="1"/>
    <col min="8" max="8" width="20.5546875" bestFit="1" customWidth="1"/>
    <col min="9" max="9" width="10.33203125" customWidth="1"/>
    <col min="10" max="10" width="30.33203125" customWidth="1"/>
  </cols>
  <sheetData>
    <row r="1" spans="1:11" ht="20.399999999999999" thickBot="1" x14ac:dyDescent="0.45">
      <c r="A1" s="45" t="s">
        <v>560</v>
      </c>
      <c r="B1" s="45"/>
      <c r="C1" s="45"/>
      <c r="D1" s="45"/>
      <c r="E1" s="45"/>
      <c r="F1" s="45"/>
      <c r="G1" s="45"/>
      <c r="H1" s="45"/>
      <c r="I1" s="45"/>
      <c r="J1" s="45"/>
    </row>
    <row r="2" spans="1:11" ht="18.600000000000001" thickTop="1" thickBot="1" x14ac:dyDescent="0.4">
      <c r="A2" s="134" t="s">
        <v>367</v>
      </c>
      <c r="B2" s="135"/>
      <c r="C2" s="135"/>
      <c r="D2" s="135"/>
      <c r="E2" s="136"/>
      <c r="F2" s="134" t="s">
        <v>368</v>
      </c>
      <c r="G2" s="135"/>
      <c r="H2" s="135"/>
      <c r="I2" s="135"/>
      <c r="J2" s="136"/>
    </row>
    <row r="3" spans="1:11" ht="15" thickTop="1" x14ac:dyDescent="0.3">
      <c r="A3" s="36"/>
      <c r="D3" t="s">
        <v>369</v>
      </c>
      <c r="E3" s="29"/>
      <c r="F3" s="36"/>
      <c r="J3" s="29"/>
    </row>
    <row r="4" spans="1:11" x14ac:dyDescent="0.3">
      <c r="A4" s="37" t="s">
        <v>370</v>
      </c>
      <c r="B4">
        <v>744411</v>
      </c>
      <c r="C4" t="s">
        <v>153</v>
      </c>
      <c r="E4" s="29"/>
      <c r="F4" s="37" t="s">
        <v>0</v>
      </c>
      <c r="G4" s="1" t="s">
        <v>1</v>
      </c>
      <c r="H4" s="1" t="s">
        <v>559</v>
      </c>
      <c r="I4" s="54" t="s">
        <v>371</v>
      </c>
      <c r="J4" s="138"/>
    </row>
    <row r="5" spans="1:11" x14ac:dyDescent="0.3">
      <c r="A5" s="36"/>
      <c r="E5" s="29"/>
      <c r="F5" s="36" t="s">
        <v>40</v>
      </c>
      <c r="G5" s="42" t="s">
        <v>558</v>
      </c>
      <c r="H5">
        <v>70719</v>
      </c>
      <c r="J5" s="29"/>
    </row>
    <row r="6" spans="1:11" x14ac:dyDescent="0.3">
      <c r="A6" s="37" t="s">
        <v>5</v>
      </c>
      <c r="E6" s="29"/>
      <c r="F6" s="36" t="s">
        <v>46</v>
      </c>
      <c r="G6" s="42" t="s">
        <v>10</v>
      </c>
      <c r="H6">
        <v>21202</v>
      </c>
      <c r="I6">
        <f>H6/H5*100</f>
        <v>29.980627554122652</v>
      </c>
      <c r="J6" s="29" t="s">
        <v>372</v>
      </c>
    </row>
    <row r="7" spans="1:11" x14ac:dyDescent="0.3">
      <c r="A7" s="38" t="s">
        <v>373</v>
      </c>
      <c r="B7">
        <v>266772</v>
      </c>
      <c r="C7" t="s">
        <v>153</v>
      </c>
      <c r="D7">
        <f>B7/B4*100</f>
        <v>35.836654751205984</v>
      </c>
      <c r="E7" s="29"/>
      <c r="F7" s="36" t="s">
        <v>74</v>
      </c>
      <c r="G7" s="42" t="s">
        <v>374</v>
      </c>
      <c r="H7">
        <v>10195</v>
      </c>
      <c r="I7">
        <f>H7/H6*100</f>
        <v>48.08508631261202</v>
      </c>
      <c r="J7" s="29" t="s">
        <v>375</v>
      </c>
      <c r="K7" t="s">
        <v>4</v>
      </c>
    </row>
    <row r="8" spans="1:11" x14ac:dyDescent="0.3">
      <c r="A8" s="38" t="s">
        <v>376</v>
      </c>
      <c r="B8">
        <v>73385</v>
      </c>
      <c r="C8" t="s">
        <v>153</v>
      </c>
      <c r="D8">
        <f>B8/B4*100</f>
        <v>9.8581294473080057</v>
      </c>
      <c r="E8" s="29"/>
      <c r="F8" s="40" t="s">
        <v>75</v>
      </c>
      <c r="G8" s="18" t="s">
        <v>377</v>
      </c>
      <c r="H8" s="18">
        <v>1480</v>
      </c>
      <c r="I8" s="18">
        <f>H8/H6*100</f>
        <v>6.9804735402320528</v>
      </c>
      <c r="J8" s="30" t="s">
        <v>378</v>
      </c>
      <c r="K8" t="s">
        <v>4</v>
      </c>
    </row>
    <row r="9" spans="1:11" x14ac:dyDescent="0.3">
      <c r="A9" s="38" t="s">
        <v>379</v>
      </c>
      <c r="B9">
        <v>404254</v>
      </c>
      <c r="C9" t="s">
        <v>153</v>
      </c>
      <c r="D9">
        <f>B9/B4*100</f>
        <v>54.305215801486007</v>
      </c>
      <c r="E9" s="29"/>
    </row>
    <row r="10" spans="1:11" x14ac:dyDescent="0.3">
      <c r="A10" s="36"/>
      <c r="E10" s="29"/>
      <c r="G10" s="57"/>
      <c r="H10" s="57"/>
    </row>
    <row r="11" spans="1:11" ht="18" thickBot="1" x14ac:dyDescent="0.4">
      <c r="A11" s="36" t="s">
        <v>381</v>
      </c>
      <c r="B11">
        <v>94292</v>
      </c>
      <c r="C11" t="s">
        <v>153</v>
      </c>
      <c r="E11" s="29"/>
      <c r="G11" s="137" t="s">
        <v>380</v>
      </c>
      <c r="H11" s="137"/>
    </row>
    <row r="12" spans="1:11" ht="15" thickTop="1" x14ac:dyDescent="0.3">
      <c r="A12" s="36" t="s">
        <v>383</v>
      </c>
      <c r="B12">
        <v>73968</v>
      </c>
      <c r="C12" t="s">
        <v>153</v>
      </c>
      <c r="E12" s="29"/>
    </row>
    <row r="13" spans="1:11" x14ac:dyDescent="0.3">
      <c r="A13" s="36" t="s">
        <v>385</v>
      </c>
      <c r="B13">
        <v>308985</v>
      </c>
      <c r="C13" t="s">
        <v>153</v>
      </c>
      <c r="E13" s="29"/>
      <c r="G13" t="s">
        <v>382</v>
      </c>
      <c r="H13" s="2">
        <v>0.84099999999999997</v>
      </c>
    </row>
    <row r="14" spans="1:11" x14ac:dyDescent="0.3">
      <c r="A14" s="36"/>
      <c r="E14" s="29"/>
      <c r="G14" t="s">
        <v>384</v>
      </c>
      <c r="H14" s="2">
        <v>9.2999999999999999E-2</v>
      </c>
    </row>
    <row r="15" spans="1:11" x14ac:dyDescent="0.3">
      <c r="A15" s="37" t="s">
        <v>388</v>
      </c>
      <c r="E15" s="29"/>
      <c r="G15" t="s">
        <v>386</v>
      </c>
      <c r="H15" s="2">
        <v>3.7999999999999999E-2</v>
      </c>
    </row>
    <row r="16" spans="1:11" x14ac:dyDescent="0.3">
      <c r="A16" s="38" t="s">
        <v>389</v>
      </c>
      <c r="B16">
        <v>267961</v>
      </c>
      <c r="C16" t="s">
        <v>153</v>
      </c>
      <c r="D16">
        <f>B16/B4*100</f>
        <v>35.996378344758476</v>
      </c>
      <c r="E16" s="29"/>
      <c r="G16" t="s">
        <v>387</v>
      </c>
      <c r="H16" s="34">
        <v>1.4999999999999999E-2</v>
      </c>
    </row>
    <row r="17" spans="1:6" x14ac:dyDescent="0.3">
      <c r="A17" s="38" t="s">
        <v>390</v>
      </c>
      <c r="B17">
        <v>168070</v>
      </c>
      <c r="C17" t="s">
        <v>153</v>
      </c>
      <c r="D17">
        <f>B17/B4*100</f>
        <v>22.577581470451136</v>
      </c>
      <c r="E17" s="29"/>
    </row>
    <row r="18" spans="1:6" x14ac:dyDescent="0.3">
      <c r="A18" s="38" t="s">
        <v>391</v>
      </c>
      <c r="B18">
        <v>308379</v>
      </c>
      <c r="C18" t="s">
        <v>153</v>
      </c>
      <c r="D18">
        <f>B18/B4*100</f>
        <v>41.425905850397157</v>
      </c>
      <c r="E18" s="29"/>
    </row>
    <row r="19" spans="1:6" x14ac:dyDescent="0.3">
      <c r="A19" s="36"/>
      <c r="E19" s="29"/>
    </row>
    <row r="20" spans="1:6" x14ac:dyDescent="0.3">
      <c r="A20" s="37" t="s">
        <v>392</v>
      </c>
      <c r="E20" s="29"/>
      <c r="F20" t="s">
        <v>4</v>
      </c>
    </row>
    <row r="21" spans="1:6" x14ac:dyDescent="0.3">
      <c r="A21" s="38" t="s">
        <v>393</v>
      </c>
      <c r="B21">
        <v>11</v>
      </c>
      <c r="C21" t="s">
        <v>153</v>
      </c>
      <c r="D21">
        <f>B21/B8*100</f>
        <v>1.4989439258704095E-2</v>
      </c>
      <c r="E21" s="29" t="s">
        <v>394</v>
      </c>
      <c r="F21" t="s">
        <v>4</v>
      </c>
    </row>
    <row r="22" spans="1:6" x14ac:dyDescent="0.3">
      <c r="A22" s="38" t="s">
        <v>395</v>
      </c>
      <c r="B22">
        <f>B9-(B11+B13)</f>
        <v>977</v>
      </c>
      <c r="C22" t="s">
        <v>153</v>
      </c>
      <c r="D22">
        <f>B22/B9*100</f>
        <v>0.2416797360075596</v>
      </c>
      <c r="E22" s="29" t="s">
        <v>394</v>
      </c>
      <c r="F22" t="s">
        <v>4</v>
      </c>
    </row>
    <row r="23" spans="1:6" x14ac:dyDescent="0.3">
      <c r="A23" s="38" t="s">
        <v>396</v>
      </c>
      <c r="B23">
        <v>183</v>
      </c>
      <c r="C23" t="s">
        <v>153</v>
      </c>
      <c r="D23">
        <f>B23/(B11)*100</f>
        <v>0.19407797055953846</v>
      </c>
      <c r="E23" s="29" t="s">
        <v>397</v>
      </c>
      <c r="F23" t="s">
        <v>4</v>
      </c>
    </row>
    <row r="24" spans="1:6" x14ac:dyDescent="0.3">
      <c r="A24" s="38" t="s">
        <v>398</v>
      </c>
      <c r="B24">
        <v>7</v>
      </c>
      <c r="C24" t="s">
        <v>153</v>
      </c>
      <c r="D24">
        <f>B24/B12*100</f>
        <v>9.4635518061864585E-3</v>
      </c>
      <c r="E24" s="29" t="s">
        <v>397</v>
      </c>
      <c r="F24" t="s">
        <v>4</v>
      </c>
    </row>
    <row r="25" spans="1:6" x14ac:dyDescent="0.3">
      <c r="A25" s="39" t="s">
        <v>399</v>
      </c>
      <c r="B25" s="18">
        <f>B13-B18</f>
        <v>606</v>
      </c>
      <c r="C25" s="18" t="s">
        <v>153</v>
      </c>
      <c r="D25" s="18">
        <f>B25/B13*100</f>
        <v>0.19612602553522016</v>
      </c>
      <c r="E25" s="30" t="s">
        <v>400</v>
      </c>
      <c r="F25" t="s">
        <v>4</v>
      </c>
    </row>
  </sheetData>
  <mergeCells count="5">
    <mergeCell ref="G11:H11"/>
    <mergeCell ref="A2:E2"/>
    <mergeCell ref="F2:J2"/>
    <mergeCell ref="A1:J1"/>
    <mergeCell ref="I4:J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zoomScale="70" zoomScaleNormal="70" workbookViewId="0">
      <selection activeCell="H28" sqref="H28"/>
    </sheetView>
  </sheetViews>
  <sheetFormatPr defaultRowHeight="14.4" x14ac:dyDescent="0.3"/>
  <cols>
    <col min="1" max="1" width="9.77734375" customWidth="1"/>
    <col min="2" max="2" width="52.44140625" bestFit="1" customWidth="1"/>
    <col min="3" max="3" width="14.33203125" customWidth="1"/>
    <col min="4" max="4" width="18.88671875" customWidth="1"/>
    <col min="5" max="5" width="26.109375" customWidth="1"/>
    <col min="6" max="6" width="14.21875" customWidth="1"/>
    <col min="8" max="8" width="45.6640625" customWidth="1"/>
  </cols>
  <sheetData>
    <row r="1" spans="1:11" ht="20.399999999999999" thickBot="1" x14ac:dyDescent="0.45">
      <c r="A1" s="33" t="s">
        <v>82</v>
      </c>
      <c r="B1" s="33" t="s">
        <v>34</v>
      </c>
      <c r="C1" s="33" t="s">
        <v>35</v>
      </c>
      <c r="D1" s="33" t="s">
        <v>36</v>
      </c>
      <c r="E1" s="33" t="s">
        <v>84</v>
      </c>
      <c r="F1" s="33" t="s">
        <v>85</v>
      </c>
      <c r="H1" s="33" t="s">
        <v>34</v>
      </c>
      <c r="I1" s="33" t="s">
        <v>35</v>
      </c>
      <c r="J1" s="33" t="s">
        <v>36</v>
      </c>
      <c r="K1" s="33" t="s">
        <v>84</v>
      </c>
    </row>
    <row r="2" spans="1:11" ht="18.600000000000001" thickTop="1" thickBot="1" x14ac:dyDescent="0.4">
      <c r="A2" s="53" t="s">
        <v>401</v>
      </c>
      <c r="B2" s="53"/>
      <c r="C2" s="53"/>
      <c r="D2" s="53"/>
      <c r="E2" s="53"/>
      <c r="F2" s="53"/>
      <c r="H2" s="51" t="s">
        <v>402</v>
      </c>
      <c r="I2" s="51"/>
      <c r="J2" s="51"/>
      <c r="K2" s="51"/>
    </row>
    <row r="3" spans="1:11" ht="15" thickTop="1" x14ac:dyDescent="0.3">
      <c r="A3" t="s">
        <v>90</v>
      </c>
      <c r="B3" t="s">
        <v>403</v>
      </c>
      <c r="C3" s="4">
        <v>14500</v>
      </c>
      <c r="D3" t="s">
        <v>404</v>
      </c>
      <c r="E3" t="s">
        <v>442</v>
      </c>
    </row>
    <row r="4" spans="1:11" x14ac:dyDescent="0.3">
      <c r="A4" s="74" t="s">
        <v>90</v>
      </c>
      <c r="B4" t="s">
        <v>405</v>
      </c>
      <c r="C4" t="s">
        <v>406</v>
      </c>
      <c r="D4" t="s">
        <v>97</v>
      </c>
      <c r="E4" t="s">
        <v>454</v>
      </c>
      <c r="H4" s="50" t="s">
        <v>89</v>
      </c>
      <c r="I4" s="50"/>
      <c r="J4" s="50"/>
      <c r="K4" s="50"/>
    </row>
    <row r="5" spans="1:11" x14ac:dyDescent="0.3">
      <c r="A5" s="5" t="s">
        <v>90</v>
      </c>
      <c r="B5" s="52" t="s">
        <v>407</v>
      </c>
      <c r="C5">
        <v>60</v>
      </c>
      <c r="D5" t="s">
        <v>97</v>
      </c>
      <c r="E5" t="s">
        <v>119</v>
      </c>
    </row>
    <row r="6" spans="1:11" x14ac:dyDescent="0.3">
      <c r="A6" s="5"/>
      <c r="B6" s="52"/>
      <c r="C6">
        <v>60</v>
      </c>
      <c r="D6" t="s">
        <v>97</v>
      </c>
      <c r="E6" t="s">
        <v>102</v>
      </c>
      <c r="H6" t="s">
        <v>408</v>
      </c>
      <c r="I6">
        <v>37</v>
      </c>
      <c r="J6" t="s">
        <v>95</v>
      </c>
      <c r="K6" t="s">
        <v>442</v>
      </c>
    </row>
    <row r="7" spans="1:11" x14ac:dyDescent="0.3">
      <c r="A7" s="5" t="s">
        <v>90</v>
      </c>
      <c r="B7" s="5" t="s">
        <v>410</v>
      </c>
      <c r="E7" t="s">
        <v>102</v>
      </c>
      <c r="H7" t="s">
        <v>409</v>
      </c>
      <c r="I7">
        <v>2</v>
      </c>
      <c r="J7" t="s">
        <v>95</v>
      </c>
      <c r="K7" t="s">
        <v>442</v>
      </c>
    </row>
    <row r="8" spans="1:11" x14ac:dyDescent="0.3">
      <c r="B8" s="7" t="s">
        <v>413</v>
      </c>
      <c r="C8">
        <v>70</v>
      </c>
      <c r="D8" t="s">
        <v>97</v>
      </c>
      <c r="H8" t="s">
        <v>250</v>
      </c>
      <c r="I8">
        <v>16</v>
      </c>
      <c r="K8" t="s">
        <v>442</v>
      </c>
    </row>
    <row r="9" spans="1:11" x14ac:dyDescent="0.3">
      <c r="B9" s="7" t="s">
        <v>211</v>
      </c>
      <c r="C9">
        <v>20</v>
      </c>
      <c r="D9" t="s">
        <v>97</v>
      </c>
      <c r="H9" t="s">
        <v>411</v>
      </c>
      <c r="I9">
        <v>15</v>
      </c>
      <c r="J9" t="s">
        <v>412</v>
      </c>
      <c r="K9" t="s">
        <v>442</v>
      </c>
    </row>
    <row r="10" spans="1:11" x14ac:dyDescent="0.3">
      <c r="B10" s="7" t="s">
        <v>414</v>
      </c>
      <c r="C10">
        <v>10</v>
      </c>
      <c r="D10" t="s">
        <v>97</v>
      </c>
      <c r="H10" t="s">
        <v>455</v>
      </c>
      <c r="I10">
        <v>13</v>
      </c>
      <c r="J10" t="s">
        <v>97</v>
      </c>
      <c r="K10" t="s">
        <v>442</v>
      </c>
    </row>
    <row r="11" spans="1:11" x14ac:dyDescent="0.3">
      <c r="H11" t="s">
        <v>221</v>
      </c>
      <c r="I11">
        <v>160</v>
      </c>
      <c r="K11" t="s">
        <v>442</v>
      </c>
    </row>
    <row r="12" spans="1:11" x14ac:dyDescent="0.3">
      <c r="A12" s="86" t="s">
        <v>125</v>
      </c>
      <c r="B12" s="86"/>
      <c r="C12" s="86"/>
      <c r="D12" s="86"/>
      <c r="E12" s="86"/>
      <c r="F12" s="86"/>
      <c r="H12" t="s">
        <v>456</v>
      </c>
      <c r="I12">
        <v>5</v>
      </c>
      <c r="J12" t="s">
        <v>412</v>
      </c>
      <c r="K12" t="s">
        <v>442</v>
      </c>
    </row>
    <row r="13" spans="1:11" x14ac:dyDescent="0.3">
      <c r="H13" t="s">
        <v>457</v>
      </c>
      <c r="I13">
        <v>40</v>
      </c>
      <c r="J13" t="s">
        <v>97</v>
      </c>
      <c r="K13" t="s">
        <v>442</v>
      </c>
    </row>
    <row r="14" spans="1:11" x14ac:dyDescent="0.3">
      <c r="A14" t="s">
        <v>128</v>
      </c>
      <c r="B14" t="s">
        <v>129</v>
      </c>
      <c r="C14">
        <v>25</v>
      </c>
      <c r="D14" t="s">
        <v>97</v>
      </c>
      <c r="E14" t="s">
        <v>119</v>
      </c>
    </row>
    <row r="15" spans="1:11" x14ac:dyDescent="0.3">
      <c r="A15" t="s">
        <v>128</v>
      </c>
      <c r="B15" t="s">
        <v>131</v>
      </c>
      <c r="C15">
        <v>5</v>
      </c>
      <c r="D15" t="s">
        <v>97</v>
      </c>
      <c r="E15" t="s">
        <v>119</v>
      </c>
    </row>
    <row r="16" spans="1:11" x14ac:dyDescent="0.3">
      <c r="A16" t="s">
        <v>128</v>
      </c>
      <c r="B16" t="s">
        <v>133</v>
      </c>
      <c r="C16">
        <v>1</v>
      </c>
      <c r="D16" t="s">
        <v>134</v>
      </c>
      <c r="E16" t="s">
        <v>119</v>
      </c>
    </row>
    <row r="17" spans="1:6" x14ac:dyDescent="0.3">
      <c r="A17" t="s">
        <v>128</v>
      </c>
      <c r="B17" s="85" t="s">
        <v>136</v>
      </c>
      <c r="C17">
        <v>13</v>
      </c>
      <c r="D17" t="s">
        <v>97</v>
      </c>
      <c r="E17" t="s">
        <v>119</v>
      </c>
    </row>
    <row r="19" spans="1:6" x14ac:dyDescent="0.3">
      <c r="A19" s="86" t="s">
        <v>115</v>
      </c>
      <c r="B19" s="86"/>
      <c r="C19" s="86"/>
      <c r="D19" s="86"/>
      <c r="E19" s="86"/>
      <c r="F19" s="86"/>
    </row>
    <row r="21" spans="1:6" x14ac:dyDescent="0.3">
      <c r="A21" t="s">
        <v>90</v>
      </c>
      <c r="B21" s="85" t="s">
        <v>117</v>
      </c>
      <c r="C21" t="s">
        <v>118</v>
      </c>
      <c r="D21" t="s">
        <v>97</v>
      </c>
      <c r="E21" t="s">
        <v>119</v>
      </c>
    </row>
    <row r="22" spans="1:6" x14ac:dyDescent="0.3">
      <c r="A22" t="s">
        <v>90</v>
      </c>
      <c r="B22" t="s">
        <v>122</v>
      </c>
      <c r="C22" s="4">
        <v>250000</v>
      </c>
      <c r="D22" t="s">
        <v>123</v>
      </c>
      <c r="E22" t="s">
        <v>119</v>
      </c>
    </row>
    <row r="24" spans="1:6" ht="18" thickBot="1" x14ac:dyDescent="0.4">
      <c r="A24" s="53" t="s">
        <v>139</v>
      </c>
      <c r="B24" s="53"/>
      <c r="C24" s="53"/>
      <c r="D24" s="53"/>
      <c r="E24" s="53"/>
      <c r="F24" s="53"/>
    </row>
    <row r="25" spans="1:6" ht="15" thickTop="1" x14ac:dyDescent="0.3"/>
    <row r="26" spans="1:6" x14ac:dyDescent="0.3">
      <c r="A26" s="50" t="s">
        <v>415</v>
      </c>
      <c r="B26" s="50"/>
      <c r="C26" s="50"/>
      <c r="D26" s="50"/>
      <c r="E26" s="50"/>
      <c r="F26" s="50"/>
    </row>
    <row r="28" spans="1:6" x14ac:dyDescent="0.3">
      <c r="A28" s="1" t="s">
        <v>116</v>
      </c>
      <c r="B28" t="s">
        <v>416</v>
      </c>
      <c r="C28" s="4">
        <v>200000</v>
      </c>
      <c r="D28" t="s">
        <v>417</v>
      </c>
      <c r="E28" t="s">
        <v>442</v>
      </c>
    </row>
    <row r="29" spans="1:6" x14ac:dyDescent="0.3">
      <c r="A29" s="1" t="s">
        <v>116</v>
      </c>
      <c r="B29" t="s">
        <v>418</v>
      </c>
      <c r="C29">
        <v>270</v>
      </c>
      <c r="D29" t="s">
        <v>417</v>
      </c>
      <c r="E29" t="s">
        <v>442</v>
      </c>
    </row>
    <row r="30" spans="1:6" x14ac:dyDescent="0.3">
      <c r="A30" s="1" t="s">
        <v>116</v>
      </c>
      <c r="B30" t="s">
        <v>419</v>
      </c>
      <c r="C30">
        <v>1200</v>
      </c>
      <c r="D30" t="s">
        <v>417</v>
      </c>
      <c r="E30" t="s">
        <v>442</v>
      </c>
    </row>
    <row r="31" spans="1:6" x14ac:dyDescent="0.3">
      <c r="A31" s="1" t="s">
        <v>116</v>
      </c>
      <c r="B31" t="s">
        <v>420</v>
      </c>
      <c r="C31" t="s">
        <v>421</v>
      </c>
      <c r="D31" t="s">
        <v>422</v>
      </c>
      <c r="E31" t="s">
        <v>442</v>
      </c>
    </row>
    <row r="32" spans="1:6" x14ac:dyDescent="0.3">
      <c r="A32" s="1"/>
      <c r="C32" s="4"/>
    </row>
    <row r="33" spans="1:6" x14ac:dyDescent="0.3">
      <c r="A33" s="50" t="s">
        <v>423</v>
      </c>
      <c r="B33" s="50"/>
      <c r="C33" s="50"/>
      <c r="D33" s="50"/>
      <c r="E33" s="50"/>
      <c r="F33" s="50"/>
    </row>
    <row r="35" spans="1:6" x14ac:dyDescent="0.3">
      <c r="A35" s="1" t="s">
        <v>116</v>
      </c>
      <c r="B35" t="s">
        <v>254</v>
      </c>
      <c r="C35">
        <v>2000</v>
      </c>
      <c r="E35" t="s">
        <v>442</v>
      </c>
    </row>
    <row r="36" spans="1:6" x14ac:dyDescent="0.3">
      <c r="A36" s="1" t="s">
        <v>116</v>
      </c>
      <c r="B36" t="s">
        <v>424</v>
      </c>
      <c r="C36" s="3" t="s">
        <v>425</v>
      </c>
      <c r="D36" s="3" t="s">
        <v>426</v>
      </c>
      <c r="E36" t="s">
        <v>442</v>
      </c>
    </row>
    <row r="37" spans="1:6" x14ac:dyDescent="0.3">
      <c r="A37" s="1" t="s">
        <v>116</v>
      </c>
      <c r="B37" t="s">
        <v>427</v>
      </c>
      <c r="C37">
        <v>125</v>
      </c>
      <c r="D37" t="s">
        <v>428</v>
      </c>
      <c r="E37" t="s">
        <v>442</v>
      </c>
    </row>
    <row r="38" spans="1:6" x14ac:dyDescent="0.3">
      <c r="A38" s="1" t="s">
        <v>116</v>
      </c>
      <c r="B38" t="s">
        <v>429</v>
      </c>
      <c r="C38" s="3" t="s">
        <v>430</v>
      </c>
      <c r="D38" t="s">
        <v>426</v>
      </c>
      <c r="E38" t="s">
        <v>442</v>
      </c>
    </row>
    <row r="39" spans="1:6" x14ac:dyDescent="0.3">
      <c r="A39" s="1" t="s">
        <v>116</v>
      </c>
      <c r="B39" t="s">
        <v>431</v>
      </c>
      <c r="C39">
        <v>5000</v>
      </c>
      <c r="D39" t="s">
        <v>428</v>
      </c>
      <c r="E39" t="s">
        <v>442</v>
      </c>
    </row>
    <row r="41" spans="1:6" x14ac:dyDescent="0.3">
      <c r="A41" s="50" t="s">
        <v>432</v>
      </c>
      <c r="B41" s="50"/>
      <c r="C41" s="50"/>
      <c r="D41" s="50"/>
      <c r="E41" s="50"/>
      <c r="F41" s="50"/>
    </row>
    <row r="43" spans="1:6" x14ac:dyDescent="0.3">
      <c r="B43" t="s">
        <v>433</v>
      </c>
      <c r="C43">
        <v>6407000</v>
      </c>
      <c r="E43" t="s">
        <v>434</v>
      </c>
      <c r="F43">
        <v>2023</v>
      </c>
    </row>
    <row r="44" spans="1:6" x14ac:dyDescent="0.3">
      <c r="C44">
        <v>7100000</v>
      </c>
      <c r="E44" t="s">
        <v>435</v>
      </c>
      <c r="F44">
        <v>2023</v>
      </c>
    </row>
    <row r="45" spans="1:6" x14ac:dyDescent="0.3">
      <c r="B45" t="s">
        <v>436</v>
      </c>
      <c r="C45">
        <v>15</v>
      </c>
    </row>
    <row r="46" spans="1:6" x14ac:dyDescent="0.3">
      <c r="B46" t="s">
        <v>437</v>
      </c>
      <c r="C46">
        <v>200</v>
      </c>
    </row>
  </sheetData>
  <mergeCells count="10">
    <mergeCell ref="A41:F41"/>
    <mergeCell ref="H2:K2"/>
    <mergeCell ref="H4:K4"/>
    <mergeCell ref="A2:F2"/>
    <mergeCell ref="A26:F26"/>
    <mergeCell ref="B5:B6"/>
    <mergeCell ref="A24:F24"/>
    <mergeCell ref="A33:F33"/>
    <mergeCell ref="A12:F12"/>
    <mergeCell ref="A19:F19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E2187-6562-464C-850B-7642806FD609}">
  <dimension ref="A1:D8"/>
  <sheetViews>
    <sheetView zoomScale="89" zoomScaleNormal="55" workbookViewId="0">
      <selection activeCell="F17" sqref="F17"/>
    </sheetView>
  </sheetViews>
  <sheetFormatPr defaultRowHeight="14.4" x14ac:dyDescent="0.3"/>
  <cols>
    <col min="1" max="1" width="27" bestFit="1" customWidth="1"/>
    <col min="2" max="2" width="43" bestFit="1" customWidth="1"/>
    <col min="3" max="3" width="22.33203125" bestFit="1" customWidth="1"/>
    <col min="4" max="4" width="10.33203125" customWidth="1"/>
    <col min="15" max="15" width="11" bestFit="1" customWidth="1"/>
  </cols>
  <sheetData>
    <row r="1" spans="1:4" ht="18" thickBot="1" x14ac:dyDescent="0.4">
      <c r="A1" s="53" t="s">
        <v>461</v>
      </c>
      <c r="B1" s="53"/>
      <c r="C1" s="53"/>
      <c r="D1" s="1"/>
    </row>
    <row r="2" spans="1:4" ht="15" thickTop="1" x14ac:dyDescent="0.3">
      <c r="A2" s="11" t="s">
        <v>438</v>
      </c>
      <c r="B2" s="11" t="s">
        <v>439</v>
      </c>
      <c r="C2" s="11" t="s">
        <v>221</v>
      </c>
      <c r="D2" s="1"/>
    </row>
    <row r="3" spans="1:4" x14ac:dyDescent="0.3">
      <c r="A3">
        <v>1195989000</v>
      </c>
      <c r="B3" s="34">
        <v>4.1000000000000003E-3</v>
      </c>
      <c r="C3">
        <v>4922319</v>
      </c>
      <c r="D3" s="1"/>
    </row>
    <row r="4" spans="1:4" x14ac:dyDescent="0.3">
      <c r="A4" s="1"/>
      <c r="B4" s="1"/>
      <c r="C4" s="1"/>
      <c r="D4" s="1"/>
    </row>
    <row r="5" spans="1:4" ht="18" thickBot="1" x14ac:dyDescent="0.4">
      <c r="A5" s="72" t="s">
        <v>462</v>
      </c>
      <c r="B5" s="72"/>
      <c r="C5" s="72"/>
      <c r="D5" s="72"/>
    </row>
    <row r="6" spans="1:4" ht="15" thickTop="1" x14ac:dyDescent="0.3">
      <c r="A6" s="73" t="s">
        <v>460</v>
      </c>
      <c r="B6" s="73" t="s">
        <v>459</v>
      </c>
      <c r="C6" s="73" t="s">
        <v>458</v>
      </c>
      <c r="D6" s="73" t="s">
        <v>36</v>
      </c>
    </row>
    <row r="7" spans="1:4" x14ac:dyDescent="0.3">
      <c r="A7">
        <v>2.9</v>
      </c>
      <c r="B7">
        <v>2.1</v>
      </c>
      <c r="C7">
        <v>2.5</v>
      </c>
      <c r="D7" t="s">
        <v>440</v>
      </c>
    </row>
    <row r="8" spans="1:4" x14ac:dyDescent="0.3">
      <c r="A8">
        <f>A7/12*1000</f>
        <v>241.66666666666666</v>
      </c>
      <c r="B8">
        <f t="shared" ref="B8:C8" si="0">B7/12*1000</f>
        <v>175.00000000000003</v>
      </c>
      <c r="C8">
        <f t="shared" si="0"/>
        <v>208.33333333333334</v>
      </c>
      <c r="D8" t="s">
        <v>215</v>
      </c>
    </row>
  </sheetData>
  <mergeCells count="2">
    <mergeCell ref="A5:D5"/>
    <mergeCell ref="A1:C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MFA</vt:lpstr>
      <vt:lpstr>Waste Generation</vt:lpstr>
      <vt:lpstr>Informal Sector</vt:lpstr>
      <vt:lpstr>Formal Sector</vt:lpstr>
      <vt:lpstr>Primary Data</vt:lpstr>
      <vt:lpstr>Downstream Data</vt:lpstr>
      <vt:lpstr>Other</vt:lpstr>
      <vt:lpstr>Global Statistics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Sowmya Ravichandran</cp:lastModifiedBy>
  <cp:revision/>
  <dcterms:created xsi:type="dcterms:W3CDTF">2023-04-20T09:39:08Z</dcterms:created>
  <dcterms:modified xsi:type="dcterms:W3CDTF">2023-07-26T12:00:00Z</dcterms:modified>
  <cp:category/>
  <cp:contentStatus/>
</cp:coreProperties>
</file>