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530" activeTab="4"/>
  </bookViews>
  <sheets>
    <sheet name="Línea recta" sheetId="1" r:id="rId1"/>
    <sheet name="Suma dígitos" sheetId="2" r:id="rId2"/>
    <sheet name="Reducción de saldos" sheetId="6" r:id="rId3"/>
    <sheet name="Unidades producidas" sheetId="5" r:id="rId4"/>
    <sheet name="Provisión Cartera" sheetId="7" r:id="rId5"/>
  </sheets>
  <calcPr calcId="162913"/>
</workbook>
</file>

<file path=xl/calcChain.xml><?xml version="1.0" encoding="utf-8"?>
<calcChain xmlns="http://schemas.openxmlformats.org/spreadsheetml/2006/main">
  <c r="E3" i="7" l="1"/>
  <c r="B20" i="7"/>
  <c r="D4" i="7"/>
  <c r="D5" i="7"/>
  <c r="D6" i="7"/>
  <c r="D7" i="7"/>
  <c r="D8" i="7"/>
  <c r="D9" i="7"/>
  <c r="D10" i="7"/>
  <c r="D3" i="7"/>
  <c r="D11" i="7"/>
  <c r="E4" i="7"/>
  <c r="E5" i="7"/>
  <c r="E6" i="7"/>
  <c r="E7" i="7"/>
  <c r="E8" i="7"/>
  <c r="E9" i="7"/>
  <c r="E10" i="7"/>
  <c r="G10" i="7" l="1"/>
  <c r="G9" i="7"/>
  <c r="G8" i="7"/>
  <c r="G7" i="7"/>
  <c r="G6" i="7"/>
  <c r="G5" i="7"/>
  <c r="G4" i="7"/>
  <c r="G3" i="7"/>
  <c r="E19" i="5"/>
  <c r="E14" i="5"/>
  <c r="E13" i="5"/>
  <c r="E11" i="5"/>
  <c r="E12" i="5" s="1"/>
  <c r="E10" i="5"/>
  <c r="E9" i="5"/>
  <c r="D19" i="5"/>
  <c r="D18" i="5"/>
  <c r="D17" i="5"/>
  <c r="D16" i="5"/>
  <c r="D15" i="5"/>
  <c r="D14" i="5"/>
  <c r="D13" i="5"/>
  <c r="D12" i="5"/>
  <c r="D11" i="5"/>
  <c r="D10" i="5"/>
  <c r="C10" i="5"/>
  <c r="C11" i="5"/>
  <c r="C12" i="5"/>
  <c r="C13" i="5"/>
  <c r="C14" i="5"/>
  <c r="C15" i="5"/>
  <c r="C16" i="5"/>
  <c r="C17" i="5"/>
  <c r="C18" i="5"/>
  <c r="C19" i="5"/>
  <c r="C6" i="5"/>
  <c r="E15" i="5" l="1"/>
  <c r="E16" i="5" s="1"/>
  <c r="E17" i="5" s="1"/>
  <c r="E18" i="5" s="1"/>
  <c r="E14" i="6"/>
  <c r="E13" i="6"/>
  <c r="E12" i="6"/>
  <c r="E11" i="6"/>
  <c r="E9" i="6"/>
  <c r="E10" i="6" s="1"/>
  <c r="D12" i="6"/>
  <c r="D13" i="6" s="1"/>
  <c r="D14" i="6" s="1"/>
  <c r="D9" i="6"/>
  <c r="D10" i="6"/>
  <c r="D11" i="6" s="1"/>
  <c r="B12" i="6"/>
  <c r="C11" i="6"/>
  <c r="C10" i="6"/>
  <c r="B6" i="6"/>
  <c r="B10" i="6"/>
  <c r="C12" i="6" l="1"/>
  <c r="B13" i="6" s="1"/>
  <c r="B11" i="6"/>
  <c r="C13" i="6" l="1"/>
  <c r="B14" i="6" s="1"/>
  <c r="C14" i="6" s="1"/>
  <c r="E10" i="2" l="1"/>
  <c r="E11" i="2" s="1"/>
  <c r="E12" i="2" s="1"/>
  <c r="E13" i="2" s="1"/>
  <c r="E9" i="2"/>
  <c r="D9" i="2"/>
  <c r="D10" i="2"/>
  <c r="D11" i="2" s="1"/>
  <c r="D12" i="2" s="1"/>
  <c r="D13" i="2" s="1"/>
  <c r="E8" i="2" s="1"/>
  <c r="D8" i="2"/>
  <c r="C8" i="2"/>
  <c r="C9" i="2"/>
  <c r="C10" i="2"/>
  <c r="C11" i="2"/>
  <c r="C12" i="2"/>
  <c r="C13" i="2"/>
  <c r="B10" i="2"/>
  <c r="B11" i="2"/>
  <c r="B12" i="2"/>
  <c r="B13" i="2"/>
  <c r="B9" i="2"/>
  <c r="C5" i="2"/>
  <c r="D9" i="1"/>
  <c r="D10" i="1" s="1"/>
  <c r="D11" i="1" s="1"/>
  <c r="D12" i="1" s="1"/>
  <c r="D7" i="1"/>
  <c r="D8" i="1" s="1"/>
  <c r="C10" i="1"/>
  <c r="C11" i="1" s="1"/>
  <c r="C12" i="1" s="1"/>
  <c r="C9" i="1"/>
  <c r="C8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<sst xmlns="http://schemas.openxmlformats.org/spreadsheetml/2006/main" count="62" uniqueCount="45">
  <si>
    <t>Valor del activo</t>
  </si>
  <si>
    <t>Vida útil (Años)</t>
  </si>
  <si>
    <t>Año</t>
  </si>
  <si>
    <t>Cuota depreciación</t>
  </si>
  <si>
    <t>Depreciación acumulada</t>
  </si>
  <si>
    <t>Valor neto en libros</t>
  </si>
  <si>
    <t>Instrucciones</t>
  </si>
  <si>
    <t>1. Realizar el respecivo cálculo a cada uno de los métodos de depreciación quer se encuentran en el archivo, de acuerdo con los datos suministrados.</t>
  </si>
  <si>
    <t>2. Realice un análisis de los métodos depreciación calculados y escoja el que aplicaría en la empresa o proyecto, justificando la elección.</t>
  </si>
  <si>
    <t>DEPRECIACION POR SUMA DE LOS DIGITOS DE LOS AÑOS</t>
  </si>
  <si>
    <t xml:space="preserve">Denominador </t>
  </si>
  <si>
    <t>VidaUtil*(1+VidaUtil)/2</t>
  </si>
  <si>
    <t>DEPRECIACION POR REDUCCION DE SALDOS</t>
  </si>
  <si>
    <t>Valor de salvamento</t>
  </si>
  <si>
    <t>Tasa de depreciación</t>
  </si>
  <si>
    <t>Valor sin depreciar</t>
  </si>
  <si>
    <t>DEPRECIACION POR NUMERO DE UNIDADES PRODUCIDAS</t>
  </si>
  <si>
    <t>Capacidad (Unidades)</t>
  </si>
  <si>
    <t>Vida util (Años)</t>
  </si>
  <si>
    <t>Depreciación por unidad</t>
  </si>
  <si>
    <t>ValorActivo/CapacidadProducción</t>
  </si>
  <si>
    <t>Unidades producidas</t>
  </si>
  <si>
    <t>Días vencimiento</t>
  </si>
  <si>
    <t>Valor cartera</t>
  </si>
  <si>
    <t>Meses vencimiento</t>
  </si>
  <si>
    <t>% provisión general</t>
  </si>
  <si>
    <t>Provisión individual</t>
  </si>
  <si>
    <t>Provisión x rango vcto</t>
  </si>
  <si>
    <t>Factura 1</t>
  </si>
  <si>
    <t>Rango (meses)</t>
  </si>
  <si>
    <t>% provisión</t>
  </si>
  <si>
    <t>Factura 2</t>
  </si>
  <si>
    <t>Factura 3</t>
  </si>
  <si>
    <t>Factura 4</t>
  </si>
  <si>
    <t>Factura 5</t>
  </si>
  <si>
    <t>Factura 6</t>
  </si>
  <si>
    <t>Provisón individual</t>
  </si>
  <si>
    <t>Factura 7</t>
  </si>
  <si>
    <t>Factura 8</t>
  </si>
  <si>
    <t>1. Calcular la provisión de la cartera por los dos métodos vistos en clase: provisión individual y provisión por rango.</t>
  </si>
  <si>
    <t xml:space="preserve">     - Considere los rangos y porcentajes sugeridos.</t>
  </si>
  <si>
    <t>Factura</t>
  </si>
  <si>
    <t>Totales</t>
  </si>
  <si>
    <t>DEPRECIACION EN LINEA RECTA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</si>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</sst>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;[Red]\-&quot;$&quot;\ #,##0"/>
    <numFmt numFmtId="165" formatCode="_-&quot;$&quot;\ * #,##0.00_-;\-&quot;$&quot;\ * #,##0.00_-;_-&quot;$&quot;\ * &quot;-&quot;??_-;_-@_-"/>
    <numFmt numFmtId="166" formatCode="_-&quot;$&quot;* #,##0.00_-;\-&quot;$&quot;* #,##0.00_-;_-&quot;$&quot;* &quot;-&quot;??_-;_-@_-"/>
    <numFmt numFmtId="167" formatCode="_(* #,##0.00_);_(* \(#,##0.00\);_(* &quot;-&quot;??_);_(@_)"/>
    <numFmt numFmtId="168" formatCode="_-&quot;$&quot;\ * #,##0_-;\-&quot;$&quot;\ * #,##0_-;_-&quot;$&quot;\ * &quot;-&quot;??_-;_-@_-"/>
    <numFmt numFmtId="169" formatCode="_(* #,##0_);_(* \(#,##0\);_(* &quot;-&quot;??_);_(@_)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3">
    <xf numFmtId="0" fontId="0" fillId="0" borderId="0" xfId="0"/>
    <xf numFmtId="167" fontId="0" fillId="0" borderId="0" xfId="0" applyNumberFormat="1"/>
    <xf numFmtId="0" fontId="1" fillId="0" borderId="0" xfId="0" applyFont="1"/>
    <xf numFmtId="167" fontId="1" fillId="0" borderId="0" xfId="1" applyFont="1"/>
    <xf numFmtId="0" fontId="5" fillId="0" borderId="0" xfId="0" applyFont="1"/>
    <xf numFmtId="0" fontId="6" fillId="0" borderId="0" xfId="0" applyFont="1"/>
    <xf numFmtId="167" fontId="5" fillId="0" borderId="0" xfId="1" applyFont="1"/>
    <xf numFmtId="167" fontId="5" fillId="0" borderId="1" xfId="1" applyFont="1" applyBorder="1"/>
    <xf numFmtId="165" fontId="5" fillId="0" borderId="1" xfId="3" applyFont="1" applyBorder="1"/>
    <xf numFmtId="168" fontId="5" fillId="0" borderId="1" xfId="3" applyNumberFormat="1" applyFont="1" applyBorder="1"/>
    <xf numFmtId="10" fontId="5" fillId="0" borderId="1" xfId="2" applyNumberFormat="1" applyFont="1" applyBorder="1"/>
    <xf numFmtId="10" fontId="5" fillId="0" borderId="1" xfId="2" applyNumberFormat="1" applyFont="1" applyBorder="1" applyAlignment="1">
      <alignment horizontal="center"/>
    </xf>
    <xf numFmtId="169" fontId="5" fillId="0" borderId="1" xfId="1" applyNumberFormat="1" applyFont="1" applyBorder="1"/>
    <xf numFmtId="0" fontId="9" fillId="0" borderId="0" xfId="0" applyFont="1"/>
    <xf numFmtId="0" fontId="10" fillId="7" borderId="1" xfId="0" applyFont="1" applyFill="1" applyBorder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168" fontId="5" fillId="0" borderId="3" xfId="3" applyNumberFormat="1" applyFont="1" applyBorder="1"/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69" fontId="5" fillId="0" borderId="9" xfId="1" applyNumberFormat="1" applyFont="1" applyBorder="1"/>
    <xf numFmtId="168" fontId="5" fillId="0" borderId="9" xfId="3" applyNumberFormat="1" applyFont="1" applyBorder="1"/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68" fontId="5" fillId="9" borderId="0" xfId="3" applyNumberFormat="1" applyFont="1" applyFill="1"/>
    <xf numFmtId="0" fontId="5" fillId="9" borderId="0" xfId="0" applyFont="1" applyFill="1"/>
    <xf numFmtId="0" fontId="5" fillId="6" borderId="0" xfId="0" applyFont="1" applyFill="1"/>
    <xf numFmtId="169" fontId="5" fillId="9" borderId="0" xfId="1" applyNumberFormat="1" applyFont="1" applyFill="1"/>
    <xf numFmtId="169" fontId="5" fillId="6" borderId="0" xfId="0" applyNumberFormat="1" applyFont="1" applyFill="1"/>
    <xf numFmtId="0" fontId="7" fillId="0" borderId="0" xfId="0" applyFont="1"/>
    <xf numFmtId="0" fontId="7" fillId="0" borderId="4" xfId="0" applyFont="1" applyBorder="1" applyAlignment="1">
      <alignment horizontal="center"/>
    </xf>
    <xf numFmtId="168" fontId="7" fillId="0" borderId="3" xfId="0" applyNumberFormat="1" applyFont="1" applyBorder="1"/>
    <xf numFmtId="165" fontId="5" fillId="0" borderId="3" xfId="3" applyFont="1" applyBorder="1"/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65" fontId="5" fillId="0" borderId="9" xfId="3" applyFont="1" applyBorder="1"/>
    <xf numFmtId="9" fontId="9" fillId="9" borderId="1" xfId="0" applyNumberFormat="1" applyFont="1" applyFill="1" applyBorder="1"/>
    <xf numFmtId="0" fontId="9" fillId="8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9" fontId="9" fillId="0" borderId="0" xfId="2" applyFont="1" applyFill="1" applyBorder="1"/>
    <xf numFmtId="164" fontId="11" fillId="0" borderId="0" xfId="0" applyNumberFormat="1" applyFont="1"/>
    <xf numFmtId="0" fontId="1" fillId="8" borderId="0" xfId="0" applyFont="1" applyFill="1"/>
    <xf numFmtId="167" fontId="1" fillId="8" borderId="0" xfId="1" applyFont="1" applyFill="1"/>
    <xf numFmtId="0" fontId="8" fillId="2" borderId="5" xfId="0" applyFont="1" applyFill="1" applyBorder="1" applyAlignment="1">
      <alignment horizontal="center" vertical="center" wrapText="1"/>
    </xf>
    <xf numFmtId="167" fontId="8" fillId="2" borderId="6" xfId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68" fontId="5" fillId="9" borderId="0" xfId="3" applyNumberFormat="1" applyFont="1" applyFill="1" applyBorder="1"/>
    <xf numFmtId="0" fontId="5" fillId="8" borderId="0" xfId="0" applyFont="1" applyFill="1"/>
    <xf numFmtId="0" fontId="10" fillId="8" borderId="0" xfId="0" applyFont="1" applyFill="1" applyAlignment="1">
      <alignment horizontal="center"/>
    </xf>
    <xf numFmtId="165" fontId="7" fillId="0" borderId="1" xfId="0" applyNumberFormat="1" applyFont="1" applyBorder="1"/>
    <xf numFmtId="166" fontId="7" fillId="0" borderId="1" xfId="0" applyNumberFormat="1" applyFont="1" applyBorder="1"/>
    <xf numFmtId="9" fontId="5" fillId="6" borderId="0" xfId="2" applyFont="1" applyFill="1"/>
    <xf numFmtId="169" fontId="5" fillId="0" borderId="9" xfId="0" applyNumberFormat="1" applyFont="1" applyBorder="1"/>
    <xf numFmtId="168" fontId="5" fillId="0" borderId="9" xfId="0" applyNumberFormat="1" applyFont="1" applyBorder="1"/>
    <xf numFmtId="168" fontId="5" fillId="0" borderId="10" xfId="0" applyNumberFormat="1" applyFont="1" applyBorder="1"/>
    <xf numFmtId="0" fontId="4" fillId="2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9" fontId="11" fillId="0" borderId="0" xfId="2" applyFont="1"/>
    <xf numFmtId="9" fontId="12" fillId="0" borderId="0" xfId="2" applyNumberFormat="1" applyFont="1" applyFill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\ #,##0;[Red]\-&quot;$&quot;\ 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a5" displayName="Tabla5" ref="A6:D12" totalsRowShown="0" headerRowDxfId="49" headerRowBorderDxfId="48" tableBorderDxfId="47" totalsRowBorderDxfId="46">
  <autoFilter ref="A6:D12"/>
  <tableColumns count="4">
    <tableColumn id="1" name="Año" dataDxfId="45"/>
    <tableColumn id="2" name="Cuota depreciación" dataDxfId="44" dataCellStyle="Moneda">
      <calculatedColumnFormula>C$3/C$4</calculatedColumnFormula>
    </tableColumn>
    <tableColumn id="3" name="Depreciación acumulada" dataDxfId="43" dataCellStyle="Moneda">
      <calculatedColumnFormula>Tabla5[[#This Row],[Cuota depreciación]]</calculatedColumnFormula>
    </tableColumn>
    <tableColumn id="4" name="Valor neto en libros" dataDxfId="42" dataCellStyle="Moneda">
      <calculatedColumnFormula>+C12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7:E13" totalsRowShown="0" headerRowDxfId="41" headerRowBorderDxfId="40" tableBorderDxfId="39" totalsRowBorderDxfId="38">
  <autoFilter ref="A7:E13"/>
  <tableColumns count="5">
    <tableColumn id="1" name="Año" dataDxfId="37"/>
    <tableColumn id="2" name="Porcentaje" dataDxfId="36" dataCellStyle="Porcentaje">
      <calculatedColumnFormula>+($C$4-$A$8)/$C$5</calculatedColumnFormula>
    </tableColumn>
    <tableColumn id="3" name="Cuota depreciación" dataDxfId="35" dataCellStyle="Moneda">
      <calculatedColumnFormula>+$C$3*Tabla3[[#This Row],[Porcentaje]]</calculatedColumnFormula>
    </tableColumn>
    <tableColumn id="4" name="Depreciación acumulada" dataDxfId="34" dataCellStyle="Moneda">
      <calculatedColumnFormula>Tabla3[[#This Row],[Cuota depreciación]]</calculatedColumnFormula>
    </tableColumn>
    <tableColumn id="5" name="Valor neto en libros" dataDxfId="33" dataCellStyle="Moneda">
      <calculatedColumnFormula>D13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8:E14" totalsRowShown="0" headerRowDxfId="32" dataDxfId="30" headerRowBorderDxfId="31" tableBorderDxfId="29" totalsRowBorderDxfId="28" dataCellStyle="Moneda">
  <autoFilter ref="A8:E14"/>
  <tableColumns count="5">
    <tableColumn id="1" name="Año" dataDxfId="27"/>
    <tableColumn id="2" name="Valor sin depreciar" dataDxfId="26" dataCellStyle="Moneda">
      <calculatedColumnFormula>+B2</calculatedColumnFormula>
    </tableColumn>
    <tableColumn id="3" name="Cuota depreciación" dataDxfId="25" dataCellStyle="Moneda">
      <calculatedColumnFormula>B9*$B$6</calculatedColumnFormula>
    </tableColumn>
    <tableColumn id="4" name="Depreciación acumulada" dataDxfId="24" dataCellStyle="Moneda">
      <calculatedColumnFormula>C9</calculatedColumnFormula>
    </tableColumn>
    <tableColumn id="5" name="Valor neto en libros" dataDxfId="23" dataCellStyle="Moneda">
      <calculatedColumnFormula>+B3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8:E20" totalsRowCount="1" headerRowDxfId="22" headerRowBorderDxfId="21" tableBorderDxfId="20" totalsRowBorderDxfId="19">
  <autoFilter ref="A8:E19"/>
  <tableColumns count="5">
    <tableColumn id="1" name="Año" dataDxfId="18" totalsRowDxfId="17"/>
    <tableColumn id="2" name="Unidades producidas" dataDxfId="16" totalsRowDxfId="15" dataCellStyle="Millares"/>
    <tableColumn id="3" name="Cuota depreciación" dataDxfId="14" totalsRowDxfId="13" dataCellStyle="Moneda">
      <calculatedColumnFormula>Tabla2[[#This Row],[Unidades producidas]]*$C$6</calculatedColumnFormula>
    </tableColumn>
    <tableColumn id="4" name="Depreciación acumulada" dataDxfId="12" totalsRowDxfId="11" dataCellStyle="Moneda"/>
    <tableColumn id="5" name="Valor neto en libros" dataDxfId="10" totalsRowDxfId="9" dataCellStyle="Moneda">
      <calculatedColumnFormula>+C3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A2:G11" totalsRowShown="0" headerRowDxfId="8" dataDxfId="7">
  <autoFilter ref="A2:G11"/>
  <tableColumns count="7">
    <tableColumn id="1" name="Factura" dataDxfId="6"/>
    <tableColumn id="2" name="Días vencimiento" dataDxfId="5"/>
    <tableColumn id="3" name="Valor cartera" dataDxfId="4"/>
    <tableColumn id="4" name="Meses vencimiento" dataDxfId="0">
      <calculatedColumnFormula>INT(Tabla1[[#This Row],[Días vencimiento]]/30)</calculatedColumnFormula>
    </tableColumn>
    <tableColumn id="5" name="% provisión general" dataDxfId="3" dataCellStyle="Porcentaje"/>
    <tableColumn id="6" name="Provisión individual" dataDxfId="2" dataCellStyle="Porcentaje">
      <calculatedColumnFormula>VLOOKUP(Tabla1[[#This Row],[Meses vencimiento]],$I$4:$K$6,3,TRUE)</calculatedColumnFormula>
    </tableColumn>
    <tableColumn id="7" name="Provisión x rango vcto" dataDxfId="1">
      <calculatedColumnFormula>VLOOKUP(Tabla1[[#This Row],[Meses vencimiento]],$I$4:$K$6,3,TRUE)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20"/>
  <sheetViews>
    <sheetView showGridLines="0" workbookViewId="0">
      <selection sqref="A1:D1"/>
    </sheetView>
  </sheetViews>
  <sheetFormatPr baseColWidth="10" defaultColWidth="11.42578125" defaultRowHeight="12.75" x14ac:dyDescent="0.2"/>
  <cols>
    <col min="1" max="1" width="9.42578125" style="2" customWidth="1"/>
    <col min="2" max="2" width="25.140625" style="3" customWidth="1"/>
    <col min="3" max="3" width="27.5703125" style="2" customWidth="1"/>
    <col min="4" max="4" width="23.140625" style="2" customWidth="1"/>
    <col min="5" max="16384" width="11.42578125" style="2"/>
  </cols>
  <sheetData>
    <row r="1" spans="1:11" ht="15.75" x14ac:dyDescent="0.25">
      <c r="A1" s="64" t="s">
        <v>43</v>
      </c>
      <c r="B1" s="64"/>
      <c r="C1" s="64"/>
      <c r="D1" s="64"/>
    </row>
    <row r="3" spans="1:11" ht="14.25" x14ac:dyDescent="0.2">
      <c r="A3" s="65" t="s">
        <v>0</v>
      </c>
      <c r="B3" s="65"/>
      <c r="C3" s="55">
        <v>47000000</v>
      </c>
      <c r="D3" s="4"/>
    </row>
    <row r="4" spans="1:11" ht="15" x14ac:dyDescent="0.2">
      <c r="A4" s="65" t="s">
        <v>1</v>
      </c>
      <c r="B4" s="65"/>
      <c r="C4" s="29">
        <v>5</v>
      </c>
      <c r="D4" s="4"/>
      <c r="E4" s="5"/>
    </row>
    <row r="5" spans="1:11" ht="14.25" x14ac:dyDescent="0.2">
      <c r="A5" s="4"/>
      <c r="B5" s="6"/>
      <c r="C5" s="4"/>
      <c r="D5" s="4"/>
    </row>
    <row r="6" spans="1:11" ht="15" x14ac:dyDescent="0.2">
      <c r="A6" s="51" t="s">
        <v>2</v>
      </c>
      <c r="B6" s="52" t="s">
        <v>3</v>
      </c>
      <c r="C6" s="53" t="s">
        <v>4</v>
      </c>
      <c r="D6" s="54" t="s">
        <v>5</v>
      </c>
      <c r="F6" s="49"/>
      <c r="G6" s="49"/>
      <c r="H6" s="49"/>
      <c r="I6" s="49"/>
      <c r="J6" s="49"/>
      <c r="K6" s="49"/>
    </row>
    <row r="7" spans="1:11" ht="14.25" x14ac:dyDescent="0.2">
      <c r="A7" s="23">
        <v>0</v>
      </c>
      <c r="B7" s="9"/>
      <c r="C7" s="9"/>
      <c r="D7" s="17">
        <f t="shared" ref="D7" si="0">+C12</f>
        <v>47000000</v>
      </c>
      <c r="F7" s="49"/>
      <c r="G7" s="49"/>
      <c r="H7" s="49"/>
      <c r="I7" s="49"/>
      <c r="J7" s="49"/>
      <c r="K7" s="49"/>
    </row>
    <row r="8" spans="1:11" ht="14.25" x14ac:dyDescent="0.2">
      <c r="A8" s="23">
        <v>1</v>
      </c>
      <c r="B8" s="9">
        <f t="shared" ref="B8:B12" si="1">C$3/C$4</f>
        <v>9400000</v>
      </c>
      <c r="C8" s="9">
        <f>+B12</f>
        <v>9400000</v>
      </c>
      <c r="D8" s="17">
        <f>+D7-B$12</f>
        <v>37600000</v>
      </c>
      <c r="F8" s="49"/>
      <c r="G8" s="49"/>
      <c r="H8" s="49"/>
      <c r="I8" s="49"/>
      <c r="J8" s="49"/>
      <c r="K8" s="49"/>
    </row>
    <row r="9" spans="1:11" ht="14.25" x14ac:dyDescent="0.2">
      <c r="A9" s="23">
        <v>2</v>
      </c>
      <c r="B9" s="9">
        <f t="shared" si="1"/>
        <v>9400000</v>
      </c>
      <c r="C9" s="9">
        <f>+C8+B$12</f>
        <v>18800000</v>
      </c>
      <c r="D9" s="17">
        <f t="shared" ref="D9:D12" si="2">+D8-B$12</f>
        <v>28200000</v>
      </c>
      <c r="F9" s="49"/>
      <c r="G9" s="49"/>
      <c r="H9" s="49"/>
      <c r="I9" s="49"/>
      <c r="J9" s="49"/>
      <c r="K9" s="49"/>
    </row>
    <row r="10" spans="1:11" ht="14.25" x14ac:dyDescent="0.2">
      <c r="A10" s="23">
        <v>3</v>
      </c>
      <c r="B10" s="9">
        <f t="shared" si="1"/>
        <v>9400000</v>
      </c>
      <c r="C10" s="9">
        <f t="shared" ref="C10:C12" si="3">+C9+B$12</f>
        <v>28200000</v>
      </c>
      <c r="D10" s="17">
        <f t="shared" si="2"/>
        <v>18800000</v>
      </c>
      <c r="F10" s="49"/>
      <c r="G10" s="49"/>
      <c r="H10" s="49"/>
      <c r="I10" s="49"/>
      <c r="J10" s="49"/>
      <c r="K10" s="49"/>
    </row>
    <row r="11" spans="1:11" ht="14.1" customHeight="1" x14ac:dyDescent="0.2">
      <c r="A11" s="23">
        <v>4</v>
      </c>
      <c r="B11" s="9">
        <f t="shared" si="1"/>
        <v>9400000</v>
      </c>
      <c r="C11" s="9">
        <f t="shared" si="3"/>
        <v>37600000</v>
      </c>
      <c r="D11" s="17">
        <f t="shared" si="2"/>
        <v>9400000</v>
      </c>
      <c r="F11" s="49"/>
      <c r="G11" s="49"/>
      <c r="H11" s="49"/>
      <c r="I11" s="49"/>
      <c r="J11" s="49"/>
      <c r="K11" s="49"/>
    </row>
    <row r="12" spans="1:11" ht="14.25" x14ac:dyDescent="0.2">
      <c r="A12" s="24">
        <v>5</v>
      </c>
      <c r="B12" s="22">
        <f t="shared" si="1"/>
        <v>9400000</v>
      </c>
      <c r="C12" s="9">
        <f t="shared" si="3"/>
        <v>47000000</v>
      </c>
      <c r="D12" s="17">
        <f t="shared" si="2"/>
        <v>0</v>
      </c>
    </row>
    <row r="16" spans="1:11" ht="14.25" x14ac:dyDescent="0.2">
      <c r="B16" s="56" t="s">
        <v>6</v>
      </c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14.25" x14ac:dyDescent="0.2">
      <c r="B17" s="56" t="s">
        <v>7</v>
      </c>
      <c r="C17" s="49"/>
      <c r="D17" s="49"/>
      <c r="E17" s="49"/>
      <c r="F17" s="49"/>
      <c r="G17" s="49"/>
      <c r="H17" s="49"/>
      <c r="I17" s="49"/>
      <c r="J17" s="49"/>
      <c r="K17" s="49"/>
    </row>
    <row r="18" spans="2:11" ht="14.25" x14ac:dyDescent="0.2">
      <c r="B18" s="56" t="s">
        <v>8</v>
      </c>
      <c r="C18" s="49"/>
      <c r="D18" s="49"/>
      <c r="E18" s="49"/>
      <c r="F18" s="49"/>
      <c r="G18" s="49"/>
      <c r="H18" s="49"/>
      <c r="I18" s="49"/>
      <c r="J18" s="49"/>
      <c r="K18" s="49"/>
    </row>
    <row r="19" spans="2:11" x14ac:dyDescent="0.2">
      <c r="B19" s="50"/>
      <c r="C19" s="49"/>
      <c r="D19" s="49"/>
      <c r="E19" s="49"/>
      <c r="F19" s="49"/>
      <c r="G19" s="49"/>
      <c r="H19" s="49"/>
      <c r="I19" s="49"/>
      <c r="J19" s="49"/>
      <c r="K19" s="49"/>
    </row>
    <row r="20" spans="2:11" x14ac:dyDescent="0.2">
      <c r="B20" s="50"/>
      <c r="C20" s="49"/>
      <c r="D20" s="49"/>
      <c r="E20" s="49"/>
      <c r="F20" s="49"/>
      <c r="G20" s="49"/>
      <c r="H20" s="49"/>
      <c r="I20" s="49"/>
      <c r="J20" s="49"/>
      <c r="K20" s="49"/>
    </row>
  </sheetData>
  <mergeCells count="3">
    <mergeCell ref="A1:D1"/>
    <mergeCell ref="A3:B3"/>
    <mergeCell ref="A4:B4"/>
  </mergeCells>
  <phoneticPr fontId="2" type="noConversion"/>
  <pageMargins left="0.75" right="0.75" top="1" bottom="1" header="0" footer="0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E14"/>
  <sheetViews>
    <sheetView showGridLines="0" workbookViewId="0">
      <selection activeCell="B7" sqref="B7"/>
    </sheetView>
  </sheetViews>
  <sheetFormatPr baseColWidth="10" defaultColWidth="11.42578125" defaultRowHeight="12.75" x14ac:dyDescent="0.2"/>
  <cols>
    <col min="1" max="1" width="9.42578125" customWidth="1"/>
    <col min="2" max="2" width="14.42578125" customWidth="1"/>
    <col min="3" max="3" width="23.42578125" bestFit="1" customWidth="1"/>
    <col min="4" max="4" width="28.42578125" bestFit="1" customWidth="1"/>
    <col min="5" max="5" width="23.42578125" bestFit="1" customWidth="1"/>
  </cols>
  <sheetData>
    <row r="1" spans="1:5" ht="15.75" x14ac:dyDescent="0.25">
      <c r="A1" s="66" t="s">
        <v>9</v>
      </c>
      <c r="B1" s="66"/>
      <c r="C1" s="66"/>
      <c r="D1" s="66"/>
      <c r="E1" s="66"/>
    </row>
    <row r="3" spans="1:5" s="4" customFormat="1" ht="14.25" x14ac:dyDescent="0.2">
      <c r="A3" s="67" t="s">
        <v>0</v>
      </c>
      <c r="B3" s="67"/>
      <c r="C3" s="28">
        <v>95000000</v>
      </c>
    </row>
    <row r="4" spans="1:5" s="4" customFormat="1" ht="14.25" x14ac:dyDescent="0.2">
      <c r="A4" s="67" t="s">
        <v>1</v>
      </c>
      <c r="B4" s="67"/>
      <c r="C4" s="29">
        <v>5</v>
      </c>
    </row>
    <row r="5" spans="1:5" s="4" customFormat="1" ht="15" x14ac:dyDescent="0.2">
      <c r="A5" s="67" t="s">
        <v>10</v>
      </c>
      <c r="B5" s="67"/>
      <c r="C5" s="30">
        <f>+C4*(1+C4)/2</f>
        <v>15</v>
      </c>
      <c r="D5" s="68" t="s">
        <v>11</v>
      </c>
      <c r="E5" s="69"/>
    </row>
    <row r="6" spans="1:5" s="4" customFormat="1" ht="14.25" x14ac:dyDescent="0.2"/>
    <row r="7" spans="1:5" s="4" customFormat="1" ht="15" x14ac:dyDescent="0.2">
      <c r="A7" s="25" t="s">
        <v>2</v>
      </c>
      <c r="B7" s="26" t="s">
        <v>44</v>
      </c>
      <c r="C7" s="26" t="s">
        <v>3</v>
      </c>
      <c r="D7" s="26" t="s">
        <v>4</v>
      </c>
      <c r="E7" s="27" t="s">
        <v>5</v>
      </c>
    </row>
    <row r="8" spans="1:5" s="4" customFormat="1" ht="14.25" x14ac:dyDescent="0.2">
      <c r="A8" s="23">
        <v>0</v>
      </c>
      <c r="B8" s="10"/>
      <c r="C8" s="9">
        <f>+$C$3*Tabla3[[#This Row],[Porcentaje]]</f>
        <v>0</v>
      </c>
      <c r="D8" s="9">
        <f>Tabla3[[#This Row],[Cuota depreciación]]</f>
        <v>0</v>
      </c>
      <c r="E8" s="17">
        <f t="shared" ref="E8" si="0">D13</f>
        <v>95000000</v>
      </c>
    </row>
    <row r="9" spans="1:5" s="4" customFormat="1" ht="14.25" x14ac:dyDescent="0.2">
      <c r="A9" s="23">
        <v>1</v>
      </c>
      <c r="B9" s="11">
        <f>+($C$4-A8)/$C$5</f>
        <v>0.33333333333333331</v>
      </c>
      <c r="C9" s="9">
        <f>+$C$3*Tabla3[[#This Row],[Porcentaje]]</f>
        <v>31666666.666666664</v>
      </c>
      <c r="D9" s="9">
        <f>Tabla3[[#This Row],[Cuota depreciación]]</f>
        <v>31666666.666666664</v>
      </c>
      <c r="E9" s="17">
        <f>+E8-Tabla3[[#This Row],[Cuota depreciación]]</f>
        <v>63333333.333333336</v>
      </c>
    </row>
    <row r="10" spans="1:5" s="4" customFormat="1" ht="14.25" x14ac:dyDescent="0.2">
      <c r="A10" s="23">
        <v>2</v>
      </c>
      <c r="B10" s="11">
        <f t="shared" ref="B10:B13" si="1">+($C$4-A9)/$C$5</f>
        <v>0.26666666666666666</v>
      </c>
      <c r="C10" s="9">
        <f>+$C$3*Tabla3[[#This Row],[Porcentaje]]</f>
        <v>25333333.333333332</v>
      </c>
      <c r="D10" s="9">
        <f>+D9+Tabla3[[#This Row],[Cuota depreciación]]</f>
        <v>57000000</v>
      </c>
      <c r="E10" s="17">
        <f>+E9-Tabla3[[#This Row],[Cuota depreciación]]</f>
        <v>38000000</v>
      </c>
    </row>
    <row r="11" spans="1:5" s="4" customFormat="1" ht="14.25" x14ac:dyDescent="0.2">
      <c r="A11" s="23">
        <v>3</v>
      </c>
      <c r="B11" s="11">
        <f t="shared" si="1"/>
        <v>0.2</v>
      </c>
      <c r="C11" s="9">
        <f>+$C$3*Tabla3[[#This Row],[Porcentaje]]</f>
        <v>19000000</v>
      </c>
      <c r="D11" s="9">
        <f>+D10+Tabla3[[#This Row],[Cuota depreciación]]</f>
        <v>76000000</v>
      </c>
      <c r="E11" s="17">
        <f>+E10-Tabla3[[#This Row],[Cuota depreciación]]</f>
        <v>19000000</v>
      </c>
    </row>
    <row r="12" spans="1:5" s="4" customFormat="1" ht="14.25" x14ac:dyDescent="0.2">
      <c r="A12" s="23">
        <v>4</v>
      </c>
      <c r="B12" s="11">
        <f t="shared" si="1"/>
        <v>0.13333333333333333</v>
      </c>
      <c r="C12" s="9">
        <f>+$C$3*Tabla3[[#This Row],[Porcentaje]]</f>
        <v>12666666.666666666</v>
      </c>
      <c r="D12" s="9">
        <f>+D11+Tabla3[[#This Row],[Cuota depreciación]]</f>
        <v>88666666.666666672</v>
      </c>
      <c r="E12" s="17">
        <f>+E11-Tabla3[[#This Row],[Cuota depreciación]]</f>
        <v>6333333.333333334</v>
      </c>
    </row>
    <row r="13" spans="1:5" s="4" customFormat="1" ht="14.25" x14ac:dyDescent="0.2">
      <c r="A13" s="24">
        <v>5</v>
      </c>
      <c r="B13" s="11">
        <f t="shared" si="1"/>
        <v>6.6666666666666666E-2</v>
      </c>
      <c r="C13" s="22">
        <f>+$C$3*Tabla3[[#This Row],[Porcentaje]]</f>
        <v>6333333.333333333</v>
      </c>
      <c r="D13" s="9">
        <f>+D12+Tabla3[[#This Row],[Cuota depreciación]]</f>
        <v>95000000</v>
      </c>
      <c r="E13" s="17">
        <f>+E12-Tabla3[[#This Row],[Cuota depreciación]]</f>
        <v>0</v>
      </c>
    </row>
    <row r="14" spans="1:5" s="4" customFormat="1" ht="14.25" x14ac:dyDescent="0.2"/>
  </sheetData>
  <mergeCells count="5">
    <mergeCell ref="A1:E1"/>
    <mergeCell ref="A3:B3"/>
    <mergeCell ref="A4:B4"/>
    <mergeCell ref="A5:B5"/>
    <mergeCell ref="D5:E5"/>
  </mergeCells>
  <phoneticPr fontId="2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14"/>
  <sheetViews>
    <sheetView showGridLines="0" workbookViewId="0">
      <selection activeCell="A24" sqref="A24"/>
    </sheetView>
  </sheetViews>
  <sheetFormatPr baseColWidth="10" defaultColWidth="11.42578125" defaultRowHeight="12.75" x14ac:dyDescent="0.2"/>
  <cols>
    <col min="1" max="1" width="22.85546875" customWidth="1"/>
    <col min="2" max="2" width="20.140625" customWidth="1"/>
    <col min="3" max="3" width="20.5703125" customWidth="1"/>
    <col min="4" max="4" width="28.42578125" bestFit="1" customWidth="1"/>
    <col min="5" max="5" width="23.42578125" bestFit="1" customWidth="1"/>
    <col min="6" max="6" width="13.42578125" bestFit="1" customWidth="1"/>
  </cols>
  <sheetData>
    <row r="1" spans="1:6" ht="15.75" x14ac:dyDescent="0.25">
      <c r="A1" s="71" t="s">
        <v>12</v>
      </c>
      <c r="B1" s="71"/>
      <c r="C1" s="71"/>
      <c r="D1" s="71"/>
      <c r="E1" s="71"/>
    </row>
    <row r="3" spans="1:6" ht="15" x14ac:dyDescent="0.25">
      <c r="A3" s="33" t="s">
        <v>0</v>
      </c>
      <c r="B3" s="28">
        <v>55000000</v>
      </c>
      <c r="C3" s="4"/>
      <c r="D3" s="4"/>
      <c r="E3" s="4"/>
    </row>
    <row r="4" spans="1:6" ht="15" x14ac:dyDescent="0.25">
      <c r="A4" s="33" t="s">
        <v>1</v>
      </c>
      <c r="B4" s="29">
        <v>5</v>
      </c>
      <c r="C4" s="4"/>
      <c r="D4" s="4"/>
      <c r="E4" s="4"/>
    </row>
    <row r="5" spans="1:6" ht="15" x14ac:dyDescent="0.25">
      <c r="A5" s="33" t="s">
        <v>13</v>
      </c>
      <c r="B5" s="28">
        <v>3000000</v>
      </c>
      <c r="C5" s="4"/>
      <c r="D5" s="4"/>
      <c r="E5" s="4"/>
    </row>
    <row r="6" spans="1:6" ht="15" x14ac:dyDescent="0.25">
      <c r="A6" s="33" t="s">
        <v>14</v>
      </c>
      <c r="B6" s="60">
        <f>1-(B5/B3)^(1/B4)</f>
        <v>0.4410773454271798</v>
      </c>
      <c r="C6" s="72"/>
      <c r="D6" s="72"/>
      <c r="E6" s="72"/>
    </row>
    <row r="7" spans="1:6" ht="15" x14ac:dyDescent="0.25">
      <c r="A7" s="70"/>
      <c r="B7" s="70"/>
      <c r="C7" s="70"/>
      <c r="D7" s="70"/>
      <c r="E7" s="70"/>
    </row>
    <row r="8" spans="1:6" ht="30" x14ac:dyDescent="0.2">
      <c r="A8" s="37" t="s">
        <v>2</v>
      </c>
      <c r="B8" s="38" t="s">
        <v>15</v>
      </c>
      <c r="C8" s="38" t="s">
        <v>3</v>
      </c>
      <c r="D8" s="38" t="s">
        <v>4</v>
      </c>
      <c r="E8" s="39" t="s">
        <v>5</v>
      </c>
    </row>
    <row r="9" spans="1:6" ht="15" x14ac:dyDescent="0.25">
      <c r="A9" s="34">
        <v>0</v>
      </c>
      <c r="B9" s="58"/>
      <c r="C9" s="59"/>
      <c r="D9" s="58">
        <f t="shared" ref="D9:D10" si="0">C9</f>
        <v>0</v>
      </c>
      <c r="E9" s="35">
        <f t="shared" ref="E9" si="1">+B3</f>
        <v>55000000</v>
      </c>
    </row>
    <row r="10" spans="1:6" ht="14.25" x14ac:dyDescent="0.2">
      <c r="A10" s="23">
        <v>1</v>
      </c>
      <c r="B10" s="8">
        <f t="shared" ref="B10" si="2">+B3</f>
        <v>55000000</v>
      </c>
      <c r="C10" s="8">
        <f>B10*$B$6</f>
        <v>24259253.99849489</v>
      </c>
      <c r="D10" s="8">
        <f t="shared" si="0"/>
        <v>24259253.99849489</v>
      </c>
      <c r="E10" s="36">
        <f>+E9-D10</f>
        <v>30740746.00150511</v>
      </c>
    </row>
    <row r="11" spans="1:6" ht="14.25" x14ac:dyDescent="0.2">
      <c r="A11" s="23">
        <v>2</v>
      </c>
      <c r="B11" s="8">
        <f>B10-C10</f>
        <v>30740746.00150511</v>
      </c>
      <c r="C11" s="8">
        <f>B11*$B$6</f>
        <v>13559046.642795065</v>
      </c>
      <c r="D11" s="8">
        <f>D10+C11</f>
        <v>37818300.641289957</v>
      </c>
      <c r="E11" s="36">
        <f>+E10-C11</f>
        <v>17181699.358710043</v>
      </c>
    </row>
    <row r="12" spans="1:6" ht="14.25" x14ac:dyDescent="0.2">
      <c r="A12" s="23">
        <v>3</v>
      </c>
      <c r="B12" s="8">
        <f t="shared" ref="B12:B14" si="3">B11-C11</f>
        <v>17181699.358710043</v>
      </c>
      <c r="C12" s="8">
        <f t="shared" ref="C12:C14" si="4">B12*$B$6</f>
        <v>7578458.3430677038</v>
      </c>
      <c r="D12" s="8">
        <f t="shared" ref="D12:D14" si="5">D11+C12</f>
        <v>45396758.984357662</v>
      </c>
      <c r="E12" s="36">
        <f>+E11-C12</f>
        <v>9603241.0156423394</v>
      </c>
    </row>
    <row r="13" spans="1:6" ht="14.25" x14ac:dyDescent="0.2">
      <c r="A13" s="23">
        <v>4</v>
      </c>
      <c r="B13" s="8">
        <f t="shared" si="3"/>
        <v>9603241.0156423394</v>
      </c>
      <c r="C13" s="8">
        <f t="shared" si="4"/>
        <v>4235772.0546769369</v>
      </c>
      <c r="D13" s="8">
        <f t="shared" si="5"/>
        <v>49632531.039034598</v>
      </c>
      <c r="E13" s="36">
        <f>+E12-C13</f>
        <v>5367468.9609654024</v>
      </c>
    </row>
    <row r="14" spans="1:6" ht="14.25" x14ac:dyDescent="0.2">
      <c r="A14" s="24">
        <v>5</v>
      </c>
      <c r="B14" s="8">
        <f t="shared" si="3"/>
        <v>5367468.9609654024</v>
      </c>
      <c r="C14" s="40">
        <f t="shared" si="4"/>
        <v>2367468.9609654029</v>
      </c>
      <c r="D14" s="8">
        <f t="shared" si="5"/>
        <v>52000000</v>
      </c>
      <c r="E14" s="36">
        <f>+E13-C14</f>
        <v>2999999.9999999995</v>
      </c>
      <c r="F14" s="1"/>
    </row>
  </sheetData>
  <mergeCells count="3">
    <mergeCell ref="A7:E7"/>
    <mergeCell ref="A1:E1"/>
    <mergeCell ref="C6:E6"/>
  </mergeCells>
  <phoneticPr fontId="2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20"/>
  <sheetViews>
    <sheetView showGridLines="0" workbookViewId="0">
      <selection activeCell="F7" sqref="F7"/>
    </sheetView>
  </sheetViews>
  <sheetFormatPr baseColWidth="10" defaultColWidth="11.42578125" defaultRowHeight="12.75" x14ac:dyDescent="0.2"/>
  <cols>
    <col min="1" max="1" width="9.42578125" customWidth="1"/>
    <col min="2" max="2" width="25.140625" bestFit="1" customWidth="1"/>
    <col min="3" max="3" width="23.42578125" bestFit="1" customWidth="1"/>
    <col min="4" max="4" width="28.42578125" bestFit="1" customWidth="1"/>
    <col min="5" max="5" width="23.42578125" bestFit="1" customWidth="1"/>
  </cols>
  <sheetData>
    <row r="1" spans="1:5" ht="15.75" x14ac:dyDescent="0.25">
      <c r="A1" s="74" t="s">
        <v>16</v>
      </c>
      <c r="B1" s="74"/>
      <c r="C1" s="74"/>
      <c r="D1" s="74"/>
      <c r="E1" s="74"/>
    </row>
    <row r="3" spans="1:5" ht="14.25" x14ac:dyDescent="0.2">
      <c r="A3" s="67" t="s">
        <v>0</v>
      </c>
      <c r="B3" s="67"/>
      <c r="C3" s="28">
        <v>65000000</v>
      </c>
      <c r="D3" s="4"/>
      <c r="E3" s="4"/>
    </row>
    <row r="4" spans="1:5" ht="15" x14ac:dyDescent="0.25">
      <c r="A4" s="76" t="s">
        <v>17</v>
      </c>
      <c r="B4" s="76"/>
      <c r="C4" s="31">
        <v>50000</v>
      </c>
      <c r="D4" s="4"/>
      <c r="E4" s="4"/>
    </row>
    <row r="5" spans="1:5" ht="15" x14ac:dyDescent="0.25">
      <c r="A5" s="76" t="s">
        <v>18</v>
      </c>
      <c r="B5" s="76"/>
      <c r="C5" s="29">
        <v>10</v>
      </c>
      <c r="D5" s="4"/>
      <c r="E5" s="4"/>
    </row>
    <row r="6" spans="1:5" ht="15" x14ac:dyDescent="0.25">
      <c r="A6" s="76" t="s">
        <v>19</v>
      </c>
      <c r="B6" s="76"/>
      <c r="C6" s="32">
        <f>+C3/C4</f>
        <v>1300</v>
      </c>
      <c r="D6" s="75" t="s">
        <v>20</v>
      </c>
      <c r="E6" s="75"/>
    </row>
    <row r="7" spans="1:5" ht="15" x14ac:dyDescent="0.25">
      <c r="A7" s="70"/>
      <c r="B7" s="73"/>
      <c r="C7" s="73"/>
      <c r="D7" s="73"/>
      <c r="E7" s="73"/>
    </row>
    <row r="8" spans="1:5" ht="15" x14ac:dyDescent="0.2">
      <c r="A8" s="18" t="s">
        <v>2</v>
      </c>
      <c r="B8" s="19" t="s">
        <v>21</v>
      </c>
      <c r="C8" s="19" t="s">
        <v>3</v>
      </c>
      <c r="D8" s="19" t="s">
        <v>4</v>
      </c>
      <c r="E8" s="20" t="s">
        <v>5</v>
      </c>
    </row>
    <row r="9" spans="1:5" ht="14.25" x14ac:dyDescent="0.2">
      <c r="A9" s="23">
        <v>0</v>
      </c>
      <c r="B9" s="7"/>
      <c r="C9" s="9"/>
      <c r="D9" s="9"/>
      <c r="E9" s="17">
        <f t="shared" ref="E9" si="0">+C3</f>
        <v>65000000</v>
      </c>
    </row>
    <row r="10" spans="1:5" ht="14.25" x14ac:dyDescent="0.2">
      <c r="A10" s="23">
        <v>1</v>
      </c>
      <c r="B10" s="12">
        <v>2500</v>
      </c>
      <c r="C10" s="9">
        <f>Tabla2[[#This Row],[Unidades producidas]]*$C$6</f>
        <v>3250000</v>
      </c>
      <c r="D10" s="9">
        <f>Tabla2[[#This Row],[Cuota depreciación]]</f>
        <v>3250000</v>
      </c>
      <c r="E10" s="17">
        <f>+E9-Tabla2[[#This Row],[Cuota depreciación]]</f>
        <v>61750000</v>
      </c>
    </row>
    <row r="11" spans="1:5" ht="14.25" x14ac:dyDescent="0.2">
      <c r="A11" s="23">
        <v>2</v>
      </c>
      <c r="B11" s="12">
        <v>5000</v>
      </c>
      <c r="C11" s="9">
        <f>Tabla2[[#This Row],[Unidades producidas]]*$C$6</f>
        <v>6500000</v>
      </c>
      <c r="D11" s="9">
        <f>Tabla2[[#This Row],[Cuota depreciación]]+D10</f>
        <v>9750000</v>
      </c>
      <c r="E11" s="17">
        <f>+E10-Tabla2[[#This Row],[Cuota depreciación]]</f>
        <v>55250000</v>
      </c>
    </row>
    <row r="12" spans="1:5" ht="14.25" x14ac:dyDescent="0.2">
      <c r="A12" s="23">
        <v>3</v>
      </c>
      <c r="B12" s="12">
        <v>2000</v>
      </c>
      <c r="C12" s="9">
        <f>Tabla2[[#This Row],[Unidades producidas]]*$C$6</f>
        <v>2600000</v>
      </c>
      <c r="D12" s="9">
        <f>Tabla2[[#This Row],[Cuota depreciación]]+D11</f>
        <v>12350000</v>
      </c>
      <c r="E12" s="17">
        <f>+E11-Tabla2[[#This Row],[Cuota depreciación]]</f>
        <v>52650000</v>
      </c>
    </row>
    <row r="13" spans="1:5" ht="14.25" x14ac:dyDescent="0.2">
      <c r="A13" s="23">
        <v>4</v>
      </c>
      <c r="B13" s="12">
        <v>6600</v>
      </c>
      <c r="C13" s="9">
        <f>Tabla2[[#This Row],[Unidades producidas]]*$C$6</f>
        <v>8580000</v>
      </c>
      <c r="D13" s="9">
        <f>Tabla2[[#This Row],[Cuota depreciación]]+D12</f>
        <v>20930000</v>
      </c>
      <c r="E13" s="17">
        <f>+E12-Tabla2[[#This Row],[Cuota depreciación]]</f>
        <v>44070000</v>
      </c>
    </row>
    <row r="14" spans="1:5" ht="14.25" x14ac:dyDescent="0.2">
      <c r="A14" s="23">
        <v>5</v>
      </c>
      <c r="B14" s="12">
        <v>7300</v>
      </c>
      <c r="C14" s="9">
        <f>Tabla2[[#This Row],[Unidades producidas]]*$C$6</f>
        <v>9490000</v>
      </c>
      <c r="D14" s="9">
        <f>D13+Tabla2[[#This Row],[Cuota depreciación]]</f>
        <v>30420000</v>
      </c>
      <c r="E14" s="17">
        <f>+E13-Tabla2[[#This Row],[Cuota depreciación]]</f>
        <v>34580000</v>
      </c>
    </row>
    <row r="15" spans="1:5" ht="14.25" x14ac:dyDescent="0.2">
      <c r="A15" s="23">
        <v>6</v>
      </c>
      <c r="B15" s="12">
        <v>8200</v>
      </c>
      <c r="C15" s="9">
        <f>Tabla2[[#This Row],[Unidades producidas]]*$C$6</f>
        <v>10660000</v>
      </c>
      <c r="D15" s="9">
        <f>D14+Tabla2[[#This Row],[Cuota depreciación]]</f>
        <v>41080000</v>
      </c>
      <c r="E15" s="17">
        <f>+E14-Tabla2[[#This Row],[Cuota depreciación]]</f>
        <v>23920000</v>
      </c>
    </row>
    <row r="16" spans="1:5" ht="14.25" x14ac:dyDescent="0.2">
      <c r="A16" s="23">
        <v>7</v>
      </c>
      <c r="B16" s="12">
        <v>5200</v>
      </c>
      <c r="C16" s="9">
        <f>Tabla2[[#This Row],[Unidades producidas]]*$C$6</f>
        <v>6760000</v>
      </c>
      <c r="D16" s="9">
        <f>Tabla2[[#This Row],[Cuota depreciación]]+D15</f>
        <v>47840000</v>
      </c>
      <c r="E16" s="17">
        <f>+E15-Tabla2[[#This Row],[Cuota depreciación]]</f>
        <v>17160000</v>
      </c>
    </row>
    <row r="17" spans="1:5" ht="14.25" x14ac:dyDescent="0.2">
      <c r="A17" s="23">
        <v>8</v>
      </c>
      <c r="B17" s="12">
        <v>7200</v>
      </c>
      <c r="C17" s="9">
        <f>Tabla2[[#This Row],[Unidades producidas]]*$C$6</f>
        <v>9360000</v>
      </c>
      <c r="D17" s="9">
        <f>Tabla2[[#This Row],[Cuota depreciación]]+D16</f>
        <v>57200000</v>
      </c>
      <c r="E17" s="17">
        <f>+E16-Tabla2[[#This Row],[Cuota depreciación]]</f>
        <v>7800000</v>
      </c>
    </row>
    <row r="18" spans="1:5" ht="14.25" x14ac:dyDescent="0.2">
      <c r="A18" s="23">
        <v>9</v>
      </c>
      <c r="B18" s="12">
        <v>2500</v>
      </c>
      <c r="C18" s="9">
        <f>Tabla2[[#This Row],[Unidades producidas]]*$C$6</f>
        <v>3250000</v>
      </c>
      <c r="D18" s="9">
        <f>Tabla2[[#This Row],[Cuota depreciación]]+D17</f>
        <v>60450000</v>
      </c>
      <c r="E18" s="17">
        <f>+E17-Tabla2[[#This Row],[Cuota depreciación]]</f>
        <v>4550000</v>
      </c>
    </row>
    <row r="19" spans="1:5" ht="14.25" x14ac:dyDescent="0.2">
      <c r="A19" s="24">
        <v>10</v>
      </c>
      <c r="B19" s="21">
        <v>3500</v>
      </c>
      <c r="C19" s="9">
        <f>Tabla2[[#This Row],[Unidades producidas]]*$C$6</f>
        <v>4550000</v>
      </c>
      <c r="D19" s="22">
        <f>Tabla2[[#This Row],[Cuota depreciación]]+D18</f>
        <v>65000000</v>
      </c>
      <c r="E19" s="17">
        <f>+E18-Tabla2[[#This Row],[Cuota depreciación]]</f>
        <v>0</v>
      </c>
    </row>
    <row r="20" spans="1:5" ht="14.25" x14ac:dyDescent="0.2">
      <c r="A20" s="24"/>
      <c r="B20" s="61"/>
      <c r="C20" s="61"/>
      <c r="D20" s="62"/>
      <c r="E20" s="63"/>
    </row>
  </sheetData>
  <mergeCells count="7">
    <mergeCell ref="A7:E7"/>
    <mergeCell ref="A1:E1"/>
    <mergeCell ref="D6:E6"/>
    <mergeCell ref="A3:B3"/>
    <mergeCell ref="A4:B4"/>
    <mergeCell ref="A5:B5"/>
    <mergeCell ref="A6:B6"/>
  </mergeCells>
  <phoneticPr fontId="2" type="noConversion"/>
  <pageMargins left="0.75" right="0.75" top="1" bottom="1" header="0" footer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20"/>
  <sheetViews>
    <sheetView tabSelected="1" workbookViewId="0">
      <selection activeCell="F17" sqref="F17"/>
    </sheetView>
  </sheetViews>
  <sheetFormatPr baseColWidth="10" defaultRowHeight="12.75" x14ac:dyDescent="0.2"/>
  <cols>
    <col min="1" max="1" width="11.42578125" customWidth="1"/>
    <col min="2" max="2" width="19.5703125" bestFit="1" customWidth="1"/>
    <col min="3" max="3" width="16.42578125" bestFit="1" customWidth="1"/>
    <col min="4" max="6" width="21.5703125" bestFit="1" customWidth="1"/>
    <col min="7" max="7" width="23.85546875" bestFit="1" customWidth="1"/>
  </cols>
  <sheetData>
    <row r="1" spans="1:11" ht="15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" x14ac:dyDescent="0.25">
      <c r="A2" s="13" t="s">
        <v>41</v>
      </c>
      <c r="B2" s="43" t="s">
        <v>22</v>
      </c>
      <c r="C2" s="43" t="s">
        <v>23</v>
      </c>
      <c r="D2" s="43" t="s">
        <v>24</v>
      </c>
      <c r="E2" s="43" t="s">
        <v>25</v>
      </c>
      <c r="F2" s="43" t="s">
        <v>26</v>
      </c>
      <c r="G2" s="43" t="s">
        <v>27</v>
      </c>
      <c r="H2" s="13"/>
      <c r="I2" s="13"/>
      <c r="J2" s="13"/>
      <c r="K2" s="13"/>
    </row>
    <row r="3" spans="1:11" ht="15" x14ac:dyDescent="0.25">
      <c r="A3" s="44" t="s">
        <v>28</v>
      </c>
      <c r="B3" s="45">
        <v>430</v>
      </c>
      <c r="C3" s="46">
        <v>120000000</v>
      </c>
      <c r="D3" s="13">
        <f>INT(Tabla1[[#This Row],[Días vencimiento]]/30)</f>
        <v>14</v>
      </c>
      <c r="E3" s="47">
        <f>Tabla1[[#This Row],[Valor cartera]]*$K$8</f>
        <v>39600000</v>
      </c>
      <c r="F3" s="47"/>
      <c r="G3" s="47">
        <f>VLOOKUP(Tabla1[[#This Row],[Meses vencimiento]],$I$4:$K$6,3,TRUE)</f>
        <v>0.15</v>
      </c>
      <c r="H3" s="13"/>
      <c r="I3" s="77" t="s">
        <v>29</v>
      </c>
      <c r="J3" s="78"/>
      <c r="K3" s="14" t="s">
        <v>30</v>
      </c>
    </row>
    <row r="4" spans="1:11" ht="15" x14ac:dyDescent="0.25">
      <c r="A4" s="44" t="s">
        <v>31</v>
      </c>
      <c r="B4" s="45">
        <v>520</v>
      </c>
      <c r="C4" s="46">
        <v>90000000</v>
      </c>
      <c r="D4" s="13">
        <f>INT(Tabla1[[#This Row],[Días vencimiento]]/30)</f>
        <v>17</v>
      </c>
      <c r="E4" s="47">
        <f>Tabla1[[#This Row],[Valor cartera]]*$K$8</f>
        <v>29700000</v>
      </c>
      <c r="F4" s="47"/>
      <c r="G4" s="47">
        <f>VLOOKUP(Tabla1[[#This Row],[Meses vencimiento]],$I$4:$K$6,3,TRUE)</f>
        <v>0.15</v>
      </c>
      <c r="H4" s="13"/>
      <c r="I4" s="15">
        <v>3</v>
      </c>
      <c r="J4" s="15">
        <v>6</v>
      </c>
      <c r="K4" s="16">
        <v>0.05</v>
      </c>
    </row>
    <row r="5" spans="1:11" ht="15" x14ac:dyDescent="0.25">
      <c r="A5" s="44" t="s">
        <v>32</v>
      </c>
      <c r="B5" s="45">
        <v>240</v>
      </c>
      <c r="C5" s="46">
        <v>47000000</v>
      </c>
      <c r="D5" s="13">
        <f>INT(Tabla1[[#This Row],[Días vencimiento]]/30)</f>
        <v>8</v>
      </c>
      <c r="E5" s="47">
        <f>Tabla1[[#This Row],[Valor cartera]]*$K$8</f>
        <v>15510000</v>
      </c>
      <c r="F5" s="47"/>
      <c r="G5" s="47">
        <f>VLOOKUP(Tabla1[[#This Row],[Meses vencimiento]],$I$4:$K$6,3,TRUE)</f>
        <v>0.1</v>
      </c>
      <c r="H5" s="13"/>
      <c r="I5" s="15">
        <v>6</v>
      </c>
      <c r="J5" s="15">
        <v>12</v>
      </c>
      <c r="K5" s="16">
        <v>0.1</v>
      </c>
    </row>
    <row r="6" spans="1:11" ht="15" x14ac:dyDescent="0.25">
      <c r="A6" s="44" t="s">
        <v>33</v>
      </c>
      <c r="B6" s="45">
        <v>360</v>
      </c>
      <c r="C6" s="46">
        <v>34000000</v>
      </c>
      <c r="D6" s="13">
        <f>INT(Tabla1[[#This Row],[Días vencimiento]]/30)</f>
        <v>12</v>
      </c>
      <c r="E6" s="47">
        <f>Tabla1[[#This Row],[Valor cartera]]*$K$8</f>
        <v>11220000</v>
      </c>
      <c r="F6" s="47"/>
      <c r="G6" s="47">
        <f>VLOOKUP(Tabla1[[#This Row],[Meses vencimiento]],$I$4:$K$6,3,TRUE)</f>
        <v>0.15</v>
      </c>
      <c r="H6" s="13"/>
      <c r="I6" s="15">
        <v>12</v>
      </c>
      <c r="J6" s="15"/>
      <c r="K6" s="16">
        <v>0.15</v>
      </c>
    </row>
    <row r="7" spans="1:11" ht="15" x14ac:dyDescent="0.25">
      <c r="A7" s="44" t="s">
        <v>34</v>
      </c>
      <c r="B7" s="45">
        <v>120</v>
      </c>
      <c r="C7" s="46">
        <v>93000000</v>
      </c>
      <c r="D7" s="13">
        <f>INT(Tabla1[[#This Row],[Días vencimiento]]/30)</f>
        <v>4</v>
      </c>
      <c r="E7" s="47">
        <f>Tabla1[[#This Row],[Valor cartera]]*$K$8</f>
        <v>30690000</v>
      </c>
      <c r="F7" s="82"/>
      <c r="G7" s="47">
        <f>VLOOKUP(Tabla1[[#This Row],[Meses vencimiento]],$I$4:$K$6,3,TRUE)</f>
        <v>0.05</v>
      </c>
      <c r="H7" s="13"/>
      <c r="I7" s="13"/>
      <c r="J7" s="13"/>
      <c r="K7" s="13"/>
    </row>
    <row r="8" spans="1:11" ht="15" x14ac:dyDescent="0.25">
      <c r="A8" s="44" t="s">
        <v>35</v>
      </c>
      <c r="B8" s="45">
        <v>80</v>
      </c>
      <c r="C8" s="46">
        <v>23000000</v>
      </c>
      <c r="D8" s="13">
        <f>INT(Tabla1[[#This Row],[Días vencimiento]]/30)</f>
        <v>2</v>
      </c>
      <c r="E8" s="47">
        <f>Tabla1[[#This Row],[Valor cartera]]*$K$8</f>
        <v>7590000</v>
      </c>
      <c r="F8" s="47"/>
      <c r="G8" s="46" t="e">
        <f>VLOOKUP(Tabla1[[#This Row],[Meses vencimiento]],$I$4:$K$6,3,TRUE)</f>
        <v>#N/A</v>
      </c>
      <c r="H8" s="13"/>
      <c r="I8" s="79" t="s">
        <v>36</v>
      </c>
      <c r="J8" s="80"/>
      <c r="K8" s="41">
        <v>0.33</v>
      </c>
    </row>
    <row r="9" spans="1:11" ht="15" x14ac:dyDescent="0.25">
      <c r="A9" s="44" t="s">
        <v>37</v>
      </c>
      <c r="B9" s="45">
        <v>35</v>
      </c>
      <c r="C9" s="46">
        <v>10000000</v>
      </c>
      <c r="D9" s="13">
        <f>INT(Tabla1[[#This Row],[Días vencimiento]]/30)</f>
        <v>1</v>
      </c>
      <c r="E9" s="47">
        <f>Tabla1[[#This Row],[Valor cartera]]*$K$8</f>
        <v>3300000</v>
      </c>
      <c r="F9" s="47"/>
      <c r="G9" s="46" t="e">
        <f>VLOOKUP(Tabla1[[#This Row],[Meses vencimiento]],$I$4:$K$6,3,TRUE)</f>
        <v>#N/A</v>
      </c>
      <c r="H9" s="13"/>
      <c r="I9" s="13"/>
      <c r="J9" s="13"/>
      <c r="K9" s="13"/>
    </row>
    <row r="10" spans="1:11" ht="15" x14ac:dyDescent="0.25">
      <c r="A10" s="44" t="s">
        <v>38</v>
      </c>
      <c r="B10" s="45">
        <v>10</v>
      </c>
      <c r="C10" s="46">
        <v>15000000</v>
      </c>
      <c r="D10" s="13">
        <f>INT(Tabla1[[#This Row],[Días vencimiento]]/30)</f>
        <v>0</v>
      </c>
      <c r="E10" s="47">
        <f>Tabla1[[#This Row],[Valor cartera]]*$K$8</f>
        <v>4950000</v>
      </c>
      <c r="F10" s="47"/>
      <c r="G10" s="46" t="e">
        <f>VLOOKUP(Tabla1[[#This Row],[Meses vencimiento]],$I$4:$K$6,3,TRUE)</f>
        <v>#N/A</v>
      </c>
      <c r="H10" s="13"/>
      <c r="I10" s="13"/>
      <c r="J10" s="13"/>
      <c r="K10" s="13"/>
    </row>
    <row r="11" spans="1:11" ht="15" x14ac:dyDescent="0.25">
      <c r="A11" s="42"/>
      <c r="B11" s="42"/>
      <c r="C11" s="42"/>
      <c r="D11" s="42">
        <f>INT(Tabla1[[#This Row],[Días vencimiento]]/30)</f>
        <v>0</v>
      </c>
      <c r="E11" s="57" t="s">
        <v>42</v>
      </c>
      <c r="F11" s="81"/>
      <c r="G11" s="48"/>
      <c r="H11" s="13"/>
      <c r="I11" s="13"/>
      <c r="J11" s="13"/>
      <c r="K11" s="13"/>
    </row>
    <row r="12" spans="1:11" ht="1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5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1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" x14ac:dyDescent="0.25">
      <c r="A16" s="13" t="s">
        <v>39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" x14ac:dyDescent="0.25">
      <c r="A17" s="13" t="s">
        <v>40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20" spans="1:11" x14ac:dyDescent="0.2">
      <c r="B20" t="b">
        <f>'Provisión Cartera'!F3='Provisión Cartera'!F3</f>
        <v>1</v>
      </c>
    </row>
  </sheetData>
  <mergeCells count="2">
    <mergeCell ref="I3:J3"/>
    <mergeCell ref="I8:J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26f19c-efd5-45f4-b8d3-b0393a8ab3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139D20F385194D905F7BA2772B6389" ma:contentTypeVersion="14" ma:contentTypeDescription="Create a new document." ma:contentTypeScope="" ma:versionID="08947e0f723e57751a1e2e9284a423aa">
  <xsd:schema xmlns:xsd="http://www.w3.org/2001/XMLSchema" xmlns:xs="http://www.w3.org/2001/XMLSchema" xmlns:p="http://schemas.microsoft.com/office/2006/metadata/properties" xmlns:ns3="0ea53b2a-b1ea-4ac4-b287-15edc748bd32" xmlns:ns4="1c26f19c-efd5-45f4-b8d3-b0393a8ab32c" targetNamespace="http://schemas.microsoft.com/office/2006/metadata/properties" ma:root="true" ma:fieldsID="0e94631efeb665e93ea210b2b9a98cc6" ns3:_="" ns4:_="">
    <xsd:import namespace="0ea53b2a-b1ea-4ac4-b287-15edc748bd32"/>
    <xsd:import namespace="1c26f19c-efd5-45f4-b8d3-b0393a8ab32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SearchPropertie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a53b2a-b1ea-4ac4-b287-15edc748bd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6f19c-efd5-45f4-b8d3-b0393a8ab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45FEF4-C364-4483-B094-20A8685855D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ea53b2a-b1ea-4ac4-b287-15edc748bd32"/>
    <ds:schemaRef ds:uri="1c26f19c-efd5-45f4-b8d3-b0393a8ab32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7343F4-5CB8-4236-83F3-CF00E07EE0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EF102-4B4D-43CD-918D-4DD04E241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a53b2a-b1ea-4ac4-b287-15edc748bd32"/>
    <ds:schemaRef ds:uri="1c26f19c-efd5-45f4-b8d3-b0393a8ab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Línea recta</vt:lpstr>
      <vt:lpstr>Suma dígitos</vt:lpstr>
      <vt:lpstr>Reducción de saldos</vt:lpstr>
      <vt:lpstr>Unidades producidas</vt:lpstr>
      <vt:lpstr>Provisión Cartera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Sabogal</dc:creator>
  <cp:keywords/>
  <dc:description/>
  <cp:lastModifiedBy>DELL</cp:lastModifiedBy>
  <cp:revision/>
  <dcterms:created xsi:type="dcterms:W3CDTF">2007-07-03T14:00:48Z</dcterms:created>
  <dcterms:modified xsi:type="dcterms:W3CDTF">2024-02-07T02:25:58Z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0x01010080139D20F385194D905F7BA2772B6389</vt:lpwstr>
  </property>
</Properties>
</file>