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stom\Documents\Emily\rocketry-performance\data\"/>
    </mc:Choice>
  </mc:AlternateContent>
  <bookViews>
    <workbookView xWindow="0" yWindow="0" windowWidth="9600" windowHeight="4395" activeTab="1"/>
  </bookViews>
  <sheets>
    <sheet name="PARAMETERS" sheetId="13" r:id="rId1"/>
    <sheet name="Matlab_Data" sheetId="18" r:id="rId2"/>
    <sheet name="Inertial Data" sheetId="14" r:id="rId3"/>
    <sheet name="General Parameters" sheetId="15" r:id="rId4"/>
  </sheets>
  <externalReferences>
    <externalReference r:id="rId5"/>
  </externalReferences>
  <definedNames>
    <definedName name="A1x">#REF!</definedName>
    <definedName name="A1y">#REF!</definedName>
    <definedName name="A1z">#REF!</definedName>
    <definedName name="A2x">#REF!</definedName>
    <definedName name="A2y">#REF!</definedName>
    <definedName name="A2z">#REF!</definedName>
    <definedName name="A3x">#REF!</definedName>
    <definedName name="A3y">#REF!</definedName>
    <definedName name="A3z">#REF!</definedName>
    <definedName name="BBLx">#REF!</definedName>
    <definedName name="BBLy">#REF!</definedName>
    <definedName name="BBLz">#REF!</definedName>
    <definedName name="BBOx">#REF!</definedName>
    <definedName name="BBOy">#REF!</definedName>
    <definedName name="BBOz">#REF!</definedName>
    <definedName name="BT">#REF!</definedName>
    <definedName name="CR">#REF!</definedName>
    <definedName name="CT">#REF!</definedName>
    <definedName name="D">#REF!</definedName>
    <definedName name="ET">#REF!</definedName>
    <definedName name="FS">#REF!</definedName>
    <definedName name="Gx">#REF!</definedName>
    <definedName name="Gy">#REF!</definedName>
    <definedName name="Gz">#REF!</definedName>
    <definedName name="IoxG">#REF!</definedName>
    <definedName name="IoyG">#REF!</definedName>
    <definedName name="IozG">#REF!</definedName>
    <definedName name="IxyG">#REF!</definedName>
    <definedName name="IxzG">#REF!</definedName>
    <definedName name="IyzG">#REF!</definedName>
    <definedName name="LN">#REF!</definedName>
    <definedName name="M1_para">#REF!</definedName>
    <definedName name="M2_para">#REF!</definedName>
    <definedName name="M3_para">#REF!</definedName>
    <definedName name="mass">#REF!</definedName>
    <definedName name="MOTOR">#REF!</definedName>
    <definedName name="MP">#REF!</definedName>
    <definedName name="MPOS">#REF!</definedName>
    <definedName name="MT">#REF!</definedName>
    <definedName name="N">#REF!</definedName>
    <definedName name="NS">#REF!</definedName>
    <definedName name="NT">#REF!</definedName>
    <definedName name="TF">#REF!</definedName>
    <definedName name="TL">#REF!</definedName>
    <definedName name="XF">#REF!</definedName>
    <definedName name="X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8" l="1"/>
  <c r="B34" i="18" l="1"/>
  <c r="B65" i="18" l="1"/>
  <c r="B41" i="18" l="1"/>
  <c r="B12" i="18" l="1"/>
  <c r="B68" i="18" l="1"/>
  <c r="B42" i="18" l="1"/>
  <c r="B61" i="18" l="1"/>
  <c r="B63" i="18"/>
  <c r="B62" i="18"/>
  <c r="B59" i="18" l="1"/>
  <c r="B10" i="18"/>
  <c r="B21" i="18"/>
  <c r="B23" i="18" s="1"/>
  <c r="B11" i="18" l="1"/>
  <c r="B50" i="18"/>
  <c r="B16" i="18"/>
  <c r="B18" i="18" s="1"/>
  <c r="B51" i="18"/>
  <c r="B35" i="18"/>
  <c r="B14" i="18"/>
  <c r="B15" i="18"/>
  <c r="B56" i="18"/>
  <c r="B55" i="18" s="1"/>
  <c r="B19" i="18" l="1"/>
  <c r="B57" i="18" s="1"/>
  <c r="B20" i="18"/>
  <c r="B31" i="18"/>
  <c r="B30" i="18" s="1"/>
  <c r="D22" i="18"/>
  <c r="B60" i="18" l="1"/>
  <c r="B64" i="18" s="1"/>
  <c r="B46" i="18"/>
  <c r="E49" i="18"/>
  <c r="B47" i="18" l="1"/>
  <c r="B48" i="18"/>
  <c r="B49" i="18" s="1"/>
  <c r="B5" i="18" l="1"/>
  <c r="E31" i="18"/>
  <c r="E30" i="18"/>
  <c r="B6" i="18"/>
  <c r="B9" i="18"/>
  <c r="B17" i="18" s="1"/>
  <c r="B7" i="18"/>
  <c r="B8" i="18"/>
  <c r="D48" i="18" l="1"/>
  <c r="D46" i="18"/>
  <c r="D35" i="18"/>
  <c r="D36" i="18"/>
  <c r="B20" i="15"/>
  <c r="B5" i="15" l="1"/>
  <c r="B6" i="15"/>
  <c r="B4" i="15"/>
  <c r="B15" i="15"/>
  <c r="B12" i="15"/>
  <c r="B9" i="15"/>
  <c r="B23" i="15"/>
  <c r="B28" i="15"/>
  <c r="B22" i="15"/>
  <c r="B18" i="15"/>
  <c r="B19" i="15"/>
  <c r="B17" i="15"/>
  <c r="B3" i="15"/>
  <c r="B11" i="15" s="1"/>
  <c r="B8" i="15" l="1"/>
  <c r="B14" i="15"/>
  <c r="B21" i="15"/>
  <c r="C10" i="14"/>
  <c r="B67" i="18"/>
</calcChain>
</file>

<file path=xl/sharedStrings.xml><?xml version="1.0" encoding="utf-8"?>
<sst xmlns="http://schemas.openxmlformats.org/spreadsheetml/2006/main" count="283" uniqueCount="176">
  <si>
    <t>Value</t>
  </si>
  <si>
    <t>Description</t>
  </si>
  <si>
    <t>Gx</t>
  </si>
  <si>
    <t>mm</t>
  </si>
  <si>
    <t>Gy</t>
  </si>
  <si>
    <t>Gz</t>
  </si>
  <si>
    <t xml:space="preserve">Parameter Name </t>
  </si>
  <si>
    <t>Unit</t>
  </si>
  <si>
    <t>LEGEND</t>
  </si>
  <si>
    <t>Modify-able parameter</t>
  </si>
  <si>
    <t>Dependent parameter</t>
  </si>
  <si>
    <t>501_ROOT_CHORD</t>
  </si>
  <si>
    <t>501_TIP_CHORD</t>
  </si>
  <si>
    <t>501_HEIGHT</t>
  </si>
  <si>
    <t>501_MAX_THICKNESS</t>
  </si>
  <si>
    <t>501_SWEEP_LENGTH</t>
  </si>
  <si>
    <t>201_FUSELAGE_LENGTH</t>
  </si>
  <si>
    <t>000_FIN_POSITION</t>
  </si>
  <si>
    <t>401_FUSELAGE_LENGTH</t>
  </si>
  <si>
    <t>101_OUTER_LENGTH</t>
  </si>
  <si>
    <t>101_SHOULDER_DEPTH</t>
  </si>
  <si>
    <t>101_THICKNESS</t>
  </si>
  <si>
    <t>301_FUSELAGE_LENGTH</t>
  </si>
  <si>
    <t>101_MAX_RADIUS</t>
  </si>
  <si>
    <t>501_TOTAL_TAB_LEN</t>
  </si>
  <si>
    <t>501_TAB_SLOT</t>
  </si>
  <si>
    <t>501_TAB_POS_UPR</t>
  </si>
  <si>
    <t>501_TAB_DEPTH</t>
  </si>
  <si>
    <t>501_TAB_LEN_UPR</t>
  </si>
  <si>
    <t>501_ROCKET_RADIUS</t>
  </si>
  <si>
    <t>501_FIN_SPACING</t>
  </si>
  <si>
    <t>501_NUMBER_FINS</t>
  </si>
  <si>
    <t>301_DIAMETER</t>
  </si>
  <si>
    <t>301_THICKNESS</t>
  </si>
  <si>
    <t>201_DIAMETER</t>
  </si>
  <si>
    <t>201_THICKNESS</t>
  </si>
  <si>
    <t>401_DIAMETER</t>
  </si>
  <si>
    <t>401_THICKNESS</t>
  </si>
  <si>
    <t>fins</t>
  </si>
  <si>
    <t>degrees</t>
  </si>
  <si>
    <t>Comment</t>
  </si>
  <si>
    <t>MUST BE NEGATIVE</t>
  </si>
  <si>
    <t>Center of Gravity</t>
  </si>
  <si>
    <t>Longitudinal Moment of Inertia</t>
  </si>
  <si>
    <t>Mx</t>
  </si>
  <si>
    <t>My</t>
  </si>
  <si>
    <t>Average</t>
  </si>
  <si>
    <t>Rolling Moment of Inertia</t>
  </si>
  <si>
    <t>Mz</t>
  </si>
  <si>
    <r>
      <t>kg m</t>
    </r>
    <r>
      <rPr>
        <vertAlign val="superscript"/>
        <sz val="11"/>
        <color theme="1"/>
        <rFont val="Corbel"/>
        <family val="2"/>
        <scheme val="minor"/>
      </rPr>
      <t>2</t>
    </r>
  </si>
  <si>
    <t>M1</t>
  </si>
  <si>
    <t>M3</t>
  </si>
  <si>
    <t>M2</t>
  </si>
  <si>
    <t>PARAMETER</t>
  </si>
  <si>
    <t>VALUE</t>
  </si>
  <si>
    <t>UNIT</t>
  </si>
  <si>
    <t>COMMENT</t>
  </si>
  <si>
    <t>Rocket Diameter</t>
  </si>
  <si>
    <t>Number of Fins</t>
  </si>
  <si>
    <t>Fin Thickness</t>
  </si>
  <si>
    <t>Fin Height</t>
  </si>
  <si>
    <t>Fin Root Chord</t>
  </si>
  <si>
    <t>Fin Tip Chord</t>
  </si>
  <si>
    <t>Fin Sweep Length</t>
  </si>
  <si>
    <t>Forward Fuselage Length</t>
  </si>
  <si>
    <t>Payload Fuselate Length</t>
  </si>
  <si>
    <t>Motor Fuselage Length</t>
  </si>
  <si>
    <t>Nosecone Height</t>
  </si>
  <si>
    <t>Nosecone Shoulder Length</t>
  </si>
  <si>
    <t>101_SHOULDER_LENGTH</t>
  </si>
  <si>
    <t>Nosecone Shoulder Depth</t>
  </si>
  <si>
    <t>Parameter</t>
  </si>
  <si>
    <t>Units</t>
  </si>
  <si>
    <t>area_fin_frontal</t>
  </si>
  <si>
    <t>m^2</t>
  </si>
  <si>
    <t>area_face_fin</t>
  </si>
  <si>
    <t>width_fins_at_tube</t>
  </si>
  <si>
    <t>m</t>
  </si>
  <si>
    <t>fins_count</t>
  </si>
  <si>
    <t>N/A</t>
  </si>
  <si>
    <t>thickness_fins_at_tube</t>
  </si>
  <si>
    <t>area_surface_nose</t>
  </si>
  <si>
    <t>height_fins</t>
  </si>
  <si>
    <t>diameter_outer</t>
  </si>
  <si>
    <t>surface_roughness</t>
  </si>
  <si>
    <t>length_total_rocket</t>
  </si>
  <si>
    <t>Pa</t>
  </si>
  <si>
    <t>distance_tip_to_COG</t>
  </si>
  <si>
    <t>distance_tip_to_COP</t>
  </si>
  <si>
    <t>angle_leading_edge</t>
  </si>
  <si>
    <t>rad</t>
  </si>
  <si>
    <t>diameter_outer_launch_guide</t>
  </si>
  <si>
    <t>diameter_inner_launch_guide</t>
  </si>
  <si>
    <t>moment_inertia_rocket</t>
  </si>
  <si>
    <t>m^4</t>
  </si>
  <si>
    <t>fin_slant_angle</t>
  </si>
  <si>
    <t>Angle from rocket body to fin slant</t>
  </si>
  <si>
    <t>ground_launch_altitude</t>
  </si>
  <si>
    <t>ground_pressure_ambient</t>
  </si>
  <si>
    <t>ground_temperature_ambient</t>
  </si>
  <si>
    <t>height_nose_cone</t>
  </si>
  <si>
    <t>wet_motor_weight</t>
  </si>
  <si>
    <t>N</t>
  </si>
  <si>
    <t>dry_motor_weight</t>
  </si>
  <si>
    <t>mass_flow_rate</t>
  </si>
  <si>
    <t>kg/s</t>
  </si>
  <si>
    <t>dry_rocket_mass</t>
  </si>
  <si>
    <t>dry_rocket_weight</t>
  </si>
  <si>
    <t>kg</t>
  </si>
  <si>
    <t>fin_planform_area</t>
  </si>
  <si>
    <t>from openrocket</t>
  </si>
  <si>
    <t>calculated</t>
  </si>
  <si>
    <t>from catia</t>
  </si>
  <si>
    <t>K</t>
  </si>
  <si>
    <t>area_wetted_nose_cone</t>
  </si>
  <si>
    <t>prop_weight</t>
  </si>
  <si>
    <t>wet_rocket_weight</t>
  </si>
  <si>
    <t>prop_mass</t>
  </si>
  <si>
    <t>wet_rocket_mass</t>
  </si>
  <si>
    <t>s</t>
  </si>
  <si>
    <t>motorburntime</t>
  </si>
  <si>
    <t>weight_flow_rate</t>
  </si>
  <si>
    <t>wfc</t>
  </si>
  <si>
    <t>N/s</t>
  </si>
  <si>
    <t>total_fin_span</t>
  </si>
  <si>
    <t>area_fin_planform</t>
  </si>
  <si>
    <t>area_fin_planform_exposed</t>
  </si>
  <si>
    <t>duplicate parameter, see link</t>
  </si>
  <si>
    <t>with 3 fins, the 120 deg angle must be taken into account</t>
  </si>
  <si>
    <t>d_nose_tip_to_fins</t>
  </si>
  <si>
    <t>fin_center_distance</t>
  </si>
  <si>
    <t>fin_root_chord</t>
  </si>
  <si>
    <t>fin_tip_chord</t>
  </si>
  <si>
    <t>area_rocket_planform</t>
  </si>
  <si>
    <t>d_nose_tip_to_nozzle</t>
  </si>
  <si>
    <t>Emily</t>
  </si>
  <si>
    <t>length_motor</t>
  </si>
  <si>
    <t>cog_motor</t>
  </si>
  <si>
    <t>Not from nose tip!</t>
  </si>
  <si>
    <t>launch_angle</t>
  </si>
  <si>
    <t>wet_motor_mass</t>
  </si>
  <si>
    <t>dry_rocket_cog</t>
  </si>
  <si>
    <t>cog_motor_local</t>
  </si>
  <si>
    <t>WET - Pitch/Yaw moment</t>
  </si>
  <si>
    <t>dry_rocket_moi</t>
  </si>
  <si>
    <t>DRY - Pitch/Yaw moment</t>
  </si>
  <si>
    <t>rocket_frontal_reference_area</t>
  </si>
  <si>
    <t>16.14 width, 12.8 height</t>
  </si>
  <si>
    <t>area_fin_planform_full</t>
  </si>
  <si>
    <t>weird inset into center of body tube</t>
  </si>
  <si>
    <t>area_finset_planform</t>
  </si>
  <si>
    <t>Maximum planform  area</t>
  </si>
  <si>
    <t>area_nosecone_planform</t>
  </si>
  <si>
    <t>area_bodytube_planform</t>
  </si>
  <si>
    <t>Between finset and nosecone</t>
  </si>
  <si>
    <t>centroid_finset</t>
  </si>
  <si>
    <t>centroid_nosecone</t>
  </si>
  <si>
    <t>centroid_bodytube</t>
  </si>
  <si>
    <t>This is approximated as a cone!! So wrong!</t>
  </si>
  <si>
    <t>Finset is considered a square, so not exactly right</t>
  </si>
  <si>
    <t>centroid_rocket</t>
  </si>
  <si>
    <t>initial_disturbance</t>
  </si>
  <si>
    <t>launch_guide_length</t>
  </si>
  <si>
    <t>disturbance_time</t>
  </si>
  <si>
    <t>initial_amplitude_test</t>
  </si>
  <si>
    <t>phase_angle_test</t>
  </si>
  <si>
    <t>inverse_time_constant_test</t>
  </si>
  <si>
    <t>deg</t>
  </si>
  <si>
    <t>Should be 1.4858</t>
  </si>
  <si>
    <t>timestep</t>
  </si>
  <si>
    <t>fin_sweep_length</t>
  </si>
  <si>
    <t>moi_bias</t>
  </si>
  <si>
    <t>To correct issue #19 on GitHub</t>
  </si>
  <si>
    <t>cop_finset_override</t>
  </si>
  <si>
    <t>rocket_cop_bias</t>
  </si>
  <si>
    <t>simulation_duration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</si>
</sst>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vertAlign val="superscript"/>
      <sz val="11"/>
      <color theme="1"/>
      <name val="Corbe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2" xfId="0" applyFill="1" applyBorder="1" applyAlignment="1">
      <alignment horizontal="left" indent="1"/>
    </xf>
    <xf numFmtId="0" fontId="0" fillId="3" borderId="5" xfId="0" applyFill="1" applyBorder="1" applyAlignment="1">
      <alignment horizontal="left" indent="1"/>
    </xf>
    <xf numFmtId="0" fontId="0" fillId="3" borderId="7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/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3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11" fontId="0" fillId="15" borderId="1" xfId="0" applyNumberForma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1" fillId="16" borderId="1" xfId="0" applyFont="1" applyFill="1" applyBorder="1"/>
    <xf numFmtId="0" fontId="1" fillId="16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rpii/Google%20Drive/PARAMETRIC%20DATA/Parametric_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Sheet1"/>
      <sheetName val="Matlab_Data"/>
      <sheetName val="Inertial Data"/>
      <sheetName val="General Parameters"/>
    </sheetNames>
    <sheetDataSet>
      <sheetData sheetId="0">
        <row r="7">
          <cell r="C7">
            <v>280</v>
          </cell>
        </row>
      </sheetData>
      <sheetData sheetId="1" refreshError="1"/>
      <sheetData sheetId="2">
        <row r="10">
          <cell r="B10">
            <v>0.10299999999999999</v>
          </cell>
        </row>
        <row r="48">
          <cell r="B48">
            <v>0.28000000000000003</v>
          </cell>
        </row>
      </sheetData>
      <sheetData sheetId="3" refreshError="1"/>
      <sheetData sheetId="4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workbookViewId="0">
      <selection activeCell="B5" sqref="B5:C6"/>
    </sheetView>
  </sheetViews>
  <sheetFormatPr defaultColWidth="9" defaultRowHeight="15" x14ac:dyDescent="0.25"/>
  <cols>
    <col min="1" max="1" width="3" style="1" customWidth="1"/>
    <col min="2" max="2" width="25" style="4" customWidth="1"/>
    <col min="3" max="4" width="9" style="3"/>
    <col min="5" max="5" width="28.625" style="4" customWidth="1"/>
    <col min="6" max="16384" width="9" style="1"/>
  </cols>
  <sheetData>
    <row r="1" spans="1:7" x14ac:dyDescent="0.25">
      <c r="A1" s="23"/>
      <c r="B1" s="23"/>
      <c r="C1" s="18"/>
      <c r="D1" s="18"/>
      <c r="E1" s="23"/>
      <c r="F1" s="23"/>
      <c r="G1" s="23"/>
    </row>
    <row r="2" spans="1:7" x14ac:dyDescent="0.25">
      <c r="B2" s="24" t="s">
        <v>53</v>
      </c>
      <c r="C2" s="24" t="s">
        <v>54</v>
      </c>
      <c r="D2" s="24" t="s">
        <v>55</v>
      </c>
      <c r="E2" s="24" t="s">
        <v>56</v>
      </c>
    </row>
    <row r="3" spans="1:7" x14ac:dyDescent="0.25">
      <c r="B3" s="4" t="s">
        <v>57</v>
      </c>
      <c r="C3" s="3">
        <v>51.5</v>
      </c>
      <c r="D3" s="3" t="s">
        <v>3</v>
      </c>
    </row>
    <row r="4" spans="1:7" x14ac:dyDescent="0.25">
      <c r="B4" s="4" t="s">
        <v>58</v>
      </c>
      <c r="C4" s="3">
        <v>3</v>
      </c>
      <c r="D4" s="3" t="s">
        <v>3</v>
      </c>
    </row>
    <row r="5" spans="1:7" x14ac:dyDescent="0.25">
      <c r="B5" s="4" t="s">
        <v>59</v>
      </c>
      <c r="C5" s="3">
        <v>3.1749999999999998</v>
      </c>
      <c r="D5" s="3" t="s">
        <v>3</v>
      </c>
    </row>
    <row r="6" spans="1:7" x14ac:dyDescent="0.25">
      <c r="B6" s="4" t="s">
        <v>60</v>
      </c>
      <c r="C6" s="3">
        <v>95</v>
      </c>
      <c r="D6" s="3" t="s">
        <v>3</v>
      </c>
    </row>
    <row r="7" spans="1:7" x14ac:dyDescent="0.25">
      <c r="B7" s="4" t="s">
        <v>61</v>
      </c>
      <c r="C7" s="3">
        <v>280</v>
      </c>
      <c r="D7" s="3" t="s">
        <v>3</v>
      </c>
    </row>
    <row r="8" spans="1:7" x14ac:dyDescent="0.25">
      <c r="B8" s="4" t="s">
        <v>62</v>
      </c>
      <c r="C8" s="3">
        <v>100</v>
      </c>
      <c r="D8" s="3" t="s">
        <v>3</v>
      </c>
    </row>
    <row r="9" spans="1:7" x14ac:dyDescent="0.25">
      <c r="B9" s="4" t="s">
        <v>63</v>
      </c>
      <c r="C9" s="3">
        <v>160</v>
      </c>
      <c r="D9" s="3" t="s">
        <v>3</v>
      </c>
    </row>
    <row r="10" spans="1:7" x14ac:dyDescent="0.25">
      <c r="B10" s="4" t="s">
        <v>64</v>
      </c>
      <c r="C10" s="25">
        <v>750</v>
      </c>
      <c r="D10" s="3" t="s">
        <v>3</v>
      </c>
    </row>
    <row r="11" spans="1:7" x14ac:dyDescent="0.25">
      <c r="B11" s="4" t="s">
        <v>65</v>
      </c>
      <c r="C11" s="25">
        <v>350</v>
      </c>
      <c r="D11" s="3" t="s">
        <v>3</v>
      </c>
    </row>
    <row r="12" spans="1:7" x14ac:dyDescent="0.25">
      <c r="B12" s="4" t="s">
        <v>66</v>
      </c>
      <c r="C12" s="25">
        <v>1260</v>
      </c>
      <c r="D12" s="3" t="s">
        <v>3</v>
      </c>
    </row>
    <row r="13" spans="1:7" x14ac:dyDescent="0.25">
      <c r="B13" s="4" t="s">
        <v>67</v>
      </c>
      <c r="C13" s="3">
        <v>508</v>
      </c>
      <c r="D13" s="3" t="s">
        <v>3</v>
      </c>
    </row>
    <row r="14" spans="1:7" x14ac:dyDescent="0.25">
      <c r="B14" s="4" t="s">
        <v>68</v>
      </c>
      <c r="C14" s="25">
        <v>100</v>
      </c>
      <c r="D14" s="3" t="s">
        <v>3</v>
      </c>
    </row>
    <row r="15" spans="1:7" x14ac:dyDescent="0.25">
      <c r="B15" s="4" t="s">
        <v>70</v>
      </c>
      <c r="C15" s="25">
        <v>2</v>
      </c>
      <c r="D15" s="3" t="s">
        <v>3</v>
      </c>
    </row>
  </sheetData>
  <dataValidations count="1">
    <dataValidation type="list" allowBlank="1" showInputMessage="1" showErrorMessage="1" errorTitle="TOO MANY FINS" error="That's too many fins." sqref="C4">
      <formula1>"1,2,3,4,5,6,7,8,9,10"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2"/>
  <sheetViews>
    <sheetView tabSelected="1" workbookViewId="0">
      <selection activeCell="A4" sqref="A4"/>
    </sheetView>
  </sheetViews>
  <sheetFormatPr defaultRowHeight="15" x14ac:dyDescent="0.25"/>
  <cols>
    <col min="1" max="1" width="28.5" style="1" customWidth="1"/>
    <col min="2" max="2" width="9" style="44"/>
    <col min="3" max="3" width="6.75" style="1" customWidth="1"/>
    <col min="4" max="4" width="45.125" style="1" bestFit="1" customWidth="1"/>
    <col min="5" max="5" width="11.625" style="1" customWidth="1"/>
    <col min="6" max="16384" width="9" style="1"/>
  </cols>
  <sheetData>
    <row r="1" spans="1:5" x14ac:dyDescent="0.25">
      <c r="A1" s="26" t="s">
        <v>71</v>
      </c>
      <c r="B1" s="47" t="s">
        <v>0</v>
      </c>
      <c r="C1" s="48" t="s">
        <v>72</v>
      </c>
      <c r="D1" s="26" t="s">
        <v>1</v>
      </c>
      <c r="E1" s="26"/>
    </row>
    <row r="2" spans="1:5" x14ac:dyDescent="0.25">
      <c r="A2" s="45" t="s">
        <v>169</v>
      </c>
      <c r="B2" s="46">
        <v>0.01</v>
      </c>
      <c r="C2" s="45" t="s">
        <v>119</v>
      </c>
      <c r="D2" s="45"/>
      <c r="E2" s="45"/>
    </row>
    <row r="3" spans="1:5" x14ac:dyDescent="0.25">
      <c r="A3" s="45" t="s">
        <v>175</v>
      </c>
      <c r="B3" s="46">
        <v>25</v>
      </c>
      <c r="C3" s="45" t="s">
        <v>119</v>
      </c>
      <c r="D3" s="45"/>
      <c r="E3" s="45"/>
    </row>
    <row r="4" spans="1:5" x14ac:dyDescent="0.25">
      <c r="A4" s="32" t="s">
        <v>73</v>
      </c>
      <c r="B4" s="35">
        <f>PARAMETERS!C6/1000*PARAMETERS!C5/1000</f>
        <v>3.0162499999999997E-4</v>
      </c>
      <c r="C4" s="32" t="s">
        <v>74</v>
      </c>
      <c r="D4" s="32" t="s">
        <v>111</v>
      </c>
      <c r="E4" s="32"/>
    </row>
    <row r="5" spans="1:5" x14ac:dyDescent="0.25">
      <c r="A5" s="32" t="s">
        <v>75</v>
      </c>
      <c r="B5" s="35">
        <f>B16</f>
        <v>1.805E-2</v>
      </c>
      <c r="C5" s="32" t="s">
        <v>74</v>
      </c>
      <c r="D5" s="32" t="s">
        <v>111</v>
      </c>
      <c r="E5" s="32"/>
    </row>
    <row r="6" spans="1:5" x14ac:dyDescent="0.25">
      <c r="A6" s="32" t="s">
        <v>76</v>
      </c>
      <c r="B6" s="35">
        <f>PARAMETERS!C7*0.001</f>
        <v>0.28000000000000003</v>
      </c>
      <c r="C6" s="32" t="s">
        <v>77</v>
      </c>
      <c r="D6" s="32" t="s">
        <v>112</v>
      </c>
      <c r="E6" s="32"/>
    </row>
    <row r="7" spans="1:5" x14ac:dyDescent="0.25">
      <c r="A7" s="32" t="s">
        <v>78</v>
      </c>
      <c r="B7" s="35">
        <f>PARAMETERS!C4</f>
        <v>3</v>
      </c>
      <c r="C7" s="32" t="s">
        <v>79</v>
      </c>
      <c r="D7" s="32"/>
      <c r="E7" s="32"/>
    </row>
    <row r="8" spans="1:5" x14ac:dyDescent="0.25">
      <c r="A8" s="32" t="s">
        <v>80</v>
      </c>
      <c r="B8" s="35">
        <f>PARAMETERS!C5*0.001</f>
        <v>3.1749999999999999E-3</v>
      </c>
      <c r="C8" s="32" t="s">
        <v>77</v>
      </c>
      <c r="D8" s="32"/>
      <c r="E8" s="32"/>
    </row>
    <row r="9" spans="1:5" x14ac:dyDescent="0.25">
      <c r="A9" s="32" t="s">
        <v>82</v>
      </c>
      <c r="B9" s="35">
        <f>PARAMETERS!C6*0.001</f>
        <v>9.5000000000000001E-2</v>
      </c>
      <c r="C9" s="32" t="s">
        <v>77</v>
      </c>
      <c r="D9" s="32"/>
      <c r="E9" s="32"/>
    </row>
    <row r="10" spans="1:5" x14ac:dyDescent="0.25">
      <c r="A10" s="32" t="s">
        <v>89</v>
      </c>
      <c r="B10" s="35">
        <f>ATAN(PARAMETERS!C6/PARAMETERS!C9)</f>
        <v>0.5358112379604637</v>
      </c>
      <c r="C10" s="32" t="s">
        <v>90</v>
      </c>
      <c r="D10" s="32"/>
      <c r="E10" s="32"/>
    </row>
    <row r="11" spans="1:5" x14ac:dyDescent="0.25">
      <c r="A11" s="32" t="s">
        <v>95</v>
      </c>
      <c r="B11" s="35">
        <f>(ATAN(PARAMETERS!C9/PARAMETERS!C6)+PI()/2)*(180/PI())</f>
        <v>149.30027744918559</v>
      </c>
      <c r="C11" s="32" t="s">
        <v>39</v>
      </c>
      <c r="D11" s="32" t="s">
        <v>96</v>
      </c>
      <c r="E11" s="32"/>
    </row>
    <row r="12" spans="1:5" x14ac:dyDescent="0.25">
      <c r="A12" s="32" t="s">
        <v>170</v>
      </c>
      <c r="B12" s="35">
        <f>PARAMETERS!C9/1000</f>
        <v>0.16</v>
      </c>
      <c r="C12" s="32" t="s">
        <v>77</v>
      </c>
      <c r="D12" s="32"/>
      <c r="E12" s="32"/>
    </row>
    <row r="13" spans="1:5" x14ac:dyDescent="0.25">
      <c r="A13" s="32" t="s">
        <v>130</v>
      </c>
      <c r="B13" s="35">
        <v>0.118004</v>
      </c>
      <c r="C13" s="32" t="s">
        <v>77</v>
      </c>
      <c r="D13" s="32" t="s">
        <v>135</v>
      </c>
      <c r="E13" s="32"/>
    </row>
    <row r="14" spans="1:5" x14ac:dyDescent="0.25">
      <c r="A14" s="32" t="s">
        <v>131</v>
      </c>
      <c r="B14" s="35">
        <f>PARAMETERS!C7*0.001</f>
        <v>0.28000000000000003</v>
      </c>
      <c r="C14" s="32" t="s">
        <v>77</v>
      </c>
      <c r="D14" s="32"/>
      <c r="E14" s="32"/>
    </row>
    <row r="15" spans="1:5" x14ac:dyDescent="0.25">
      <c r="A15" s="32" t="s">
        <v>132</v>
      </c>
      <c r="B15" s="35">
        <f>PARAMETERS!C8*0.001</f>
        <v>0.1</v>
      </c>
      <c r="C15" s="32" t="s">
        <v>77</v>
      </c>
      <c r="D15" s="32"/>
      <c r="E15" s="32"/>
    </row>
    <row r="16" spans="1:5" x14ac:dyDescent="0.25">
      <c r="A16" s="32" t="s">
        <v>109</v>
      </c>
      <c r="B16" s="35">
        <f>(PARAMETERS!C7/1000+PARAMETERS!C8/1000)/2*PARAMETERS!C6/1000</f>
        <v>1.805E-2</v>
      </c>
      <c r="C16" s="32" t="s">
        <v>74</v>
      </c>
      <c r="D16" s="32"/>
      <c r="E16" s="32"/>
    </row>
    <row r="17" spans="1:5" x14ac:dyDescent="0.25">
      <c r="A17" s="32" t="s">
        <v>124</v>
      </c>
      <c r="B17" s="35">
        <f>2*B9+B24</f>
        <v>0.29299999999999998</v>
      </c>
      <c r="C17" s="32" t="s">
        <v>77</v>
      </c>
      <c r="D17" s="32" t="s">
        <v>128</v>
      </c>
      <c r="E17" s="32"/>
    </row>
    <row r="18" spans="1:5" x14ac:dyDescent="0.25">
      <c r="A18" s="32" t="s">
        <v>125</v>
      </c>
      <c r="B18" s="35">
        <f>B16</f>
        <v>1.805E-2</v>
      </c>
      <c r="C18" s="32" t="s">
        <v>74</v>
      </c>
      <c r="D18" s="32" t="s">
        <v>127</v>
      </c>
      <c r="E18" s="32"/>
    </row>
    <row r="19" spans="1:5" x14ac:dyDescent="0.25">
      <c r="A19" s="32" t="s">
        <v>126</v>
      </c>
      <c r="B19" s="35">
        <f>B18</f>
        <v>1.805E-2</v>
      </c>
      <c r="C19" s="32" t="s">
        <v>74</v>
      </c>
      <c r="D19" s="32" t="s">
        <v>135</v>
      </c>
      <c r="E19" s="32"/>
    </row>
    <row r="20" spans="1:5" x14ac:dyDescent="0.25">
      <c r="A20" s="32" t="s">
        <v>148</v>
      </c>
      <c r="B20" s="35">
        <f>B18+0.5*B24*[1]PARAMETERS!C7/1000</f>
        <v>3.2469999999999999E-2</v>
      </c>
      <c r="C20" s="32" t="s">
        <v>74</v>
      </c>
      <c r="D20" s="32" t="s">
        <v>149</v>
      </c>
      <c r="E20" s="32"/>
    </row>
    <row r="21" spans="1:5" x14ac:dyDescent="0.25">
      <c r="A21" s="31" t="s">
        <v>81</v>
      </c>
      <c r="B21" s="36">
        <f>0.107+0.004</f>
        <v>0.111</v>
      </c>
      <c r="C21" s="31" t="s">
        <v>74</v>
      </c>
      <c r="D21" s="31"/>
      <c r="E21" s="31"/>
    </row>
    <row r="22" spans="1:5" x14ac:dyDescent="0.25">
      <c r="A22" s="31" t="s">
        <v>100</v>
      </c>
      <c r="B22" s="36">
        <v>0.50800000000000001</v>
      </c>
      <c r="C22" s="31" t="s">
        <v>77</v>
      </c>
      <c r="D22" s="31">
        <f>B22*25.4</f>
        <v>12.9032</v>
      </c>
      <c r="E22" s="31"/>
    </row>
    <row r="23" spans="1:5" x14ac:dyDescent="0.25">
      <c r="A23" s="31" t="s">
        <v>114</v>
      </c>
      <c r="B23" s="36">
        <f>B21</f>
        <v>0.111</v>
      </c>
      <c r="C23" s="31" t="s">
        <v>74</v>
      </c>
      <c r="D23" s="31" t="s">
        <v>135</v>
      </c>
      <c r="E23" s="31"/>
    </row>
    <row r="24" spans="1:5" x14ac:dyDescent="0.25">
      <c r="A24" s="34" t="s">
        <v>83</v>
      </c>
      <c r="B24" s="37">
        <v>0.10299999999999999</v>
      </c>
      <c r="C24" s="34" t="s">
        <v>77</v>
      </c>
      <c r="D24" s="34"/>
      <c r="E24" s="34"/>
    </row>
    <row r="25" spans="1:5" x14ac:dyDescent="0.25">
      <c r="A25" s="34" t="s">
        <v>84</v>
      </c>
      <c r="B25" s="38">
        <v>2.0000000000000002E-5</v>
      </c>
      <c r="C25" s="34" t="s">
        <v>77</v>
      </c>
      <c r="D25" s="34"/>
      <c r="E25" s="34"/>
    </row>
    <row r="26" spans="1:5" x14ac:dyDescent="0.25">
      <c r="A26" s="34" t="s">
        <v>85</v>
      </c>
      <c r="B26" s="37">
        <v>2.5146670000000002</v>
      </c>
      <c r="C26" s="34" t="s">
        <v>77</v>
      </c>
      <c r="D26" s="34" t="s">
        <v>110</v>
      </c>
      <c r="E26" s="34"/>
    </row>
    <row r="27" spans="1:5" x14ac:dyDescent="0.25">
      <c r="A27" s="34" t="s">
        <v>93</v>
      </c>
      <c r="B27" s="37">
        <v>13.153</v>
      </c>
      <c r="C27" s="34" t="s">
        <v>94</v>
      </c>
      <c r="D27" s="34" t="s">
        <v>143</v>
      </c>
      <c r="E27" s="34"/>
    </row>
    <row r="28" spans="1:5" x14ac:dyDescent="0.25">
      <c r="A28" s="34" t="s">
        <v>87</v>
      </c>
      <c r="B28" s="37">
        <v>1.59</v>
      </c>
      <c r="C28" s="34" t="s">
        <v>77</v>
      </c>
      <c r="D28" s="34" t="s">
        <v>110</v>
      </c>
      <c r="E28" s="34"/>
    </row>
    <row r="29" spans="1:5" x14ac:dyDescent="0.25">
      <c r="A29" s="34" t="s">
        <v>88</v>
      </c>
      <c r="B29" s="37">
        <v>1.9</v>
      </c>
      <c r="C29" s="34" t="s">
        <v>77</v>
      </c>
      <c r="D29" s="34" t="s">
        <v>110</v>
      </c>
      <c r="E29" s="34"/>
    </row>
    <row r="30" spans="1:5" x14ac:dyDescent="0.25">
      <c r="A30" s="34" t="s">
        <v>106</v>
      </c>
      <c r="B30" s="37">
        <f>B31/9.81</f>
        <v>15.502700000000001</v>
      </c>
      <c r="C30" s="34" t="s">
        <v>108</v>
      </c>
      <c r="D30" s="34"/>
      <c r="E30" s="34">
        <f>(B35-B51)/9.81</f>
        <v>15.502700000000001</v>
      </c>
    </row>
    <row r="31" spans="1:5" x14ac:dyDescent="0.25">
      <c r="A31" s="34" t="s">
        <v>107</v>
      </c>
      <c r="B31" s="37">
        <f>B35-B51</f>
        <v>152.08148700000001</v>
      </c>
      <c r="C31" s="34" t="s">
        <v>102</v>
      </c>
      <c r="D31" s="34"/>
      <c r="E31" s="34">
        <f>(B35-B51)</f>
        <v>152.08148700000001</v>
      </c>
    </row>
    <row r="32" spans="1:5" x14ac:dyDescent="0.25">
      <c r="A32" s="34" t="s">
        <v>141</v>
      </c>
      <c r="B32" s="37">
        <v>1.4731000000000001</v>
      </c>
      <c r="C32" s="34" t="s">
        <v>77</v>
      </c>
      <c r="D32" s="34" t="s">
        <v>168</v>
      </c>
      <c r="E32" s="34"/>
    </row>
    <row r="33" spans="1:5" x14ac:dyDescent="0.25">
      <c r="A33" s="34" t="s">
        <v>144</v>
      </c>
      <c r="B33" s="37">
        <v>11.632</v>
      </c>
      <c r="C33" s="34" t="s">
        <v>94</v>
      </c>
      <c r="D33" s="34" t="s">
        <v>145</v>
      </c>
      <c r="E33" s="34"/>
    </row>
    <row r="34" spans="1:5" x14ac:dyDescent="0.25">
      <c r="A34" s="34" t="s">
        <v>146</v>
      </c>
      <c r="B34" s="37">
        <f>(B24/2)^2*PI()</f>
        <v>8.3322891154835269E-3</v>
      </c>
      <c r="C34" s="34" t="s">
        <v>74</v>
      </c>
      <c r="D34" s="34"/>
      <c r="E34" s="34"/>
    </row>
    <row r="35" spans="1:5" x14ac:dyDescent="0.25">
      <c r="A35" s="34" t="s">
        <v>116</v>
      </c>
      <c r="B35" s="37">
        <f>B36*9.81</f>
        <v>178.20846</v>
      </c>
      <c r="C35" s="34" t="s">
        <v>102</v>
      </c>
      <c r="D35" s="34">
        <f>B46+B31</f>
        <v>178.20846</v>
      </c>
      <c r="E35" s="34"/>
    </row>
    <row r="36" spans="1:5" x14ac:dyDescent="0.25">
      <c r="A36" s="34" t="s">
        <v>118</v>
      </c>
      <c r="B36" s="37">
        <v>18.166</v>
      </c>
      <c r="C36" s="34" t="s">
        <v>108</v>
      </c>
      <c r="D36" s="34">
        <f>(B46+B31)/9.81</f>
        <v>18.166</v>
      </c>
      <c r="E36" s="34"/>
    </row>
    <row r="37" spans="1:5" x14ac:dyDescent="0.25">
      <c r="A37" s="34" t="s">
        <v>129</v>
      </c>
      <c r="B37" s="37">
        <v>2.234667</v>
      </c>
      <c r="C37" s="34" t="s">
        <v>77</v>
      </c>
      <c r="D37" s="34" t="s">
        <v>135</v>
      </c>
      <c r="E37" s="34"/>
    </row>
    <row r="38" spans="1:5" x14ac:dyDescent="0.25">
      <c r="A38" s="34" t="s">
        <v>134</v>
      </c>
      <c r="B38" s="37">
        <v>2.5178129999999999</v>
      </c>
      <c r="C38" s="34" t="s">
        <v>77</v>
      </c>
      <c r="D38" s="34" t="s">
        <v>135</v>
      </c>
      <c r="E38" s="34"/>
    </row>
    <row r="39" spans="1:5" x14ac:dyDescent="0.25">
      <c r="A39" s="30" t="s">
        <v>98</v>
      </c>
      <c r="B39" s="39">
        <v>101325</v>
      </c>
      <c r="C39" s="30" t="s">
        <v>86</v>
      </c>
      <c r="D39" s="30">
        <v>101100</v>
      </c>
      <c r="E39" s="30"/>
    </row>
    <row r="40" spans="1:5" x14ac:dyDescent="0.25">
      <c r="A40" s="30" t="s">
        <v>99</v>
      </c>
      <c r="B40" s="39">
        <v>288.14999999999998</v>
      </c>
      <c r="C40" s="30" t="s">
        <v>113</v>
      </c>
      <c r="D40" s="30">
        <v>310.14999999999998</v>
      </c>
      <c r="E40" s="30"/>
    </row>
    <row r="41" spans="1:5" x14ac:dyDescent="0.25">
      <c r="A41" s="30" t="s">
        <v>139</v>
      </c>
      <c r="B41" s="39">
        <f>D41*PI()/180</f>
        <v>0.17453292519943295</v>
      </c>
      <c r="C41" s="30" t="s">
        <v>39</v>
      </c>
      <c r="D41" s="30">
        <v>10</v>
      </c>
      <c r="E41" s="30" t="s">
        <v>39</v>
      </c>
    </row>
    <row r="42" spans="1:5" x14ac:dyDescent="0.25">
      <c r="A42" s="30" t="s">
        <v>162</v>
      </c>
      <c r="B42" s="39">
        <f>18/3.28</f>
        <v>5.4878048780487809</v>
      </c>
      <c r="C42" s="30" t="s">
        <v>77</v>
      </c>
      <c r="D42" s="30"/>
      <c r="E42" s="30"/>
    </row>
    <row r="43" spans="1:5" x14ac:dyDescent="0.25">
      <c r="A43" s="30" t="s">
        <v>91</v>
      </c>
      <c r="B43" s="39">
        <v>1.61E-2</v>
      </c>
      <c r="C43" s="30" t="s">
        <v>77</v>
      </c>
      <c r="D43" s="30" t="s">
        <v>147</v>
      </c>
      <c r="E43" s="30"/>
    </row>
    <row r="44" spans="1:5" x14ac:dyDescent="0.25">
      <c r="A44" s="30" t="s">
        <v>92</v>
      </c>
      <c r="B44" s="39">
        <v>0</v>
      </c>
      <c r="C44" s="30" t="s">
        <v>77</v>
      </c>
      <c r="D44" s="30"/>
      <c r="E44" s="30"/>
    </row>
    <row r="45" spans="1:5" x14ac:dyDescent="0.25">
      <c r="A45" s="30" t="s">
        <v>97</v>
      </c>
      <c r="B45" s="39">
        <v>1243</v>
      </c>
      <c r="C45" s="30" t="s">
        <v>77</v>
      </c>
      <c r="D45" s="30"/>
      <c r="E45" s="30"/>
    </row>
    <row r="46" spans="1:5" x14ac:dyDescent="0.25">
      <c r="A46" s="29" t="s">
        <v>101</v>
      </c>
      <c r="B46" s="40">
        <f>B35-B31</f>
        <v>26.126972999999992</v>
      </c>
      <c r="C46" s="29" t="s">
        <v>102</v>
      </c>
      <c r="D46" s="29">
        <f>B46/9.81</f>
        <v>2.6632999999999991</v>
      </c>
      <c r="E46" s="29" t="s">
        <v>108</v>
      </c>
    </row>
    <row r="47" spans="1:5" x14ac:dyDescent="0.25">
      <c r="A47" s="29" t="s">
        <v>140</v>
      </c>
      <c r="B47" s="40">
        <f>B46/9.81</f>
        <v>2.6632999999999991</v>
      </c>
      <c r="C47" s="29" t="s">
        <v>108</v>
      </c>
      <c r="D47" s="29"/>
      <c r="E47" s="29"/>
    </row>
    <row r="48" spans="1:5" x14ac:dyDescent="0.25">
      <c r="A48" s="29" t="s">
        <v>103</v>
      </c>
      <c r="B48" s="40">
        <f>B46-B51</f>
        <v>0</v>
      </c>
      <c r="C48" s="29" t="s">
        <v>102</v>
      </c>
      <c r="D48" s="29">
        <f>B48/9.81</f>
        <v>0</v>
      </c>
      <c r="E48" s="29" t="s">
        <v>108</v>
      </c>
    </row>
    <row r="49" spans="1:5" x14ac:dyDescent="0.25">
      <c r="A49" s="29" t="s">
        <v>104</v>
      </c>
      <c r="B49" s="40">
        <f>(B46-B48)/B53/9.81</f>
        <v>0.83567618449952918</v>
      </c>
      <c r="C49" s="29" t="s">
        <v>105</v>
      </c>
      <c r="D49" s="29"/>
      <c r="E49" s="29">
        <f>B52/B53</f>
        <v>0.83567618449952941</v>
      </c>
    </row>
    <row r="50" spans="1:5" x14ac:dyDescent="0.25">
      <c r="A50" s="29" t="s">
        <v>121</v>
      </c>
      <c r="B50" s="40">
        <f>B52*9.81/B53</f>
        <v>8.197983369940383</v>
      </c>
      <c r="C50" s="29" t="s">
        <v>123</v>
      </c>
      <c r="D50" s="29" t="s">
        <v>122</v>
      </c>
      <c r="E50" s="29"/>
    </row>
    <row r="51" spans="1:5" x14ac:dyDescent="0.25">
      <c r="A51" s="29" t="s">
        <v>115</v>
      </c>
      <c r="B51" s="40">
        <f>B52*9.81</f>
        <v>26.126973</v>
      </c>
      <c r="C51" s="29" t="s">
        <v>102</v>
      </c>
      <c r="D51" s="29"/>
      <c r="E51" s="29"/>
    </row>
    <row r="52" spans="1:5" x14ac:dyDescent="0.25">
      <c r="A52" s="29" t="s">
        <v>117</v>
      </c>
      <c r="B52" s="40">
        <v>2.6633</v>
      </c>
      <c r="C52" s="29" t="s">
        <v>108</v>
      </c>
      <c r="D52" s="29"/>
      <c r="E52" s="29"/>
    </row>
    <row r="53" spans="1:5" x14ac:dyDescent="0.25">
      <c r="A53" s="29" t="s">
        <v>120</v>
      </c>
      <c r="B53" s="40">
        <v>3.1869999999999998</v>
      </c>
      <c r="C53" s="29" t="s">
        <v>119</v>
      </c>
      <c r="D53" s="29"/>
      <c r="E53" s="29"/>
    </row>
    <row r="54" spans="1:5" x14ac:dyDescent="0.25">
      <c r="A54" s="29" t="s">
        <v>136</v>
      </c>
      <c r="B54" s="40">
        <v>0.621</v>
      </c>
      <c r="C54" s="29" t="s">
        <v>77</v>
      </c>
      <c r="D54" s="29"/>
      <c r="E54" s="29"/>
    </row>
    <row r="55" spans="1:5" x14ac:dyDescent="0.25">
      <c r="A55" s="29" t="s">
        <v>137</v>
      </c>
      <c r="B55" s="40">
        <f>B56+(B26-B54)</f>
        <v>2.204167</v>
      </c>
      <c r="C55" s="29" t="s">
        <v>77</v>
      </c>
      <c r="D55" s="29"/>
      <c r="E55" s="29"/>
    </row>
    <row r="56" spans="1:5" x14ac:dyDescent="0.25">
      <c r="A56" s="29" t="s">
        <v>142</v>
      </c>
      <c r="B56" s="40">
        <f>B54/2</f>
        <v>0.3105</v>
      </c>
      <c r="C56" s="29" t="s">
        <v>77</v>
      </c>
      <c r="D56" s="29" t="s">
        <v>138</v>
      </c>
      <c r="E56" s="29"/>
    </row>
    <row r="57" spans="1:5" x14ac:dyDescent="0.25">
      <c r="A57" s="28" t="s">
        <v>150</v>
      </c>
      <c r="B57" s="41">
        <f>0.5*[1]Matlab_Data!B10*2*COS(PI()/6)*[1]Matlab_Data!B48 + B19*COS(PI()/6)*2</f>
        <v>5.6239689721761452E-2</v>
      </c>
      <c r="C57" s="28" t="s">
        <v>74</v>
      </c>
      <c r="D57" s="28" t="s">
        <v>151</v>
      </c>
      <c r="E57" s="28"/>
    </row>
    <row r="58" spans="1:5" x14ac:dyDescent="0.25">
      <c r="A58" s="28" t="s">
        <v>152</v>
      </c>
      <c r="B58" s="41">
        <v>6.9000000000000006E-2</v>
      </c>
      <c r="C58" s="28" t="s">
        <v>74</v>
      </c>
      <c r="D58" s="28"/>
      <c r="E58" s="28"/>
    </row>
    <row r="59" spans="1:5" x14ac:dyDescent="0.25">
      <c r="A59" s="28" t="s">
        <v>153</v>
      </c>
      <c r="B59" s="41">
        <f>(B37-B22)*B24</f>
        <v>0.177846701</v>
      </c>
      <c r="C59" s="28" t="s">
        <v>74</v>
      </c>
      <c r="D59" s="28" t="s">
        <v>154</v>
      </c>
      <c r="E59" s="28"/>
    </row>
    <row r="60" spans="1:5" x14ac:dyDescent="0.25">
      <c r="A60" s="28" t="s">
        <v>133</v>
      </c>
      <c r="B60" s="41">
        <f>SUM(B57:B59)</f>
        <v>0.30308639072176147</v>
      </c>
      <c r="C60" s="28" t="s">
        <v>74</v>
      </c>
      <c r="D60" s="28" t="s">
        <v>135</v>
      </c>
      <c r="E60" s="28"/>
    </row>
    <row r="61" spans="1:5" x14ac:dyDescent="0.25">
      <c r="A61" s="28" t="s">
        <v>155</v>
      </c>
      <c r="B61" s="41">
        <f>(B37+(B26-B37)/2)</f>
        <v>2.3746670000000001</v>
      </c>
      <c r="C61" s="28"/>
      <c r="D61" s="28" t="s">
        <v>159</v>
      </c>
      <c r="E61" s="28"/>
    </row>
    <row r="62" spans="1:5" x14ac:dyDescent="0.25">
      <c r="A62" s="28" t="s">
        <v>156</v>
      </c>
      <c r="B62" s="41">
        <f>2/3*B22</f>
        <v>0.33866666666666667</v>
      </c>
      <c r="C62" s="28"/>
      <c r="D62" s="28" t="s">
        <v>158</v>
      </c>
      <c r="E62" s="28"/>
    </row>
    <row r="63" spans="1:5" x14ac:dyDescent="0.25">
      <c r="A63" s="28" t="s">
        <v>157</v>
      </c>
      <c r="B63" s="41">
        <f>(B37-B22)/2</f>
        <v>0.86333349999999998</v>
      </c>
      <c r="C63" s="28"/>
      <c r="D63" s="28"/>
      <c r="E63" s="28"/>
    </row>
    <row r="64" spans="1:5" x14ac:dyDescent="0.25">
      <c r="A64" s="28" t="s">
        <v>160</v>
      </c>
      <c r="B64" s="41">
        <f>(B61*B57+B62*B58+B63*B59)/B60</f>
        <v>1.0243269233269428</v>
      </c>
      <c r="C64" s="28"/>
      <c r="D64" s="28"/>
      <c r="E64" s="28"/>
    </row>
    <row r="65" spans="1:5" x14ac:dyDescent="0.25">
      <c r="A65" s="33" t="s">
        <v>161</v>
      </c>
      <c r="B65" s="42">
        <f>D65*PI()/180</f>
        <v>0.17453292519943295</v>
      </c>
      <c r="C65" s="33" t="s">
        <v>90</v>
      </c>
      <c r="D65" s="33">
        <v>10</v>
      </c>
      <c r="E65" s="33" t="s">
        <v>167</v>
      </c>
    </row>
    <row r="66" spans="1:5" x14ac:dyDescent="0.25">
      <c r="A66" s="33" t="s">
        <v>163</v>
      </c>
      <c r="B66" s="42">
        <v>0.12</v>
      </c>
      <c r="C66" s="33" t="s">
        <v>119</v>
      </c>
      <c r="D66" s="33"/>
      <c r="E66" s="33"/>
    </row>
    <row r="67" spans="1:5" x14ac:dyDescent="0.25">
      <c r="A67" s="33" t="s">
        <v>164</v>
      </c>
      <c r="B67" s="42">
        <f>B65/1</f>
        <v>0.17453292519943295</v>
      </c>
      <c r="C67" s="33"/>
      <c r="D67" s="33"/>
      <c r="E67" s="33"/>
    </row>
    <row r="68" spans="1:5" x14ac:dyDescent="0.25">
      <c r="A68" s="33" t="s">
        <v>165</v>
      </c>
      <c r="B68" s="42">
        <f>PI()/2</f>
        <v>1.5707963267948966</v>
      </c>
      <c r="C68" s="33"/>
      <c r="D68" s="33"/>
      <c r="E68" s="33"/>
    </row>
    <row r="69" spans="1:5" x14ac:dyDescent="0.25">
      <c r="A69" s="33" t="s">
        <v>166</v>
      </c>
      <c r="B69" s="42">
        <v>0.02</v>
      </c>
      <c r="C69" s="33"/>
      <c r="D69" s="33"/>
      <c r="E69" s="33"/>
    </row>
    <row r="70" spans="1:5" x14ac:dyDescent="0.25">
      <c r="A70" s="27" t="s">
        <v>171</v>
      </c>
      <c r="B70" s="43">
        <v>-1.5</v>
      </c>
      <c r="C70" s="27"/>
      <c r="D70" s="27" t="s">
        <v>172</v>
      </c>
      <c r="E70" s="27"/>
    </row>
    <row r="71" spans="1:5" x14ac:dyDescent="0.25">
      <c r="A71" s="27" t="s">
        <v>173</v>
      </c>
      <c r="B71" s="43">
        <v>2.42</v>
      </c>
      <c r="C71" s="27" t="s">
        <v>77</v>
      </c>
      <c r="D71" s="27"/>
      <c r="E71" s="27"/>
    </row>
    <row r="72" spans="1:5" x14ac:dyDescent="0.25">
      <c r="A72" s="27" t="s">
        <v>174</v>
      </c>
      <c r="B72" s="43">
        <v>7.0000000000000007E-2</v>
      </c>
      <c r="C72" s="27"/>
      <c r="D72" s="27"/>
      <c r="E72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13"/>
  <sheetViews>
    <sheetView workbookViewId="0">
      <selection activeCell="E26" sqref="E26"/>
    </sheetView>
  </sheetViews>
  <sheetFormatPr defaultColWidth="9" defaultRowHeight="15" x14ac:dyDescent="0.25"/>
  <cols>
    <col min="1" max="1" width="2.875" style="1" customWidth="1"/>
    <col min="2" max="2" width="9" style="1"/>
    <col min="3" max="3" width="12.25" style="20" customWidth="1"/>
    <col min="4" max="16384" width="9" style="1"/>
  </cols>
  <sheetData>
    <row r="2" spans="2:5" x14ac:dyDescent="0.25">
      <c r="B2" s="49" t="s">
        <v>42</v>
      </c>
      <c r="C2" s="49"/>
      <c r="D2" s="49"/>
    </row>
    <row r="3" spans="2:5" x14ac:dyDescent="0.25">
      <c r="B3" s="13" t="s">
        <v>2</v>
      </c>
      <c r="C3" s="17">
        <v>-8.9333187642457608E-14</v>
      </c>
      <c r="D3" s="9" t="s">
        <v>3</v>
      </c>
    </row>
    <row r="4" spans="2:5" x14ac:dyDescent="0.25">
      <c r="B4" s="14" t="s">
        <v>4</v>
      </c>
      <c r="C4" s="18">
        <v>1.0591036969562888E-16</v>
      </c>
      <c r="D4" s="10" t="s">
        <v>3</v>
      </c>
    </row>
    <row r="5" spans="2:5" x14ac:dyDescent="0.25">
      <c r="B5" s="15" t="s">
        <v>5</v>
      </c>
      <c r="C5" s="19">
        <v>-1573.0178886933611</v>
      </c>
      <c r="D5" s="11" t="s">
        <v>3</v>
      </c>
    </row>
    <row r="7" spans="2:5" x14ac:dyDescent="0.25">
      <c r="B7" s="49" t="s">
        <v>43</v>
      </c>
      <c r="C7" s="49"/>
      <c r="D7" s="49"/>
    </row>
    <row r="8" spans="2:5" ht="17.25" x14ac:dyDescent="0.25">
      <c r="B8" s="13" t="s">
        <v>44</v>
      </c>
      <c r="C8" s="17">
        <v>10.971991427260733</v>
      </c>
      <c r="D8" s="9" t="s">
        <v>49</v>
      </c>
      <c r="E8" s="1" t="s">
        <v>51</v>
      </c>
    </row>
    <row r="9" spans="2:5" ht="17.25" x14ac:dyDescent="0.25">
      <c r="B9" s="14" t="s">
        <v>45</v>
      </c>
      <c r="C9" s="18">
        <v>10.971991427260733</v>
      </c>
      <c r="D9" s="10" t="s">
        <v>49</v>
      </c>
      <c r="E9" s="1" t="s">
        <v>52</v>
      </c>
    </row>
    <row r="10" spans="2:5" ht="17.25" x14ac:dyDescent="0.25">
      <c r="B10" s="15" t="s">
        <v>46</v>
      </c>
      <c r="C10" s="19">
        <f>(C8+C9)/2</f>
        <v>10.971991427260733</v>
      </c>
      <c r="D10" s="11" t="s">
        <v>49</v>
      </c>
    </row>
    <row r="11" spans="2:5" x14ac:dyDescent="0.25">
      <c r="C11" s="21"/>
    </row>
    <row r="12" spans="2:5" x14ac:dyDescent="0.25">
      <c r="B12" s="49" t="s">
        <v>47</v>
      </c>
      <c r="C12" s="49"/>
      <c r="D12" s="49"/>
    </row>
    <row r="13" spans="2:5" ht="17.25" x14ac:dyDescent="0.25">
      <c r="B13" s="16" t="s">
        <v>48</v>
      </c>
      <c r="C13" s="22">
        <v>6.8142241678536802E-2</v>
      </c>
      <c r="D13" s="12" t="s">
        <v>49</v>
      </c>
      <c r="E13" s="1" t="s">
        <v>50</v>
      </c>
    </row>
  </sheetData>
  <mergeCells count="3">
    <mergeCell ref="B2:D2"/>
    <mergeCell ref="B7:D7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9"/>
  <sheetViews>
    <sheetView workbookViewId="0">
      <selection activeCell="A2" sqref="A2:E20"/>
    </sheetView>
  </sheetViews>
  <sheetFormatPr defaultRowHeight="15" x14ac:dyDescent="0.25"/>
  <cols>
    <col min="1" max="1" width="22.5" customWidth="1"/>
    <col min="2" max="2" width="13.25" customWidth="1"/>
    <col min="4" max="4" width="9.875" customWidth="1"/>
    <col min="5" max="5" width="20.625" customWidth="1"/>
    <col min="7" max="7" width="21.875" customWidth="1"/>
  </cols>
  <sheetData>
    <row r="1" spans="1:7" x14ac:dyDescent="0.25">
      <c r="A1" s="2" t="s">
        <v>6</v>
      </c>
      <c r="B1" s="2" t="s">
        <v>0</v>
      </c>
      <c r="C1" s="2" t="s">
        <v>7</v>
      </c>
      <c r="D1" s="2" t="s">
        <v>1</v>
      </c>
      <c r="E1" s="2" t="s">
        <v>40</v>
      </c>
    </row>
    <row r="2" spans="1:7" x14ac:dyDescent="0.25">
      <c r="A2" s="5" t="s">
        <v>17</v>
      </c>
      <c r="B2" s="3">
        <v>-2500</v>
      </c>
      <c r="C2" s="3" t="s">
        <v>3</v>
      </c>
      <c r="D2" s="3"/>
      <c r="E2" s="4" t="s">
        <v>41</v>
      </c>
      <c r="G2" s="3" t="s">
        <v>8</v>
      </c>
    </row>
    <row r="3" spans="1:7" x14ac:dyDescent="0.25">
      <c r="A3" s="5" t="s">
        <v>23</v>
      </c>
      <c r="B3" s="3">
        <f>PARAMETERS!C3</f>
        <v>51.5</v>
      </c>
      <c r="C3" s="3" t="s">
        <v>3</v>
      </c>
      <c r="D3" s="3"/>
      <c r="E3" s="4"/>
      <c r="G3" s="3" t="s">
        <v>9</v>
      </c>
    </row>
    <row r="4" spans="1:7" x14ac:dyDescent="0.25">
      <c r="A4" s="5" t="s">
        <v>19</v>
      </c>
      <c r="B4" s="3">
        <f>PARAMETERS!C13</f>
        <v>508</v>
      </c>
      <c r="C4" s="3" t="s">
        <v>3</v>
      </c>
      <c r="D4" s="3"/>
      <c r="E4" s="4"/>
      <c r="G4" s="6" t="s">
        <v>10</v>
      </c>
    </row>
    <row r="5" spans="1:7" x14ac:dyDescent="0.25">
      <c r="A5" s="5" t="s">
        <v>20</v>
      </c>
      <c r="B5" s="3">
        <f>PARAMETERS!C15</f>
        <v>2</v>
      </c>
      <c r="C5" s="3" t="s">
        <v>3</v>
      </c>
      <c r="D5" s="3"/>
      <c r="E5" s="4"/>
    </row>
    <row r="6" spans="1:7" x14ac:dyDescent="0.25">
      <c r="A6" s="5" t="s">
        <v>69</v>
      </c>
      <c r="B6" s="3">
        <f>PARAMETERS!C14</f>
        <v>100</v>
      </c>
      <c r="C6" s="3" t="s">
        <v>3</v>
      </c>
      <c r="D6" s="3"/>
      <c r="E6" s="4"/>
    </row>
    <row r="7" spans="1:7" x14ac:dyDescent="0.25">
      <c r="A7" s="5" t="s">
        <v>21</v>
      </c>
      <c r="B7" s="3">
        <v>2</v>
      </c>
      <c r="C7" s="3" t="s">
        <v>3</v>
      </c>
      <c r="D7" s="3"/>
      <c r="E7" s="4"/>
    </row>
    <row r="8" spans="1:7" x14ac:dyDescent="0.25">
      <c r="A8" s="7" t="s">
        <v>34</v>
      </c>
      <c r="B8" s="6">
        <f>B3</f>
        <v>51.5</v>
      </c>
      <c r="C8" s="6" t="s">
        <v>3</v>
      </c>
      <c r="D8" s="6"/>
      <c r="E8" s="8"/>
    </row>
    <row r="9" spans="1:7" x14ac:dyDescent="0.25">
      <c r="A9" s="5" t="s">
        <v>16</v>
      </c>
      <c r="B9" s="3">
        <f>PARAMETERS!C10</f>
        <v>750</v>
      </c>
      <c r="C9" s="3" t="s">
        <v>3</v>
      </c>
      <c r="D9" s="3"/>
      <c r="E9" s="4"/>
    </row>
    <row r="10" spans="1:7" x14ac:dyDescent="0.25">
      <c r="A10" s="5" t="s">
        <v>35</v>
      </c>
      <c r="B10" s="3">
        <v>1.9999999999999978</v>
      </c>
      <c r="C10" s="3" t="s">
        <v>3</v>
      </c>
      <c r="D10" s="3"/>
      <c r="E10" s="4"/>
    </row>
    <row r="11" spans="1:7" x14ac:dyDescent="0.25">
      <c r="A11" s="7" t="s">
        <v>32</v>
      </c>
      <c r="B11" s="6">
        <f>B3</f>
        <v>51.5</v>
      </c>
      <c r="C11" s="6" t="s">
        <v>3</v>
      </c>
      <c r="D11" s="6"/>
      <c r="E11" s="8"/>
    </row>
    <row r="12" spans="1:7" x14ac:dyDescent="0.25">
      <c r="A12" s="5" t="s">
        <v>22</v>
      </c>
      <c r="B12" s="3">
        <f>PARAMETERS!C11</f>
        <v>350</v>
      </c>
      <c r="C12" s="3" t="s">
        <v>3</v>
      </c>
      <c r="D12" s="3"/>
      <c r="E12" s="4"/>
    </row>
    <row r="13" spans="1:7" x14ac:dyDescent="0.25">
      <c r="A13" s="5" t="s">
        <v>33</v>
      </c>
      <c r="B13" s="3">
        <v>2</v>
      </c>
      <c r="C13" s="3" t="s">
        <v>3</v>
      </c>
      <c r="D13" s="3"/>
      <c r="E13" s="4"/>
    </row>
    <row r="14" spans="1:7" x14ac:dyDescent="0.25">
      <c r="A14" s="7" t="s">
        <v>36</v>
      </c>
      <c r="B14" s="6">
        <f>B3</f>
        <v>51.5</v>
      </c>
      <c r="C14" s="6" t="s">
        <v>3</v>
      </c>
      <c r="D14" s="6"/>
      <c r="E14" s="8"/>
    </row>
    <row r="15" spans="1:7" x14ac:dyDescent="0.25">
      <c r="A15" s="5" t="s">
        <v>18</v>
      </c>
      <c r="B15" s="3">
        <f>PARAMETERS!C12</f>
        <v>1260</v>
      </c>
      <c r="C15" s="3" t="s">
        <v>3</v>
      </c>
      <c r="D15" s="3"/>
      <c r="E15" s="4"/>
    </row>
    <row r="16" spans="1:7" x14ac:dyDescent="0.25">
      <c r="A16" s="5" t="s">
        <v>37</v>
      </c>
      <c r="B16" s="3">
        <v>2</v>
      </c>
      <c r="C16" s="3" t="s">
        <v>3</v>
      </c>
      <c r="D16" s="3"/>
      <c r="E16" s="4"/>
    </row>
    <row r="17" spans="1:5" x14ac:dyDescent="0.25">
      <c r="A17" s="7" t="s">
        <v>30</v>
      </c>
      <c r="B17" s="6">
        <f>360/B20</f>
        <v>120</v>
      </c>
      <c r="C17" s="6" t="s">
        <v>39</v>
      </c>
      <c r="D17" s="6"/>
      <c r="E17" s="8"/>
    </row>
    <row r="18" spans="1:5" x14ac:dyDescent="0.25">
      <c r="A18" s="5" t="s">
        <v>13</v>
      </c>
      <c r="B18" s="3">
        <f>PARAMETERS!C6</f>
        <v>95</v>
      </c>
      <c r="C18" s="3" t="s">
        <v>3</v>
      </c>
      <c r="D18" s="3"/>
      <c r="E18" s="4"/>
    </row>
    <row r="19" spans="1:5" x14ac:dyDescent="0.25">
      <c r="A19" s="5" t="s">
        <v>14</v>
      </c>
      <c r="B19" s="3">
        <f>PARAMETERS!C5</f>
        <v>3.1749999999999998</v>
      </c>
      <c r="C19" s="3" t="s">
        <v>3</v>
      </c>
      <c r="D19" s="3"/>
      <c r="E19" s="4"/>
    </row>
    <row r="20" spans="1:5" x14ac:dyDescent="0.25">
      <c r="A20" s="5" t="s">
        <v>31</v>
      </c>
      <c r="B20" s="3">
        <f>PARAMETERS!C4</f>
        <v>3</v>
      </c>
      <c r="C20" s="3" t="s">
        <v>38</v>
      </c>
      <c r="D20" s="3"/>
      <c r="E20" s="4"/>
    </row>
    <row r="21" spans="1:5" x14ac:dyDescent="0.25">
      <c r="A21" s="7" t="s">
        <v>29</v>
      </c>
      <c r="B21" s="6">
        <f>B3</f>
        <v>51.5</v>
      </c>
      <c r="C21" s="6" t="s">
        <v>3</v>
      </c>
      <c r="D21" s="6"/>
      <c r="E21" s="8"/>
    </row>
    <row r="22" spans="1:5" x14ac:dyDescent="0.25">
      <c r="A22" s="5" t="s">
        <v>11</v>
      </c>
      <c r="B22" s="3">
        <f>PARAMETERS!C7</f>
        <v>280</v>
      </c>
      <c r="C22" s="3" t="s">
        <v>3</v>
      </c>
      <c r="D22" s="3"/>
      <c r="E22" s="4"/>
    </row>
    <row r="23" spans="1:5" x14ac:dyDescent="0.25">
      <c r="A23" s="5" t="s">
        <v>15</v>
      </c>
      <c r="B23" s="3">
        <f>PARAMETERS!C9</f>
        <v>160</v>
      </c>
      <c r="C23" s="3" t="s">
        <v>3</v>
      </c>
      <c r="D23" s="3"/>
      <c r="E23" s="4"/>
    </row>
    <row r="24" spans="1:5" x14ac:dyDescent="0.25">
      <c r="A24" s="5" t="s">
        <v>27</v>
      </c>
      <c r="B24" s="3">
        <v>12</v>
      </c>
      <c r="C24" s="3" t="s">
        <v>3</v>
      </c>
      <c r="D24" s="3"/>
      <c r="E24" s="4"/>
    </row>
    <row r="25" spans="1:5" x14ac:dyDescent="0.25">
      <c r="A25" s="5" t="s">
        <v>28</v>
      </c>
      <c r="B25" s="3">
        <v>148.78</v>
      </c>
      <c r="C25" s="3" t="s">
        <v>3</v>
      </c>
      <c r="D25" s="3"/>
      <c r="E25" s="4"/>
    </row>
    <row r="26" spans="1:5" x14ac:dyDescent="0.25">
      <c r="A26" s="5" t="s">
        <v>26</v>
      </c>
      <c r="B26" s="3">
        <v>20</v>
      </c>
      <c r="C26" s="3" t="s">
        <v>3</v>
      </c>
      <c r="D26" s="3"/>
      <c r="E26" s="4"/>
    </row>
    <row r="27" spans="1:5" x14ac:dyDescent="0.25">
      <c r="A27" s="5" t="s">
        <v>25</v>
      </c>
      <c r="B27" s="3">
        <v>10</v>
      </c>
      <c r="C27" s="3" t="s">
        <v>3</v>
      </c>
      <c r="D27" s="3"/>
      <c r="E27" s="4"/>
    </row>
    <row r="28" spans="1:5" x14ac:dyDescent="0.25">
      <c r="A28" s="5" t="s">
        <v>12</v>
      </c>
      <c r="B28" s="3">
        <f>PARAMETERS!C8</f>
        <v>100</v>
      </c>
      <c r="C28" s="3" t="s">
        <v>3</v>
      </c>
      <c r="D28" s="3"/>
      <c r="E28" s="4"/>
    </row>
    <row r="29" spans="1:5" x14ac:dyDescent="0.25">
      <c r="A29" s="5" t="s">
        <v>24</v>
      </c>
      <c r="B29" s="3">
        <v>300</v>
      </c>
      <c r="C29" s="3" t="s">
        <v>3</v>
      </c>
      <c r="D29" s="3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Matlab_Data</vt:lpstr>
      <vt:lpstr>Inertial Data</vt:lpstr>
      <vt:lpstr>General Parameters</vt:lpstr>
    </vt:vector>
  </TitlesOfParts>
  <Company>Concordia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</dc:creator>
  <cp:lastModifiedBy>custom</cp:lastModifiedBy>
  <dcterms:created xsi:type="dcterms:W3CDTF">2015-02-15T19:59:55Z</dcterms:created>
  <dcterms:modified xsi:type="dcterms:W3CDTF">2016-05-20T19:31:48Z</dcterms:modified>
</cp:coreProperties>
</file>