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dachwald/Dropbox/git/lectures/bachelor/rfm/rfm_lectures/rfm-05_3d_orbits/work/"/>
    </mc:Choice>
  </mc:AlternateContent>
  <xr:revisionPtr revIDLastSave="0" documentId="13_ncr:1_{474AF0BF-521A-6542-81B6-E92B8BA017E5}" xr6:coauthVersionLast="45" xr6:coauthVersionMax="45" xr10:uidLastSave="{00000000-0000-0000-0000-000000000000}"/>
  <bookViews>
    <workbookView xWindow="0" yWindow="460" windowWidth="29560" windowHeight="18740" xr2:uid="{00000000-000D-0000-FFFF-FFFF00000000}"/>
  </bookViews>
  <sheets>
    <sheet name="Version 20.0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10" i="1"/>
  <c r="H16" i="1"/>
  <c r="B17" i="1" s="1"/>
  <c r="I16" i="1"/>
  <c r="B20" i="1"/>
  <c r="B21" i="1"/>
  <c r="B19" i="1"/>
  <c r="E20" i="1"/>
  <c r="B25" i="1"/>
  <c r="B15" i="1"/>
  <c r="B26" i="1"/>
  <c r="B16" i="1"/>
  <c r="E26" i="1"/>
  <c r="B28" i="1" s="1"/>
  <c r="B29" i="1" s="1"/>
  <c r="E29" i="1" s="1"/>
  <c r="L8" i="1" s="1"/>
  <c r="O8" i="1" s="1"/>
  <c r="I34" i="1"/>
  <c r="B23" i="1"/>
  <c r="E23" i="1" s="1"/>
  <c r="L7" i="1" s="1"/>
  <c r="O7" i="1" s="1"/>
  <c r="B13" i="1"/>
  <c r="L5" i="1" s="1"/>
  <c r="H32" i="1" l="1"/>
  <c r="B30" i="1" s="1"/>
  <c r="B31" i="1" s="1"/>
  <c r="E31" i="1" s="1"/>
  <c r="L9" i="1" s="1"/>
  <c r="E16" i="1"/>
  <c r="L6" i="1" s="1"/>
  <c r="L18" i="1"/>
  <c r="H34" i="1"/>
  <c r="B32" i="1" s="1"/>
  <c r="B33" i="1" s="1"/>
  <c r="E33" i="1" s="1"/>
  <c r="L10" i="1" s="1"/>
  <c r="O10" i="1" s="1"/>
  <c r="L14" i="1" s="1"/>
  <c r="O9" i="1" l="1"/>
  <c r="L12" i="1"/>
  <c r="O12" i="1" s="1"/>
  <c r="L21" i="1"/>
  <c r="L16" i="1"/>
  <c r="L20" i="1"/>
  <c r="L22" i="1"/>
  <c r="L26" i="1"/>
  <c r="L24" i="1"/>
  <c r="L25" i="1"/>
</calcChain>
</file>

<file path=xl/sharedStrings.xml><?xml version="1.0" encoding="utf-8"?>
<sst xmlns="http://schemas.openxmlformats.org/spreadsheetml/2006/main" count="53" uniqueCount="36">
  <si>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[km]:</t>
    </r>
  </si>
  <si>
    <t>r [km]:</t>
  </si>
  <si>
    <t>v [km/s]:</t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</si>
  <si>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[km/s]:</t>
    </r>
  </si>
  <si>
    <t>a [km]:</t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</si>
  <si>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</t>
    </r>
  </si>
  <si>
    <t>NR:</t>
  </si>
  <si>
    <t>e:</t>
  </si>
  <si>
    <t>h [km^2/s]:</t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</si>
  <si>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[km^2/s]:</t>
    </r>
  </si>
  <si>
    <t>i [rad]:</t>
  </si>
  <si>
    <t>i [deg]:</t>
  </si>
  <si>
    <t>n: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</si>
  <si>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:</t>
    </r>
  </si>
  <si>
    <t>Omega [rad]:</t>
  </si>
  <si>
    <t>Omega [deg]:</t>
  </si>
  <si>
    <t>omega [rad]:</t>
  </si>
  <si>
    <t>omega [deg]:</t>
  </si>
  <si>
    <t>f [rad]:</t>
  </si>
  <si>
    <t>f [deg]:</t>
  </si>
  <si>
    <r>
      <t xml:space="preserve">Calculation of Orbital Elements from </t>
    </r>
    <r>
      <rPr>
        <b/>
        <i/>
        <sz val="16"/>
        <color theme="1"/>
        <rFont val="Calibri"/>
        <family val="2"/>
        <scheme val="minor"/>
      </rPr>
      <t>r</t>
    </r>
    <r>
      <rPr>
        <sz val="16"/>
        <color theme="1"/>
        <rFont val="Calibri"/>
        <family val="2"/>
        <scheme val="minor"/>
      </rPr>
      <t xml:space="preserve"> and </t>
    </r>
    <r>
      <rPr>
        <b/>
        <i/>
        <sz val="16"/>
        <color theme="1"/>
        <rFont val="Calibri"/>
        <family val="2"/>
        <scheme val="minor"/>
      </rPr>
      <t>v</t>
    </r>
  </si>
  <si>
    <r>
      <rPr>
        <sz val="11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 xml:space="preserve"> [km^3/s^2]:</t>
    </r>
  </si>
  <si>
    <r>
      <t>v^2/</t>
    </r>
    <r>
      <rPr>
        <sz val="11"/>
        <color theme="0" tint="-0.249977111117893"/>
        <rFont val="Symbol"/>
        <charset val="2"/>
      </rPr>
      <t>m</t>
    </r>
    <r>
      <rPr>
        <sz val="11"/>
        <color theme="0" tint="-0.249977111117893"/>
        <rFont val="Calibri"/>
        <family val="2"/>
        <scheme val="minor"/>
      </rPr>
      <t>-1/r</t>
    </r>
  </si>
  <si>
    <r>
      <t>(</t>
    </r>
    <r>
      <rPr>
        <b/>
        <sz val="11"/>
        <color theme="0" tint="-0.249977111117893"/>
        <rFont val="Calibri"/>
      </rPr>
      <t>r</t>
    </r>
    <r>
      <rPr>
        <sz val="11"/>
        <color theme="0" tint="-0.249977111117893"/>
        <rFont val="Calibri"/>
      </rPr>
      <t xml:space="preserve"> o </t>
    </r>
    <r>
      <rPr>
        <b/>
        <sz val="11"/>
        <color theme="0" tint="-0.249977111117893"/>
        <rFont val="Calibri"/>
      </rPr>
      <t>v</t>
    </r>
    <r>
      <rPr>
        <sz val="11"/>
        <color theme="0" tint="-0.249977111117893"/>
        <rFont val="Calibri"/>
      </rPr>
      <t xml:space="preserve">) / </t>
    </r>
    <r>
      <rPr>
        <sz val="11"/>
        <color theme="0" tint="-0.249977111117893"/>
        <rFont val="Symbol"/>
        <charset val="2"/>
      </rPr>
      <t>m</t>
    </r>
  </si>
  <si>
    <r>
      <t>(</t>
    </r>
    <r>
      <rPr>
        <b/>
        <sz val="11"/>
        <color theme="0" tint="-0.249977111117893"/>
        <rFont val="Calibri"/>
        <scheme val="minor"/>
      </rPr>
      <t>e</t>
    </r>
    <r>
      <rPr>
        <sz val="11"/>
        <color theme="0" tint="-0.249977111117893"/>
        <rFont val="Calibri"/>
        <family val="2"/>
        <scheme val="minor"/>
      </rPr>
      <t xml:space="preserve"> o </t>
    </r>
    <r>
      <rPr>
        <b/>
        <sz val="11"/>
        <color theme="0" tint="-0.249977111117893"/>
        <rFont val="Calibri"/>
        <scheme val="minor"/>
      </rPr>
      <t>r</t>
    </r>
    <r>
      <rPr>
        <sz val="11"/>
        <color theme="0" tint="-0.249977111117893"/>
        <rFont val="Calibri"/>
        <family val="2"/>
        <scheme val="minor"/>
      </rPr>
      <t>)/(er)</t>
    </r>
  </si>
  <si>
    <r>
      <t>(</t>
    </r>
    <r>
      <rPr>
        <b/>
        <sz val="11"/>
        <color theme="0" tint="-0.249977111117893"/>
        <rFont val="Calibri"/>
        <scheme val="minor"/>
      </rPr>
      <t>n</t>
    </r>
    <r>
      <rPr>
        <sz val="11"/>
        <color theme="0" tint="-0.249977111117893"/>
        <rFont val="Calibri"/>
        <family val="2"/>
        <scheme val="minor"/>
      </rPr>
      <t xml:space="preserve"> o </t>
    </r>
    <r>
      <rPr>
        <b/>
        <sz val="11"/>
        <color theme="0" tint="-0.249977111117893"/>
        <rFont val="Calibri"/>
        <scheme val="minor"/>
      </rPr>
      <t>e</t>
    </r>
    <r>
      <rPr>
        <sz val="11"/>
        <color theme="0" tint="-0.249977111117893"/>
        <rFont val="Calibri"/>
        <family val="2"/>
        <scheme val="minor"/>
      </rPr>
      <t>)/(ne)</t>
    </r>
  </si>
  <si>
    <r>
      <rPr>
        <b/>
        <sz val="11"/>
        <color theme="0" tint="-0.249977111117893"/>
        <rFont val="Calibri"/>
      </rPr>
      <t>r</t>
    </r>
    <r>
      <rPr>
        <sz val="11"/>
        <color theme="0" tint="-0.249977111117893"/>
        <rFont val="Calibri"/>
      </rPr>
      <t xml:space="preserve"> o </t>
    </r>
    <r>
      <rPr>
        <b/>
        <sz val="11"/>
        <color theme="0" tint="-0.249977111117893"/>
        <rFont val="Calibri"/>
      </rPr>
      <t>v</t>
    </r>
    <r>
      <rPr>
        <sz val="11"/>
        <color theme="0" tint="-0.249977111117893"/>
        <rFont val="Calibri"/>
      </rPr>
      <t/>
    </r>
  </si>
  <si>
    <r>
      <t xml:space="preserve">Calculation of </t>
    </r>
    <r>
      <rPr>
        <b/>
        <i/>
        <sz val="16"/>
        <color theme="1"/>
        <rFont val="Calibri"/>
        <family val="2"/>
        <scheme val="minor"/>
      </rPr>
      <t>r</t>
    </r>
    <r>
      <rPr>
        <sz val="16"/>
        <color theme="1"/>
        <rFont val="Calibri"/>
        <family val="2"/>
        <scheme val="minor"/>
      </rPr>
      <t xml:space="preserve"> and </t>
    </r>
    <r>
      <rPr>
        <b/>
        <i/>
        <sz val="16"/>
        <color theme="1"/>
        <rFont val="Calibri"/>
        <family val="2"/>
        <scheme val="minor"/>
      </rPr>
      <t>v</t>
    </r>
    <r>
      <rPr>
        <sz val="16"/>
        <color theme="1"/>
        <rFont val="Calibri"/>
        <family val="2"/>
        <scheme val="minor"/>
      </rPr>
      <t xml:space="preserve"> from Orbital Elements</t>
    </r>
  </si>
  <si>
    <r>
      <rPr>
        <sz val="11"/>
        <color theme="1"/>
        <rFont val="Symbol"/>
        <charset val="2"/>
      </rPr>
      <t>q</t>
    </r>
    <r>
      <rPr>
        <sz val="11"/>
        <color theme="1"/>
        <rFont val="Calibri"/>
        <family val="2"/>
        <scheme val="minor"/>
      </rPr>
      <t xml:space="preserve"> [deg]:</t>
    </r>
  </si>
  <si>
    <r>
      <rPr>
        <sz val="11"/>
        <color theme="1"/>
        <rFont val="Symbol"/>
        <charset val="2"/>
      </rPr>
      <t>q</t>
    </r>
    <r>
      <rPr>
        <sz val="11"/>
        <color theme="1"/>
        <rFont val="Calibri"/>
        <family val="2"/>
        <scheme val="minor"/>
      </rPr>
      <t xml:space="preserve"> [rad]:</t>
    </r>
  </si>
  <si>
    <t>Step 1</t>
  </si>
  <si>
    <t>Step 2</t>
  </si>
  <si>
    <t>Step 3</t>
  </si>
  <si>
    <t>Step 4</t>
  </si>
  <si>
    <t>Step 5</t>
  </si>
  <si>
    <t>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</si>
</sst>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1"/>
      <name val="Symbol"/>
      <charset val="2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Symbol"/>
      <charset val="2"/>
    </font>
    <font>
      <sz val="11"/>
      <color theme="0" tint="-0.249977111117893"/>
      <name val="Calibri"/>
    </font>
    <font>
      <b/>
      <sz val="11"/>
      <color theme="0" tint="-0.249977111117893"/>
      <name val="Calibri"/>
    </font>
    <font>
      <b/>
      <sz val="11"/>
      <color theme="0" tint="-0.249977111117893"/>
      <name val="Calibri"/>
      <scheme val="minor"/>
    </font>
    <font>
      <b/>
      <sz val="11"/>
      <color theme="6" tint="-0.499984740745262"/>
      <name val="Calibri"/>
      <family val="2"/>
      <scheme val="minor"/>
    </font>
    <font>
      <sz val="11"/>
      <name val="Calibri"/>
      <scheme val="minor"/>
    </font>
    <font>
      <sz val="11"/>
      <color theme="6" tint="-0.499984740745262"/>
      <name val="Calibri"/>
      <scheme val="minor"/>
    </font>
    <font>
      <sz val="11"/>
      <color theme="0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13">
    <xf numFmtId="0" fontId="0" fillId="0" borderId="0" xfId="0"/>
    <xf numFmtId="0" fontId="1" fillId="2" borderId="1" xfId="1"/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4" borderId="2" xfId="2" applyFont="1" applyFill="1"/>
    <xf numFmtId="0" fontId="14" fillId="5" borderId="1" xfId="3" applyFont="1" applyFill="1"/>
    <xf numFmtId="0" fontId="0" fillId="5" borderId="3" xfId="0" applyFill="1" applyBorder="1"/>
    <xf numFmtId="0" fontId="15" fillId="4" borderId="1" xfId="3" applyFont="1" applyFill="1"/>
    <xf numFmtId="0" fontId="8" fillId="0" borderId="0" xfId="0" applyNumberFormat="1" applyFont="1" applyFill="1"/>
    <xf numFmtId="0" fontId="16" fillId="0" borderId="0" xfId="0" applyFont="1"/>
    <xf numFmtId="0" fontId="17" fillId="0" borderId="0" xfId="0" applyFont="1" applyAlignment="1">
      <alignment horizontal="right"/>
    </xf>
  </cellXfs>
  <cellStyles count="4">
    <cellStyle name="Ausgabe" xfId="2" builtinId="21"/>
    <cellStyle name="Berechnung" xfId="3" builtinId="22"/>
    <cellStyle name="Eingabe" xfId="1" builtinId="20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="130" zoomScaleNormal="130" zoomScalePageLayoutView="130" workbookViewId="0">
      <selection activeCell="G7" sqref="G7"/>
    </sheetView>
  </sheetViews>
  <sheetFormatPr baseColWidth="10" defaultRowHeight="15" x14ac:dyDescent="0.2"/>
  <cols>
    <col min="1" max="1" width="13.33203125" customWidth="1"/>
    <col min="2" max="2" width="12.6640625" bestFit="1" customWidth="1"/>
    <col min="3" max="3" width="3.5" customWidth="1"/>
    <col min="4" max="4" width="13" bestFit="1" customWidth="1"/>
    <col min="5" max="5" width="12" bestFit="1" customWidth="1"/>
    <col min="6" max="6" width="3.83203125" customWidth="1"/>
    <col min="8" max="8" width="12.6640625" bestFit="1" customWidth="1"/>
    <col min="9" max="9" width="11.5" bestFit="1" customWidth="1"/>
    <col min="10" max="10" width="5.83203125" customWidth="1"/>
    <col min="13" max="13" width="3.6640625" customWidth="1"/>
  </cols>
  <sheetData>
    <row r="1" spans="1:15" s="2" customFormat="1" ht="21" x14ac:dyDescent="0.25">
      <c r="A1" s="2" t="s">
        <v>20</v>
      </c>
      <c r="K1" s="2" t="s">
        <v>27</v>
      </c>
    </row>
    <row r="3" spans="1:15" x14ac:dyDescent="0.2">
      <c r="A3" t="s">
        <v>21</v>
      </c>
      <c r="B3" s="1">
        <v>398600.44150000002</v>
      </c>
    </row>
    <row r="5" spans="1:15" x14ac:dyDescent="0.2">
      <c r="B5" s="1">
        <v>10000</v>
      </c>
      <c r="K5" t="s">
        <v>4</v>
      </c>
      <c r="L5" s="1">
        <f>B13</f>
        <v>25015.181022316403</v>
      </c>
    </row>
    <row r="6" spans="1:15" x14ac:dyDescent="0.2">
      <c r="A6" t="s">
        <v>0</v>
      </c>
      <c r="B6" s="1">
        <v>40000</v>
      </c>
      <c r="D6" t="s">
        <v>1</v>
      </c>
      <c r="E6" s="7">
        <f>SQRT(B5*B5+B6*B6+B7*B7)</f>
        <v>41533.119314590374</v>
      </c>
      <c r="K6" t="s">
        <v>7</v>
      </c>
      <c r="L6" s="1">
        <f>E16</f>
        <v>0.70797717066232446</v>
      </c>
    </row>
    <row r="7" spans="1:15" x14ac:dyDescent="0.2">
      <c r="B7" s="1">
        <v>-5000</v>
      </c>
      <c r="K7" t="s">
        <v>11</v>
      </c>
      <c r="L7" s="1">
        <f>E23</f>
        <v>6.9707292087307264</v>
      </c>
      <c r="N7" t="s">
        <v>10</v>
      </c>
      <c r="O7" s="8">
        <f>RADIANS(L7)</f>
        <v>0.12166217595729023</v>
      </c>
    </row>
    <row r="8" spans="1:15" x14ac:dyDescent="0.2">
      <c r="K8" t="s">
        <v>15</v>
      </c>
      <c r="L8" s="1">
        <f>E29</f>
        <v>173.29016319224303</v>
      </c>
      <c r="N8" t="s">
        <v>14</v>
      </c>
      <c r="O8" s="8">
        <f t="shared" ref="O8:O10" si="0">RADIANS(L8)</f>
        <v>3.0244839090229281</v>
      </c>
    </row>
    <row r="9" spans="1:15" x14ac:dyDescent="0.2">
      <c r="B9" s="1">
        <v>-1.5</v>
      </c>
      <c r="K9" t="s">
        <v>17</v>
      </c>
      <c r="L9" s="1">
        <f>E31</f>
        <v>91.552887356747405</v>
      </c>
      <c r="N9" t="s">
        <v>16</v>
      </c>
      <c r="O9" s="8">
        <f t="shared" si="0"/>
        <v>1.5978993240827306</v>
      </c>
    </row>
    <row r="10" spans="1:15" x14ac:dyDescent="0.2">
      <c r="A10" t="s">
        <v>3</v>
      </c>
      <c r="B10" s="1">
        <v>1</v>
      </c>
      <c r="D10" t="s">
        <v>2</v>
      </c>
      <c r="E10" s="7">
        <f>SQRT(B9*B9+B10*B10+B11*B11)</f>
        <v>1.8055470085267789</v>
      </c>
      <c r="K10" t="s">
        <v>19</v>
      </c>
      <c r="L10" s="1">
        <f>E33</f>
        <v>171.17427875609746</v>
      </c>
      <c r="N10" t="s">
        <v>18</v>
      </c>
      <c r="O10" s="8">
        <f t="shared" si="0"/>
        <v>2.9875547590204845</v>
      </c>
    </row>
    <row r="11" spans="1:15" x14ac:dyDescent="0.2">
      <c r="B11" s="1">
        <v>-0.1</v>
      </c>
    </row>
    <row r="12" spans="1:15" x14ac:dyDescent="0.2">
      <c r="A12" s="12" t="s">
        <v>30</v>
      </c>
      <c r="K12" t="s">
        <v>28</v>
      </c>
      <c r="L12" s="8">
        <f>IF(L9+L10&lt;=360,L9+L10,(L9+L10)-360)</f>
        <v>262.72716611284488</v>
      </c>
      <c r="N12" t="s">
        <v>29</v>
      </c>
      <c r="O12" s="8">
        <f>RADIANS(L12)</f>
        <v>4.5854540831032153</v>
      </c>
    </row>
    <row r="13" spans="1:15" x14ac:dyDescent="0.2">
      <c r="A13" t="s">
        <v>4</v>
      </c>
      <c r="B13" s="6">
        <f>E6/(2-(E6*E10*E10/B3))</f>
        <v>25015.181022316403</v>
      </c>
    </row>
    <row r="14" spans="1:15" x14ac:dyDescent="0.2">
      <c r="A14" s="12" t="s">
        <v>31</v>
      </c>
      <c r="K14" t="s">
        <v>1</v>
      </c>
      <c r="L14" s="7">
        <f>L5*(1-L6*L6)/(1+L6*COS(O10))</f>
        <v>41533.119314590367</v>
      </c>
    </row>
    <row r="15" spans="1:15" x14ac:dyDescent="0.2">
      <c r="B15" s="7">
        <f>H16*B5-I16*B9</f>
        <v>-6.3024788146611943E-2</v>
      </c>
      <c r="G15" s="3" t="s">
        <v>6</v>
      </c>
      <c r="H15" s="4" t="s">
        <v>22</v>
      </c>
      <c r="I15" s="5" t="s">
        <v>23</v>
      </c>
    </row>
    <row r="16" spans="1:15" x14ac:dyDescent="0.2">
      <c r="A16" t="s">
        <v>5</v>
      </c>
      <c r="B16" s="7">
        <f>H16*B6-I16*B10</f>
        <v>-0.69991601733520392</v>
      </c>
      <c r="D16" t="s">
        <v>7</v>
      </c>
      <c r="E16" s="6">
        <f>SQRT(B15*B15+B16*B16+B17*B17)</f>
        <v>0.70797717066232446</v>
      </c>
      <c r="H16" s="3">
        <f>(E10*E10/B3-1/E6)</f>
        <v>-1.5898554487848827E-5</v>
      </c>
      <c r="I16" s="3">
        <f>(B5*B9+B6*B10+B7*B11)/B3</f>
        <v>6.3973837821250878E-2</v>
      </c>
      <c r="K16" t="s">
        <v>2</v>
      </c>
      <c r="L16" s="7">
        <f>SQRT(2*B3/L14-B3/L5)</f>
        <v>1.8055470085267808</v>
      </c>
    </row>
    <row r="17" spans="1:12" x14ac:dyDescent="0.2">
      <c r="B17" s="7">
        <f>H16*B7-I16*B11</f>
        <v>8.5890156221369224E-2</v>
      </c>
    </row>
    <row r="18" spans="1:12" x14ac:dyDescent="0.2">
      <c r="A18" s="12" t="s">
        <v>32</v>
      </c>
      <c r="K18" t="s">
        <v>8</v>
      </c>
      <c r="L18" s="7">
        <f>SQRT(B3*L5*(1-L6*L6))</f>
        <v>70521.273386120869</v>
      </c>
    </row>
    <row r="19" spans="1:12" x14ac:dyDescent="0.2">
      <c r="B19" s="7">
        <f>B6*B11-B7*B10</f>
        <v>1000</v>
      </c>
    </row>
    <row r="20" spans="1:12" x14ac:dyDescent="0.2">
      <c r="A20" t="s">
        <v>9</v>
      </c>
      <c r="B20" s="7">
        <f>B7*B9-B5*B11</f>
        <v>8500</v>
      </c>
      <c r="D20" t="s">
        <v>8</v>
      </c>
      <c r="E20" s="7">
        <f>SQRT(B19*B19+B20*B20+B21*B21)</f>
        <v>70521.273386120869</v>
      </c>
      <c r="L20" s="9">
        <f>L14*(COS(O8)*COS(O12)-SIN(O8)*SIN(O12)*COS(O7))</f>
        <v>10000.00000000006</v>
      </c>
    </row>
    <row r="21" spans="1:12" x14ac:dyDescent="0.2">
      <c r="B21" s="7">
        <f>B5*B10-B6*B9</f>
        <v>70000</v>
      </c>
      <c r="K21" t="s">
        <v>0</v>
      </c>
      <c r="L21" s="9">
        <f>L14*(SIN(O8)*COS(O12)+COS(O8)*SIN(O12)*COS(O7))</f>
        <v>39999.999999999971</v>
      </c>
    </row>
    <row r="22" spans="1:12" x14ac:dyDescent="0.2">
      <c r="L22" s="9">
        <f>L14*SIN(O12)*SIN(O7)</f>
        <v>-4999.9999999999945</v>
      </c>
    </row>
    <row r="23" spans="1:12" x14ac:dyDescent="0.2">
      <c r="A23" t="s">
        <v>10</v>
      </c>
      <c r="B23" s="7">
        <f>IF(B21&gt;=0,ACOS(B21/E20),ACOS(B21/E20))</f>
        <v>0.12166217595729023</v>
      </c>
      <c r="D23" t="s">
        <v>11</v>
      </c>
      <c r="E23" s="6">
        <f>B23*180/PI()</f>
        <v>6.9707292087307264</v>
      </c>
    </row>
    <row r="24" spans="1:12" x14ac:dyDescent="0.2">
      <c r="A24" s="12" t="s">
        <v>33</v>
      </c>
      <c r="L24" s="9">
        <f>-B3/L18*(COS(O8)*(SIN(O12)+L6*SIN(O9))+SIN(O8)*(COS(O12)+L6*COS(O9))*COS(O7))</f>
        <v>-1.4999999999999973</v>
      </c>
    </row>
    <row r="25" spans="1:12" x14ac:dyDescent="0.2">
      <c r="B25" s="7">
        <f>-B20/E20</f>
        <v>-0.12053100563656109</v>
      </c>
      <c r="K25" t="s">
        <v>3</v>
      </c>
      <c r="L25" s="9">
        <f>-B3/L18*(SIN(O8)*(SIN(O12)+L6*SIN(O9))-COS(O8)*(COS(O12)+L6*COS(O9))*COS(O7))</f>
        <v>1.0000000000000042</v>
      </c>
    </row>
    <row r="26" spans="1:12" x14ac:dyDescent="0.2">
      <c r="A26" t="s">
        <v>13</v>
      </c>
      <c r="B26" s="7">
        <f>B19/E20</f>
        <v>1.4180118310183657E-2</v>
      </c>
      <c r="D26" t="s">
        <v>12</v>
      </c>
      <c r="E26" s="7">
        <f>SQRT(B25*B25+B26*B26+B27*B27)</f>
        <v>0.1213622638016098</v>
      </c>
      <c r="L26" s="9">
        <f>B3/L18*(COS(O12)+L6*COS(O9))*SIN(O7)</f>
        <v>-0.10000000000000032</v>
      </c>
    </row>
    <row r="27" spans="1:12" x14ac:dyDescent="0.2">
      <c r="B27" s="7">
        <v>0</v>
      </c>
    </row>
    <row r="28" spans="1:12" x14ac:dyDescent="0.2">
      <c r="B28" s="11">
        <f>ACOS(B25/E26)</f>
        <v>3.0244839090229285</v>
      </c>
    </row>
    <row r="29" spans="1:12" x14ac:dyDescent="0.2">
      <c r="A29" t="s">
        <v>14</v>
      </c>
      <c r="B29" s="7">
        <f>IF(B26&gt;=0,B28,2*PI()-B28)</f>
        <v>3.0244839090229285</v>
      </c>
      <c r="D29" t="s">
        <v>15</v>
      </c>
      <c r="E29" s="6">
        <f>B29*180/PI()</f>
        <v>173.29016319224303</v>
      </c>
    </row>
    <row r="30" spans="1:12" x14ac:dyDescent="0.2">
      <c r="A30" s="12" t="s">
        <v>34</v>
      </c>
      <c r="B30" s="11">
        <f>ACOS(H32)</f>
        <v>1.5978993240827306</v>
      </c>
    </row>
    <row r="31" spans="1:12" x14ac:dyDescent="0.2">
      <c r="A31" t="s">
        <v>16</v>
      </c>
      <c r="B31" s="7">
        <f>IF(B17&gt;=0,B30,2*PI()-B30)</f>
        <v>1.5978993240827306</v>
      </c>
      <c r="D31" t="s">
        <v>17</v>
      </c>
      <c r="E31" s="6">
        <f>B31*180/PI()</f>
        <v>91.552887356747405</v>
      </c>
      <c r="G31" s="3" t="s">
        <v>6</v>
      </c>
      <c r="H31" s="4" t="s">
        <v>25</v>
      </c>
    </row>
    <row r="32" spans="1:12" x14ac:dyDescent="0.2">
      <c r="A32" s="12" t="s">
        <v>35</v>
      </c>
      <c r="B32" s="11">
        <f>ACOS(H34)</f>
        <v>2.9875547590204841</v>
      </c>
      <c r="H32" s="3">
        <f>(B25*B15+B26*B16+B27*B17)/E26/E16</f>
        <v>-2.7099679223796937E-2</v>
      </c>
    </row>
    <row r="33" spans="1:9" x14ac:dyDescent="0.2">
      <c r="A33" t="s">
        <v>18</v>
      </c>
      <c r="B33" s="7">
        <f>IF(I34&gt;=0,B32,2*PI()-B32)</f>
        <v>2.9875547590204841</v>
      </c>
      <c r="D33" t="s">
        <v>19</v>
      </c>
      <c r="E33" s="6">
        <f>B33*180/PI()</f>
        <v>171.17427875609746</v>
      </c>
      <c r="G33" s="3" t="s">
        <v>6</v>
      </c>
      <c r="H33" s="4" t="s">
        <v>24</v>
      </c>
      <c r="I33" s="5" t="s">
        <v>26</v>
      </c>
    </row>
    <row r="34" spans="1:9" x14ac:dyDescent="0.2">
      <c r="H34" s="10">
        <f>(B15*B5+B16*B6+B17*B7)/E16/E6</f>
        <v>-0.98815960340839404</v>
      </c>
      <c r="I34" s="3">
        <f>B5*B9+B6*B10+B7*B11</f>
        <v>25500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20.0</vt:lpstr>
    </vt:vector>
  </TitlesOfParts>
  <Company>FB-1 &amp; FB-2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Dachwald</dc:creator>
  <cp:lastModifiedBy>Bernd Dachwald</cp:lastModifiedBy>
  <dcterms:created xsi:type="dcterms:W3CDTF">2008-03-24T14:41:51Z</dcterms:created>
  <dcterms:modified xsi:type="dcterms:W3CDTF">2020-11-18T08:21:06Z</dcterms:modified>
</cp:coreProperties>
</file>