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karthpatel/Documents/Equity Class/"/>
    </mc:Choice>
  </mc:AlternateContent>
  <xr:revisionPtr revIDLastSave="0" documentId="13_ncr:1_{3A1051E6-1122-D947-BC64-EBA46E39EAC8}" xr6:coauthVersionLast="47" xr6:coauthVersionMax="47" xr10:uidLastSave="{00000000-0000-0000-0000-000000000000}"/>
  <bookViews>
    <workbookView xWindow="0" yWindow="660" windowWidth="25600" windowHeight="15980" xr2:uid="{00000000-000D-0000-FFFF-FFFF00000000}"/>
  </bookViews>
  <sheets>
    <sheet name="DCF" sheetId="4" r:id="rId1"/>
    <sheet name="DDM" sheetId="6" r:id="rId2"/>
    <sheet name="Income Statement" sheetId="2" r:id="rId3"/>
    <sheet name="Common sized IS" sheetId="3" r:id="rId4"/>
    <sheet name="PPE" sheetId="5" r:id="rId5"/>
  </sheets>
  <externalReferences>
    <externalReference r:id="rId6"/>
  </externalReferences>
  <definedNames>
    <definedName name="_xlchart.v1.0" hidden="1">'[1]DCF Model'!$L$59:$L$61</definedName>
    <definedName name="_xlchart.v1.1" hidden="1">DCF!$N$58:$N$60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H9" i="6" l="1"/>
  <c r="E17" i="6"/>
  <c r="E16" i="6"/>
  <c r="E15" i="6"/>
  <c r="E14" i="6"/>
  <c r="E13" i="6"/>
  <c r="E12" i="6"/>
  <c r="E11" i="6"/>
  <c r="E10" i="6"/>
  <c r="E9" i="6"/>
  <c r="K11" i="6" s="1"/>
  <c r="D42" i="4"/>
  <c r="H13" i="6" l="1"/>
  <c r="N6" i="5"/>
  <c r="E45" i="4"/>
  <c r="E46" i="4"/>
  <c r="D18" i="2"/>
  <c r="E18" i="2"/>
  <c r="F18" i="2"/>
  <c r="M18" i="2" s="1"/>
  <c r="O17" i="2" s="1"/>
  <c r="G18" i="2"/>
  <c r="H18" i="2"/>
  <c r="I18" i="2"/>
  <c r="J18" i="2"/>
  <c r="K18" i="2"/>
  <c r="L18" i="2"/>
  <c r="C18" i="2"/>
  <c r="O30" i="2"/>
  <c r="G43" i="4" s="1"/>
  <c r="P30" i="2"/>
  <c r="H43" i="4" s="1"/>
  <c r="Q30" i="2"/>
  <c r="I43" i="4" s="1"/>
  <c r="R30" i="2"/>
  <c r="J43" i="4" s="1"/>
  <c r="N30" i="2"/>
  <c r="F43" i="4" s="1"/>
  <c r="G40" i="4"/>
  <c r="H40" i="4"/>
  <c r="I40" i="4"/>
  <c r="J40" i="4"/>
  <c r="F40" i="4"/>
  <c r="G37" i="4"/>
  <c r="G42" i="4" s="1"/>
  <c r="H37" i="4"/>
  <c r="H42" i="4" s="1"/>
  <c r="I37" i="4"/>
  <c r="I42" i="4" s="1"/>
  <c r="J37" i="4"/>
  <c r="J46" i="4" s="1"/>
  <c r="F37" i="4"/>
  <c r="F42" i="4" s="1"/>
  <c r="D28" i="4"/>
  <c r="I59" i="4" s="1"/>
  <c r="E44" i="4"/>
  <c r="E43" i="4"/>
  <c r="E41" i="4"/>
  <c r="E39" i="4"/>
  <c r="E37" i="4"/>
  <c r="D46" i="4" s="1"/>
  <c r="D24" i="4"/>
  <c r="D29" i="2"/>
  <c r="E29" i="2"/>
  <c r="F29" i="2"/>
  <c r="G29" i="2"/>
  <c r="H29" i="2"/>
  <c r="I29" i="2"/>
  <c r="J29" i="2"/>
  <c r="K29" i="2"/>
  <c r="L29" i="2"/>
  <c r="C29" i="2"/>
  <c r="I56" i="4"/>
  <c r="D56" i="4"/>
  <c r="I55" i="4"/>
  <c r="D55" i="4"/>
  <c r="F36" i="4"/>
  <c r="G36" i="4" s="1"/>
  <c r="H36" i="4" s="1"/>
  <c r="I36" i="4" s="1"/>
  <c r="J36" i="4" s="1"/>
  <c r="G46" i="4" l="1"/>
  <c r="I46" i="4"/>
  <c r="H46" i="4"/>
  <c r="G45" i="4"/>
  <c r="G44" i="4"/>
  <c r="N58" i="4"/>
  <c r="D27" i="4"/>
  <c r="R17" i="2"/>
  <c r="J44" i="4" s="1"/>
  <c r="Q17" i="2"/>
  <c r="P17" i="2"/>
  <c r="F46" i="4"/>
  <c r="J42" i="4"/>
  <c r="N17" i="2"/>
  <c r="H14" i="6"/>
  <c r="M29" i="2"/>
  <c r="D19" i="4" s="1"/>
  <c r="D20" i="4" s="1"/>
  <c r="D39" i="4"/>
  <c r="D45" i="4"/>
  <c r="E40" i="4"/>
  <c r="E42" i="4" s="1"/>
  <c r="I57" i="4"/>
  <c r="F38" i="4"/>
  <c r="G38" i="4"/>
  <c r="E47" i="4" l="1"/>
  <c r="N65" i="4"/>
  <c r="H45" i="4"/>
  <c r="H44" i="4"/>
  <c r="I45" i="4"/>
  <c r="I44" i="4"/>
  <c r="F45" i="4"/>
  <c r="F44" i="4"/>
  <c r="N38" i="4"/>
  <c r="H38" i="4"/>
  <c r="F47" i="4" l="1"/>
  <c r="F49" i="4" s="1"/>
  <c r="F50" i="4" s="1"/>
  <c r="N64" i="4"/>
  <c r="C66" i="4" s="1"/>
  <c r="N66" i="4"/>
  <c r="C68" i="4" s="1"/>
  <c r="G47" i="4"/>
  <c r="G49" i="4" s="1"/>
  <c r="G50" i="4" s="1"/>
  <c r="H47" i="4"/>
  <c r="H49" i="4" s="1"/>
  <c r="H50" i="4" s="1"/>
  <c r="I38" i="4"/>
  <c r="I47" i="4" l="1"/>
  <c r="I49" i="4" s="1"/>
  <c r="I50" i="4" s="1"/>
  <c r="J38" i="4"/>
  <c r="J47" i="4" l="1"/>
  <c r="N37" i="4" s="1"/>
  <c r="N39" i="4" s="1"/>
  <c r="J48" i="4" s="1"/>
  <c r="J49" i="4" l="1"/>
  <c r="J50" i="4" s="1"/>
  <c r="D54" i="4" s="1"/>
  <c r="D57" i="4" s="1"/>
  <c r="D59" i="4" s="1"/>
  <c r="E66" i="4" s="1"/>
  <c r="N47" i="4"/>
  <c r="N59" i="4" l="1"/>
  <c r="N60" i="4" s="1"/>
  <c r="E68" i="4"/>
  <c r="N54" i="4"/>
  <c r="R7" i="2"/>
  <c r="Q7" i="2"/>
  <c r="P7" i="2"/>
  <c r="O7" i="2"/>
  <c r="N7" i="2"/>
  <c r="L7" i="2"/>
  <c r="K7" i="2"/>
  <c r="J7" i="2"/>
  <c r="I7" i="2"/>
  <c r="H7" i="2"/>
  <c r="G7" i="2"/>
  <c r="F7" i="2"/>
  <c r="E7" i="2"/>
  <c r="D7" i="2"/>
  <c r="S7" i="2" l="1"/>
  <c r="M7" i="2"/>
</calcChain>
</file>

<file path=xl/sharedStrings.xml><?xml version="1.0" encoding="utf-8"?>
<sst xmlns="http://schemas.openxmlformats.org/spreadsheetml/2006/main" count="389" uniqueCount="216">
  <si>
    <t>Revenue</t>
  </si>
  <si>
    <t>Gross Profit</t>
  </si>
  <si>
    <t>Reference Items</t>
  </si>
  <si>
    <t>Right click to show data transparency (not supported for all values)</t>
  </si>
  <si>
    <t>Target Corp (TGT US) - BBG GAAP</t>
  </si>
  <si>
    <t>In Millions of USD except Per Share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</si>
  <si>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</si>
  <si>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</si>
  <si>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</si>
  <si>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</si>
  <si>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</si>
  <si>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</si>
  <si>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</si>
  <si>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</si>
  <si>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</si>
  <si>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</si>
  <si>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12 Months Ending</t>
  </si>
  <si>
    <t>01/31/2015</t>
  </si>
  <si>
    <t>01/30/2016</t>
  </si>
  <si>
    <t>01/28/2017</t>
  </si>
  <si>
    <t>02/03/2018</t>
  </si>
  <si>
    <t>02/02/2019</t>
  </si>
  <si>
    <t>02/01/2020</t>
  </si>
  <si>
    <t>01/30/2021</t>
  </si>
  <si>
    <t>01/29/2022</t>
  </si>
  <si>
    <t>01/28/2023</t>
  </si>
  <si>
    <t>02/03/2024</t>
  </si>
  <si>
    <t xml:space="preserve">    + Sales &amp; Services Revenue</t>
  </si>
  <si>
    <t xml:space="preserve">    + Other Revenue</t>
  </si>
  <si>
    <t xml:space="preserve">  - Cost of Revenue</t>
  </si>
  <si>
    <t xml:space="preserve">    + Cost of Goods &amp; Services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</si>
  <si>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</si>
  <si>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</si>
  <si>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</si>
  <si>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Research &amp; Development</t>
  </si>
  <si>
    <t xml:space="preserve">    + Depreciation &amp; Amortization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</si>
  <si>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</si>
  <si>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</si>
  <si>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</si>
  <si>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</si>
  <si>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</si>
  <si>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</si>
  <si>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</si>
  <si>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</si>
  <si>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</si>
  <si>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</t>
  </si>
  <si>
    <t xml:space="preserve">  - Income Tax Expense (Benefit)</t>
  </si>
  <si>
    <t xml:space="preserve">    + Current Income Tax</t>
  </si>
  <si>
    <t xml:space="preserve">    + Deferred Income Tax</t>
  </si>
  <si>
    <t xml:space="preserve">    + Tax Allowance/Credit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</si>
  <si>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</si>
  <si>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</si>
  <si>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</si>
  <si>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</si>
  <si>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</si>
  <si>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</si>
  <si>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</si>
  <si>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</si>
  <si>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</si>
  <si>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</si>
  <si>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</si>
  <si>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</si>
  <si>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</si>
  <si>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</si>
  <si>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</si>
  <si>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</si>
  <si>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</si>
  <si>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</si>
  <si>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</si>
  <si>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</si>
  <si>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</si>
  <si>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Accounting Standard</t>
  </si>
  <si>
    <t>US GAAP</t>
  </si>
  <si>
    <t>EBITDA</t>
  </si>
  <si>
    <t>EBITDA Margin (T12M)</t>
  </si>
  <si>
    <t>EBITA</t>
  </si>
  <si>
    <t>EBIT</t>
  </si>
  <si>
    <t>Gross Margin</t>
  </si>
  <si>
    <t>Operating Margin</t>
  </si>
  <si>
    <t>Profit Margin</t>
  </si>
  <si>
    <t>Sales per Employee</t>
  </si>
  <si>
    <t>Dividends per Share</t>
  </si>
  <si>
    <t>Total Cash Common Dividends</t>
  </si>
  <si>
    <t>Capitalized Interest Expense</t>
  </si>
  <si>
    <t>Depreciation Expense</t>
  </si>
  <si>
    <t>Rental Expense</t>
  </si>
  <si>
    <t>Source: Bloomberg</t>
  </si>
  <si>
    <t>—</t>
  </si>
  <si>
    <t>FY 2025 Est</t>
  </si>
  <si>
    <t>FY 2026 Est</t>
  </si>
  <si>
    <t>FY 2027 Est</t>
  </si>
  <si>
    <t>FY 2028 Est</t>
  </si>
  <si>
    <t>FY 2029 Est</t>
  </si>
  <si>
    <t>01/31/2025</t>
  </si>
  <si>
    <t>01/31/2026</t>
  </si>
  <si>
    <t>01/31/2027</t>
  </si>
  <si>
    <t>01/31/2028</t>
  </si>
  <si>
    <t>01/31/2029</t>
  </si>
  <si>
    <t>Target Corp (TGT US) - GAAP %</t>
  </si>
  <si>
    <t>%growth</t>
  </si>
  <si>
    <t>Avg G rates</t>
  </si>
  <si>
    <t>Operating Income/EBIT (Loss)</t>
  </si>
  <si>
    <t>Projected…</t>
  </si>
  <si>
    <t>Step 1: Input all assumptions and metrics in the blanks</t>
  </si>
  <si>
    <t>Step 3: Calculate the fixed capital investments</t>
  </si>
  <si>
    <t>To find FC:</t>
  </si>
  <si>
    <t>FC = Closing NET PPE - Opening NET PPE + NCC</t>
  </si>
  <si>
    <t>Step 3: Calculate the net working capital</t>
  </si>
  <si>
    <t>There are two ways to find NWC:</t>
  </si>
  <si>
    <t>1. NWC = Current Assets (less cash) - Current Liabilities (less debt)</t>
  </si>
  <si>
    <t>2. NWC = Accounts Receivable + Inventory - Accounts Payable</t>
  </si>
  <si>
    <t>Step 4: Calculate  FCFF = EBIT(1- tax rate) + NCC + NWC + NFC</t>
  </si>
  <si>
    <t>Step 5: Calculate Terminal Value at year 5</t>
  </si>
  <si>
    <t>Step 6: Discount FCFF at T0 to get firm value</t>
  </si>
  <si>
    <t>Step 7: To get euity value = Firm value + Cash - Debt and then divide equity value by number of shares outstanding to get price per share</t>
  </si>
  <si>
    <t>DCF Model for NIKE</t>
  </si>
  <si>
    <t>Assumptions</t>
  </si>
  <si>
    <t>Tax Rate</t>
  </si>
  <si>
    <t>WACC (Discount Rate for FCFF)</t>
  </si>
  <si>
    <t>Perpetural Growth Rate</t>
  </si>
  <si>
    <t>Wd</t>
  </si>
  <si>
    <t>Ke (CAPM)</t>
  </si>
  <si>
    <t>Current Market Price</t>
  </si>
  <si>
    <t>Shares Outstanding</t>
  </si>
  <si>
    <t>Mil</t>
  </si>
  <si>
    <t>Debt</t>
  </si>
  <si>
    <t>Mil $</t>
  </si>
  <si>
    <t>Cash</t>
  </si>
  <si>
    <t>Actual</t>
  </si>
  <si>
    <t>Discounted Cash Flow</t>
  </si>
  <si>
    <t>% of REV</t>
  </si>
  <si>
    <t>Terminal Value</t>
  </si>
  <si>
    <t>Revenue (M$)</t>
  </si>
  <si>
    <t>Perpetural Growth</t>
  </si>
  <si>
    <t>%change</t>
  </si>
  <si>
    <t>COGS</t>
  </si>
  <si>
    <t>Operating Expense</t>
  </si>
  <si>
    <t>EBIT (Op. Profit)</t>
  </si>
  <si>
    <t>Less: Cash Taxes</t>
  </si>
  <si>
    <t>Plus: D&amp;A</t>
  </si>
  <si>
    <t>Less: Capex</t>
  </si>
  <si>
    <t>Less: Changes in NWC</t>
  </si>
  <si>
    <t>FCFF</t>
  </si>
  <si>
    <t>Transaction CF</t>
  </si>
  <si>
    <t>Intrinsic Value</t>
  </si>
  <si>
    <t>Market Value</t>
  </si>
  <si>
    <t>Rate of Return</t>
  </si>
  <si>
    <t>Firm Value</t>
  </si>
  <si>
    <t>Market Cap</t>
  </si>
  <si>
    <t>Target Price Upside</t>
  </si>
  <si>
    <t>Plus: Cash</t>
  </si>
  <si>
    <t>Plus: Debt</t>
  </si>
  <si>
    <t>Less: Debt</t>
  </si>
  <si>
    <t>Less: Cash</t>
  </si>
  <si>
    <t>Equity Value</t>
  </si>
  <si>
    <t>M$</t>
  </si>
  <si>
    <t>Enterprise Value</t>
  </si>
  <si>
    <t>Market Value vs Intrinsic Value</t>
  </si>
  <si>
    <t>Equity Value/Share</t>
  </si>
  <si>
    <t>USD</t>
  </si>
  <si>
    <t>Upside</t>
  </si>
  <si>
    <t>TGT adjusted beta 5Y</t>
  </si>
  <si>
    <t>Kd pre tax</t>
  </si>
  <si>
    <t>We (use MV of Eq)</t>
  </si>
  <si>
    <t>(D&amp;A as % of Revenue)</t>
  </si>
  <si>
    <t>Target Corp- Company Financial (Multiple Periods)</t>
  </si>
  <si>
    <t>TGT US Equity    Periodicity:A    Currency:USD    Estimate Source:BST    Actual Source:Bloomberg</t>
  </si>
  <si>
    <t>In Millions of USD</t>
  </si>
  <si>
    <t>2020 A (Rep)</t>
  </si>
  <si>
    <t>2021 A (Rep)</t>
  </si>
  <si>
    <t>2022 A (Rep)</t>
  </si>
  <si>
    <t>2023 A (Rep)</t>
  </si>
  <si>
    <t>2024 A (Rep)</t>
  </si>
  <si>
    <t>2025 A (Fwd)</t>
  </si>
  <si>
    <t>2026 A (Fwd)</t>
  </si>
  <si>
    <t>2027 A (Fwd)</t>
  </si>
  <si>
    <t>2028 A (Fwd)</t>
  </si>
  <si>
    <t>2029 A (Fwd)</t>
  </si>
  <si>
    <t xml:space="preserve">      Property, Plant &amp; Equipment</t>
  </si>
  <si>
    <t>Field Expression</t>
  </si>
  <si>
    <t>Calcrt Field</t>
  </si>
  <si>
    <t>Segment Id</t>
  </si>
  <si>
    <t>CB_BS_PP_AND_E_NET</t>
  </si>
  <si>
    <t>Property, Plant &amp; Equipment</t>
  </si>
  <si>
    <t>TV/FCFF Multiple</t>
  </si>
  <si>
    <t>Operating Margin Sensitivity Analysis</t>
  </si>
  <si>
    <t>Sensitivity Analysis</t>
  </si>
  <si>
    <t>Scenario Analysis</t>
  </si>
  <si>
    <t>EBIT Margin</t>
  </si>
  <si>
    <t>Change From Base</t>
  </si>
  <si>
    <t>Base Case</t>
  </si>
  <si>
    <t xml:space="preserve"> -</t>
  </si>
  <si>
    <t>EV/EBITDA</t>
  </si>
  <si>
    <t>Average</t>
  </si>
  <si>
    <t>Note For Professor : Kindly Find the steps we followed to make this model</t>
  </si>
  <si>
    <t>Step 2: Input Revenue, COGS, Operating expense, D&amp;A from Financial Statements (to construct the model we have used Bloomberg projection for 5 years)</t>
  </si>
  <si>
    <t>Note for Professor : Kindly use the below dropdown to change operating margins</t>
  </si>
  <si>
    <t>Target Corp (TGT US) - DDM</t>
  </si>
  <si>
    <t>Dividend Discount Model (DDM)</t>
  </si>
  <si>
    <t>Target Corporation (TGT)</t>
  </si>
  <si>
    <t>Year</t>
  </si>
  <si>
    <t>Quarterly Dividend</t>
  </si>
  <si>
    <t>Annual Dividend</t>
  </si>
  <si>
    <t>Growth</t>
  </si>
  <si>
    <t>Growth (g)</t>
  </si>
  <si>
    <t>Rf</t>
  </si>
  <si>
    <t>Required Return (r)</t>
  </si>
  <si>
    <t>Rm</t>
  </si>
  <si>
    <t>Actual Price</t>
  </si>
  <si>
    <t>D1</t>
  </si>
  <si>
    <t>DDM Price</t>
  </si>
  <si>
    <t>Overvalued or Undervalued</t>
  </si>
  <si>
    <t>ss</t>
  </si>
  <si>
    <t xml:space="preserve"> + 50Basis Points </t>
  </si>
  <si>
    <t xml:space="preserve"> - 50 Basis Points</t>
  </si>
  <si>
    <t>Beta (Adj)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</si>
</sst>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%"/>
    <numFmt numFmtId="166" formatCode="#,##0.000"/>
    <numFmt numFmtId="167" formatCode="_-* #,##0_-;\(#,##0\)_-;_-* &quot;-&quot;_-;_-@_-"/>
    <numFmt numFmtId="168" formatCode="0.00\x"/>
    <numFmt numFmtId="169" formatCode="_-* #,##0_-;\-* #,##0_-;_-* &quot;-&quot;??_-;_-@_-"/>
    <numFmt numFmtId="170" formatCode="&quot;FY&quot;0"/>
    <numFmt numFmtId="171" formatCode="_(* #,##0_);_(* \(#,##0\);_(* &quot;-&quot;??_);_(@_)"/>
    <numFmt numFmtId="172" formatCode="0.000"/>
    <numFmt numFmtId="173" formatCode="_-* #,##0.000_-;\(#,##0.000\)_-;_-* &quot;-&quot;_-;_-@_-"/>
    <numFmt numFmtId="174" formatCode="_-* #,##0.00_-;\(#,##0.00\)_-;_-* &quot;-&quot;_-;_-@_-"/>
    <numFmt numFmtId="175" formatCode="0.000%"/>
  </numFmts>
  <fonts count="5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6"/>
      <color rgb="FFFFFFFF"/>
      <name val="Arial"/>
      <family val="2"/>
    </font>
    <font>
      <sz val="10"/>
      <color rgb="FF333333"/>
      <name val="Arial"/>
      <family val="2"/>
    </font>
    <font>
      <i/>
      <sz val="10"/>
      <color rgb="FF333333"/>
      <name val="Arial"/>
      <family val="2"/>
    </font>
    <font>
      <i/>
      <sz val="10"/>
      <color theme="0" tint="-0.499984740745262"/>
      <name val="Arial"/>
      <family val="2"/>
    </font>
    <font>
      <sz val="10"/>
      <color theme="0"/>
      <name val="Open Sans Regular"/>
    </font>
    <font>
      <b/>
      <sz val="10"/>
      <color theme="0"/>
      <name val="Open Sans Regular"/>
    </font>
    <font>
      <sz val="10"/>
      <color theme="1"/>
      <name val="Open Sans Regular"/>
    </font>
    <font>
      <b/>
      <sz val="10"/>
      <color theme="1"/>
      <name val="Open Sans Regular"/>
    </font>
    <font>
      <sz val="10"/>
      <color rgb="FF0000FF"/>
      <name val="Open Sans Regular"/>
    </font>
    <font>
      <sz val="10"/>
      <name val="Open Sans Regular"/>
    </font>
    <font>
      <sz val="10"/>
      <color rgb="FFFF0000"/>
      <name val="Open Sans Regular"/>
    </font>
    <font>
      <sz val="10"/>
      <color theme="0" tint="-0.249977111117893"/>
      <name val="Open Sans Regular"/>
    </font>
    <font>
      <i/>
      <sz val="10"/>
      <color theme="1"/>
      <name val="Open Sans Regular"/>
    </font>
    <font>
      <i/>
      <sz val="10"/>
      <color rgb="FF0000FF"/>
      <name val="Open Sans Regular"/>
    </font>
    <font>
      <b/>
      <i/>
      <sz val="10"/>
      <color rgb="FF0000FF"/>
      <name val="Open Sans Regular"/>
    </font>
    <font>
      <i/>
      <sz val="10"/>
      <color theme="0" tint="-0.249977111117893"/>
      <name val="Open Sans Regular"/>
    </font>
    <font>
      <sz val="10"/>
      <color theme="0" tint="-0.14999847407452621"/>
      <name val="Open Sans Regular"/>
    </font>
    <font>
      <i/>
      <sz val="11"/>
      <color theme="0" tint="-0.499984740745262"/>
      <name val="Calibri"/>
      <family val="2"/>
      <scheme val="minor"/>
    </font>
    <font>
      <i/>
      <sz val="10"/>
      <color rgb="FF0070C0"/>
      <name val="Arial"/>
      <family val="2"/>
    </font>
    <font>
      <b/>
      <u/>
      <sz val="10"/>
      <color theme="1"/>
      <name val="Open Sans Regula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rgb="FF132E5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5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164" fontId="11" fillId="34" borderId="2">
      <alignment horizontal="right"/>
    </xf>
    <xf numFmtId="165" fontId="11" fillId="34" borderId="2">
      <alignment horizontal="right"/>
    </xf>
    <xf numFmtId="165" fontId="8" fillId="34" borderId="2">
      <alignment horizontal="right"/>
    </xf>
    <xf numFmtId="165" fontId="1" fillId="34" borderId="2">
      <alignment horizontal="right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4" fontId="1" fillId="34" borderId="2"/>
    <xf numFmtId="44" fontId="12" fillId="0" borderId="0" applyFont="0" applyFill="0" applyBorder="0" applyAlignment="0" applyProtection="0"/>
  </cellStyleXfs>
  <cellXfs count="206">
    <xf numFmtId="0" fontId="0" fillId="0" borderId="0" xfId="0"/>
    <xf numFmtId="165" fontId="31" fillId="37" borderId="17" xfId="62" applyFont="1" applyFill="1" applyBorder="1">
      <alignment horizontal="right"/>
    </xf>
    <xf numFmtId="165" fontId="32" fillId="37" borderId="2" xfId="60" applyFont="1" applyFill="1">
      <alignment horizontal="right"/>
    </xf>
    <xf numFmtId="0" fontId="37" fillId="37" borderId="18" xfId="36" applyFont="1" applyFill="1" applyBorder="1"/>
    <xf numFmtId="165" fontId="30" fillId="37" borderId="2" xfId="61" applyFont="1" applyFill="1">
      <alignment horizontal="right"/>
    </xf>
    <xf numFmtId="165" fontId="31" fillId="37" borderId="2" xfId="62" applyFont="1" applyFill="1">
      <alignment horizontal="right"/>
    </xf>
    <xf numFmtId="0" fontId="36" fillId="37" borderId="18" xfId="37" applyFont="1" applyFill="1" applyBorder="1"/>
    <xf numFmtId="0" fontId="30" fillId="37" borderId="18" xfId="35" applyFont="1" applyFill="1" applyBorder="1"/>
    <xf numFmtId="0" fontId="6" fillId="37" borderId="0" xfId="31" applyFill="1" applyBorder="1">
      <alignment horizontal="center"/>
    </xf>
    <xf numFmtId="0" fontId="35" fillId="36" borderId="15" xfId="51" applyFont="1" applyFill="1">
      <alignment horizontal="left" vertical="center" readingOrder="1"/>
    </xf>
    <xf numFmtId="0" fontId="34" fillId="0" borderId="0" xfId="0" applyFont="1"/>
    <xf numFmtId="0" fontId="33" fillId="36" borderId="0" xfId="26" applyFont="1" applyFill="1"/>
    <xf numFmtId="0" fontId="32" fillId="38" borderId="4" xfId="34" applyFont="1" applyFill="1"/>
    <xf numFmtId="4" fontId="31" fillId="37" borderId="2" xfId="55" applyFont="1" applyFill="1">
      <alignment horizontal="right"/>
    </xf>
    <xf numFmtId="3" fontId="31" fillId="37" borderId="2" xfId="53" applyFont="1" applyFill="1">
      <alignment horizontal="right"/>
    </xf>
    <xf numFmtId="4" fontId="30" fillId="37" borderId="2" xfId="58" applyFont="1" applyFill="1">
      <alignment horizontal="right"/>
    </xf>
    <xf numFmtId="3" fontId="30" fillId="37" borderId="2" xfId="56" applyFont="1" applyFill="1">
      <alignment horizontal="right"/>
    </xf>
    <xf numFmtId="164" fontId="32" fillId="37" borderId="2" xfId="59" applyFont="1" applyFill="1">
      <alignment horizontal="right"/>
    </xf>
    <xf numFmtId="164" fontId="31" fillId="37" borderId="2" xfId="54" applyFont="1" applyFill="1">
      <alignment horizontal="right"/>
    </xf>
    <xf numFmtId="164" fontId="30" fillId="37" borderId="2" xfId="57" applyFont="1" applyFill="1">
      <alignment horizontal="right"/>
    </xf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5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64" fontId="1" fillId="34" borderId="2" xfId="54">
      <alignment horizontal="right"/>
    </xf>
    <xf numFmtId="4" fontId="1" fillId="34" borderId="2" xfId="55">
      <alignment horizontal="right"/>
    </xf>
    <xf numFmtId="3" fontId="8" fillId="34" borderId="2" xfId="56">
      <alignment horizontal="right"/>
    </xf>
    <xf numFmtId="164" fontId="8" fillId="34" borderId="2" xfId="57">
      <alignment horizontal="right"/>
    </xf>
    <xf numFmtId="4" fontId="8" fillId="34" borderId="2" xfId="58">
      <alignment horizontal="right"/>
    </xf>
    <xf numFmtId="164" fontId="11" fillId="34" borderId="2" xfId="59">
      <alignment horizontal="right"/>
    </xf>
    <xf numFmtId="166" fontId="38" fillId="34" borderId="2" xfId="57" applyNumberFormat="1" applyFont="1">
      <alignment horizontal="right"/>
    </xf>
    <xf numFmtId="166" fontId="38" fillId="37" borderId="2" xfId="57" applyNumberFormat="1" applyFont="1" applyFill="1">
      <alignment horizontal="right"/>
    </xf>
    <xf numFmtId="0" fontId="6" fillId="34" borderId="19" xfId="31" applyBorder="1">
      <alignment horizontal="center"/>
    </xf>
    <xf numFmtId="0" fontId="29" fillId="39" borderId="16" xfId="32" applyFont="1" applyFill="1" applyBorder="1">
      <alignment horizontal="right"/>
    </xf>
    <xf numFmtId="0" fontId="29" fillId="39" borderId="17" xfId="30" applyFont="1" applyFill="1" applyBorder="1">
      <alignment horizontal="right"/>
    </xf>
    <xf numFmtId="167" fontId="41" fillId="0" borderId="18" xfId="63" applyNumberFormat="1" applyFont="1" applyFill="1" applyBorder="1"/>
    <xf numFmtId="167" fontId="41" fillId="0" borderId="0" xfId="63" applyNumberFormat="1" applyFont="1" applyFill="1" applyBorder="1"/>
    <xf numFmtId="167" fontId="41" fillId="0" borderId="0" xfId="63" applyNumberFormat="1" applyFont="1" applyFill="1" applyBorder="1" applyAlignment="1">
      <alignment horizontal="center"/>
    </xf>
    <xf numFmtId="167" fontId="41" fillId="0" borderId="22" xfId="63" applyNumberFormat="1" applyFont="1" applyFill="1" applyBorder="1"/>
    <xf numFmtId="167" fontId="41" fillId="0" borderId="18" xfId="63" applyNumberFormat="1" applyFont="1" applyBorder="1"/>
    <xf numFmtId="167" fontId="41" fillId="0" borderId="0" xfId="63" applyNumberFormat="1" applyFont="1" applyBorder="1"/>
    <xf numFmtId="167" fontId="41" fillId="0" borderId="0" xfId="63" applyNumberFormat="1" applyFont="1" applyBorder="1" applyAlignment="1">
      <alignment horizontal="center"/>
    </xf>
    <xf numFmtId="167" fontId="41" fillId="0" borderId="22" xfId="63" applyNumberFormat="1" applyFont="1" applyBorder="1"/>
    <xf numFmtId="167" fontId="41" fillId="0" borderId="0" xfId="63" applyNumberFormat="1" applyFont="1" applyBorder="1" applyAlignment="1">
      <alignment horizontal="left" indent="5"/>
    </xf>
    <xf numFmtId="167" fontId="41" fillId="0" borderId="0" xfId="63" applyNumberFormat="1" applyFont="1" applyBorder="1" applyAlignment="1">
      <alignment horizontal="left"/>
    </xf>
    <xf numFmtId="167" fontId="41" fillId="40" borderId="18" xfId="63" applyNumberFormat="1" applyFont="1" applyFill="1" applyBorder="1"/>
    <xf numFmtId="0" fontId="40" fillId="40" borderId="0" xfId="0" applyFont="1" applyFill="1" applyAlignment="1">
      <alignment vertical="center"/>
    </xf>
    <xf numFmtId="0" fontId="40" fillId="40" borderId="0" xfId="0" applyFont="1" applyFill="1"/>
    <xf numFmtId="167" fontId="41" fillId="40" borderId="0" xfId="63" applyNumberFormat="1" applyFont="1" applyFill="1" applyBorder="1" applyAlignment="1">
      <alignment horizontal="center"/>
    </xf>
    <xf numFmtId="167" fontId="41" fillId="40" borderId="0" xfId="63" applyNumberFormat="1" applyFont="1" applyFill="1" applyBorder="1"/>
    <xf numFmtId="167" fontId="41" fillId="40" borderId="22" xfId="63" applyNumberFormat="1" applyFont="1" applyFill="1" applyBorder="1" applyAlignment="1">
      <alignment horizontal="center"/>
    </xf>
    <xf numFmtId="167" fontId="42" fillId="0" borderId="0" xfId="63" applyNumberFormat="1" applyFont="1" applyBorder="1"/>
    <xf numFmtId="167" fontId="43" fillId="0" borderId="0" xfId="63" applyNumberFormat="1" applyFont="1" applyBorder="1"/>
    <xf numFmtId="167" fontId="44" fillId="0" borderId="0" xfId="63" applyNumberFormat="1" applyFont="1" applyBorder="1"/>
    <xf numFmtId="9" fontId="43" fillId="0" borderId="24" xfId="63" applyNumberFormat="1" applyFont="1" applyBorder="1" applyAlignment="1">
      <alignment horizontal="right"/>
    </xf>
    <xf numFmtId="9" fontId="43" fillId="0" borderId="24" xfId="63" applyNumberFormat="1" applyFont="1" applyFill="1" applyBorder="1" applyAlignment="1">
      <alignment horizontal="right"/>
    </xf>
    <xf numFmtId="2" fontId="43" fillId="0" borderId="24" xfId="63" applyNumberFormat="1" applyFont="1" applyBorder="1" applyAlignment="1">
      <alignment horizontal="right"/>
    </xf>
    <xf numFmtId="169" fontId="43" fillId="0" borderId="24" xfId="63" applyNumberFormat="1" applyFont="1" applyBorder="1" applyAlignment="1">
      <alignment horizontal="right"/>
    </xf>
    <xf numFmtId="2" fontId="43" fillId="0" borderId="0" xfId="63" applyNumberFormat="1" applyFont="1" applyBorder="1" applyAlignment="1">
      <alignment horizontal="right"/>
    </xf>
    <xf numFmtId="167" fontId="41" fillId="0" borderId="0" xfId="63" applyNumberFormat="1" applyFont="1"/>
    <xf numFmtId="14" fontId="46" fillId="0" borderId="0" xfId="63" applyNumberFormat="1" applyFont="1" applyBorder="1"/>
    <xf numFmtId="14" fontId="43" fillId="0" borderId="0" xfId="63" applyNumberFormat="1" applyFont="1" applyBorder="1"/>
    <xf numFmtId="14" fontId="47" fillId="0" borderId="0" xfId="63" applyNumberFormat="1" applyFont="1" applyBorder="1"/>
    <xf numFmtId="169" fontId="48" fillId="42" borderId="24" xfId="63" applyNumberFormat="1" applyFont="1" applyFill="1" applyBorder="1"/>
    <xf numFmtId="169" fontId="47" fillId="0" borderId="0" xfId="63" applyNumberFormat="1" applyFont="1" applyFill="1" applyBorder="1"/>
    <xf numFmtId="2" fontId="50" fillId="0" borderId="0" xfId="63" applyNumberFormat="1" applyFont="1" applyFill="1" applyBorder="1"/>
    <xf numFmtId="167" fontId="47" fillId="0" borderId="0" xfId="63" applyNumberFormat="1" applyFont="1" applyBorder="1"/>
    <xf numFmtId="2" fontId="47" fillId="0" borderId="23" xfId="63" applyNumberFormat="1" applyFont="1" applyBorder="1"/>
    <xf numFmtId="169" fontId="47" fillId="0" borderId="23" xfId="63" applyNumberFormat="1" applyFont="1" applyBorder="1"/>
    <xf numFmtId="169" fontId="47" fillId="42" borderId="0" xfId="63" applyNumberFormat="1" applyFont="1" applyFill="1" applyBorder="1"/>
    <xf numFmtId="169" fontId="47" fillId="0" borderId="0" xfId="63" applyNumberFormat="1" applyFont="1" applyBorder="1"/>
    <xf numFmtId="167" fontId="51" fillId="0" borderId="0" xfId="63" applyNumberFormat="1" applyFont="1" applyBorder="1"/>
    <xf numFmtId="2" fontId="41" fillId="0" borderId="23" xfId="63" applyNumberFormat="1" applyFont="1" applyBorder="1"/>
    <xf numFmtId="167" fontId="44" fillId="42" borderId="0" xfId="63" applyNumberFormat="1" applyFont="1" applyFill="1" applyBorder="1"/>
    <xf numFmtId="2" fontId="41" fillId="0" borderId="0" xfId="63" applyNumberFormat="1" applyFont="1" applyBorder="1"/>
    <xf numFmtId="171" fontId="44" fillId="42" borderId="0" xfId="63" applyNumberFormat="1" applyFont="1" applyFill="1" applyBorder="1"/>
    <xf numFmtId="171" fontId="44" fillId="0" borderId="0" xfId="63" applyNumberFormat="1" applyFont="1" applyBorder="1"/>
    <xf numFmtId="172" fontId="41" fillId="0" borderId="0" xfId="63" applyNumberFormat="1" applyFont="1" applyBorder="1"/>
    <xf numFmtId="171" fontId="43" fillId="42" borderId="24" xfId="63" applyNumberFormat="1" applyFont="1" applyFill="1" applyBorder="1"/>
    <xf numFmtId="173" fontId="41" fillId="0" borderId="0" xfId="63" applyNumberFormat="1" applyFont="1" applyBorder="1"/>
    <xf numFmtId="167" fontId="41" fillId="42" borderId="4" xfId="63" applyNumberFormat="1" applyFont="1" applyFill="1" applyBorder="1"/>
    <xf numFmtId="167" fontId="41" fillId="0" borderId="4" xfId="63" applyNumberFormat="1" applyFont="1" applyBorder="1"/>
    <xf numFmtId="167" fontId="41" fillId="42" borderId="0" xfId="63" applyNumberFormat="1" applyFont="1" applyFill="1" applyBorder="1"/>
    <xf numFmtId="174" fontId="41" fillId="0" borderId="0" xfId="63" applyNumberFormat="1" applyFont="1" applyBorder="1"/>
    <xf numFmtId="175" fontId="41" fillId="0" borderId="22" xfId="64" applyNumberFormat="1" applyFont="1" applyBorder="1"/>
    <xf numFmtId="174" fontId="41" fillId="0" borderId="22" xfId="63" applyNumberFormat="1" applyFont="1" applyBorder="1"/>
    <xf numFmtId="167" fontId="39" fillId="43" borderId="20" xfId="63" applyNumberFormat="1" applyFont="1" applyFill="1" applyBorder="1"/>
    <xf numFmtId="167" fontId="40" fillId="43" borderId="4" xfId="63" applyNumberFormat="1" applyFont="1" applyFill="1" applyBorder="1"/>
    <xf numFmtId="167" fontId="39" fillId="43" borderId="4" xfId="63" applyNumberFormat="1" applyFont="1" applyFill="1" applyBorder="1"/>
    <xf numFmtId="167" fontId="39" fillId="43" borderId="4" xfId="63" applyNumberFormat="1" applyFont="1" applyFill="1" applyBorder="1" applyAlignment="1">
      <alignment horizontal="center"/>
    </xf>
    <xf numFmtId="167" fontId="39" fillId="43" borderId="21" xfId="63" applyNumberFormat="1" applyFont="1" applyFill="1" applyBorder="1"/>
    <xf numFmtId="4" fontId="38" fillId="34" borderId="2" xfId="57" applyNumberFormat="1" applyFont="1">
      <alignment horizontal="right"/>
    </xf>
    <xf numFmtId="165" fontId="43" fillId="0" borderId="24" xfId="64" applyNumberFormat="1" applyFont="1" applyBorder="1" applyAlignment="1">
      <alignment horizontal="right"/>
    </xf>
    <xf numFmtId="10" fontId="52" fillId="0" borderId="0" xfId="64" applyNumberFormat="1" applyFont="1"/>
    <xf numFmtId="10" fontId="43" fillId="0" borderId="24" xfId="64" applyNumberFormat="1" applyFont="1" applyBorder="1" applyAlignment="1">
      <alignment horizontal="right"/>
    </xf>
    <xf numFmtId="164" fontId="53" fillId="37" borderId="2" xfId="54" applyFont="1" applyFill="1">
      <alignment horizontal="right"/>
    </xf>
    <xf numFmtId="10" fontId="38" fillId="34" borderId="2" xfId="64" applyNumberFormat="1" applyFont="1" applyFill="1" applyBorder="1" applyAlignment="1">
      <alignment horizontal="right"/>
    </xf>
    <xf numFmtId="0" fontId="4" fillId="0" borderId="0" xfId="65"/>
    <xf numFmtId="14" fontId="7" fillId="33" borderId="1" xfId="52" applyNumberFormat="1">
      <alignment horizontal="left"/>
    </xf>
    <xf numFmtId="4" fontId="1" fillId="34" borderId="2" xfId="66"/>
    <xf numFmtId="4" fontId="11" fillId="35" borderId="4" xfId="34" applyNumberFormat="1"/>
    <xf numFmtId="10" fontId="41" fillId="0" borderId="24" xfId="64" applyNumberFormat="1" applyFont="1" applyBorder="1"/>
    <xf numFmtId="169" fontId="49" fillId="42" borderId="15" xfId="63" applyNumberFormat="1" applyFont="1" applyFill="1" applyBorder="1"/>
    <xf numFmtId="167" fontId="45" fillId="42" borderId="0" xfId="63" applyNumberFormat="1" applyFont="1" applyFill="1" applyBorder="1"/>
    <xf numFmtId="167" fontId="40" fillId="41" borderId="24" xfId="63" applyNumberFormat="1" applyFont="1" applyFill="1" applyBorder="1"/>
    <xf numFmtId="167" fontId="39" fillId="41" borderId="24" xfId="63" applyNumberFormat="1" applyFont="1" applyFill="1" applyBorder="1"/>
    <xf numFmtId="0" fontId="0" fillId="41" borderId="24" xfId="0" applyFill="1" applyBorder="1"/>
    <xf numFmtId="0" fontId="41" fillId="0" borderId="24" xfId="0" applyFont="1" applyBorder="1"/>
    <xf numFmtId="167" fontId="42" fillId="0" borderId="24" xfId="63" applyNumberFormat="1" applyFont="1" applyBorder="1"/>
    <xf numFmtId="0" fontId="42" fillId="0" borderId="24" xfId="0" applyFont="1" applyBorder="1"/>
    <xf numFmtId="174" fontId="41" fillId="0" borderId="24" xfId="0" applyNumberFormat="1" applyFont="1" applyBorder="1"/>
    <xf numFmtId="9" fontId="41" fillId="0" borderId="24" xfId="64" applyFont="1" applyBorder="1"/>
    <xf numFmtId="0" fontId="41" fillId="0" borderId="24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0" fillId="0" borderId="25" xfId="0" applyBorder="1"/>
    <xf numFmtId="0" fontId="0" fillId="0" borderId="23" xfId="0" applyBorder="1"/>
    <xf numFmtId="0" fontId="0" fillId="0" borderId="26" xfId="0" applyBorder="1"/>
    <xf numFmtId="10" fontId="54" fillId="42" borderId="24" xfId="64" applyNumberFormat="1" applyFont="1" applyFill="1" applyBorder="1" applyAlignment="1">
      <alignment horizontal="center"/>
    </xf>
    <xf numFmtId="167" fontId="41" fillId="0" borderId="21" xfId="63" applyNumberFormat="1" applyFont="1" applyBorder="1"/>
    <xf numFmtId="0" fontId="35" fillId="36" borderId="4" xfId="51" applyFont="1" applyFill="1" applyBorder="1">
      <alignment horizontal="left" vertical="center" readingOrder="1"/>
    </xf>
    <xf numFmtId="0" fontId="56" fillId="0" borderId="0" xfId="0" applyFont="1"/>
    <xf numFmtId="165" fontId="0" fillId="0" borderId="0" xfId="0" applyNumberFormat="1"/>
    <xf numFmtId="0" fontId="0" fillId="0" borderId="33" xfId="0" applyBorder="1"/>
    <xf numFmtId="10" fontId="0" fillId="0" borderId="34" xfId="0" applyNumberFormat="1" applyBorder="1"/>
    <xf numFmtId="0" fontId="0" fillId="0" borderId="20" xfId="0" applyBorder="1"/>
    <xf numFmtId="10" fontId="0" fillId="0" borderId="21" xfId="0" applyNumberFormat="1" applyBorder="1"/>
    <xf numFmtId="44" fontId="0" fillId="0" borderId="0" xfId="67" applyFont="1" applyBorder="1"/>
    <xf numFmtId="0" fontId="0" fillId="0" borderId="35" xfId="0" applyBorder="1"/>
    <xf numFmtId="10" fontId="0" fillId="0" borderId="36" xfId="0" applyNumberFormat="1" applyBorder="1"/>
    <xf numFmtId="0" fontId="0" fillId="0" borderId="36" xfId="0" applyBorder="1"/>
    <xf numFmtId="10" fontId="0" fillId="0" borderId="22" xfId="0" applyNumberFormat="1" applyBorder="1"/>
    <xf numFmtId="44" fontId="0" fillId="0" borderId="26" xfId="0" applyNumberFormat="1" applyBorder="1"/>
    <xf numFmtId="44" fontId="0" fillId="0" borderId="36" xfId="0" applyNumberFormat="1" applyBorder="1"/>
    <xf numFmtId="0" fontId="0" fillId="0" borderId="30" xfId="0" applyBorder="1"/>
    <xf numFmtId="44" fontId="0" fillId="0" borderId="0" xfId="67" applyFont="1" applyFill="1" applyBorder="1"/>
    <xf numFmtId="0" fontId="55" fillId="0" borderId="33" xfId="0" applyFont="1" applyBorder="1" applyAlignment="1">
      <alignment horizontal="center"/>
    </xf>
    <xf numFmtId="0" fontId="55" fillId="0" borderId="37" xfId="0" applyFont="1" applyBorder="1" applyAlignment="1">
      <alignment horizontal="center"/>
    </xf>
    <xf numFmtId="0" fontId="55" fillId="0" borderId="34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44" fontId="0" fillId="0" borderId="4" xfId="67" applyFont="1" applyBorder="1"/>
    <xf numFmtId="165" fontId="0" fillId="0" borderId="21" xfId="64" applyNumberFormat="1" applyFont="1" applyBorder="1"/>
    <xf numFmtId="0" fontId="0" fillId="0" borderId="18" xfId="0" applyBorder="1" applyAlignment="1">
      <alignment horizontal="center" vertical="center"/>
    </xf>
    <xf numFmtId="165" fontId="0" fillId="0" borderId="22" xfId="64" applyNumberFormat="1" applyFont="1" applyBorder="1"/>
    <xf numFmtId="0" fontId="0" fillId="0" borderId="25" xfId="0" applyBorder="1" applyAlignment="1">
      <alignment horizontal="center" vertical="center"/>
    </xf>
    <xf numFmtId="44" fontId="0" fillId="0" borderId="23" xfId="67" applyFont="1" applyFill="1" applyBorder="1"/>
    <xf numFmtId="165" fontId="0" fillId="0" borderId="26" xfId="64" applyNumberFormat="1" applyFont="1" applyBorder="1"/>
    <xf numFmtId="167" fontId="41" fillId="0" borderId="18" xfId="63" applyNumberFormat="1" applyFont="1" applyBorder="1" applyAlignment="1">
      <alignment horizontal="left"/>
    </xf>
    <xf numFmtId="167" fontId="41" fillId="0" borderId="0" xfId="6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55" fillId="44" borderId="27" xfId="0" applyFont="1" applyFill="1" applyBorder="1" applyAlignment="1">
      <alignment horizontal="center"/>
    </xf>
    <xf numFmtId="0" fontId="55" fillId="44" borderId="28" xfId="0" applyFont="1" applyFill="1" applyBorder="1" applyAlignment="1">
      <alignment horizontal="center"/>
    </xf>
    <xf numFmtId="0" fontId="55" fillId="44" borderId="29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0" fontId="55" fillId="0" borderId="32" xfId="0" applyFont="1" applyBorder="1" applyAlignment="1">
      <alignment horizontal="center"/>
    </xf>
    <xf numFmtId="168" fontId="43" fillId="0" borderId="24" xfId="63" applyNumberFormat="1" applyFont="1" applyFill="1" applyBorder="1" applyAlignment="1">
      <alignment horizontal="right"/>
    </xf>
    <xf numFmtId="2" fontId="43" fillId="0" borderId="24" xfId="63" applyNumberFormat="1" applyFont="1" applyFill="1" applyBorder="1" applyAlignment="1">
      <alignment horizontal="right"/>
    </xf>
    <xf numFmtId="165" fontId="43" fillId="0" borderId="24" xfId="63" applyNumberFormat="1" applyFont="1" applyFill="1" applyBorder="1" applyAlignment="1">
      <alignment horizontal="right"/>
    </xf>
    <xf numFmtId="167" fontId="40" fillId="41" borderId="20" xfId="63" applyNumberFormat="1" applyFont="1" applyFill="1" applyBorder="1"/>
    <xf numFmtId="167" fontId="39" fillId="41" borderId="4" xfId="63" applyNumberFormat="1" applyFont="1" applyFill="1" applyBorder="1"/>
    <xf numFmtId="167" fontId="39" fillId="41" borderId="21" xfId="63" applyNumberFormat="1" applyFont="1" applyFill="1" applyBorder="1"/>
    <xf numFmtId="167" fontId="44" fillId="0" borderId="18" xfId="63" applyNumberFormat="1" applyFont="1" applyBorder="1"/>
    <xf numFmtId="167" fontId="41" fillId="0" borderId="25" xfId="63" applyNumberFormat="1" applyFont="1" applyBorder="1"/>
    <xf numFmtId="167" fontId="41" fillId="0" borderId="23" xfId="63" applyNumberFormat="1" applyFont="1" applyBorder="1"/>
    <xf numFmtId="167" fontId="40" fillId="41" borderId="4" xfId="63" applyNumberFormat="1" applyFont="1" applyFill="1" applyBorder="1" applyAlignment="1">
      <alignment horizontal="right"/>
    </xf>
    <xf numFmtId="170" fontId="40" fillId="41" borderId="4" xfId="63" applyNumberFormat="1" applyFont="1" applyFill="1" applyBorder="1"/>
    <xf numFmtId="170" fontId="40" fillId="41" borderId="21" xfId="63" applyNumberFormat="1" applyFont="1" applyFill="1" applyBorder="1"/>
    <xf numFmtId="169" fontId="47" fillId="0" borderId="22" xfId="63" applyNumberFormat="1" applyFont="1" applyFill="1" applyBorder="1"/>
    <xf numFmtId="167" fontId="47" fillId="0" borderId="18" xfId="63" applyNumberFormat="1" applyFont="1" applyBorder="1" applyAlignment="1">
      <alignment horizontal="right"/>
    </xf>
    <xf numFmtId="2" fontId="50" fillId="0" borderId="22" xfId="63" applyNumberFormat="1" applyFont="1" applyBorder="1"/>
    <xf numFmtId="167" fontId="47" fillId="0" borderId="18" xfId="63" applyNumberFormat="1" applyFont="1" applyBorder="1"/>
    <xf numFmtId="169" fontId="47" fillId="0" borderId="26" xfId="63" applyNumberFormat="1" applyFont="1" applyBorder="1"/>
    <xf numFmtId="169" fontId="47" fillId="0" borderId="22" xfId="63" applyNumberFormat="1" applyFont="1" applyBorder="1"/>
    <xf numFmtId="10" fontId="0" fillId="0" borderId="0" xfId="0" applyNumberFormat="1" applyBorder="1"/>
    <xf numFmtId="167" fontId="44" fillId="0" borderId="22" xfId="63" applyNumberFormat="1" applyFont="1" applyBorder="1"/>
    <xf numFmtId="171" fontId="44" fillId="0" borderId="22" xfId="63" applyNumberFormat="1" applyFont="1" applyBorder="1"/>
    <xf numFmtId="167" fontId="41" fillId="42" borderId="23" xfId="63" applyNumberFormat="1" applyFont="1" applyFill="1" applyBorder="1"/>
    <xf numFmtId="167" fontId="41" fillId="0" borderId="26" xfId="63" applyNumberFormat="1" applyFont="1" applyBorder="1"/>
    <xf numFmtId="167" fontId="41" fillId="0" borderId="38" xfId="63" applyNumberFormat="1" applyFont="1" applyBorder="1"/>
    <xf numFmtId="174" fontId="41" fillId="0" borderId="26" xfId="63" applyNumberFormat="1" applyFont="1" applyBorder="1"/>
    <xf numFmtId="9" fontId="41" fillId="0" borderId="26" xfId="64" applyFont="1" applyBorder="1"/>
    <xf numFmtId="167" fontId="39" fillId="41" borderId="21" xfId="63" applyNumberFormat="1" applyFont="1" applyFill="1" applyBorder="1" applyAlignment="1">
      <alignment horizontal="right"/>
    </xf>
    <xf numFmtId="167" fontId="44" fillId="0" borderId="0" xfId="63" applyNumberFormat="1" applyFont="1" applyFill="1" applyBorder="1"/>
    <xf numFmtId="167" fontId="44" fillId="0" borderId="22" xfId="63" applyNumberFormat="1" applyFont="1" applyFill="1" applyBorder="1"/>
    <xf numFmtId="173" fontId="45" fillId="0" borderId="23" xfId="63" applyNumberFormat="1" applyFont="1" applyBorder="1"/>
    <xf numFmtId="167" fontId="45" fillId="42" borderId="22" xfId="63" applyNumberFormat="1" applyFont="1" applyFill="1" applyBorder="1"/>
    <xf numFmtId="0" fontId="57" fillId="45" borderId="32" xfId="0" applyFont="1" applyFill="1" applyBorder="1"/>
    <xf numFmtId="0" fontId="58" fillId="46" borderId="3" xfId="33" applyFont="1" applyFill="1">
      <alignment horizontal="left"/>
    </xf>
    <xf numFmtId="0" fontId="58" fillId="46" borderId="3" xfId="32" applyFont="1" applyFill="1">
      <alignment horizontal="right"/>
    </xf>
    <xf numFmtId="0" fontId="58" fillId="46" borderId="1" xfId="52" applyFont="1" applyFill="1">
      <alignment horizontal="left"/>
    </xf>
    <xf numFmtId="0" fontId="58" fillId="46" borderId="1" xfId="30" applyFont="1" applyFill="1">
      <alignment horizontal="right"/>
    </xf>
    <xf numFmtId="0" fontId="58" fillId="47" borderId="16" xfId="32" applyFont="1" applyFill="1" applyBorder="1">
      <alignment horizontal="right"/>
    </xf>
    <xf numFmtId="0" fontId="58" fillId="47" borderId="17" xfId="30" applyFont="1" applyFill="1" applyBorder="1">
      <alignment horizontal="right"/>
    </xf>
    <xf numFmtId="0" fontId="29" fillId="48" borderId="16" xfId="33" applyFont="1" applyFill="1" applyBorder="1">
      <alignment horizontal="left"/>
    </xf>
    <xf numFmtId="0" fontId="29" fillId="48" borderId="16" xfId="32" applyFont="1" applyFill="1" applyBorder="1">
      <alignment horizontal="right"/>
    </xf>
    <xf numFmtId="0" fontId="29" fillId="48" borderId="17" xfId="52" applyFont="1" applyFill="1" applyBorder="1">
      <alignment horizontal="left"/>
    </xf>
    <xf numFmtId="0" fontId="29" fillId="48" borderId="17" xfId="30" applyFont="1" applyFill="1" applyBorder="1">
      <alignment horizontal="right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Comma" xfId="63" builtinId="3"/>
    <cellStyle name="Currency" xfId="67" builtinId="4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6" xr:uid="{00000000-0005-0000-0000-000023000000}"/>
    <cellStyle name="fa_data_bold_1_grouped" xfId="57" xr:uid="{00000000-0005-0000-0000-000024000000}"/>
    <cellStyle name="fa_data_bold_1_percent" xfId="61" xr:uid="{639E5B96-31F2-46A5-8827-189623D640E9}"/>
    <cellStyle name="fa_data_bold_2_grouped" xfId="58" xr:uid="{00000000-0005-0000-0000-000025000000}"/>
    <cellStyle name="fa_data_italic_1_grouped" xfId="59" xr:uid="{00000000-0005-0000-0000-000026000000}"/>
    <cellStyle name="fa_data_italic_1_percent" xfId="60" xr:uid="{9C53B094-9C85-4CE9-9AF2-A88A647806A3}"/>
    <cellStyle name="fa_data_standard" xfId="66" xr:uid="{5C9FDA2E-2147-8941-AB4E-1B1FCE1305A3}"/>
    <cellStyle name="fa_data_standard_0_grouped" xfId="53" xr:uid="{00000000-0005-0000-0000-000027000000}"/>
    <cellStyle name="fa_data_standard_1_grouped" xfId="54" xr:uid="{00000000-0005-0000-0000-000028000000}"/>
    <cellStyle name="fa_data_standard_1_percent" xfId="62" xr:uid="{009ADC3A-8DD1-4AA2-AE71-0A4C3BA6DF1A}"/>
    <cellStyle name="fa_data_standard_2_grouped" xfId="55" xr:uid="{00000000-0005-0000-0000-000029000000}"/>
    <cellStyle name="fa_footer_italic" xfId="34" xr:uid="{00000000-0005-0000-0000-00002A000000}"/>
    <cellStyle name="fa_grey_text_italics" xfId="65" xr:uid="{E845DA94-2F9B-FA47-90E1-0392BDC33524}"/>
    <cellStyle name="fa_row_header_bold" xfId="35" xr:uid="{00000000-0005-0000-0000-00002B000000}"/>
    <cellStyle name="fa_row_header_italic" xfId="36" xr:uid="{00000000-0005-0000-0000-00002C000000}"/>
    <cellStyle name="fa_row_header_standard" xfId="37" xr:uid="{00000000-0005-0000-0000-00002D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Percent" xfId="64" builtinId="5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</a:t>
            </a:r>
            <a:r>
              <a:rPr lang="en-US" baseline="0"/>
              <a:t> Flows FCFF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'[1]DCF Model'!$F$35:$J$35</c:f>
              <c:numCache>
                <c:formatCode>General</c:formatCode>
                <c:ptCount val="5"/>
                <c:pt idx="0">
                  <c:v>45658</c:v>
                </c:pt>
                <c:pt idx="1">
                  <c:v>46023</c:v>
                </c:pt>
                <c:pt idx="2">
                  <c:v>46388</c:v>
                </c:pt>
                <c:pt idx="3">
                  <c:v>46753</c:v>
                </c:pt>
                <c:pt idx="4">
                  <c:v>47119</c:v>
                </c:pt>
              </c:numCache>
            </c:numRef>
          </c:cat>
          <c:val>
            <c:numRef>
              <c:f>DCF!$F$47:$J$47</c:f>
              <c:numCache>
                <c:formatCode>_-* #,##0_-;\(#,##0\)_-;_-* "-"_-;_-@_-</c:formatCode>
                <c:ptCount val="5"/>
                <c:pt idx="0">
                  <c:v>4647.8735046354077</c:v>
                </c:pt>
                <c:pt idx="1">
                  <c:v>3467.3787084753958</c:v>
                </c:pt>
                <c:pt idx="2">
                  <c:v>5768.13983831116</c:v>
                </c:pt>
                <c:pt idx="3">
                  <c:v>6390.8692697581719</c:v>
                </c:pt>
                <c:pt idx="4">
                  <c:v>5444.5163462982482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7B44-8BC5-B08AAEB12B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TimeUnit val="years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Market Value vs Intrinsic Value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chemeClr val="bg2"/>
            </a:solidFill>
          </cx:spPr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ED942D"/>
              </a:solidFill>
            </cx:spPr>
          </cx:dataPt>
          <cx:dataLabels pos="outEnd"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206377</xdr:colOff>
      <xdr:row>17</xdr:row>
      <xdr:rowOff>40121</xdr:rowOff>
    </xdr:from>
    <xdr:to>
      <xdr:col>9</xdr:col>
      <xdr:colOff>565727</xdr:colOff>
      <xdr:row>31</xdr:row>
      <xdr:rowOff>11545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50B012-AEBB-3B45-8849-723EA0B5E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17</xdr:row>
      <xdr:rowOff>187326</xdr:rowOff>
    </xdr:from>
    <xdr:to>
      <xdr:col>13</xdr:col>
      <xdr:colOff>590549</xdr:colOff>
      <xdr:row>31</xdr:row>
      <xdr:rowOff>73025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A3F3D85-ECCF-6546-9503-0D71358BA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9674" y="3425826"/>
              <a:ext cx="3152775" cy="2552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15</xdr:row>
      <xdr:rowOff>0</xdr:rowOff>
    </xdr:from>
    <xdr:to>
      <xdr:col>23</xdr:col>
      <xdr:colOff>241300</xdr:colOff>
      <xdr:row>37</xdr:row>
      <xdr:rowOff>177800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A1AD95E8-C9FC-2736-47E6-ACD1DD28D33F}"/>
            </a:ext>
          </a:extLst>
        </xdr:cNvPr>
        <xdr:cNvSpPr>
          <a:spLocks noChangeAspect="1" noChangeArrowheads="1"/>
        </xdr:cNvSpPr>
      </xdr:nvSpPr>
      <xdr:spPr bwMode="auto">
        <a:xfrm>
          <a:off x="15392400" y="2857500"/>
          <a:ext cx="4368800" cy="436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ekarthpatel/Documents/TKIG/DCF%20for%20TKIG%202.xlsx" TargetMode="External"/><Relationship Id="rId1" Type="http://schemas.openxmlformats.org/officeDocument/2006/relationships/externalLinkPath" Target="https://d.docs.live.net/Users/ekarthpatel/Documents/TKIG/DCF%20for%20TKI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 Model"/>
    </sheetNames>
    <sheetDataSet>
      <sheetData sheetId="0">
        <row r="35">
          <cell r="F35">
            <v>45658</v>
          </cell>
          <cell r="G35">
            <v>46023</v>
          </cell>
          <cell r="H35">
            <v>46388</v>
          </cell>
          <cell r="I35">
            <v>46753</v>
          </cell>
          <cell r="J35">
            <v>47119</v>
          </cell>
        </row>
        <row r="59">
          <cell r="L59" t="str">
            <v>Market Value</v>
          </cell>
        </row>
        <row r="60">
          <cell r="L60" t="str">
            <v>Upside</v>
          </cell>
        </row>
        <row r="61">
          <cell r="L61" t="str">
            <v>Intrinsic 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804A-9E4F-1F4C-855B-EBD5469EA5AD}">
  <dimension ref="A1:N69"/>
  <sheetViews>
    <sheetView showGridLines="0" tabSelected="1" topLeftCell="B1" zoomScale="115" workbookViewId="0">
      <selection activeCell="D20" sqref="D20"/>
    </sheetView>
  </sheetViews>
  <sheetFormatPr baseColWidth="10" defaultColWidth="11.5" defaultRowHeight="15" x14ac:dyDescent="0.2"/>
  <cols>
    <col min="2" max="2" width="16.1640625" customWidth="1"/>
    <col min="3" max="3" width="12.5" customWidth="1"/>
    <col min="4" max="4" width="17.5" bestFit="1" customWidth="1"/>
    <col min="5" max="5" width="16.5" customWidth="1"/>
  </cols>
  <sheetData>
    <row r="1" spans="1:14" x14ac:dyDescent="0.2">
      <c r="A1" s="94"/>
      <c r="B1" s="95" t="s">
        <v>194</v>
      </c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8"/>
    </row>
    <row r="2" spans="1:14" x14ac:dyDescent="0.2">
      <c r="A2" s="43"/>
      <c r="B2" s="44" t="s">
        <v>103</v>
      </c>
      <c r="C2" s="44"/>
      <c r="D2" s="45"/>
      <c r="E2" s="44"/>
      <c r="F2" s="44"/>
      <c r="G2" s="44"/>
      <c r="H2" s="44"/>
      <c r="I2" s="44"/>
      <c r="J2" s="44"/>
      <c r="K2" s="44"/>
      <c r="L2" s="44"/>
      <c r="M2" s="44"/>
      <c r="N2" s="46"/>
    </row>
    <row r="3" spans="1:14" x14ac:dyDescent="0.2">
      <c r="A3" s="47"/>
      <c r="B3" s="48" t="s">
        <v>195</v>
      </c>
      <c r="C3" s="48"/>
      <c r="D3" s="49"/>
      <c r="E3" s="48"/>
      <c r="F3" s="48"/>
      <c r="G3" s="48"/>
      <c r="H3" s="48"/>
      <c r="I3" s="48"/>
      <c r="J3" s="48"/>
      <c r="K3" s="48"/>
      <c r="L3" s="48"/>
      <c r="M3" s="48"/>
      <c r="N3" s="50"/>
    </row>
    <row r="4" spans="1:14" x14ac:dyDescent="0.2">
      <c r="A4" s="47"/>
      <c r="B4" s="48" t="s">
        <v>104</v>
      </c>
      <c r="C4" s="48"/>
      <c r="D4" s="49"/>
      <c r="E4" s="48"/>
      <c r="F4" s="48"/>
      <c r="G4" s="48"/>
      <c r="H4" s="48"/>
      <c r="I4" s="48"/>
      <c r="J4" s="48"/>
      <c r="K4" s="48"/>
      <c r="L4" s="48"/>
      <c r="M4" s="48"/>
      <c r="N4" s="50"/>
    </row>
    <row r="5" spans="1:14" x14ac:dyDescent="0.2">
      <c r="A5" s="47"/>
      <c r="B5" s="51" t="s">
        <v>105</v>
      </c>
      <c r="C5" s="48"/>
      <c r="D5" s="49"/>
      <c r="E5" s="48"/>
      <c r="F5" s="48"/>
      <c r="G5" s="48"/>
      <c r="H5" s="48"/>
      <c r="I5" s="48"/>
      <c r="J5" s="48"/>
      <c r="K5" s="48"/>
      <c r="L5" s="48"/>
      <c r="M5" s="48"/>
      <c r="N5" s="50"/>
    </row>
    <row r="6" spans="1:14" x14ac:dyDescent="0.2">
      <c r="A6" s="47"/>
      <c r="B6" s="51" t="s">
        <v>106</v>
      </c>
      <c r="C6" s="48"/>
      <c r="D6" s="49"/>
      <c r="E6" s="48"/>
      <c r="F6" s="48"/>
      <c r="G6" s="48"/>
      <c r="H6" s="48"/>
      <c r="I6" s="48"/>
      <c r="J6" s="48"/>
      <c r="K6" s="48"/>
      <c r="L6" s="48"/>
      <c r="M6" s="48"/>
      <c r="N6" s="122"/>
    </row>
    <row r="7" spans="1:14" x14ac:dyDescent="0.2">
      <c r="A7" s="47"/>
      <c r="B7" s="48" t="s">
        <v>107</v>
      </c>
      <c r="C7" s="48"/>
      <c r="D7" s="49"/>
      <c r="E7" s="48"/>
      <c r="F7" s="48"/>
      <c r="G7" s="48"/>
      <c r="H7" s="49"/>
      <c r="I7" s="48"/>
      <c r="J7" s="48"/>
      <c r="K7" s="48"/>
      <c r="L7" s="48"/>
      <c r="M7" s="48"/>
      <c r="N7" s="122"/>
    </row>
    <row r="8" spans="1:14" x14ac:dyDescent="0.2">
      <c r="A8" s="47"/>
      <c r="B8" s="51" t="s">
        <v>108</v>
      </c>
      <c r="C8" s="48"/>
      <c r="D8" s="49"/>
      <c r="E8" s="48"/>
      <c r="F8" s="48"/>
      <c r="G8" s="48"/>
      <c r="H8" s="48"/>
      <c r="I8" s="48"/>
      <c r="J8" s="48"/>
      <c r="K8" s="48"/>
      <c r="L8" s="48"/>
      <c r="M8" s="48"/>
      <c r="N8" s="122"/>
    </row>
    <row r="9" spans="1:14" x14ac:dyDescent="0.2">
      <c r="A9" s="47"/>
      <c r="B9" s="51" t="s">
        <v>109</v>
      </c>
      <c r="C9" s="48"/>
      <c r="D9" s="49"/>
      <c r="E9" s="48"/>
      <c r="F9" s="48"/>
      <c r="G9" s="48"/>
      <c r="H9" s="48"/>
      <c r="I9" s="48"/>
      <c r="J9" s="48"/>
      <c r="K9" s="48"/>
      <c r="L9" s="48"/>
      <c r="M9" s="48"/>
      <c r="N9" s="50"/>
    </row>
    <row r="10" spans="1:14" x14ac:dyDescent="0.2">
      <c r="A10" s="47"/>
      <c r="B10" s="51" t="s">
        <v>110</v>
      </c>
      <c r="C10" s="48"/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50"/>
    </row>
    <row r="11" spans="1:14" x14ac:dyDescent="0.2">
      <c r="A11" s="47"/>
      <c r="B11" s="52" t="s">
        <v>111</v>
      </c>
      <c r="C11" s="48"/>
      <c r="D11" s="49"/>
      <c r="E11" s="48"/>
      <c r="F11" s="48"/>
      <c r="G11" s="48"/>
      <c r="H11" s="48"/>
      <c r="I11" s="48"/>
      <c r="J11" s="48"/>
      <c r="K11" s="48"/>
      <c r="L11" s="48"/>
      <c r="M11" s="48"/>
      <c r="N11" s="50"/>
    </row>
    <row r="12" spans="1:14" x14ac:dyDescent="0.2">
      <c r="A12" s="47"/>
      <c r="B12" s="52" t="s">
        <v>112</v>
      </c>
      <c r="C12" s="48"/>
      <c r="D12" s="49"/>
      <c r="E12" s="48"/>
      <c r="F12" s="48"/>
      <c r="G12" s="48"/>
      <c r="H12" s="48"/>
      <c r="I12" s="48"/>
      <c r="J12" s="48"/>
      <c r="K12" s="48"/>
      <c r="L12" s="48"/>
      <c r="M12" s="48"/>
      <c r="N12" s="50"/>
    </row>
    <row r="13" spans="1:14" x14ac:dyDescent="0.2">
      <c r="A13" s="47"/>
      <c r="B13" s="52" t="s">
        <v>113</v>
      </c>
      <c r="C13" s="48"/>
      <c r="D13" s="49"/>
      <c r="E13" s="48"/>
      <c r="F13" s="48"/>
      <c r="G13" s="48"/>
      <c r="H13" s="48"/>
      <c r="I13" s="48"/>
      <c r="J13" s="48"/>
      <c r="K13" s="48"/>
      <c r="L13" s="48"/>
      <c r="M13" s="48"/>
      <c r="N13" s="50"/>
    </row>
    <row r="14" spans="1:14" x14ac:dyDescent="0.2">
      <c r="A14" s="47"/>
      <c r="B14" s="48" t="s">
        <v>114</v>
      </c>
      <c r="C14" s="48"/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50"/>
    </row>
    <row r="15" spans="1:14" x14ac:dyDescent="0.2">
      <c r="A15" s="47"/>
      <c r="B15" s="48"/>
      <c r="C15" s="48"/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50"/>
    </row>
    <row r="16" spans="1:14" x14ac:dyDescent="0.2">
      <c r="A16" s="53"/>
      <c r="B16" s="54" t="s">
        <v>115</v>
      </c>
      <c r="C16" s="55"/>
      <c r="D16" s="55"/>
      <c r="E16" s="55"/>
      <c r="F16" s="56"/>
      <c r="G16" s="56"/>
      <c r="H16" s="57"/>
      <c r="I16" s="54"/>
      <c r="J16" s="55"/>
      <c r="K16" s="55"/>
      <c r="L16" s="55"/>
      <c r="M16" s="56"/>
      <c r="N16" s="58"/>
    </row>
    <row r="17" spans="1:14" x14ac:dyDescent="0.2">
      <c r="A17" s="47"/>
      <c r="B17" s="59"/>
      <c r="C17" s="48"/>
      <c r="D17" s="49"/>
      <c r="E17" s="60"/>
      <c r="F17" s="60"/>
      <c r="G17" s="60"/>
      <c r="H17" s="60"/>
      <c r="I17" s="60"/>
      <c r="J17" s="48"/>
      <c r="K17" s="48"/>
      <c r="L17" s="48"/>
      <c r="M17" s="48"/>
      <c r="N17" s="50"/>
    </row>
    <row r="18" spans="1:14" x14ac:dyDescent="0.2">
      <c r="A18" s="47"/>
      <c r="B18" s="167" t="s">
        <v>116</v>
      </c>
      <c r="C18" s="168"/>
      <c r="D18" s="169"/>
      <c r="E18" s="60"/>
      <c r="F18" s="48"/>
      <c r="G18" s="48"/>
      <c r="H18" s="48"/>
      <c r="I18" s="48"/>
      <c r="J18" s="48"/>
      <c r="K18" s="48"/>
      <c r="L18" s="48"/>
      <c r="M18" s="48"/>
      <c r="N18" s="50"/>
    </row>
    <row r="19" spans="1:14" x14ac:dyDescent="0.2">
      <c r="A19" s="47"/>
      <c r="B19" s="170" t="s">
        <v>117</v>
      </c>
      <c r="C19" s="60"/>
      <c r="D19" s="100">
        <f>'Income Statement'!M29</f>
        <v>0.24415398068668778</v>
      </c>
      <c r="E19" s="60"/>
      <c r="F19" s="48"/>
      <c r="G19" s="48"/>
      <c r="H19" s="48"/>
      <c r="I19" s="48"/>
      <c r="J19" s="48"/>
      <c r="K19" s="48"/>
      <c r="L19" s="48"/>
      <c r="M19" s="48"/>
      <c r="N19" s="50"/>
    </row>
    <row r="20" spans="1:14" x14ac:dyDescent="0.2">
      <c r="A20" s="47"/>
      <c r="B20" s="170" t="s">
        <v>118</v>
      </c>
      <c r="C20" s="48"/>
      <c r="D20" s="102">
        <f>(D23*D25*(1-D19)+(D24*D26))</f>
        <v>9.0431493621158904E-2</v>
      </c>
      <c r="E20" s="48"/>
      <c r="F20" s="48"/>
      <c r="G20" s="48"/>
      <c r="H20" s="48"/>
      <c r="I20" s="48"/>
      <c r="J20" s="48"/>
      <c r="K20" s="48"/>
      <c r="L20" s="48"/>
      <c r="M20" s="48"/>
      <c r="N20" s="50"/>
    </row>
    <row r="21" spans="1:14" x14ac:dyDescent="0.2">
      <c r="A21" s="47"/>
      <c r="B21" s="47" t="s">
        <v>119</v>
      </c>
      <c r="C21" s="48"/>
      <c r="D21" s="102">
        <v>2.5000000000000001E-2</v>
      </c>
      <c r="E21" s="48"/>
      <c r="F21" s="48"/>
      <c r="G21" s="48"/>
      <c r="H21" s="48"/>
      <c r="I21" s="48"/>
      <c r="J21" s="48"/>
      <c r="K21" s="48"/>
      <c r="L21" s="48"/>
      <c r="M21" s="48"/>
      <c r="N21" s="50"/>
    </row>
    <row r="22" spans="1:14" x14ac:dyDescent="0.2">
      <c r="A22" s="47"/>
      <c r="B22" s="47" t="s">
        <v>161</v>
      </c>
      <c r="C22" s="48"/>
      <c r="D22" s="164">
        <v>1.18</v>
      </c>
      <c r="E22" s="48"/>
      <c r="F22" s="48"/>
      <c r="G22" s="48"/>
      <c r="H22" s="48"/>
      <c r="I22" s="48"/>
      <c r="J22" s="48"/>
      <c r="K22" s="48"/>
      <c r="L22" s="48"/>
      <c r="M22" s="48"/>
      <c r="N22" s="50"/>
    </row>
    <row r="23" spans="1:14" x14ac:dyDescent="0.2">
      <c r="A23" s="47"/>
      <c r="B23" s="47" t="s">
        <v>120</v>
      </c>
      <c r="C23" s="48"/>
      <c r="D23" s="62">
        <v>0.22600000000000001</v>
      </c>
      <c r="E23" s="48"/>
      <c r="F23" s="48"/>
      <c r="G23" s="48"/>
      <c r="H23" s="48"/>
      <c r="I23" s="48"/>
      <c r="J23" s="48"/>
      <c r="K23" s="48"/>
      <c r="L23" s="48"/>
      <c r="M23" s="48"/>
      <c r="N23" s="50"/>
    </row>
    <row r="24" spans="1:14" x14ac:dyDescent="0.2">
      <c r="A24" s="47"/>
      <c r="B24" s="47" t="s">
        <v>163</v>
      </c>
      <c r="C24" s="48"/>
      <c r="D24" s="63">
        <f>1-D23</f>
        <v>0.77400000000000002</v>
      </c>
      <c r="E24" s="48"/>
      <c r="F24" s="48"/>
      <c r="G24" s="48"/>
      <c r="H24" s="48"/>
      <c r="I24" s="48"/>
      <c r="J24" s="48"/>
      <c r="K24" s="48"/>
      <c r="L24" s="48"/>
      <c r="M24" s="48"/>
      <c r="N24" s="50"/>
    </row>
    <row r="25" spans="1:14" x14ac:dyDescent="0.2">
      <c r="A25" s="47"/>
      <c r="B25" s="47" t="s">
        <v>162</v>
      </c>
      <c r="C25" s="48"/>
      <c r="D25" s="166">
        <v>5.8000000000000003E-2</v>
      </c>
      <c r="E25" s="48"/>
      <c r="F25" s="48"/>
      <c r="G25" s="48"/>
      <c r="H25" s="48"/>
      <c r="I25" s="48"/>
      <c r="J25" s="48"/>
      <c r="K25" s="48"/>
      <c r="L25" s="48"/>
      <c r="M25" s="48"/>
      <c r="N25" s="50"/>
    </row>
    <row r="26" spans="1:14" x14ac:dyDescent="0.2">
      <c r="A26" s="47"/>
      <c r="B26" s="47" t="s">
        <v>121</v>
      </c>
      <c r="C26" s="48"/>
      <c r="D26" s="166">
        <f>4.48%+D22*(9.5%-4.48%)</f>
        <v>0.10403599999999999</v>
      </c>
      <c r="E26" s="48"/>
      <c r="F26" s="48"/>
      <c r="G26" s="48"/>
      <c r="H26" s="48"/>
      <c r="I26" s="48"/>
      <c r="J26" s="48"/>
      <c r="K26" s="48"/>
      <c r="L26" s="48"/>
      <c r="M26" s="48"/>
      <c r="N26" s="50"/>
    </row>
    <row r="27" spans="1:14" x14ac:dyDescent="0.2">
      <c r="A27" s="47"/>
      <c r="B27" s="47" t="s">
        <v>122</v>
      </c>
      <c r="C27" s="48"/>
      <c r="D27" s="64">
        <f>I59</f>
        <v>92.329360780065002</v>
      </c>
      <c r="E27" s="48"/>
      <c r="F27" s="48"/>
      <c r="G27" s="48"/>
      <c r="H27" s="48"/>
      <c r="I27" s="48"/>
      <c r="J27" s="48"/>
      <c r="K27" s="48"/>
      <c r="L27" s="48"/>
      <c r="M27" s="48"/>
      <c r="N27" s="50"/>
    </row>
    <row r="28" spans="1:14" x14ac:dyDescent="0.2">
      <c r="A28" s="47"/>
      <c r="B28" s="47" t="s">
        <v>123</v>
      </c>
      <c r="C28" s="48"/>
      <c r="D28" s="65">
        <f>'Income Statement'!L49</f>
        <v>461.5</v>
      </c>
      <c r="E28" s="48" t="s">
        <v>124</v>
      </c>
      <c r="F28" s="48"/>
      <c r="G28" s="48"/>
      <c r="H28" s="48"/>
      <c r="I28" s="48"/>
      <c r="J28" s="48"/>
      <c r="K28" s="48"/>
      <c r="L28" s="48"/>
      <c r="M28" s="48"/>
      <c r="N28" s="50"/>
    </row>
    <row r="29" spans="1:14" x14ac:dyDescent="0.2">
      <c r="A29" s="47"/>
      <c r="B29" s="47" t="s">
        <v>125</v>
      </c>
      <c r="C29" s="48"/>
      <c r="D29" s="65">
        <v>19746</v>
      </c>
      <c r="E29" s="48" t="s">
        <v>126</v>
      </c>
      <c r="F29" s="48"/>
      <c r="G29" s="48"/>
      <c r="H29" s="48"/>
      <c r="I29" s="48"/>
      <c r="J29" s="48"/>
      <c r="K29" s="48"/>
      <c r="L29" s="48"/>
      <c r="M29" s="48"/>
      <c r="N29" s="50"/>
    </row>
    <row r="30" spans="1:14" x14ac:dyDescent="0.2">
      <c r="A30" s="47"/>
      <c r="B30" s="47" t="s">
        <v>127</v>
      </c>
      <c r="C30" s="48"/>
      <c r="D30" s="65">
        <v>3805</v>
      </c>
      <c r="E30" s="48" t="s">
        <v>126</v>
      </c>
      <c r="F30" s="48"/>
      <c r="G30" s="48"/>
      <c r="H30" s="48"/>
      <c r="I30" s="48"/>
      <c r="J30" s="48"/>
      <c r="K30" s="48"/>
      <c r="L30" s="48"/>
      <c r="M30" s="48"/>
      <c r="N30" s="50"/>
    </row>
    <row r="31" spans="1:14" x14ac:dyDescent="0.2">
      <c r="A31" s="47"/>
      <c r="B31" s="47"/>
      <c r="C31" s="48"/>
      <c r="D31" s="65"/>
      <c r="E31" s="48"/>
      <c r="F31" s="48"/>
      <c r="G31" s="48"/>
      <c r="H31" s="48"/>
      <c r="I31" s="48"/>
      <c r="J31" s="48"/>
      <c r="K31" s="48"/>
      <c r="L31" s="48"/>
      <c r="M31" s="48"/>
      <c r="N31" s="50"/>
    </row>
    <row r="32" spans="1:14" x14ac:dyDescent="0.2">
      <c r="A32" s="47"/>
      <c r="B32" s="171" t="s">
        <v>192</v>
      </c>
      <c r="C32" s="172"/>
      <c r="D32" s="165">
        <v>14.3</v>
      </c>
      <c r="E32" s="48"/>
      <c r="F32" s="48"/>
      <c r="G32" s="48"/>
      <c r="H32" s="48"/>
      <c r="I32" s="48"/>
      <c r="J32" s="48"/>
      <c r="K32" s="48"/>
      <c r="L32" s="48"/>
      <c r="M32" s="48"/>
      <c r="N32" s="50"/>
    </row>
    <row r="33" spans="1:14" x14ac:dyDescent="0.2">
      <c r="A33" s="47"/>
      <c r="B33" s="48"/>
      <c r="C33" s="48"/>
      <c r="D33" s="66"/>
      <c r="E33" s="48"/>
      <c r="F33" s="67"/>
      <c r="G33" s="67"/>
      <c r="H33" s="67"/>
      <c r="I33" s="67"/>
      <c r="J33" s="67"/>
      <c r="K33" s="48"/>
      <c r="L33" s="48"/>
      <c r="M33" s="48"/>
      <c r="N33" s="50"/>
    </row>
    <row r="34" spans="1:14" x14ac:dyDescent="0.2">
      <c r="A34" s="47"/>
      <c r="B34" s="48"/>
      <c r="C34" s="48"/>
      <c r="D34" s="66"/>
      <c r="E34" s="48"/>
      <c r="F34" s="68">
        <v>45658</v>
      </c>
      <c r="G34" s="68">
        <v>46023</v>
      </c>
      <c r="H34" s="68">
        <v>46388</v>
      </c>
      <c r="I34" s="68">
        <v>46753</v>
      </c>
      <c r="J34" s="68">
        <v>47119</v>
      </c>
      <c r="K34" s="48"/>
      <c r="L34" s="48"/>
      <c r="M34" s="48"/>
      <c r="N34" s="50"/>
    </row>
    <row r="35" spans="1:14" x14ac:dyDescent="0.2">
      <c r="A35" s="47"/>
      <c r="B35" s="48"/>
      <c r="C35" s="48"/>
      <c r="D35" s="69"/>
      <c r="E35" s="48" t="s">
        <v>128</v>
      </c>
      <c r="F35" s="155" t="s">
        <v>102</v>
      </c>
      <c r="G35" s="156"/>
      <c r="H35" s="156"/>
      <c r="I35" s="156"/>
      <c r="J35" s="156"/>
      <c r="K35" s="48"/>
      <c r="L35" s="48"/>
      <c r="M35" s="48"/>
      <c r="N35" s="50"/>
    </row>
    <row r="36" spans="1:14" x14ac:dyDescent="0.2">
      <c r="A36" s="47"/>
      <c r="B36" s="167" t="s">
        <v>129</v>
      </c>
      <c r="C36" s="168"/>
      <c r="D36" s="173" t="s">
        <v>130</v>
      </c>
      <c r="E36" s="174">
        <v>2024</v>
      </c>
      <c r="F36" s="174">
        <f>E36+1</f>
        <v>2025</v>
      </c>
      <c r="G36" s="174">
        <f t="shared" ref="G36:J36" si="0">F36+1</f>
        <v>2026</v>
      </c>
      <c r="H36" s="174">
        <f t="shared" si="0"/>
        <v>2027</v>
      </c>
      <c r="I36" s="174">
        <f t="shared" si="0"/>
        <v>2028</v>
      </c>
      <c r="J36" s="175">
        <f t="shared" si="0"/>
        <v>2029</v>
      </c>
      <c r="K36" s="48"/>
      <c r="L36" s="167" t="s">
        <v>131</v>
      </c>
      <c r="M36" s="168"/>
      <c r="N36" s="169"/>
    </row>
    <row r="37" spans="1:14" x14ac:dyDescent="0.2">
      <c r="A37" s="47"/>
      <c r="B37" s="47" t="s">
        <v>132</v>
      </c>
      <c r="C37" s="48"/>
      <c r="D37" s="70"/>
      <c r="E37" s="71">
        <f>'Income Statement'!L6</f>
        <v>107412</v>
      </c>
      <c r="F37" s="72">
        <f>'Income Statement'!N6</f>
        <v>105668.75</v>
      </c>
      <c r="G37" s="72">
        <f>'Income Statement'!O6</f>
        <v>108349.935</v>
      </c>
      <c r="H37" s="72">
        <f>'Income Statement'!P6</f>
        <v>111988.375</v>
      </c>
      <c r="I37" s="72">
        <f>'Income Statement'!Q6</f>
        <v>115455.5</v>
      </c>
      <c r="J37" s="176">
        <f>'Income Statement'!R6</f>
        <v>121359</v>
      </c>
      <c r="K37" s="48"/>
      <c r="L37" s="47" t="s">
        <v>133</v>
      </c>
      <c r="M37" s="48"/>
      <c r="N37" s="50">
        <f>(J47*(1+D21))/(D20-D21)</f>
        <v>85289.650993861273</v>
      </c>
    </row>
    <row r="38" spans="1:14" x14ac:dyDescent="0.2">
      <c r="A38" s="47"/>
      <c r="B38" s="177" t="s">
        <v>134</v>
      </c>
      <c r="C38" s="48"/>
      <c r="D38" s="70"/>
      <c r="E38" s="110"/>
      <c r="F38" s="73">
        <f>F37/E37</f>
        <v>0.98377043533310993</v>
      </c>
      <c r="G38" s="73">
        <f>G37/F37</f>
        <v>1.0253734902703022</v>
      </c>
      <c r="H38" s="73">
        <f>H37/G37</f>
        <v>1.0335804539245916</v>
      </c>
      <c r="I38" s="73">
        <f>I37/H37</f>
        <v>1.0309596866639059</v>
      </c>
      <c r="J38" s="178">
        <f>J37/I37</f>
        <v>1.051132254418369</v>
      </c>
      <c r="K38" s="48"/>
      <c r="L38" s="47" t="s">
        <v>192</v>
      </c>
      <c r="M38" s="48"/>
      <c r="N38" s="50">
        <f>D32*(J42+J44)</f>
        <v>138320.16814207725</v>
      </c>
    </row>
    <row r="39" spans="1:14" x14ac:dyDescent="0.2">
      <c r="A39" s="47"/>
      <c r="B39" s="179" t="s">
        <v>135</v>
      </c>
      <c r="C39" s="74"/>
      <c r="D39" s="75">
        <f>E39/E37</f>
        <v>0.72371802033292365</v>
      </c>
      <c r="E39" s="71">
        <f>'Income Statement'!L11</f>
        <v>77736</v>
      </c>
      <c r="F39" s="76"/>
      <c r="G39" s="76"/>
      <c r="H39" s="76"/>
      <c r="I39" s="76"/>
      <c r="J39" s="180"/>
      <c r="K39" s="48"/>
      <c r="L39" s="171" t="s">
        <v>193</v>
      </c>
      <c r="M39" s="172"/>
      <c r="N39" s="187">
        <f>(N37+N38)/2</f>
        <v>111804.90956796927</v>
      </c>
    </row>
    <row r="40" spans="1:14" x14ac:dyDescent="0.2">
      <c r="A40" s="47"/>
      <c r="B40" s="179" t="s">
        <v>1</v>
      </c>
      <c r="C40" s="48"/>
      <c r="D40" s="48"/>
      <c r="E40" s="77">
        <f>E37-E39</f>
        <v>29676</v>
      </c>
      <c r="F40" s="78">
        <f>'Income Statement'!N12</f>
        <v>28981.768062499999</v>
      </c>
      <c r="G40" s="78">
        <f>'Income Statement'!O12</f>
        <v>29930.586044399999</v>
      </c>
      <c r="H40" s="78">
        <f>'Income Statement'!P12</f>
        <v>31118.20976125</v>
      </c>
      <c r="I40" s="78">
        <f>'Income Statement'!Q12</f>
        <v>31625.57056</v>
      </c>
      <c r="J40" s="181">
        <f>'Income Statement'!R12</f>
        <v>33365.229870000003</v>
      </c>
      <c r="K40" s="79"/>
      <c r="L40" s="48"/>
      <c r="M40" s="48"/>
      <c r="N40" s="50"/>
    </row>
    <row r="41" spans="1:14" x14ac:dyDescent="0.2">
      <c r="A41" s="47"/>
      <c r="B41" s="179" t="s">
        <v>136</v>
      </c>
      <c r="C41" s="48"/>
      <c r="D41" s="80"/>
      <c r="E41" s="71">
        <f>'Income Statement'!L14</f>
        <v>23969</v>
      </c>
      <c r="F41" s="76"/>
      <c r="G41" s="76"/>
      <c r="H41" s="76"/>
      <c r="I41" s="76"/>
      <c r="J41" s="180"/>
      <c r="K41" s="48" t="s">
        <v>212</v>
      </c>
      <c r="L41" s="48"/>
      <c r="M41" s="48"/>
      <c r="N41" s="50"/>
    </row>
    <row r="42" spans="1:14" x14ac:dyDescent="0.2">
      <c r="A42" s="47"/>
      <c r="B42" s="47" t="s">
        <v>137</v>
      </c>
      <c r="C42" s="48"/>
      <c r="D42" s="182">
        <f>I66</f>
        <v>5.3131866085725989E-2</v>
      </c>
      <c r="E42" s="81">
        <f>E40-E41</f>
        <v>5707</v>
      </c>
      <c r="F42" s="61">
        <f>F37*$I$66</f>
        <v>5614.3778744460578</v>
      </c>
      <c r="G42" s="61">
        <f>G37*$I$66</f>
        <v>5756.8342368171152</v>
      </c>
      <c r="H42" s="61">
        <f>H37*$I$66</f>
        <v>5950.1513436580644</v>
      </c>
      <c r="I42" s="61">
        <f>I37*$I$66</f>
        <v>6134.3661648605366</v>
      </c>
      <c r="J42" s="183">
        <f>J37*$I$66</f>
        <v>6448.0301362976206</v>
      </c>
      <c r="K42" s="48"/>
      <c r="L42" s="48"/>
      <c r="M42" s="48"/>
      <c r="N42" s="50"/>
    </row>
    <row r="43" spans="1:14" x14ac:dyDescent="0.2">
      <c r="A43" s="47"/>
      <c r="B43" s="47" t="s">
        <v>138</v>
      </c>
      <c r="C43" s="48"/>
      <c r="D43" s="82"/>
      <c r="E43" s="83">
        <f>'Income Statement'!L30</f>
        <v>1159</v>
      </c>
      <c r="F43" s="84">
        <f>'Income Statement'!N30</f>
        <v>1156.2449999999999</v>
      </c>
      <c r="G43" s="84">
        <f>'Income Statement'!O30</f>
        <v>1202.326</v>
      </c>
      <c r="H43" s="84">
        <f>'Income Statement'!P30</f>
        <v>1328.3159999999998</v>
      </c>
      <c r="I43" s="84">
        <f>'Income Statement'!Q30</f>
        <v>1248.357</v>
      </c>
      <c r="J43" s="184">
        <f>'Income Statement'!R30</f>
        <v>1467.75</v>
      </c>
      <c r="K43" s="48"/>
      <c r="L43" s="48"/>
      <c r="M43" s="48"/>
      <c r="N43" s="50"/>
    </row>
    <row r="44" spans="1:14" x14ac:dyDescent="0.2">
      <c r="A44" s="47"/>
      <c r="B44" s="47" t="s">
        <v>139</v>
      </c>
      <c r="C44" s="48"/>
      <c r="D44" s="85"/>
      <c r="E44" s="86">
        <f>'Income Statement'!L17</f>
        <v>2415</v>
      </c>
      <c r="F44" s="84">
        <f>'Income Statement'!N17</f>
        <v>2807.793060325534</v>
      </c>
      <c r="G44" s="84">
        <f>'Income Statement'!O17</f>
        <v>2879.0365702227264</v>
      </c>
      <c r="H44" s="84">
        <f>'Income Statement'!P17</f>
        <v>2975.7159251163048</v>
      </c>
      <c r="I44" s="84">
        <f>'Income Statement'!Q17</f>
        <v>3067.8431577587007</v>
      </c>
      <c r="J44" s="184">
        <f>'Income Statement'!R17</f>
        <v>3224.708894616871</v>
      </c>
      <c r="K44" s="48"/>
      <c r="L44" s="48"/>
      <c r="M44" s="48"/>
      <c r="N44" s="50"/>
    </row>
    <row r="45" spans="1:14" x14ac:dyDescent="0.2">
      <c r="A45" s="47"/>
      <c r="B45" s="47" t="s">
        <v>140</v>
      </c>
      <c r="C45" s="48"/>
      <c r="D45" s="87">
        <f>E45/E37</f>
        <v>4.3793989498380072E-2</v>
      </c>
      <c r="E45" s="81">
        <f>36458-34169+2415</f>
        <v>4704</v>
      </c>
      <c r="F45" s="191">
        <f>PPE!J5-PPE!I5+'Income Statement'!N17</f>
        <v>2826.6117624268049</v>
      </c>
      <c r="G45" s="191">
        <f>PPE!K5-PPE!J5+'Income Statement'!O17</f>
        <v>4180.017309043722</v>
      </c>
      <c r="H45" s="191">
        <f>PPE!L5-PPE!K5+'Income Statement'!P17</f>
        <v>2050.4438616627031</v>
      </c>
      <c r="I45" s="191">
        <f>PPE!M5-PPE!L5+'Income Statement'!Q17</f>
        <v>1790.858578873057</v>
      </c>
      <c r="J45" s="192">
        <v>3000</v>
      </c>
      <c r="K45" s="48"/>
      <c r="L45" s="48"/>
      <c r="M45" s="48"/>
      <c r="N45" s="50"/>
    </row>
    <row r="46" spans="1:14" x14ac:dyDescent="0.2">
      <c r="A46" s="47"/>
      <c r="B46" s="47" t="s">
        <v>141</v>
      </c>
      <c r="C46" s="48"/>
      <c r="D46" s="193">
        <f>E46/E37</f>
        <v>-1.9737087103861768E-3</v>
      </c>
      <c r="E46" s="111">
        <f>11886-12098</f>
        <v>-212</v>
      </c>
      <c r="F46" s="111">
        <f>F37*$D$46</f>
        <v>-208.55933229061932</v>
      </c>
      <c r="G46" s="111">
        <f t="shared" ref="G46:J46" si="1">G37*$D$46</f>
        <v>-213.85121047927606</v>
      </c>
      <c r="H46" s="111">
        <f t="shared" si="1"/>
        <v>-221.03243119949357</v>
      </c>
      <c r="I46" s="111">
        <f t="shared" si="1"/>
        <v>-227.87552601199124</v>
      </c>
      <c r="J46" s="194">
        <f t="shared" si="1"/>
        <v>-239.52731538375602</v>
      </c>
      <c r="K46" s="48"/>
      <c r="L46" s="167" t="s">
        <v>184</v>
      </c>
      <c r="M46" s="168"/>
      <c r="N46" s="169"/>
    </row>
    <row r="47" spans="1:14" x14ac:dyDescent="0.2">
      <c r="A47" s="47"/>
      <c r="B47" s="47" t="s">
        <v>142</v>
      </c>
      <c r="C47" s="48"/>
      <c r="D47" s="48"/>
      <c r="E47" s="88">
        <f t="shared" ref="E47:J47" si="2">E42-E43+E44-E45-E46</f>
        <v>2471</v>
      </c>
      <c r="F47" s="89">
        <f t="shared" si="2"/>
        <v>4647.8735046354077</v>
      </c>
      <c r="G47" s="89">
        <f t="shared" si="2"/>
        <v>3467.3787084753958</v>
      </c>
      <c r="H47" s="89">
        <f t="shared" si="2"/>
        <v>5768.13983831116</v>
      </c>
      <c r="I47" s="89">
        <f t="shared" si="2"/>
        <v>6390.8692697581719</v>
      </c>
      <c r="J47" s="127">
        <f t="shared" si="2"/>
        <v>5444.5163462982482</v>
      </c>
      <c r="L47" s="171"/>
      <c r="M47" s="172"/>
      <c r="N47" s="188">
        <f>J48/J47</f>
        <v>20.535324435931933</v>
      </c>
    </row>
    <row r="48" spans="1:14" x14ac:dyDescent="0.2">
      <c r="A48" s="47"/>
      <c r="B48" s="47"/>
      <c r="C48" s="48"/>
      <c r="D48" s="44"/>
      <c r="E48" s="90"/>
      <c r="F48" s="48"/>
      <c r="G48" s="48"/>
      <c r="H48" s="48"/>
      <c r="I48" s="48"/>
      <c r="J48" s="46">
        <f>N39</f>
        <v>111804.90956796927</v>
      </c>
      <c r="K48" s="48"/>
      <c r="L48" s="48"/>
      <c r="M48" s="48"/>
      <c r="N48" s="50"/>
    </row>
    <row r="49" spans="1:14" x14ac:dyDescent="0.2">
      <c r="A49" s="47"/>
      <c r="B49" s="47" t="s">
        <v>143</v>
      </c>
      <c r="C49" s="48"/>
      <c r="D49" s="89"/>
      <c r="E49" s="88"/>
      <c r="F49" s="89">
        <f t="shared" ref="F49:J49" si="3">F47+F48</f>
        <v>4647.8735046354077</v>
      </c>
      <c r="G49" s="89">
        <f t="shared" si="3"/>
        <v>3467.3787084753958</v>
      </c>
      <c r="H49" s="89">
        <f t="shared" si="3"/>
        <v>5768.13983831116</v>
      </c>
      <c r="I49" s="89">
        <f t="shared" si="3"/>
        <v>6390.8692697581719</v>
      </c>
      <c r="J49" s="127">
        <f t="shared" si="3"/>
        <v>117249.42591426751</v>
      </c>
      <c r="K49" s="48"/>
      <c r="L49" s="48"/>
      <c r="M49" s="48"/>
      <c r="N49" s="50"/>
    </row>
    <row r="50" spans="1:14" x14ac:dyDescent="0.2">
      <c r="A50" s="47"/>
      <c r="B50" s="171" t="s">
        <v>143</v>
      </c>
      <c r="C50" s="172"/>
      <c r="D50" s="172"/>
      <c r="E50" s="185"/>
      <c r="F50" s="172">
        <f t="shared" ref="F50:J50" si="4">F49</f>
        <v>4647.8735046354077</v>
      </c>
      <c r="G50" s="172">
        <f t="shared" si="4"/>
        <v>3467.3787084753958</v>
      </c>
      <c r="H50" s="172">
        <f t="shared" si="4"/>
        <v>5768.13983831116</v>
      </c>
      <c r="I50" s="172">
        <f t="shared" si="4"/>
        <v>6390.8692697581719</v>
      </c>
      <c r="J50" s="186">
        <f t="shared" si="4"/>
        <v>117249.42591426751</v>
      </c>
      <c r="K50" s="48"/>
      <c r="L50" s="48"/>
      <c r="M50" s="48"/>
      <c r="N50" s="50"/>
    </row>
    <row r="51" spans="1:14" x14ac:dyDescent="0.2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50"/>
    </row>
    <row r="52" spans="1:14" x14ac:dyDescent="0.2">
      <c r="A52" s="47"/>
      <c r="B52" s="48"/>
      <c r="C52" s="48"/>
      <c r="D52" s="49"/>
      <c r="E52" s="48"/>
      <c r="F52" s="48"/>
      <c r="G52" s="48"/>
      <c r="H52" s="48"/>
      <c r="I52" s="48"/>
      <c r="J52" s="48"/>
      <c r="K52" s="48"/>
      <c r="L52" s="48"/>
      <c r="M52" s="48"/>
      <c r="N52" s="50"/>
    </row>
    <row r="53" spans="1:14" x14ac:dyDescent="0.2">
      <c r="A53" s="47"/>
      <c r="B53" s="167" t="s">
        <v>144</v>
      </c>
      <c r="C53" s="168"/>
      <c r="D53" s="169"/>
      <c r="E53" s="48"/>
      <c r="F53" s="48"/>
      <c r="G53" s="167" t="s">
        <v>145</v>
      </c>
      <c r="H53" s="168"/>
      <c r="I53" s="190" t="s">
        <v>126</v>
      </c>
      <c r="J53" s="48"/>
      <c r="K53" s="48"/>
      <c r="L53" s="167" t="s">
        <v>146</v>
      </c>
      <c r="M53" s="168"/>
      <c r="N53" s="169"/>
    </row>
    <row r="54" spans="1:14" x14ac:dyDescent="0.2">
      <c r="A54" s="47"/>
      <c r="B54" s="47" t="s">
        <v>147</v>
      </c>
      <c r="C54" s="48"/>
      <c r="D54" s="50">
        <f>NPV(D20,F50,G50,H50,I50,J50,)</f>
        <v>92201.026611225345</v>
      </c>
      <c r="E54" s="48"/>
      <c r="F54" s="48"/>
      <c r="G54" s="47" t="s">
        <v>148</v>
      </c>
      <c r="H54" s="48"/>
      <c r="I54" s="50">
        <v>42610</v>
      </c>
      <c r="J54" s="91"/>
      <c r="K54" s="48"/>
      <c r="L54" s="171" t="s">
        <v>149</v>
      </c>
      <c r="M54" s="172"/>
      <c r="N54" s="189">
        <f>D59/I59-1</f>
        <v>0.78972134736506328</v>
      </c>
    </row>
    <row r="55" spans="1:14" x14ac:dyDescent="0.2">
      <c r="A55" s="47"/>
      <c r="B55" s="47" t="s">
        <v>150</v>
      </c>
      <c r="C55" s="48"/>
      <c r="D55" s="50">
        <f>D30</f>
        <v>3805</v>
      </c>
      <c r="E55" s="48"/>
      <c r="F55" s="48"/>
      <c r="G55" s="47" t="s">
        <v>151</v>
      </c>
      <c r="H55" s="48"/>
      <c r="I55" s="50">
        <f>D29</f>
        <v>19746</v>
      </c>
      <c r="J55" s="48"/>
      <c r="K55" s="48"/>
      <c r="L55" s="48"/>
      <c r="M55" s="48"/>
      <c r="N55" s="92"/>
    </row>
    <row r="56" spans="1:14" x14ac:dyDescent="0.2">
      <c r="A56" s="47"/>
      <c r="B56" s="47" t="s">
        <v>152</v>
      </c>
      <c r="C56" s="48"/>
      <c r="D56" s="50">
        <f>D29</f>
        <v>19746</v>
      </c>
      <c r="E56" s="48"/>
      <c r="F56" s="48"/>
      <c r="G56" s="47" t="s">
        <v>153</v>
      </c>
      <c r="H56" s="48"/>
      <c r="I56" s="50">
        <f>+D30</f>
        <v>3805</v>
      </c>
      <c r="J56" s="48"/>
      <c r="K56" s="48"/>
      <c r="L56" s="48"/>
      <c r="M56" s="48"/>
      <c r="N56" s="50"/>
    </row>
    <row r="57" spans="1:14" x14ac:dyDescent="0.2">
      <c r="A57" s="47"/>
      <c r="B57" s="47" t="s">
        <v>154</v>
      </c>
      <c r="C57" s="48"/>
      <c r="D57" s="127">
        <f>D54+D55-D56</f>
        <v>76260.026611225345</v>
      </c>
      <c r="E57" s="48" t="s">
        <v>155</v>
      </c>
      <c r="F57" s="48"/>
      <c r="G57" s="47" t="s">
        <v>156</v>
      </c>
      <c r="H57" s="48"/>
      <c r="I57" s="127">
        <f>I54+I55-I56</f>
        <v>58551</v>
      </c>
      <c r="J57" s="48" t="s">
        <v>155</v>
      </c>
      <c r="K57" s="48"/>
      <c r="L57" s="167" t="s">
        <v>157</v>
      </c>
      <c r="M57" s="168"/>
      <c r="N57" s="169"/>
    </row>
    <row r="58" spans="1:14" x14ac:dyDescent="0.2">
      <c r="A58" s="47"/>
      <c r="B58" s="47"/>
      <c r="C58" s="48"/>
      <c r="D58" s="50"/>
      <c r="E58" s="48"/>
      <c r="F58" s="48"/>
      <c r="G58" s="47"/>
      <c r="H58" s="48"/>
      <c r="I58" s="93"/>
      <c r="J58" s="48"/>
      <c r="K58" s="48"/>
      <c r="L58" s="47" t="s">
        <v>145</v>
      </c>
      <c r="M58" s="48"/>
      <c r="N58" s="93">
        <f>I59</f>
        <v>92.329360780065002</v>
      </c>
    </row>
    <row r="59" spans="1:14" x14ac:dyDescent="0.2">
      <c r="A59" s="47"/>
      <c r="B59" s="171" t="s">
        <v>158</v>
      </c>
      <c r="C59" s="172"/>
      <c r="D59" s="188">
        <f>D57/D28</f>
        <v>165.24382797665297</v>
      </c>
      <c r="E59" s="48" t="s">
        <v>159</v>
      </c>
      <c r="F59" s="48"/>
      <c r="G59" s="171" t="s">
        <v>158</v>
      </c>
      <c r="H59" s="172"/>
      <c r="I59" s="188">
        <f>I54/D28</f>
        <v>92.329360780065002</v>
      </c>
      <c r="J59" s="48"/>
      <c r="K59" s="48"/>
      <c r="L59" s="47" t="s">
        <v>160</v>
      </c>
      <c r="M59" s="48"/>
      <c r="N59" s="93">
        <f>D59-I59</f>
        <v>72.914467196587964</v>
      </c>
    </row>
    <row r="60" spans="1:14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171" t="s">
        <v>144</v>
      </c>
      <c r="M60" s="172"/>
      <c r="N60" s="188">
        <f>SUM(N58:N59)</f>
        <v>165.24382797665297</v>
      </c>
    </row>
    <row r="61" spans="1:14" x14ac:dyDescent="0.2">
      <c r="A61" s="121"/>
      <c r="N61" s="122"/>
    </row>
    <row r="62" spans="1:14" x14ac:dyDescent="0.2">
      <c r="A62" s="53"/>
      <c r="B62" s="54" t="s">
        <v>186</v>
      </c>
      <c r="C62" s="55"/>
      <c r="D62" s="55"/>
      <c r="E62" s="55"/>
      <c r="F62" s="56"/>
      <c r="G62" s="56"/>
      <c r="H62" s="57"/>
      <c r="I62" s="54"/>
      <c r="J62" s="55"/>
      <c r="K62" s="55"/>
      <c r="L62" s="55"/>
      <c r="M62" s="56"/>
      <c r="N62" s="58"/>
    </row>
    <row r="63" spans="1:14" x14ac:dyDescent="0.2">
      <c r="A63" s="121"/>
      <c r="N63" s="122"/>
    </row>
    <row r="64" spans="1:14" x14ac:dyDescent="0.2">
      <c r="A64" s="121"/>
      <c r="B64" s="112" t="s">
        <v>185</v>
      </c>
      <c r="C64" s="113"/>
      <c r="D64" s="113"/>
      <c r="E64" s="114"/>
      <c r="G64" t="s">
        <v>196</v>
      </c>
      <c r="N64" s="109">
        <f>N65-0.005</f>
        <v>4.8131866085725991E-2</v>
      </c>
    </row>
    <row r="65" spans="1:14" x14ac:dyDescent="0.2">
      <c r="A65" s="121"/>
      <c r="B65" s="117" t="s">
        <v>187</v>
      </c>
      <c r="C65" s="117" t="s">
        <v>188</v>
      </c>
      <c r="D65" s="116" t="s">
        <v>158</v>
      </c>
      <c r="E65" s="117" t="s">
        <v>189</v>
      </c>
      <c r="N65" s="109">
        <f>E42/E37</f>
        <v>5.3131866085725989E-2</v>
      </c>
    </row>
    <row r="66" spans="1:14" x14ac:dyDescent="0.2">
      <c r="A66" s="121"/>
      <c r="B66" s="115" t="s">
        <v>214</v>
      </c>
      <c r="C66" s="109">
        <f>N64</f>
        <v>4.8131866085725991E-2</v>
      </c>
      <c r="D66" s="118">
        <v>147.7551858585791</v>
      </c>
      <c r="E66" s="119">
        <f>(D66-D67)/D67</f>
        <v>-0.10583537268662668</v>
      </c>
      <c r="G66" s="157" t="s">
        <v>78</v>
      </c>
      <c r="H66" s="157"/>
      <c r="I66" s="126">
        <v>5.3131866085725989E-2</v>
      </c>
      <c r="N66" s="109">
        <f>N65+0.005</f>
        <v>5.8131866085725986E-2</v>
      </c>
    </row>
    <row r="67" spans="1:14" x14ac:dyDescent="0.2">
      <c r="A67" s="121"/>
      <c r="B67" s="115" t="s">
        <v>190</v>
      </c>
      <c r="C67" s="109">
        <v>5.3131866085725989E-2</v>
      </c>
      <c r="D67" s="118">
        <v>165.24382797665299</v>
      </c>
      <c r="E67" s="120" t="s">
        <v>191</v>
      </c>
      <c r="N67" s="122"/>
    </row>
    <row r="68" spans="1:14" x14ac:dyDescent="0.2">
      <c r="A68" s="121"/>
      <c r="B68" s="115" t="s">
        <v>213</v>
      </c>
      <c r="C68" s="109">
        <f>N66</f>
        <v>5.8131866085725986E-2</v>
      </c>
      <c r="D68" s="118">
        <v>182.73247009472678</v>
      </c>
      <c r="E68" s="119">
        <f>(D68-D67)/D67</f>
        <v>0.10583537268662599</v>
      </c>
      <c r="N68" s="122"/>
    </row>
    <row r="69" spans="1:14" x14ac:dyDescent="0.2">
      <c r="A69" s="123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5"/>
    </row>
  </sheetData>
  <mergeCells count="2">
    <mergeCell ref="F35:J35"/>
    <mergeCell ref="G66:H66"/>
  </mergeCells>
  <dataValidations count="1">
    <dataValidation type="list" allowBlank="1" showInputMessage="1" showErrorMessage="1" sqref="I66" xr:uid="{E22D1875-08B1-2541-9EA4-1BFF132B0052}">
      <formula1>$N$64:$N$66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842A-7929-4EF3-870A-550A5C025538}">
  <dimension ref="A1:K18"/>
  <sheetViews>
    <sheetView showGridLines="0" zoomScale="139" workbookViewId="0">
      <selection activeCell="D26" sqref="D26"/>
    </sheetView>
  </sheetViews>
  <sheetFormatPr baseColWidth="10" defaultColWidth="8.83203125" defaultRowHeight="15" x14ac:dyDescent="0.2"/>
  <cols>
    <col min="3" max="3" width="17" customWidth="1"/>
    <col min="4" max="4" width="15.33203125" customWidth="1"/>
    <col min="7" max="7" width="25.6640625" customWidth="1"/>
    <col min="8" max="8" width="12" customWidth="1"/>
  </cols>
  <sheetData>
    <row r="1" spans="1:1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0" x14ac:dyDescent="0.2">
      <c r="A2" s="128" t="s">
        <v>197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4" spans="1:11" ht="16" thickBot="1" x14ac:dyDescent="0.25"/>
    <row r="5" spans="1:11" ht="16" thickBot="1" x14ac:dyDescent="0.25">
      <c r="B5" s="158" t="s">
        <v>198</v>
      </c>
      <c r="C5" s="159"/>
      <c r="D5" s="160"/>
      <c r="E5" s="129"/>
      <c r="H5" s="130"/>
    </row>
    <row r="6" spans="1:11" ht="16" thickBot="1" x14ac:dyDescent="0.25">
      <c r="B6" s="161" t="s">
        <v>199</v>
      </c>
      <c r="C6" s="162"/>
      <c r="D6" s="163"/>
      <c r="E6" s="129"/>
    </row>
    <row r="7" spans="1:11" ht="16" thickBot="1" x14ac:dyDescent="0.25">
      <c r="B7" s="129"/>
      <c r="C7" s="129"/>
      <c r="D7" s="129"/>
      <c r="E7" s="129"/>
    </row>
    <row r="8" spans="1:11" x14ac:dyDescent="0.2">
      <c r="B8" s="144" t="s">
        <v>200</v>
      </c>
      <c r="C8" s="145" t="s">
        <v>201</v>
      </c>
      <c r="D8" s="145" t="s">
        <v>202</v>
      </c>
      <c r="E8" s="146" t="s">
        <v>203</v>
      </c>
      <c r="G8" s="131" t="s">
        <v>204</v>
      </c>
      <c r="H8" s="132">
        <v>6.5000000000000002E-2</v>
      </c>
      <c r="J8" s="133" t="s">
        <v>205</v>
      </c>
      <c r="K8" s="134">
        <v>4.48E-2</v>
      </c>
    </row>
    <row r="9" spans="1:11" x14ac:dyDescent="0.2">
      <c r="B9" s="147">
        <v>2024</v>
      </c>
      <c r="C9" s="148">
        <v>1.1200000000000001</v>
      </c>
      <c r="D9" s="148">
        <v>4.4400000000000004</v>
      </c>
      <c r="E9" s="149">
        <f t="shared" ref="E9:E17" si="0">(D9-D10)/D10</f>
        <v>1.8348623853211024E-2</v>
      </c>
      <c r="G9" s="136" t="s">
        <v>206</v>
      </c>
      <c r="H9" s="137">
        <f>K8+K9*(K10-K8)</f>
        <v>0.10403599999999999</v>
      </c>
      <c r="J9" s="121" t="s">
        <v>215</v>
      </c>
      <c r="K9" s="122">
        <v>1.18</v>
      </c>
    </row>
    <row r="10" spans="1:11" x14ac:dyDescent="0.2">
      <c r="B10" s="150">
        <v>2023</v>
      </c>
      <c r="C10" s="135">
        <v>1.1000000000000001</v>
      </c>
      <c r="D10" s="135">
        <v>4.3600000000000003</v>
      </c>
      <c r="E10" s="151">
        <f t="shared" si="0"/>
        <v>0.10101010101010111</v>
      </c>
      <c r="G10" s="136"/>
      <c r="H10" s="138"/>
      <c r="J10" s="121" t="s">
        <v>207</v>
      </c>
      <c r="K10" s="139">
        <v>9.5000000000000001E-2</v>
      </c>
    </row>
    <row r="11" spans="1:11" x14ac:dyDescent="0.2">
      <c r="B11" s="150">
        <v>2022</v>
      </c>
      <c r="C11" s="135">
        <v>1.08</v>
      </c>
      <c r="D11" s="135">
        <v>3.96</v>
      </c>
      <c r="E11" s="151">
        <f t="shared" si="0"/>
        <v>0.25316455696202522</v>
      </c>
      <c r="G11" s="136" t="s">
        <v>208</v>
      </c>
      <c r="H11" s="138">
        <v>94.38</v>
      </c>
      <c r="J11" s="123" t="s">
        <v>209</v>
      </c>
      <c r="K11" s="140">
        <f>D9*(1+E9)</f>
        <v>4.5214678899082577</v>
      </c>
    </row>
    <row r="12" spans="1:11" x14ac:dyDescent="0.2">
      <c r="B12" s="150">
        <v>2021</v>
      </c>
      <c r="C12" s="135">
        <v>0.9</v>
      </c>
      <c r="D12" s="135">
        <v>3.16</v>
      </c>
      <c r="E12" s="151">
        <f t="shared" si="0"/>
        <v>0.17910447761194029</v>
      </c>
      <c r="G12" s="136"/>
      <c r="H12" s="138"/>
    </row>
    <row r="13" spans="1:11" x14ac:dyDescent="0.2">
      <c r="B13" s="150">
        <v>2020</v>
      </c>
      <c r="C13" s="135">
        <v>0.68</v>
      </c>
      <c r="D13" s="135">
        <v>2.68</v>
      </c>
      <c r="E13" s="151">
        <f t="shared" si="0"/>
        <v>3.0769230769230795E-2</v>
      </c>
      <c r="G13" s="136" t="s">
        <v>210</v>
      </c>
      <c r="H13" s="141">
        <f>K11/(H9-H8)</f>
        <v>115.82815580254788</v>
      </c>
    </row>
    <row r="14" spans="1:11" ht="16" thickBot="1" x14ac:dyDescent="0.25">
      <c r="B14" s="150">
        <v>2019</v>
      </c>
      <c r="C14" s="135">
        <v>0.66</v>
      </c>
      <c r="D14" s="135">
        <v>2.6</v>
      </c>
      <c r="E14" s="151">
        <f t="shared" si="0"/>
        <v>3.1746031746031772E-2</v>
      </c>
      <c r="G14" s="142" t="s">
        <v>211</v>
      </c>
      <c r="H14" s="195" t="str">
        <f>IF(H13&gt;H11,"Undervalued","Overvalued")</f>
        <v>Undervalued</v>
      </c>
    </row>
    <row r="15" spans="1:11" x14ac:dyDescent="0.2">
      <c r="B15" s="150">
        <v>2018</v>
      </c>
      <c r="C15" s="135">
        <v>0.64</v>
      </c>
      <c r="D15" s="135">
        <v>2.52</v>
      </c>
      <c r="E15" s="151">
        <f t="shared" si="0"/>
        <v>3.2786885245901669E-2</v>
      </c>
    </row>
    <row r="16" spans="1:11" x14ac:dyDescent="0.2">
      <c r="B16" s="150">
        <v>2017</v>
      </c>
      <c r="C16" s="135">
        <v>0.62</v>
      </c>
      <c r="D16" s="135">
        <v>2.44</v>
      </c>
      <c r="E16" s="151">
        <f t="shared" si="0"/>
        <v>5.1724137931034531E-2</v>
      </c>
    </row>
    <row r="17" spans="2:5" x14ac:dyDescent="0.2">
      <c r="B17" s="150">
        <v>2016</v>
      </c>
      <c r="C17" s="143">
        <v>0.6</v>
      </c>
      <c r="D17" s="143">
        <v>2.3199999999999998</v>
      </c>
      <c r="E17" s="151">
        <f t="shared" si="0"/>
        <v>7.4074074074073931E-2</v>
      </c>
    </row>
    <row r="18" spans="2:5" x14ac:dyDescent="0.2">
      <c r="B18" s="152">
        <v>2015</v>
      </c>
      <c r="C18" s="153">
        <v>0.56000000000000005</v>
      </c>
      <c r="D18" s="153">
        <v>2.16</v>
      </c>
      <c r="E18" s="154"/>
    </row>
  </sheetData>
  <mergeCells count="2">
    <mergeCell ref="B5:D5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4"/>
  <sheetViews>
    <sheetView showGridLines="0" topLeftCell="B6" zoomScale="110" zoomScaleNormal="110" workbookViewId="0">
      <selection activeCell="J17" sqref="J17"/>
    </sheetView>
  </sheetViews>
  <sheetFormatPr baseColWidth="10" defaultColWidth="8.6640625" defaultRowHeight="15" x14ac:dyDescent="0.2"/>
  <cols>
    <col min="2" max="2" width="29.5" customWidth="1"/>
    <col min="3" max="3" width="10.6640625" customWidth="1"/>
    <col min="4" max="12" width="10.1640625" bestFit="1" customWidth="1"/>
    <col min="13" max="13" width="10.83203125" customWidth="1"/>
    <col min="14" max="18" width="11" bestFit="1" customWidth="1"/>
  </cols>
  <sheetData>
    <row r="1" spans="2:19" x14ac:dyDescent="0.2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2:19" ht="20" x14ac:dyDescent="0.2">
      <c r="B2" s="27" t="s">
        <v>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19" x14ac:dyDescent="0.2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40" t="s">
        <v>102</v>
      </c>
      <c r="O3" s="21"/>
      <c r="P3" s="21"/>
      <c r="Q3" s="21"/>
      <c r="R3" s="21"/>
    </row>
    <row r="4" spans="2:19" x14ac:dyDescent="0.2">
      <c r="B4" s="196" t="s">
        <v>5</v>
      </c>
      <c r="C4" s="197" t="s">
        <v>6</v>
      </c>
      <c r="D4" s="197" t="s">
        <v>7</v>
      </c>
      <c r="E4" s="197" t="s">
        <v>8</v>
      </c>
      <c r="F4" s="197" t="s">
        <v>9</v>
      </c>
      <c r="G4" s="197" t="s">
        <v>10</v>
      </c>
      <c r="H4" s="197" t="s">
        <v>11</v>
      </c>
      <c r="I4" s="197" t="s">
        <v>12</v>
      </c>
      <c r="J4" s="197" t="s">
        <v>13</v>
      </c>
      <c r="K4" s="197" t="s">
        <v>14</v>
      </c>
      <c r="L4" s="197" t="s">
        <v>15</v>
      </c>
      <c r="M4" s="23"/>
      <c r="N4" s="41" t="s">
        <v>88</v>
      </c>
      <c r="O4" s="41" t="s">
        <v>89</v>
      </c>
      <c r="P4" s="41" t="s">
        <v>90</v>
      </c>
      <c r="Q4" s="41" t="s">
        <v>91</v>
      </c>
      <c r="R4" s="41" t="s">
        <v>92</v>
      </c>
    </row>
    <row r="5" spans="2:19" x14ac:dyDescent="0.2">
      <c r="B5" s="198" t="s">
        <v>16</v>
      </c>
      <c r="C5" s="199" t="s">
        <v>17</v>
      </c>
      <c r="D5" s="199" t="s">
        <v>18</v>
      </c>
      <c r="E5" s="199" t="s">
        <v>19</v>
      </c>
      <c r="F5" s="199" t="s">
        <v>20</v>
      </c>
      <c r="G5" s="199" t="s">
        <v>21</v>
      </c>
      <c r="H5" s="199" t="s">
        <v>22</v>
      </c>
      <c r="I5" s="199" t="s">
        <v>23</v>
      </c>
      <c r="J5" s="199" t="s">
        <v>24</v>
      </c>
      <c r="K5" s="199" t="s">
        <v>25</v>
      </c>
      <c r="L5" s="199" t="s">
        <v>26</v>
      </c>
      <c r="M5" s="24" t="s">
        <v>100</v>
      </c>
      <c r="N5" s="42" t="s">
        <v>93</v>
      </c>
      <c r="O5" s="42" t="s">
        <v>94</v>
      </c>
      <c r="P5" s="42" t="s">
        <v>95</v>
      </c>
      <c r="Q5" s="42" t="s">
        <v>96</v>
      </c>
      <c r="R5" s="42" t="s">
        <v>97</v>
      </c>
    </row>
    <row r="6" spans="2:19" x14ac:dyDescent="0.2">
      <c r="B6" s="25" t="s">
        <v>0</v>
      </c>
      <c r="C6" s="35">
        <v>72618</v>
      </c>
      <c r="D6" s="35">
        <v>73785</v>
      </c>
      <c r="E6" s="35">
        <v>69495</v>
      </c>
      <c r="F6" s="35">
        <v>72714</v>
      </c>
      <c r="G6" s="35">
        <v>75356</v>
      </c>
      <c r="H6" s="35">
        <v>78112</v>
      </c>
      <c r="I6" s="35">
        <v>93561</v>
      </c>
      <c r="J6" s="35">
        <v>106005</v>
      </c>
      <c r="K6" s="35">
        <v>109120</v>
      </c>
      <c r="L6" s="35">
        <v>107412</v>
      </c>
      <c r="M6" s="35"/>
      <c r="N6" s="19">
        <v>105668.75</v>
      </c>
      <c r="O6" s="19">
        <v>108349.935</v>
      </c>
      <c r="P6" s="19">
        <v>111988.375</v>
      </c>
      <c r="Q6" s="19">
        <v>115455.5</v>
      </c>
      <c r="R6" s="19">
        <v>121359</v>
      </c>
    </row>
    <row r="7" spans="2:19" x14ac:dyDescent="0.2">
      <c r="B7" s="25" t="s">
        <v>99</v>
      </c>
      <c r="C7" s="35"/>
      <c r="D7" s="38">
        <f>(D6/C6)</f>
        <v>1.016070395769644</v>
      </c>
      <c r="E7" s="38">
        <f t="shared" ref="E7:L7" si="0">E6/D6</f>
        <v>0.9418581012400894</v>
      </c>
      <c r="F7" s="38">
        <f t="shared" si="0"/>
        <v>1.0463198791279948</v>
      </c>
      <c r="G7" s="38">
        <f t="shared" si="0"/>
        <v>1.0363341309789036</v>
      </c>
      <c r="H7" s="38">
        <f t="shared" si="0"/>
        <v>1.0365730665109614</v>
      </c>
      <c r="I7" s="38">
        <f t="shared" si="0"/>
        <v>1.1977801106104056</v>
      </c>
      <c r="J7" s="38">
        <f t="shared" si="0"/>
        <v>1.1330041363388592</v>
      </c>
      <c r="K7" s="38">
        <f t="shared" si="0"/>
        <v>1.0293854063487571</v>
      </c>
      <c r="L7" s="38">
        <f t="shared" si="0"/>
        <v>0.98434750733137832</v>
      </c>
      <c r="M7" s="38">
        <f>AVERAGE(D7:L7)</f>
        <v>1.0468525260285548</v>
      </c>
      <c r="N7" s="39">
        <f>N6/L6</f>
        <v>0.98377043533310993</v>
      </c>
      <c r="O7" s="39">
        <f>O6/N6</f>
        <v>1.0253734902703022</v>
      </c>
      <c r="P7" s="39">
        <f>P6/O6</f>
        <v>1.0335804539245916</v>
      </c>
      <c r="Q7" s="39">
        <f>Q6/P6</f>
        <v>1.0309596866639059</v>
      </c>
      <c r="R7" s="39">
        <f>R6/Q6</f>
        <v>1.051132254418369</v>
      </c>
      <c r="S7" s="101">
        <f>(AVERAGE(N7:R7)) - 1</f>
        <v>2.4963264122055628E-2</v>
      </c>
    </row>
    <row r="8" spans="2:19" x14ac:dyDescent="0.2">
      <c r="B8" s="29" t="s">
        <v>27</v>
      </c>
      <c r="C8" s="32">
        <v>72618</v>
      </c>
      <c r="D8" s="32">
        <v>73785</v>
      </c>
      <c r="E8" s="32">
        <v>69495</v>
      </c>
      <c r="F8" s="32">
        <v>71786</v>
      </c>
      <c r="G8" s="32">
        <v>74433</v>
      </c>
      <c r="H8" s="32">
        <v>77130</v>
      </c>
      <c r="I8" s="32">
        <v>92400</v>
      </c>
      <c r="J8" s="32">
        <v>104611</v>
      </c>
      <c r="K8" s="32">
        <v>107588</v>
      </c>
      <c r="L8" s="32">
        <v>105803</v>
      </c>
      <c r="M8" s="32"/>
      <c r="N8" s="18"/>
      <c r="O8" s="18"/>
      <c r="P8" s="18"/>
      <c r="Q8" s="18"/>
      <c r="R8" s="18"/>
    </row>
    <row r="9" spans="2:19" x14ac:dyDescent="0.2">
      <c r="B9" s="29" t="s">
        <v>28</v>
      </c>
      <c r="C9" s="32" t="s">
        <v>87</v>
      </c>
      <c r="D9" s="32" t="s">
        <v>87</v>
      </c>
      <c r="E9" s="32" t="s">
        <v>87</v>
      </c>
      <c r="F9" s="32">
        <v>928</v>
      </c>
      <c r="G9" s="32">
        <v>923</v>
      </c>
      <c r="H9" s="32">
        <v>982</v>
      </c>
      <c r="I9" s="32">
        <v>1161</v>
      </c>
      <c r="J9" s="32">
        <v>1394</v>
      </c>
      <c r="K9" s="32">
        <v>1532</v>
      </c>
      <c r="L9" s="32">
        <v>1609</v>
      </c>
      <c r="M9" s="32"/>
      <c r="N9" s="18"/>
      <c r="O9" s="18"/>
      <c r="P9" s="18"/>
      <c r="Q9" s="18"/>
      <c r="R9" s="18"/>
    </row>
    <row r="10" spans="2:19" x14ac:dyDescent="0.2">
      <c r="B10" s="29" t="s">
        <v>29</v>
      </c>
      <c r="C10" s="32">
        <v>51278</v>
      </c>
      <c r="D10" s="32">
        <v>52241</v>
      </c>
      <c r="E10" s="32">
        <v>49145</v>
      </c>
      <c r="F10" s="32">
        <v>51125</v>
      </c>
      <c r="G10" s="32">
        <v>53299</v>
      </c>
      <c r="H10" s="32">
        <v>54864</v>
      </c>
      <c r="I10" s="32">
        <v>66177</v>
      </c>
      <c r="J10" s="32">
        <v>74963</v>
      </c>
      <c r="K10" s="32">
        <v>82229</v>
      </c>
      <c r="L10" s="32">
        <v>77736</v>
      </c>
      <c r="M10" s="32"/>
      <c r="N10" s="18"/>
      <c r="O10" s="18"/>
      <c r="P10" s="18"/>
      <c r="Q10" s="18"/>
      <c r="R10" s="18"/>
    </row>
    <row r="11" spans="2:19" x14ac:dyDescent="0.2">
      <c r="B11" s="29" t="s">
        <v>30</v>
      </c>
      <c r="C11" s="32">
        <v>51278</v>
      </c>
      <c r="D11" s="32">
        <v>52241</v>
      </c>
      <c r="E11" s="32">
        <v>49145</v>
      </c>
      <c r="F11" s="32">
        <v>51125</v>
      </c>
      <c r="G11" s="32">
        <v>53299</v>
      </c>
      <c r="H11" s="32">
        <v>54864</v>
      </c>
      <c r="I11" s="32">
        <v>66177</v>
      </c>
      <c r="J11" s="32">
        <v>74963</v>
      </c>
      <c r="K11" s="32">
        <v>82229</v>
      </c>
      <c r="L11" s="32">
        <v>77736</v>
      </c>
      <c r="M11" s="32"/>
      <c r="N11" s="18"/>
      <c r="O11" s="18"/>
      <c r="P11" s="18"/>
      <c r="Q11" s="18"/>
      <c r="R11" s="18"/>
    </row>
    <row r="12" spans="2:19" x14ac:dyDescent="0.2">
      <c r="B12" s="25" t="s">
        <v>1</v>
      </c>
      <c r="C12" s="35">
        <v>21340</v>
      </c>
      <c r="D12" s="35">
        <v>21544</v>
      </c>
      <c r="E12" s="35">
        <v>20350</v>
      </c>
      <c r="F12" s="35">
        <v>21589</v>
      </c>
      <c r="G12" s="35">
        <v>22057</v>
      </c>
      <c r="H12" s="35">
        <v>23248</v>
      </c>
      <c r="I12" s="35">
        <v>27384</v>
      </c>
      <c r="J12" s="35">
        <v>31042</v>
      </c>
      <c r="K12" s="35">
        <v>26891</v>
      </c>
      <c r="L12" s="35">
        <v>29676</v>
      </c>
      <c r="M12" s="35"/>
      <c r="N12" s="19">
        <v>28981.768062499999</v>
      </c>
      <c r="O12" s="19">
        <v>29930.586044399999</v>
      </c>
      <c r="P12" s="19">
        <v>31118.20976125</v>
      </c>
      <c r="Q12" s="19">
        <v>31625.57056</v>
      </c>
      <c r="R12" s="19">
        <v>33365.229870000003</v>
      </c>
    </row>
    <row r="13" spans="2:19" x14ac:dyDescent="0.2">
      <c r="B13" s="29" t="s">
        <v>31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/>
      <c r="N13" s="18"/>
      <c r="O13" s="18"/>
      <c r="P13" s="18"/>
      <c r="Q13" s="18"/>
      <c r="R13" s="18"/>
    </row>
    <row r="14" spans="2:19" x14ac:dyDescent="0.2">
      <c r="B14" s="29" t="s">
        <v>32</v>
      </c>
      <c r="C14" s="32">
        <v>16805</v>
      </c>
      <c r="D14" s="32">
        <v>16014</v>
      </c>
      <c r="E14" s="32">
        <v>15381</v>
      </c>
      <c r="F14" s="32">
        <v>17365</v>
      </c>
      <c r="G14" s="32">
        <v>17947</v>
      </c>
      <c r="H14" s="32">
        <v>18590</v>
      </c>
      <c r="I14" s="32">
        <v>20845</v>
      </c>
      <c r="J14" s="32">
        <v>22096</v>
      </c>
      <c r="K14" s="32">
        <v>23043</v>
      </c>
      <c r="L14" s="32">
        <v>23969</v>
      </c>
      <c r="M14" s="32"/>
      <c r="N14" s="18"/>
      <c r="O14" s="18"/>
      <c r="P14" s="18"/>
      <c r="Q14" s="18"/>
      <c r="R14" s="18"/>
    </row>
    <row r="15" spans="2:19" x14ac:dyDescent="0.2">
      <c r="B15" s="29" t="s">
        <v>33</v>
      </c>
      <c r="C15" s="32">
        <v>14676</v>
      </c>
      <c r="D15" s="32">
        <v>14665</v>
      </c>
      <c r="E15" s="32">
        <v>13356</v>
      </c>
      <c r="F15" s="32">
        <v>15140</v>
      </c>
      <c r="G15" s="32">
        <v>15723</v>
      </c>
      <c r="H15" s="32">
        <v>16233</v>
      </c>
      <c r="I15" s="32">
        <v>18615</v>
      </c>
      <c r="J15" s="32">
        <v>19752</v>
      </c>
      <c r="K15" s="32">
        <v>20658</v>
      </c>
      <c r="L15" s="32">
        <v>21554</v>
      </c>
      <c r="M15" s="32"/>
      <c r="N15" s="18"/>
      <c r="O15" s="18"/>
      <c r="P15" s="18"/>
      <c r="Q15" s="18"/>
      <c r="R15" s="18"/>
    </row>
    <row r="16" spans="2:19" x14ac:dyDescent="0.2">
      <c r="B16" s="29" t="s">
        <v>34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/>
      <c r="N16" s="18"/>
      <c r="O16" s="18"/>
      <c r="P16" s="18"/>
      <c r="Q16" s="18"/>
      <c r="R16" s="18"/>
    </row>
    <row r="17" spans="2:18" x14ac:dyDescent="0.2">
      <c r="B17" s="29" t="s">
        <v>35</v>
      </c>
      <c r="C17" s="32">
        <v>2129</v>
      </c>
      <c r="D17" s="32">
        <v>1969</v>
      </c>
      <c r="E17" s="32">
        <v>2025</v>
      </c>
      <c r="F17" s="32">
        <v>2225</v>
      </c>
      <c r="G17" s="32">
        <v>2224</v>
      </c>
      <c r="H17" s="32">
        <v>2357</v>
      </c>
      <c r="I17" s="32">
        <v>2230</v>
      </c>
      <c r="J17" s="32">
        <v>2344</v>
      </c>
      <c r="K17" s="32">
        <v>2385</v>
      </c>
      <c r="L17" s="32">
        <v>2415</v>
      </c>
      <c r="M17" s="32"/>
      <c r="N17" s="103">
        <f>N6*$M$18</f>
        <v>2807.793060325534</v>
      </c>
      <c r="O17" s="103">
        <f t="shared" ref="O17:R17" si="1">O6*$M$18</f>
        <v>2879.0365702227264</v>
      </c>
      <c r="P17" s="103">
        <f t="shared" si="1"/>
        <v>2975.7159251163048</v>
      </c>
      <c r="Q17" s="103">
        <f t="shared" si="1"/>
        <v>3067.8431577587007</v>
      </c>
      <c r="R17" s="103">
        <f t="shared" si="1"/>
        <v>3224.708894616871</v>
      </c>
    </row>
    <row r="18" spans="2:18" x14ac:dyDescent="0.2">
      <c r="B18" s="29" t="s">
        <v>164</v>
      </c>
      <c r="C18" s="104">
        <f>C17/C6</f>
        <v>2.9317799994491724E-2</v>
      </c>
      <c r="D18" s="104">
        <f t="shared" ref="D18:L18" si="2">D17/D6</f>
        <v>2.6685640712882021E-2</v>
      </c>
      <c r="E18" s="104">
        <f t="shared" si="2"/>
        <v>2.9138786963090871E-2</v>
      </c>
      <c r="F18" s="104">
        <f t="shared" si="2"/>
        <v>3.0599334378524079E-2</v>
      </c>
      <c r="G18" s="104">
        <f t="shared" si="2"/>
        <v>2.9513243802749615E-2</v>
      </c>
      <c r="H18" s="104">
        <f t="shared" si="2"/>
        <v>3.0174621056943875E-2</v>
      </c>
      <c r="I18" s="104">
        <f t="shared" si="2"/>
        <v>2.38347174570601E-2</v>
      </c>
      <c r="J18" s="104">
        <f t="shared" si="2"/>
        <v>2.2112164520541485E-2</v>
      </c>
      <c r="K18" s="104">
        <f t="shared" si="2"/>
        <v>2.1856671554252201E-2</v>
      </c>
      <c r="L18" s="104">
        <f t="shared" si="2"/>
        <v>2.2483521394257626E-2</v>
      </c>
      <c r="M18" s="104">
        <f>AVERAGE(C18:L18)</f>
        <v>2.6571650183479355E-2</v>
      </c>
      <c r="N18" s="18"/>
      <c r="O18" s="18"/>
      <c r="P18" s="18"/>
      <c r="Q18" s="18"/>
      <c r="R18" s="18"/>
    </row>
    <row r="19" spans="2:18" x14ac:dyDescent="0.2">
      <c r="B19" s="29" t="s">
        <v>36</v>
      </c>
      <c r="C19" s="32">
        <v>0</v>
      </c>
      <c r="D19" s="32">
        <v>-620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/>
      <c r="N19" s="18"/>
      <c r="O19" s="18"/>
      <c r="P19" s="18"/>
      <c r="Q19" s="18"/>
      <c r="R19" s="18"/>
    </row>
    <row r="20" spans="2:18" x14ac:dyDescent="0.2">
      <c r="B20" s="25" t="s">
        <v>101</v>
      </c>
      <c r="C20" s="35">
        <v>4535</v>
      </c>
      <c r="D20" s="35">
        <v>5530</v>
      </c>
      <c r="E20" s="35">
        <v>4969</v>
      </c>
      <c r="F20" s="35">
        <v>4224</v>
      </c>
      <c r="G20" s="35">
        <v>4110</v>
      </c>
      <c r="H20" s="35">
        <v>4658</v>
      </c>
      <c r="I20" s="35">
        <v>6539</v>
      </c>
      <c r="J20" s="35">
        <v>8946</v>
      </c>
      <c r="K20" s="35">
        <v>3848</v>
      </c>
      <c r="L20" s="35">
        <v>5707</v>
      </c>
      <c r="M20" s="35"/>
      <c r="N20" s="19">
        <v>5518.6760000000004</v>
      </c>
      <c r="O20" s="19">
        <v>5778.9709999999995</v>
      </c>
      <c r="P20" s="19">
        <v>6219.8890000000001</v>
      </c>
      <c r="Q20" s="19">
        <v>6452.857</v>
      </c>
      <c r="R20" s="19">
        <v>6984</v>
      </c>
    </row>
    <row r="21" spans="2:18" x14ac:dyDescent="0.2">
      <c r="B21" s="29" t="s">
        <v>38</v>
      </c>
      <c r="C21" s="32">
        <v>882</v>
      </c>
      <c r="D21" s="32">
        <v>607</v>
      </c>
      <c r="E21" s="32">
        <v>1004</v>
      </c>
      <c r="F21" s="32">
        <v>594</v>
      </c>
      <c r="G21" s="32">
        <v>434</v>
      </c>
      <c r="H21" s="32">
        <v>468</v>
      </c>
      <c r="I21" s="32">
        <v>993</v>
      </c>
      <c r="J21" s="32">
        <v>39</v>
      </c>
      <c r="K21" s="32">
        <v>430</v>
      </c>
      <c r="L21" s="32">
        <v>410</v>
      </c>
      <c r="M21" s="32"/>
      <c r="N21" s="18"/>
      <c r="O21" s="18"/>
      <c r="P21" s="18"/>
      <c r="Q21" s="18"/>
      <c r="R21" s="18"/>
    </row>
    <row r="22" spans="2:18" x14ac:dyDescent="0.2">
      <c r="B22" s="29" t="s">
        <v>39</v>
      </c>
      <c r="C22" s="32">
        <v>882</v>
      </c>
      <c r="D22" s="32">
        <v>607</v>
      </c>
      <c r="E22" s="32">
        <v>1004</v>
      </c>
      <c r="F22" s="32">
        <v>653</v>
      </c>
      <c r="G22" s="32">
        <v>461</v>
      </c>
      <c r="H22" s="32">
        <v>477</v>
      </c>
      <c r="I22" s="32">
        <v>977</v>
      </c>
      <c r="J22" s="32">
        <v>421</v>
      </c>
      <c r="K22" s="32">
        <v>478</v>
      </c>
      <c r="L22" s="32">
        <v>502</v>
      </c>
      <c r="M22" s="32"/>
      <c r="N22" s="18"/>
      <c r="O22" s="18"/>
      <c r="P22" s="18"/>
      <c r="Q22" s="18"/>
      <c r="R22" s="18"/>
    </row>
    <row r="23" spans="2:18" x14ac:dyDescent="0.2">
      <c r="B23" s="30" t="s">
        <v>40</v>
      </c>
      <c r="C23" s="37">
        <v>882</v>
      </c>
      <c r="D23" s="37">
        <v>607</v>
      </c>
      <c r="E23" s="37">
        <v>1004</v>
      </c>
      <c r="F23" s="37">
        <v>653</v>
      </c>
      <c r="G23" s="37">
        <v>461</v>
      </c>
      <c r="H23" s="37">
        <v>477</v>
      </c>
      <c r="I23" s="37">
        <v>977</v>
      </c>
      <c r="J23" s="37">
        <v>421</v>
      </c>
      <c r="K23" s="37">
        <v>478</v>
      </c>
      <c r="L23" s="37">
        <v>502</v>
      </c>
      <c r="M23" s="37"/>
      <c r="N23" s="17"/>
      <c r="O23" s="17"/>
      <c r="P23" s="17"/>
      <c r="Q23" s="17"/>
      <c r="R23" s="17"/>
    </row>
    <row r="24" spans="2:18" x14ac:dyDescent="0.2">
      <c r="B24" s="30" t="s">
        <v>41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/>
      <c r="N24" s="17"/>
      <c r="O24" s="17"/>
      <c r="P24" s="17"/>
      <c r="Q24" s="17"/>
      <c r="R24" s="17"/>
    </row>
    <row r="25" spans="2:18" x14ac:dyDescent="0.2">
      <c r="B25" s="29" t="s">
        <v>42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/>
      <c r="N25" s="18"/>
      <c r="O25" s="18"/>
      <c r="P25" s="18"/>
      <c r="Q25" s="18"/>
      <c r="R25" s="18"/>
    </row>
    <row r="26" spans="2:18" x14ac:dyDescent="0.2">
      <c r="B26" s="29" t="s">
        <v>43</v>
      </c>
      <c r="C26" s="32">
        <v>0</v>
      </c>
      <c r="D26" s="32" t="s">
        <v>87</v>
      </c>
      <c r="E26" s="32" t="s">
        <v>87</v>
      </c>
      <c r="F26" s="32" t="s">
        <v>87</v>
      </c>
      <c r="G26" s="32" t="s">
        <v>87</v>
      </c>
      <c r="H26" s="32" t="s">
        <v>87</v>
      </c>
      <c r="I26" s="32" t="s">
        <v>87</v>
      </c>
      <c r="J26" s="32" t="s">
        <v>87</v>
      </c>
      <c r="K26" s="32" t="s">
        <v>87</v>
      </c>
      <c r="L26" s="32" t="s">
        <v>87</v>
      </c>
      <c r="M26" s="32"/>
      <c r="N26" s="18"/>
      <c r="O26" s="18"/>
      <c r="P26" s="18"/>
      <c r="Q26" s="18"/>
      <c r="R26" s="18"/>
    </row>
    <row r="27" spans="2:18" x14ac:dyDescent="0.2">
      <c r="B27" s="29" t="s">
        <v>44</v>
      </c>
      <c r="C27" s="32">
        <v>0</v>
      </c>
      <c r="D27" s="32">
        <v>0</v>
      </c>
      <c r="E27" s="32">
        <v>0</v>
      </c>
      <c r="F27" s="32">
        <v>-59</v>
      </c>
      <c r="G27" s="32">
        <v>-27</v>
      </c>
      <c r="H27" s="32">
        <v>-9</v>
      </c>
      <c r="I27" s="32">
        <v>16</v>
      </c>
      <c r="J27" s="32">
        <v>-382</v>
      </c>
      <c r="K27" s="32">
        <v>-48</v>
      </c>
      <c r="L27" s="32">
        <v>-92</v>
      </c>
      <c r="M27" s="32"/>
      <c r="N27" s="18"/>
      <c r="O27" s="18"/>
      <c r="P27" s="18"/>
      <c r="Q27" s="18"/>
      <c r="R27" s="18"/>
    </row>
    <row r="28" spans="2:18" x14ac:dyDescent="0.2">
      <c r="B28" s="25" t="s">
        <v>45</v>
      </c>
      <c r="C28" s="35">
        <v>3653</v>
      </c>
      <c r="D28" s="35">
        <v>4923</v>
      </c>
      <c r="E28" s="35">
        <v>3965</v>
      </c>
      <c r="F28" s="35">
        <v>3630</v>
      </c>
      <c r="G28" s="35">
        <v>3676</v>
      </c>
      <c r="H28" s="35">
        <v>4190</v>
      </c>
      <c r="I28" s="35">
        <v>5546</v>
      </c>
      <c r="J28" s="35">
        <v>8907</v>
      </c>
      <c r="K28" s="35">
        <v>3418</v>
      </c>
      <c r="L28" s="35">
        <v>5297</v>
      </c>
      <c r="M28" s="35"/>
      <c r="N28" s="19">
        <v>5188.0969999999998</v>
      </c>
      <c r="O28" s="19">
        <v>5426.9030000000002</v>
      </c>
      <c r="P28" s="19">
        <v>5869</v>
      </c>
      <c r="Q28" s="19">
        <v>6056.5</v>
      </c>
      <c r="R28" s="19">
        <v>6556.25</v>
      </c>
    </row>
    <row r="29" spans="2:18" x14ac:dyDescent="0.2">
      <c r="B29" s="25"/>
      <c r="C29" s="99">
        <f>C30/C28</f>
        <v>0.32959211606898442</v>
      </c>
      <c r="D29" s="99">
        <f t="shared" ref="D29:L29" si="3">D30/D28</f>
        <v>0.32541133455210236</v>
      </c>
      <c r="E29" s="99">
        <f t="shared" si="3"/>
        <v>0.32686002522068097</v>
      </c>
      <c r="F29" s="99">
        <f t="shared" si="3"/>
        <v>0.19889807162534434</v>
      </c>
      <c r="G29" s="99">
        <f t="shared" si="3"/>
        <v>0.2029379760609358</v>
      </c>
      <c r="H29" s="99">
        <f t="shared" si="3"/>
        <v>0.2198090692124105</v>
      </c>
      <c r="I29" s="99">
        <f t="shared" si="3"/>
        <v>0.2124053371799495</v>
      </c>
      <c r="J29" s="99">
        <f t="shared" si="3"/>
        <v>0.22016391602110699</v>
      </c>
      <c r="K29" s="99">
        <f t="shared" si="3"/>
        <v>0.18665886483323582</v>
      </c>
      <c r="L29" s="99">
        <f t="shared" si="3"/>
        <v>0.21880309609212761</v>
      </c>
      <c r="M29" s="38">
        <f>AVERAGE(C29:L29)</f>
        <v>0.24415398068668778</v>
      </c>
      <c r="N29" s="19"/>
      <c r="O29" s="19"/>
      <c r="P29" s="19"/>
      <c r="Q29" s="19"/>
      <c r="R29" s="19"/>
    </row>
    <row r="30" spans="2:18" x14ac:dyDescent="0.2">
      <c r="B30" s="29" t="s">
        <v>46</v>
      </c>
      <c r="C30" s="32">
        <v>1204</v>
      </c>
      <c r="D30" s="32">
        <v>1602</v>
      </c>
      <c r="E30" s="32">
        <v>1296</v>
      </c>
      <c r="F30" s="32">
        <v>722</v>
      </c>
      <c r="G30" s="32">
        <v>746</v>
      </c>
      <c r="H30" s="32">
        <v>921</v>
      </c>
      <c r="I30" s="32">
        <v>1178</v>
      </c>
      <c r="J30" s="32">
        <v>1961</v>
      </c>
      <c r="K30" s="32">
        <v>638</v>
      </c>
      <c r="L30" s="32">
        <v>1159</v>
      </c>
      <c r="M30" s="32"/>
      <c r="N30" s="103">
        <f>N28-N34</f>
        <v>1156.2449999999999</v>
      </c>
      <c r="O30" s="103">
        <f t="shared" ref="O30:R30" si="4">O28-O34</f>
        <v>1202.326</v>
      </c>
      <c r="P30" s="103">
        <f t="shared" si="4"/>
        <v>1328.3159999999998</v>
      </c>
      <c r="Q30" s="103">
        <f t="shared" si="4"/>
        <v>1248.357</v>
      </c>
      <c r="R30" s="103">
        <f t="shared" si="4"/>
        <v>1467.75</v>
      </c>
    </row>
    <row r="31" spans="2:18" x14ac:dyDescent="0.2">
      <c r="B31" s="29" t="s">
        <v>47</v>
      </c>
      <c r="C31" s="32">
        <v>1197</v>
      </c>
      <c r="D31" s="32">
        <v>1924</v>
      </c>
      <c r="E31" s="32">
        <v>1255</v>
      </c>
      <c r="F31" s="32">
        <v>910</v>
      </c>
      <c r="G31" s="32">
        <v>424</v>
      </c>
      <c r="H31" s="32">
        <v>743</v>
      </c>
      <c r="I31" s="32">
        <v>1362</v>
      </c>
      <c r="J31" s="32">
        <v>1439</v>
      </c>
      <c r="K31" s="32">
        <v>56</v>
      </c>
      <c r="L31" s="32">
        <v>861</v>
      </c>
      <c r="M31" s="32"/>
      <c r="N31" s="18"/>
      <c r="O31" s="18"/>
      <c r="P31" s="18"/>
      <c r="Q31" s="18"/>
      <c r="R31" s="18"/>
    </row>
    <row r="32" spans="2:18" x14ac:dyDescent="0.2">
      <c r="B32" s="29" t="s">
        <v>48</v>
      </c>
      <c r="C32" s="32">
        <v>7</v>
      </c>
      <c r="D32" s="32">
        <v>-322</v>
      </c>
      <c r="E32" s="32">
        <v>41</v>
      </c>
      <c r="F32" s="32">
        <v>-188</v>
      </c>
      <c r="G32" s="32">
        <v>322</v>
      </c>
      <c r="H32" s="32">
        <v>178</v>
      </c>
      <c r="I32" s="32">
        <v>-184</v>
      </c>
      <c r="J32" s="32">
        <v>522</v>
      </c>
      <c r="K32" s="32">
        <v>582</v>
      </c>
      <c r="L32" s="32">
        <v>298</v>
      </c>
      <c r="M32" s="32"/>
      <c r="N32" s="18"/>
      <c r="O32" s="18"/>
      <c r="P32" s="18"/>
      <c r="Q32" s="18"/>
      <c r="R32" s="18"/>
    </row>
    <row r="33" spans="2:18" x14ac:dyDescent="0.2">
      <c r="B33" s="29" t="s">
        <v>49</v>
      </c>
      <c r="C33" s="32" t="s">
        <v>87</v>
      </c>
      <c r="D33" s="32" t="s">
        <v>87</v>
      </c>
      <c r="E33" s="32" t="s">
        <v>87</v>
      </c>
      <c r="F33" s="32" t="s">
        <v>87</v>
      </c>
      <c r="G33" s="32" t="s">
        <v>87</v>
      </c>
      <c r="H33" s="32" t="s">
        <v>87</v>
      </c>
      <c r="I33" s="32" t="s">
        <v>87</v>
      </c>
      <c r="J33" s="32" t="s">
        <v>87</v>
      </c>
      <c r="K33" s="32" t="s">
        <v>87</v>
      </c>
      <c r="L33" s="32" t="s">
        <v>87</v>
      </c>
      <c r="M33" s="32"/>
      <c r="N33" s="18"/>
      <c r="O33" s="18"/>
      <c r="P33" s="18"/>
      <c r="Q33" s="18"/>
      <c r="R33" s="18"/>
    </row>
    <row r="34" spans="2:18" x14ac:dyDescent="0.2">
      <c r="B34" s="25" t="s">
        <v>50</v>
      </c>
      <c r="C34" s="35">
        <v>2449</v>
      </c>
      <c r="D34" s="35">
        <v>3321</v>
      </c>
      <c r="E34" s="35">
        <v>2669</v>
      </c>
      <c r="F34" s="35">
        <v>2908</v>
      </c>
      <c r="G34" s="35">
        <v>2930</v>
      </c>
      <c r="H34" s="35">
        <v>3269</v>
      </c>
      <c r="I34" s="35">
        <v>4368</v>
      </c>
      <c r="J34" s="35">
        <v>6946</v>
      </c>
      <c r="K34" s="35">
        <v>2780</v>
      </c>
      <c r="L34" s="35">
        <v>4138</v>
      </c>
      <c r="M34" s="35"/>
      <c r="N34" s="19">
        <v>4031.8519999999999</v>
      </c>
      <c r="O34" s="19">
        <v>4224.5770000000002</v>
      </c>
      <c r="P34" s="19">
        <v>4540.6840000000002</v>
      </c>
      <c r="Q34" s="19">
        <v>4808.143</v>
      </c>
      <c r="R34" s="19">
        <v>5088.5</v>
      </c>
    </row>
    <row r="35" spans="2:18" x14ac:dyDescent="0.2">
      <c r="B35" s="29" t="s">
        <v>51</v>
      </c>
      <c r="C35" s="32">
        <v>4085</v>
      </c>
      <c r="D35" s="32">
        <v>-42</v>
      </c>
      <c r="E35" s="32">
        <v>-68</v>
      </c>
      <c r="F35" s="32">
        <v>-6</v>
      </c>
      <c r="G35" s="32">
        <v>-7</v>
      </c>
      <c r="H35" s="32">
        <v>-12</v>
      </c>
      <c r="I35" s="32">
        <v>0</v>
      </c>
      <c r="J35" s="32">
        <v>0</v>
      </c>
      <c r="K35" s="32">
        <v>0</v>
      </c>
      <c r="L35" s="32">
        <v>0</v>
      </c>
      <c r="M35" s="32"/>
      <c r="N35" s="18"/>
      <c r="O35" s="18"/>
      <c r="P35" s="18"/>
      <c r="Q35" s="18"/>
      <c r="R35" s="18"/>
    </row>
    <row r="36" spans="2:18" x14ac:dyDescent="0.2">
      <c r="B36" s="29" t="s">
        <v>52</v>
      </c>
      <c r="C36" s="32">
        <v>4085</v>
      </c>
      <c r="D36" s="32">
        <v>-42</v>
      </c>
      <c r="E36" s="32">
        <v>-68</v>
      </c>
      <c r="F36" s="32">
        <v>-6</v>
      </c>
      <c r="G36" s="32">
        <v>-7</v>
      </c>
      <c r="H36" s="32">
        <v>-12</v>
      </c>
      <c r="I36" s="32">
        <v>0</v>
      </c>
      <c r="J36" s="32">
        <v>0</v>
      </c>
      <c r="K36" s="32">
        <v>0</v>
      </c>
      <c r="L36" s="32">
        <v>0</v>
      </c>
      <c r="M36" s="32"/>
      <c r="N36" s="18"/>
      <c r="O36" s="18"/>
      <c r="P36" s="18"/>
      <c r="Q36" s="18"/>
      <c r="R36" s="18"/>
    </row>
    <row r="37" spans="2:18" x14ac:dyDescent="0.2">
      <c r="B37" s="29" t="s">
        <v>53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/>
      <c r="N37" s="18"/>
      <c r="O37" s="18"/>
      <c r="P37" s="18"/>
      <c r="Q37" s="18"/>
      <c r="R37" s="18"/>
    </row>
    <row r="38" spans="2:18" x14ac:dyDescent="0.2">
      <c r="B38" s="25" t="s">
        <v>54</v>
      </c>
      <c r="C38" s="35">
        <v>-1636</v>
      </c>
      <c r="D38" s="35">
        <v>3363</v>
      </c>
      <c r="E38" s="35">
        <v>2737</v>
      </c>
      <c r="F38" s="35">
        <v>2914</v>
      </c>
      <c r="G38" s="35">
        <v>2937</v>
      </c>
      <c r="H38" s="35">
        <v>3281</v>
      </c>
      <c r="I38" s="35">
        <v>4368</v>
      </c>
      <c r="J38" s="35">
        <v>6946</v>
      </c>
      <c r="K38" s="35">
        <v>2780</v>
      </c>
      <c r="L38" s="35">
        <v>4138</v>
      </c>
      <c r="M38" s="35"/>
      <c r="N38" s="19"/>
      <c r="O38" s="19"/>
      <c r="P38" s="19"/>
      <c r="Q38" s="19"/>
      <c r="R38" s="19"/>
    </row>
    <row r="39" spans="2:18" x14ac:dyDescent="0.2">
      <c r="B39" s="29" t="s">
        <v>55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/>
      <c r="N39" s="18"/>
      <c r="O39" s="18"/>
      <c r="P39" s="18"/>
      <c r="Q39" s="18"/>
      <c r="R39" s="18"/>
    </row>
    <row r="40" spans="2:18" x14ac:dyDescent="0.2">
      <c r="B40" s="25" t="s">
        <v>56</v>
      </c>
      <c r="C40" s="35">
        <v>-1636</v>
      </c>
      <c r="D40" s="35">
        <v>3363</v>
      </c>
      <c r="E40" s="35">
        <v>2737</v>
      </c>
      <c r="F40" s="35">
        <v>2914</v>
      </c>
      <c r="G40" s="35">
        <v>2937</v>
      </c>
      <c r="H40" s="35">
        <v>3281</v>
      </c>
      <c r="I40" s="35">
        <v>4368</v>
      </c>
      <c r="J40" s="35">
        <v>6946</v>
      </c>
      <c r="K40" s="35">
        <v>2780</v>
      </c>
      <c r="L40" s="35">
        <v>4138</v>
      </c>
      <c r="M40" s="35"/>
      <c r="N40" s="19">
        <v>4031.8519999999999</v>
      </c>
      <c r="O40" s="19">
        <v>4224.5770000000002</v>
      </c>
      <c r="P40" s="19">
        <v>4540.6840000000002</v>
      </c>
      <c r="Q40" s="19">
        <v>4808.143</v>
      </c>
      <c r="R40" s="19">
        <v>5088.5</v>
      </c>
    </row>
    <row r="41" spans="2:18" x14ac:dyDescent="0.2">
      <c r="B41" s="29" t="s">
        <v>57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/>
      <c r="N41" s="18"/>
      <c r="O41" s="18"/>
      <c r="P41" s="18"/>
      <c r="Q41" s="18"/>
      <c r="R41" s="18"/>
    </row>
    <row r="42" spans="2:18" x14ac:dyDescent="0.2">
      <c r="B42" s="29" t="s">
        <v>58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/>
      <c r="N42" s="18"/>
      <c r="O42" s="18"/>
      <c r="P42" s="18"/>
      <c r="Q42" s="18"/>
      <c r="R42" s="18"/>
    </row>
    <row r="43" spans="2:18" x14ac:dyDescent="0.2">
      <c r="B43" s="25" t="s">
        <v>59</v>
      </c>
      <c r="C43" s="35">
        <v>-1636</v>
      </c>
      <c r="D43" s="35">
        <v>3363</v>
      </c>
      <c r="E43" s="35">
        <v>2737</v>
      </c>
      <c r="F43" s="35">
        <v>2914</v>
      </c>
      <c r="G43" s="35">
        <v>2937</v>
      </c>
      <c r="H43" s="35">
        <v>3281</v>
      </c>
      <c r="I43" s="35">
        <v>4368</v>
      </c>
      <c r="J43" s="35">
        <v>6946</v>
      </c>
      <c r="K43" s="35">
        <v>2780</v>
      </c>
      <c r="L43" s="35">
        <v>4138</v>
      </c>
      <c r="M43" s="35"/>
      <c r="N43" s="19">
        <v>4031.8519999999999</v>
      </c>
      <c r="O43" s="19">
        <v>4224.5770000000002</v>
      </c>
      <c r="P43" s="19">
        <v>4540.6840000000002</v>
      </c>
      <c r="Q43" s="19">
        <v>4808.143</v>
      </c>
      <c r="R43" s="19">
        <v>5088.5</v>
      </c>
    </row>
    <row r="44" spans="2:18" x14ac:dyDescent="0.2">
      <c r="B44" s="2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16"/>
      <c r="O44" s="16"/>
      <c r="P44" s="16"/>
      <c r="Q44" s="16"/>
      <c r="R44" s="16"/>
    </row>
    <row r="45" spans="2:18" x14ac:dyDescent="0.2">
      <c r="B45" s="25" t="s">
        <v>60</v>
      </c>
      <c r="C45" s="35">
        <v>2699</v>
      </c>
      <c r="D45" s="35">
        <v>2970</v>
      </c>
      <c r="E45" s="35">
        <v>2914.4</v>
      </c>
      <c r="F45" s="35">
        <v>2580</v>
      </c>
      <c r="G45" s="35">
        <v>2876.68</v>
      </c>
      <c r="H45" s="35">
        <v>3295</v>
      </c>
      <c r="I45" s="35">
        <v>4760</v>
      </c>
      <c r="J45" s="35">
        <v>6684</v>
      </c>
      <c r="K45" s="35">
        <v>2847.14</v>
      </c>
      <c r="L45" s="35">
        <v>4218.58</v>
      </c>
      <c r="M45" s="35"/>
      <c r="N45" s="19">
        <v>4021.3139999999999</v>
      </c>
      <c r="O45" s="19">
        <v>4202.4709999999995</v>
      </c>
      <c r="P45" s="19">
        <v>4519.8850000000002</v>
      </c>
      <c r="Q45" s="19">
        <v>4808.143</v>
      </c>
      <c r="R45" s="19">
        <v>5088.5</v>
      </c>
    </row>
    <row r="46" spans="2:18" x14ac:dyDescent="0.2">
      <c r="B46" s="29" t="s">
        <v>61</v>
      </c>
      <c r="C46" s="32">
        <v>250</v>
      </c>
      <c r="D46" s="32">
        <v>-351</v>
      </c>
      <c r="E46" s="32">
        <v>245.4</v>
      </c>
      <c r="F46" s="32">
        <v>-328</v>
      </c>
      <c r="G46" s="32">
        <v>-53.32</v>
      </c>
      <c r="H46" s="32">
        <v>26</v>
      </c>
      <c r="I46" s="32">
        <v>392</v>
      </c>
      <c r="J46" s="32">
        <v>-262</v>
      </c>
      <c r="K46" s="32">
        <v>67.14</v>
      </c>
      <c r="L46" s="32">
        <v>80.58</v>
      </c>
      <c r="M46" s="32"/>
      <c r="N46" s="18"/>
      <c r="O46" s="18"/>
      <c r="P46" s="18"/>
      <c r="Q46" s="18"/>
      <c r="R46" s="18"/>
    </row>
    <row r="47" spans="2:18" x14ac:dyDescent="0.2">
      <c r="B47" s="29" t="s">
        <v>62</v>
      </c>
      <c r="C47" s="32">
        <v>4085</v>
      </c>
      <c r="D47" s="32">
        <v>-42</v>
      </c>
      <c r="E47" s="32">
        <v>-68</v>
      </c>
      <c r="F47" s="32">
        <v>-6</v>
      </c>
      <c r="G47" s="32">
        <v>-7</v>
      </c>
      <c r="H47" s="32">
        <v>-12</v>
      </c>
      <c r="I47" s="32">
        <v>0</v>
      </c>
      <c r="J47" s="32">
        <v>0</v>
      </c>
      <c r="K47" s="32">
        <v>0</v>
      </c>
      <c r="L47" s="32">
        <v>0</v>
      </c>
      <c r="M47" s="32"/>
      <c r="N47" s="18"/>
      <c r="O47" s="18"/>
      <c r="P47" s="18"/>
      <c r="Q47" s="18"/>
      <c r="R47" s="18"/>
    </row>
    <row r="48" spans="2:18" x14ac:dyDescent="0.2">
      <c r="B48" s="2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16"/>
      <c r="O48" s="16"/>
      <c r="P48" s="16"/>
      <c r="Q48" s="16"/>
      <c r="R48" s="16"/>
    </row>
    <row r="49" spans="2:18" x14ac:dyDescent="0.2">
      <c r="B49" s="29" t="s">
        <v>63</v>
      </c>
      <c r="C49" s="32">
        <v>634.70000000000005</v>
      </c>
      <c r="D49" s="32">
        <v>627.70000000000005</v>
      </c>
      <c r="E49" s="32">
        <v>577.6</v>
      </c>
      <c r="F49" s="32">
        <v>546.79999999999995</v>
      </c>
      <c r="G49" s="32">
        <v>528.6</v>
      </c>
      <c r="H49" s="32">
        <v>510.9</v>
      </c>
      <c r="I49" s="32">
        <v>500.6</v>
      </c>
      <c r="J49" s="32">
        <v>488.1</v>
      </c>
      <c r="K49" s="32">
        <v>462.1</v>
      </c>
      <c r="L49" s="32">
        <v>461.5</v>
      </c>
      <c r="M49" s="32"/>
      <c r="N49" s="18"/>
      <c r="O49" s="18"/>
      <c r="P49" s="18"/>
      <c r="Q49" s="18"/>
      <c r="R49" s="18"/>
    </row>
    <row r="50" spans="2:18" x14ac:dyDescent="0.2">
      <c r="B50" s="25" t="s">
        <v>64</v>
      </c>
      <c r="C50" s="36">
        <v>-2.58</v>
      </c>
      <c r="D50" s="36">
        <v>5.35</v>
      </c>
      <c r="E50" s="36">
        <v>4.74</v>
      </c>
      <c r="F50" s="36">
        <v>5.32</v>
      </c>
      <c r="G50" s="36">
        <v>5.55</v>
      </c>
      <c r="H50" s="36">
        <v>6.42</v>
      </c>
      <c r="I50" s="36">
        <v>8.7200000000000006</v>
      </c>
      <c r="J50" s="36">
        <v>14.23</v>
      </c>
      <c r="K50" s="36">
        <v>6.02</v>
      </c>
      <c r="L50" s="36">
        <v>8.9600000000000009</v>
      </c>
      <c r="M50" s="36"/>
      <c r="N50" s="15">
        <v>8.6690000000000005</v>
      </c>
      <c r="O50" s="15">
        <v>9.2189999999999994</v>
      </c>
      <c r="P50" s="15">
        <v>10.007999999999999</v>
      </c>
      <c r="Q50" s="15">
        <v>10.634</v>
      </c>
      <c r="R50" s="15">
        <v>11.41</v>
      </c>
    </row>
    <row r="51" spans="2:18" x14ac:dyDescent="0.2">
      <c r="B51" s="25" t="s">
        <v>65</v>
      </c>
      <c r="C51" s="36">
        <v>3.86</v>
      </c>
      <c r="D51" s="36">
        <v>5.29</v>
      </c>
      <c r="E51" s="36">
        <v>4.62</v>
      </c>
      <c r="F51" s="36">
        <v>5.32</v>
      </c>
      <c r="G51" s="36">
        <v>5.54</v>
      </c>
      <c r="H51" s="36">
        <v>6.39</v>
      </c>
      <c r="I51" s="36">
        <v>8.7200000000000006</v>
      </c>
      <c r="J51" s="36">
        <v>14.23</v>
      </c>
      <c r="K51" s="36">
        <v>6.02</v>
      </c>
      <c r="L51" s="36">
        <v>8.9600000000000009</v>
      </c>
      <c r="M51" s="36"/>
      <c r="N51" s="15">
        <v>8.6690000000000005</v>
      </c>
      <c r="O51" s="15">
        <v>9.2189999999999994</v>
      </c>
      <c r="P51" s="15">
        <v>10.007999999999999</v>
      </c>
      <c r="Q51" s="15">
        <v>10.634</v>
      </c>
      <c r="R51" s="15">
        <v>11.41</v>
      </c>
    </row>
    <row r="52" spans="2:18" x14ac:dyDescent="0.2">
      <c r="B52" s="25" t="s">
        <v>66</v>
      </c>
      <c r="C52" s="36">
        <v>4.2523999999999997</v>
      </c>
      <c r="D52" s="36">
        <v>4.7316000000000003</v>
      </c>
      <c r="E52" s="36">
        <v>5.0457000000000001</v>
      </c>
      <c r="F52" s="36">
        <v>4.7183999999999999</v>
      </c>
      <c r="G52" s="36">
        <v>5.4420999999999999</v>
      </c>
      <c r="H52" s="36">
        <v>6.4493999999999998</v>
      </c>
      <c r="I52" s="36">
        <v>9.5085999999999995</v>
      </c>
      <c r="J52" s="36">
        <v>13.693899999999999</v>
      </c>
      <c r="K52" s="36">
        <v>6.1612999999999998</v>
      </c>
      <c r="L52" s="36">
        <v>9.141</v>
      </c>
      <c r="M52" s="36"/>
      <c r="N52" s="15">
        <v>8.7089999999999996</v>
      </c>
      <c r="O52" s="15">
        <v>9.2289999999999992</v>
      </c>
      <c r="P52" s="15">
        <v>10.084</v>
      </c>
      <c r="Q52" s="15">
        <v>10.622999999999999</v>
      </c>
      <c r="R52" s="15">
        <v>11.888</v>
      </c>
    </row>
    <row r="53" spans="2:18" x14ac:dyDescent="0.2">
      <c r="B53" s="25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16"/>
      <c r="O53" s="16"/>
      <c r="P53" s="16"/>
      <c r="Q53" s="16"/>
      <c r="R53" s="16"/>
    </row>
    <row r="54" spans="2:18" x14ac:dyDescent="0.2">
      <c r="B54" s="29" t="s">
        <v>67</v>
      </c>
      <c r="C54" s="32">
        <v>640.1</v>
      </c>
      <c r="D54" s="32">
        <v>632.9</v>
      </c>
      <c r="E54" s="32">
        <v>582.5</v>
      </c>
      <c r="F54" s="32">
        <v>550.29999999999995</v>
      </c>
      <c r="G54" s="32">
        <v>533.20000000000005</v>
      </c>
      <c r="H54" s="32">
        <v>515.6</v>
      </c>
      <c r="I54" s="32">
        <v>505.4</v>
      </c>
      <c r="J54" s="32">
        <v>492.7</v>
      </c>
      <c r="K54" s="32">
        <v>464.7</v>
      </c>
      <c r="L54" s="32">
        <v>462.8</v>
      </c>
      <c r="M54" s="32"/>
      <c r="N54" s="18"/>
      <c r="O54" s="18"/>
      <c r="P54" s="18"/>
      <c r="Q54" s="18"/>
      <c r="R54" s="18"/>
    </row>
    <row r="55" spans="2:18" x14ac:dyDescent="0.2">
      <c r="B55" s="25" t="s">
        <v>68</v>
      </c>
      <c r="C55" s="36">
        <v>-2.58</v>
      </c>
      <c r="D55" s="36">
        <v>5.31</v>
      </c>
      <c r="E55" s="36">
        <v>4.7</v>
      </c>
      <c r="F55" s="36">
        <v>5.29</v>
      </c>
      <c r="G55" s="36">
        <v>5.51</v>
      </c>
      <c r="H55" s="36">
        <v>6.36</v>
      </c>
      <c r="I55" s="36">
        <v>8.64</v>
      </c>
      <c r="J55" s="36">
        <v>14.1</v>
      </c>
      <c r="K55" s="36">
        <v>5.98</v>
      </c>
      <c r="L55" s="36">
        <v>8.94</v>
      </c>
      <c r="M55" s="36"/>
      <c r="N55" s="15">
        <v>8.6690000000000005</v>
      </c>
      <c r="O55" s="15">
        <v>9.2189999999999994</v>
      </c>
      <c r="P55" s="15">
        <v>10.007999999999999</v>
      </c>
      <c r="Q55" s="15">
        <v>10.634</v>
      </c>
      <c r="R55" s="15">
        <v>11.41</v>
      </c>
    </row>
    <row r="56" spans="2:18" x14ac:dyDescent="0.2">
      <c r="B56" s="25" t="s">
        <v>69</v>
      </c>
      <c r="C56" s="36">
        <v>3.83</v>
      </c>
      <c r="D56" s="36">
        <v>5.25</v>
      </c>
      <c r="E56" s="36">
        <v>4.58</v>
      </c>
      <c r="F56" s="36">
        <v>5.2790999999999997</v>
      </c>
      <c r="G56" s="36">
        <v>5.5</v>
      </c>
      <c r="H56" s="36">
        <v>6.34</v>
      </c>
      <c r="I56" s="36">
        <v>8.64</v>
      </c>
      <c r="J56" s="36">
        <v>14.1</v>
      </c>
      <c r="K56" s="36">
        <v>5.98</v>
      </c>
      <c r="L56" s="36">
        <v>8.94</v>
      </c>
      <c r="M56" s="36"/>
      <c r="N56" s="15">
        <v>8.6690000000000005</v>
      </c>
      <c r="O56" s="15">
        <v>9.2189999999999994</v>
      </c>
      <c r="P56" s="15">
        <v>10.007999999999999</v>
      </c>
      <c r="Q56" s="15">
        <v>10.634</v>
      </c>
      <c r="R56" s="15">
        <v>11.41</v>
      </c>
    </row>
    <row r="57" spans="2:18" x14ac:dyDescent="0.2">
      <c r="B57" s="25" t="s">
        <v>70</v>
      </c>
      <c r="C57" s="36">
        <v>4.2206000000000001</v>
      </c>
      <c r="D57" s="36">
        <v>4.6954000000000002</v>
      </c>
      <c r="E57" s="36">
        <v>5.0012999999999996</v>
      </c>
      <c r="F57" s="36">
        <v>4.6830999999999996</v>
      </c>
      <c r="G57" s="36">
        <v>5.4</v>
      </c>
      <c r="H57" s="36">
        <v>6.3903999999999996</v>
      </c>
      <c r="I57" s="36">
        <v>9.4155999999999995</v>
      </c>
      <c r="J57" s="36">
        <v>13.568199999999999</v>
      </c>
      <c r="K57" s="36">
        <v>6.1245000000000003</v>
      </c>
      <c r="L57" s="36">
        <v>9.1141000000000005</v>
      </c>
      <c r="M57" s="36"/>
      <c r="N57" s="15">
        <v>8.7089999999999996</v>
      </c>
      <c r="O57" s="15">
        <v>9.2289999999999992</v>
      </c>
      <c r="P57" s="15">
        <v>10.084</v>
      </c>
      <c r="Q57" s="15">
        <v>10.622999999999999</v>
      </c>
      <c r="R57" s="15">
        <v>11.888</v>
      </c>
    </row>
    <row r="58" spans="2:18" x14ac:dyDescent="0.2">
      <c r="B58" s="25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16"/>
      <c r="O58" s="16"/>
      <c r="P58" s="16"/>
      <c r="Q58" s="16"/>
      <c r="R58" s="16"/>
    </row>
    <row r="59" spans="2:18" x14ac:dyDescent="0.2">
      <c r="B59" s="25" t="s">
        <v>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16"/>
      <c r="O59" s="16"/>
      <c r="P59" s="16"/>
      <c r="Q59" s="16"/>
      <c r="R59" s="16"/>
    </row>
    <row r="60" spans="2:18" x14ac:dyDescent="0.2">
      <c r="B60" s="29" t="s">
        <v>71</v>
      </c>
      <c r="C60" s="31" t="s">
        <v>72</v>
      </c>
      <c r="D60" s="31" t="s">
        <v>72</v>
      </c>
      <c r="E60" s="31" t="s">
        <v>72</v>
      </c>
      <c r="F60" s="31" t="s">
        <v>72</v>
      </c>
      <c r="G60" s="31" t="s">
        <v>72</v>
      </c>
      <c r="H60" s="31" t="s">
        <v>72</v>
      </c>
      <c r="I60" s="31" t="s">
        <v>72</v>
      </c>
      <c r="J60" s="31" t="s">
        <v>72</v>
      </c>
      <c r="K60" s="31" t="s">
        <v>72</v>
      </c>
      <c r="L60" s="31" t="s">
        <v>72</v>
      </c>
      <c r="M60" s="31"/>
      <c r="N60" s="14"/>
      <c r="O60" s="14"/>
      <c r="P60" s="14"/>
      <c r="Q60" s="14"/>
      <c r="R60" s="14"/>
    </row>
    <row r="61" spans="2:18" x14ac:dyDescent="0.2">
      <c r="B61" s="29" t="s">
        <v>73</v>
      </c>
      <c r="C61" s="32">
        <v>6664</v>
      </c>
      <c r="D61" s="32">
        <v>7743</v>
      </c>
      <c r="E61" s="32">
        <v>7267</v>
      </c>
      <c r="F61" s="32">
        <v>6912</v>
      </c>
      <c r="G61" s="32">
        <v>6824</v>
      </c>
      <c r="H61" s="32">
        <v>7536</v>
      </c>
      <c r="I61" s="32">
        <v>9393</v>
      </c>
      <c r="J61" s="32">
        <v>12036</v>
      </c>
      <c r="K61" s="32">
        <v>6996</v>
      </c>
      <c r="L61" s="32">
        <v>9038</v>
      </c>
      <c r="M61" s="32"/>
      <c r="N61" s="18">
        <v>8408.4500000000007</v>
      </c>
      <c r="O61" s="18">
        <v>8701.7099999999991</v>
      </c>
      <c r="P61" s="18">
        <v>9201.5</v>
      </c>
      <c r="Q61" s="18">
        <v>9418.6</v>
      </c>
      <c r="R61" s="18">
        <v>10175</v>
      </c>
    </row>
    <row r="62" spans="2:18" x14ac:dyDescent="0.2">
      <c r="B62" s="29" t="s">
        <v>74</v>
      </c>
      <c r="C62" s="33">
        <v>9.1768000000000001</v>
      </c>
      <c r="D62" s="33">
        <v>10.494</v>
      </c>
      <c r="E62" s="33">
        <v>10.456899999999999</v>
      </c>
      <c r="F62" s="33">
        <v>9.5056999999999992</v>
      </c>
      <c r="G62" s="33">
        <v>9.0556999999999999</v>
      </c>
      <c r="H62" s="33">
        <v>9.6477000000000004</v>
      </c>
      <c r="I62" s="33">
        <v>10.039400000000001</v>
      </c>
      <c r="J62" s="33">
        <v>11.354200000000001</v>
      </c>
      <c r="K62" s="33">
        <v>6.4112999999999998</v>
      </c>
      <c r="L62" s="33">
        <v>8.4143000000000008</v>
      </c>
      <c r="M62" s="33"/>
      <c r="N62" s="13">
        <v>7.9573667711598803</v>
      </c>
      <c r="O62" s="13">
        <v>8.0311169545233199</v>
      </c>
      <c r="P62" s="13">
        <v>8.2164778263815297</v>
      </c>
      <c r="Q62" s="13">
        <v>8.1577750735131698</v>
      </c>
      <c r="R62" s="13">
        <v>8.3842154269563895</v>
      </c>
    </row>
    <row r="63" spans="2:18" x14ac:dyDescent="0.2">
      <c r="B63" s="29" t="s">
        <v>75</v>
      </c>
      <c r="C63" s="32">
        <v>4556</v>
      </c>
      <c r="D63" s="32">
        <v>5552</v>
      </c>
      <c r="E63" s="32">
        <v>4987</v>
      </c>
      <c r="F63" s="32">
        <v>4450</v>
      </c>
      <c r="G63" s="32">
        <v>4364</v>
      </c>
      <c r="H63" s="32">
        <v>4945</v>
      </c>
      <c r="I63" s="32">
        <v>7178</v>
      </c>
      <c r="J63" s="32">
        <v>9436</v>
      </c>
      <c r="K63" s="32">
        <v>4296</v>
      </c>
      <c r="L63" s="32">
        <v>6238</v>
      </c>
      <c r="M63" s="32"/>
      <c r="N63" s="18"/>
      <c r="O63" s="18"/>
      <c r="P63" s="18"/>
      <c r="Q63" s="18"/>
      <c r="R63" s="18"/>
    </row>
    <row r="64" spans="2:18" x14ac:dyDescent="0.2">
      <c r="B64" s="29" t="s">
        <v>76</v>
      </c>
      <c r="C64" s="32">
        <v>4535</v>
      </c>
      <c r="D64" s="32">
        <v>5530</v>
      </c>
      <c r="E64" s="32">
        <v>4969</v>
      </c>
      <c r="F64" s="32">
        <v>4224</v>
      </c>
      <c r="G64" s="32">
        <v>4110</v>
      </c>
      <c r="H64" s="32">
        <v>4658</v>
      </c>
      <c r="I64" s="32">
        <v>6539</v>
      </c>
      <c r="J64" s="32">
        <v>8946</v>
      </c>
      <c r="K64" s="32">
        <v>3848</v>
      </c>
      <c r="L64" s="32">
        <v>5707</v>
      </c>
      <c r="M64" s="32"/>
      <c r="N64" s="18">
        <v>5518.6760000000004</v>
      </c>
      <c r="O64" s="18">
        <v>5778.9709999999995</v>
      </c>
      <c r="P64" s="18">
        <v>6219.8890000000001</v>
      </c>
      <c r="Q64" s="18">
        <v>6452.857</v>
      </c>
      <c r="R64" s="18">
        <v>6984</v>
      </c>
    </row>
    <row r="65" spans="2:18" x14ac:dyDescent="0.2">
      <c r="B65" s="29" t="s">
        <v>77</v>
      </c>
      <c r="C65" s="33">
        <v>29.386700000000001</v>
      </c>
      <c r="D65" s="33">
        <v>29.1983</v>
      </c>
      <c r="E65" s="33">
        <v>29.282699999999998</v>
      </c>
      <c r="F65" s="33">
        <v>29.690300000000001</v>
      </c>
      <c r="G65" s="33">
        <v>29.270399999999999</v>
      </c>
      <c r="H65" s="33">
        <v>29.7624</v>
      </c>
      <c r="I65" s="33">
        <v>29.268599999999999</v>
      </c>
      <c r="J65" s="33">
        <v>29.2835</v>
      </c>
      <c r="K65" s="33">
        <v>24.6435</v>
      </c>
      <c r="L65" s="33">
        <v>27.6282</v>
      </c>
      <c r="M65" s="33"/>
      <c r="N65" s="13"/>
      <c r="O65" s="13"/>
      <c r="P65" s="13"/>
      <c r="Q65" s="13"/>
      <c r="R65" s="13"/>
    </row>
    <row r="66" spans="2:18" x14ac:dyDescent="0.2">
      <c r="B66" s="29" t="s">
        <v>78</v>
      </c>
      <c r="C66" s="33">
        <v>6.2450000000000001</v>
      </c>
      <c r="D66" s="33">
        <v>7.4946999999999999</v>
      </c>
      <c r="E66" s="33">
        <v>7.1501999999999999</v>
      </c>
      <c r="F66" s="33">
        <v>5.8090999999999999</v>
      </c>
      <c r="G66" s="33">
        <v>5.4541000000000004</v>
      </c>
      <c r="H66" s="33">
        <v>5.9631999999999996</v>
      </c>
      <c r="I66" s="33">
        <v>6.9889999999999999</v>
      </c>
      <c r="J66" s="33">
        <v>8.4391999999999996</v>
      </c>
      <c r="K66" s="33">
        <v>3.5264000000000002</v>
      </c>
      <c r="L66" s="33">
        <v>5.3132000000000001</v>
      </c>
      <c r="M66" s="33"/>
      <c r="N66" s="13">
        <v>5.2226187969480096</v>
      </c>
      <c r="O66" s="13">
        <v>5.3336174128761602</v>
      </c>
      <c r="P66" s="13">
        <v>5.5540488019403798</v>
      </c>
      <c r="Q66" s="13">
        <v>5.5890425315381203</v>
      </c>
      <c r="R66" s="13">
        <v>5.7548265888809196</v>
      </c>
    </row>
    <row r="67" spans="2:18" x14ac:dyDescent="0.2">
      <c r="B67" s="29" t="s">
        <v>79</v>
      </c>
      <c r="C67" s="33">
        <v>-2.2528999999999999</v>
      </c>
      <c r="D67" s="33">
        <v>4.5578000000000003</v>
      </c>
      <c r="E67" s="33">
        <v>3.9384000000000001</v>
      </c>
      <c r="F67" s="33">
        <v>4.0075000000000003</v>
      </c>
      <c r="G67" s="33">
        <v>3.8975</v>
      </c>
      <c r="H67" s="33">
        <v>4.2004000000000001</v>
      </c>
      <c r="I67" s="33">
        <v>4.6685999999999996</v>
      </c>
      <c r="J67" s="33">
        <v>6.5525000000000002</v>
      </c>
      <c r="K67" s="33">
        <v>2.5476999999999999</v>
      </c>
      <c r="L67" s="33">
        <v>3.8525</v>
      </c>
      <c r="M67" s="33"/>
      <c r="N67" s="13">
        <v>3.8055849056603801</v>
      </c>
      <c r="O67" s="13">
        <v>3.8786096179937699</v>
      </c>
      <c r="P67" s="13">
        <v>4.0360305254898101</v>
      </c>
      <c r="Q67" s="13">
        <v>4.1644988761903896</v>
      </c>
      <c r="R67" s="13">
        <v>4.1929317149943603</v>
      </c>
    </row>
    <row r="68" spans="2:18" x14ac:dyDescent="0.2">
      <c r="B68" s="29" t="s">
        <v>80</v>
      </c>
      <c r="C68" s="33">
        <v>209273.7752</v>
      </c>
      <c r="D68" s="33">
        <v>216378.2991</v>
      </c>
      <c r="E68" s="33">
        <v>215154.79879999999</v>
      </c>
      <c r="F68" s="33">
        <v>201983.3333</v>
      </c>
      <c r="G68" s="33">
        <v>209322.22219999999</v>
      </c>
      <c r="H68" s="33">
        <v>212260.86960000001</v>
      </c>
      <c r="I68" s="33">
        <v>228755.5012</v>
      </c>
      <c r="J68" s="33">
        <v>235566.6667</v>
      </c>
      <c r="K68" s="33">
        <v>248000</v>
      </c>
      <c r="L68" s="33">
        <v>258824.09640000001</v>
      </c>
      <c r="M68" s="33"/>
      <c r="N68" s="13"/>
      <c r="O68" s="13"/>
      <c r="P68" s="13"/>
      <c r="Q68" s="13"/>
      <c r="R68" s="13"/>
    </row>
    <row r="69" spans="2:18" x14ac:dyDescent="0.2">
      <c r="B69" s="29" t="s">
        <v>81</v>
      </c>
      <c r="C69" s="33">
        <v>1.99</v>
      </c>
      <c r="D69" s="33">
        <v>2.2000000000000002</v>
      </c>
      <c r="E69" s="33">
        <v>2.36</v>
      </c>
      <c r="F69" s="33">
        <v>2.46</v>
      </c>
      <c r="G69" s="33">
        <v>2.54</v>
      </c>
      <c r="H69" s="33">
        <v>2.62</v>
      </c>
      <c r="I69" s="33">
        <v>2.7</v>
      </c>
      <c r="J69" s="33">
        <v>3.38</v>
      </c>
      <c r="K69" s="33">
        <v>4.1399999999999997</v>
      </c>
      <c r="L69" s="33">
        <v>4.38</v>
      </c>
      <c r="M69" s="33"/>
      <c r="N69" s="13">
        <v>4.4459999999999997</v>
      </c>
      <c r="O69" s="13">
        <v>4.4610000000000003</v>
      </c>
      <c r="P69" s="13">
        <v>4.6210000000000004</v>
      </c>
      <c r="Q69" s="13">
        <v>5.0270000000000001</v>
      </c>
      <c r="R69" s="13">
        <v>5.3029999999999999</v>
      </c>
    </row>
    <row r="70" spans="2:18" x14ac:dyDescent="0.2">
      <c r="B70" s="29" t="s">
        <v>82</v>
      </c>
      <c r="C70" s="32">
        <v>1273</v>
      </c>
      <c r="D70" s="32">
        <v>1378</v>
      </c>
      <c r="E70" s="32">
        <v>1359</v>
      </c>
      <c r="F70" s="32">
        <v>1356</v>
      </c>
      <c r="G70" s="32">
        <v>1347</v>
      </c>
      <c r="H70" s="32">
        <v>1329</v>
      </c>
      <c r="I70" s="32">
        <v>1343</v>
      </c>
      <c r="J70" s="32">
        <v>1548</v>
      </c>
      <c r="K70" s="32">
        <v>1835</v>
      </c>
      <c r="L70" s="32">
        <v>1846</v>
      </c>
      <c r="M70" s="32"/>
      <c r="N70" s="18"/>
      <c r="O70" s="18"/>
      <c r="P70" s="18"/>
      <c r="Q70" s="18"/>
      <c r="R70" s="18"/>
    </row>
    <row r="71" spans="2:18" x14ac:dyDescent="0.2">
      <c r="B71" s="29" t="s">
        <v>83</v>
      </c>
      <c r="C71" s="32">
        <v>1</v>
      </c>
      <c r="D71" s="32">
        <v>16</v>
      </c>
      <c r="E71" s="32">
        <v>20</v>
      </c>
      <c r="F71" s="32">
        <v>0</v>
      </c>
      <c r="G71" s="32" t="s">
        <v>87</v>
      </c>
      <c r="H71" s="32" t="s">
        <v>87</v>
      </c>
      <c r="I71" s="32" t="s">
        <v>87</v>
      </c>
      <c r="J71" s="32" t="s">
        <v>87</v>
      </c>
      <c r="K71" s="32" t="s">
        <v>87</v>
      </c>
      <c r="L71" s="32" t="s">
        <v>87</v>
      </c>
      <c r="M71" s="32"/>
      <c r="N71" s="18"/>
      <c r="O71" s="18"/>
      <c r="P71" s="18"/>
      <c r="Q71" s="18"/>
      <c r="R71" s="18"/>
    </row>
    <row r="72" spans="2:18" x14ac:dyDescent="0.2">
      <c r="B72" s="29" t="s">
        <v>84</v>
      </c>
      <c r="C72" s="32">
        <v>2108</v>
      </c>
      <c r="D72" s="32">
        <v>2191</v>
      </c>
      <c r="E72" s="32">
        <v>2280</v>
      </c>
      <c r="F72" s="32">
        <v>2462</v>
      </c>
      <c r="G72" s="32">
        <v>2460</v>
      </c>
      <c r="H72" s="32">
        <v>2591</v>
      </c>
      <c r="I72" s="32">
        <v>2215</v>
      </c>
      <c r="J72" s="32">
        <v>2600</v>
      </c>
      <c r="K72" s="32">
        <v>2700</v>
      </c>
      <c r="L72" s="32">
        <v>2800</v>
      </c>
      <c r="M72" s="32"/>
      <c r="N72" s="18"/>
      <c r="O72" s="18"/>
      <c r="P72" s="18"/>
      <c r="Q72" s="18"/>
      <c r="R72" s="18"/>
    </row>
    <row r="73" spans="2:18" x14ac:dyDescent="0.2">
      <c r="B73" s="29" t="s">
        <v>85</v>
      </c>
      <c r="C73" s="32">
        <v>186</v>
      </c>
      <c r="D73" s="32">
        <v>182</v>
      </c>
      <c r="E73" s="32">
        <v>148</v>
      </c>
      <c r="F73" s="32">
        <v>212</v>
      </c>
      <c r="G73" s="32">
        <v>240</v>
      </c>
      <c r="H73" s="32">
        <v>274</v>
      </c>
      <c r="I73" s="32">
        <v>369</v>
      </c>
      <c r="J73" s="32">
        <v>448</v>
      </c>
      <c r="K73" s="32">
        <v>448</v>
      </c>
      <c r="L73" s="32">
        <v>530</v>
      </c>
      <c r="M73" s="32"/>
      <c r="N73" s="18"/>
      <c r="O73" s="18"/>
      <c r="P73" s="18"/>
      <c r="Q73" s="18"/>
      <c r="R73" s="18"/>
    </row>
    <row r="74" spans="2:18" x14ac:dyDescent="0.2">
      <c r="B74" s="26" t="s">
        <v>86</v>
      </c>
      <c r="C74" s="26" t="s">
        <v>3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12"/>
      <c r="O74" s="12"/>
      <c r="P74" s="12"/>
      <c r="Q74" s="12"/>
      <c r="R7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7F5F-63AD-4D11-8267-24A8F1EA1C44}">
  <dimension ref="B1:Q60"/>
  <sheetViews>
    <sheetView showGridLines="0" workbookViewId="0">
      <selection activeCell="I64" sqref="I64"/>
    </sheetView>
  </sheetViews>
  <sheetFormatPr baseColWidth="10" defaultColWidth="9.1640625" defaultRowHeight="15" x14ac:dyDescent="0.2"/>
  <cols>
    <col min="1" max="1" width="9.1640625" style="10"/>
    <col min="2" max="2" width="35.1640625" style="10" customWidth="1"/>
    <col min="3" max="3" width="11" style="10" customWidth="1"/>
    <col min="4" max="12" width="10.1640625" style="10" bestFit="1" customWidth="1"/>
    <col min="13" max="17" width="11" style="10" bestFit="1" customWidth="1"/>
    <col min="18" max="16384" width="9.1640625" style="10"/>
  </cols>
  <sheetData>
    <row r="1" spans="2:1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2:17" ht="20" x14ac:dyDescent="0.2">
      <c r="B2" s="9" t="s">
        <v>98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2:17" x14ac:dyDescent="0.2">
      <c r="B4" s="202" t="s">
        <v>5</v>
      </c>
      <c r="C4" s="203" t="s">
        <v>6</v>
      </c>
      <c r="D4" s="203" t="s">
        <v>7</v>
      </c>
      <c r="E4" s="203" t="s">
        <v>8</v>
      </c>
      <c r="F4" s="203" t="s">
        <v>9</v>
      </c>
      <c r="G4" s="203" t="s">
        <v>10</v>
      </c>
      <c r="H4" s="203" t="s">
        <v>11</v>
      </c>
      <c r="I4" s="203" t="s">
        <v>12</v>
      </c>
      <c r="J4" s="203" t="s">
        <v>13</v>
      </c>
      <c r="K4" s="203" t="s">
        <v>14</v>
      </c>
      <c r="L4" s="203" t="s">
        <v>15</v>
      </c>
      <c r="M4" s="200" t="s">
        <v>88</v>
      </c>
      <c r="N4" s="200" t="s">
        <v>89</v>
      </c>
      <c r="O4" s="200" t="s">
        <v>90</v>
      </c>
      <c r="P4" s="200" t="s">
        <v>91</v>
      </c>
      <c r="Q4" s="200" t="s">
        <v>92</v>
      </c>
    </row>
    <row r="5" spans="2:17" x14ac:dyDescent="0.2">
      <c r="B5" s="204" t="s">
        <v>16</v>
      </c>
      <c r="C5" s="205" t="s">
        <v>17</v>
      </c>
      <c r="D5" s="205" t="s">
        <v>18</v>
      </c>
      <c r="E5" s="205" t="s">
        <v>19</v>
      </c>
      <c r="F5" s="205" t="s">
        <v>20</v>
      </c>
      <c r="G5" s="205" t="s">
        <v>21</v>
      </c>
      <c r="H5" s="205" t="s">
        <v>22</v>
      </c>
      <c r="I5" s="205" t="s">
        <v>23</v>
      </c>
      <c r="J5" s="205" t="s">
        <v>24</v>
      </c>
      <c r="K5" s="205" t="s">
        <v>25</v>
      </c>
      <c r="L5" s="205" t="s">
        <v>26</v>
      </c>
      <c r="M5" s="201" t="s">
        <v>93</v>
      </c>
      <c r="N5" s="201" t="s">
        <v>94</v>
      </c>
      <c r="O5" s="201" t="s">
        <v>95</v>
      </c>
      <c r="P5" s="201" t="s">
        <v>96</v>
      </c>
      <c r="Q5" s="201" t="s">
        <v>97</v>
      </c>
    </row>
    <row r="6" spans="2:17" x14ac:dyDescent="0.2">
      <c r="B6" s="7" t="s">
        <v>0</v>
      </c>
      <c r="C6" s="19">
        <v>72618</v>
      </c>
      <c r="D6" s="19">
        <v>73785</v>
      </c>
      <c r="E6" s="19">
        <v>69495</v>
      </c>
      <c r="F6" s="19">
        <v>72714</v>
      </c>
      <c r="G6" s="19">
        <v>75356</v>
      </c>
      <c r="H6" s="19">
        <v>78112</v>
      </c>
      <c r="I6" s="19">
        <v>93561</v>
      </c>
      <c r="J6" s="19">
        <v>106005</v>
      </c>
      <c r="K6" s="19">
        <v>109120</v>
      </c>
      <c r="L6" s="19">
        <v>107412</v>
      </c>
      <c r="M6" s="19">
        <v>105668.75</v>
      </c>
      <c r="N6" s="19">
        <v>108349.935</v>
      </c>
      <c r="O6" s="19">
        <v>111988.375</v>
      </c>
      <c r="P6" s="19">
        <v>115455.5</v>
      </c>
      <c r="Q6" s="19">
        <v>121359</v>
      </c>
    </row>
    <row r="7" spans="2:17" hidden="1" x14ac:dyDescent="0.2">
      <c r="B7" s="6" t="s">
        <v>27</v>
      </c>
      <c r="C7" s="5">
        <v>1</v>
      </c>
      <c r="D7" s="5">
        <v>1</v>
      </c>
      <c r="E7" s="5">
        <v>1</v>
      </c>
      <c r="F7" s="5">
        <v>0.98723767087493497</v>
      </c>
      <c r="G7" s="5">
        <v>0.98775147300812105</v>
      </c>
      <c r="H7" s="5">
        <v>0.987428308070463</v>
      </c>
      <c r="I7" s="5">
        <v>0.98759098342258</v>
      </c>
      <c r="J7" s="5">
        <v>0.98684967690203296</v>
      </c>
      <c r="K7" s="5">
        <v>0.98596041055718497</v>
      </c>
      <c r="L7" s="5">
        <v>0.98502029568390903</v>
      </c>
      <c r="M7" s="5"/>
      <c r="N7" s="5"/>
      <c r="O7" s="5"/>
      <c r="P7" s="5"/>
      <c r="Q7" s="5"/>
    </row>
    <row r="8" spans="2:17" hidden="1" x14ac:dyDescent="0.2">
      <c r="B8" s="6" t="s">
        <v>28</v>
      </c>
      <c r="C8" s="5" t="s">
        <v>87</v>
      </c>
      <c r="D8" s="5" t="s">
        <v>87</v>
      </c>
      <c r="E8" s="5" t="s">
        <v>87</v>
      </c>
      <c r="F8" s="5">
        <v>1.2762329125065299E-2</v>
      </c>
      <c r="G8" s="5">
        <v>1.2248526991878599E-2</v>
      </c>
      <c r="H8" s="5">
        <v>1.2571691929537099E-2</v>
      </c>
      <c r="I8" s="5">
        <v>1.24090165774201E-2</v>
      </c>
      <c r="J8" s="5">
        <v>1.31503230979671E-2</v>
      </c>
      <c r="K8" s="5">
        <v>1.4039589442815199E-2</v>
      </c>
      <c r="L8" s="5">
        <v>1.4979704316091301E-2</v>
      </c>
      <c r="M8" s="5"/>
      <c r="N8" s="5"/>
      <c r="O8" s="5"/>
      <c r="P8" s="5"/>
      <c r="Q8" s="5"/>
    </row>
    <row r="9" spans="2:17" hidden="1" x14ac:dyDescent="0.2">
      <c r="B9" s="6" t="s">
        <v>29</v>
      </c>
      <c r="C9" s="5">
        <v>0.70613346553196199</v>
      </c>
      <c r="D9" s="5">
        <v>0.70801653452598801</v>
      </c>
      <c r="E9" s="5">
        <v>0.70717317792646905</v>
      </c>
      <c r="F9" s="5">
        <v>0.70309706521440196</v>
      </c>
      <c r="G9" s="5">
        <v>0.70729603482138104</v>
      </c>
      <c r="H9" s="5">
        <v>0.70237607537894298</v>
      </c>
      <c r="I9" s="5">
        <v>0.70731394491294497</v>
      </c>
      <c r="J9" s="5">
        <v>0.707164756379416</v>
      </c>
      <c r="K9" s="5">
        <v>0.75356488269794697</v>
      </c>
      <c r="L9" s="5">
        <v>0.72371802033292398</v>
      </c>
      <c r="M9" s="5"/>
      <c r="N9" s="5"/>
      <c r="O9" s="5"/>
      <c r="P9" s="5"/>
      <c r="Q9" s="5"/>
    </row>
    <row r="10" spans="2:17" hidden="1" x14ac:dyDescent="0.2">
      <c r="B10" s="6" t="s">
        <v>30</v>
      </c>
      <c r="C10" s="1">
        <v>0.70613346553196199</v>
      </c>
      <c r="D10" s="1">
        <v>0.70801653452598801</v>
      </c>
      <c r="E10" s="1">
        <v>0.70717317792646905</v>
      </c>
      <c r="F10" s="1">
        <v>0.70309706521440196</v>
      </c>
      <c r="G10" s="1">
        <v>0.70729603482138104</v>
      </c>
      <c r="H10" s="1">
        <v>0.70237607537894298</v>
      </c>
      <c r="I10" s="1">
        <v>0.70731394491294497</v>
      </c>
      <c r="J10" s="1">
        <v>0.707164756379416</v>
      </c>
      <c r="K10" s="1">
        <v>0.75356488269794697</v>
      </c>
      <c r="L10" s="1">
        <v>0.72371802033292398</v>
      </c>
      <c r="M10" s="1"/>
      <c r="N10" s="1"/>
      <c r="O10" s="1"/>
      <c r="P10" s="1"/>
      <c r="Q10" s="1"/>
    </row>
    <row r="11" spans="2:17" x14ac:dyDescent="0.2">
      <c r="B11" s="7" t="s">
        <v>1</v>
      </c>
      <c r="C11" s="4">
        <v>0.29386653446803801</v>
      </c>
      <c r="D11" s="4">
        <v>0.29198346547401199</v>
      </c>
      <c r="E11" s="4">
        <v>0.29282682207353</v>
      </c>
      <c r="F11" s="4">
        <v>0.29690293478559798</v>
      </c>
      <c r="G11" s="4">
        <v>0.29270396517861902</v>
      </c>
      <c r="H11" s="4">
        <v>0.29762392462105702</v>
      </c>
      <c r="I11" s="4">
        <v>0.29268605508705597</v>
      </c>
      <c r="J11" s="4">
        <v>0.292835243620584</v>
      </c>
      <c r="K11" s="4">
        <v>0.246435117302053</v>
      </c>
      <c r="L11" s="4">
        <v>0.27628197966707602</v>
      </c>
      <c r="M11" s="4">
        <v>0.27427000000000001</v>
      </c>
      <c r="N11" s="4">
        <v>0.27623999999999999</v>
      </c>
      <c r="O11" s="4">
        <v>0.27787000000000001</v>
      </c>
      <c r="P11" s="4">
        <v>0.27392</v>
      </c>
      <c r="Q11" s="4">
        <v>0.27493000000000001</v>
      </c>
    </row>
    <row r="12" spans="2:17" hidden="1" x14ac:dyDescent="0.2">
      <c r="B12" s="6" t="s">
        <v>31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/>
      <c r="N12" s="5"/>
      <c r="O12" s="5"/>
      <c r="P12" s="5"/>
      <c r="Q12" s="5"/>
    </row>
    <row r="13" spans="2:17" hidden="1" x14ac:dyDescent="0.2">
      <c r="B13" s="6" t="s">
        <v>32</v>
      </c>
      <c r="C13" s="5">
        <v>0.23141645322096399</v>
      </c>
      <c r="D13" s="5">
        <v>0.21703598292335799</v>
      </c>
      <c r="E13" s="5">
        <v>0.221325275199655</v>
      </c>
      <c r="F13" s="5">
        <v>0.23881233325081799</v>
      </c>
      <c r="G13" s="5">
        <v>0.23816285365465301</v>
      </c>
      <c r="H13" s="5">
        <v>0.23799160180254</v>
      </c>
      <c r="I13" s="5">
        <v>0.22279582304592699</v>
      </c>
      <c r="J13" s="5">
        <v>0.208442997971794</v>
      </c>
      <c r="K13" s="5">
        <v>0.211171187683284</v>
      </c>
      <c r="L13" s="5">
        <v>0.22315011358135001</v>
      </c>
      <c r="M13" s="5"/>
      <c r="N13" s="5"/>
      <c r="O13" s="5"/>
      <c r="P13" s="5"/>
      <c r="Q13" s="5"/>
    </row>
    <row r="14" spans="2:17" hidden="1" x14ac:dyDescent="0.2">
      <c r="B14" s="6" t="s">
        <v>33</v>
      </c>
      <c r="C14" s="5">
        <v>0.202098653226473</v>
      </c>
      <c r="D14" s="5">
        <v>0.198753134105848</v>
      </c>
      <c r="E14" s="5">
        <v>0.19218648823656401</v>
      </c>
      <c r="F14" s="5">
        <v>0.208212998872294</v>
      </c>
      <c r="G14" s="5">
        <v>0.20864960985190301</v>
      </c>
      <c r="H14" s="5">
        <v>0.20781698074559601</v>
      </c>
      <c r="I14" s="5">
        <v>0.19896110558886701</v>
      </c>
      <c r="J14" s="5">
        <v>0.18633083345125201</v>
      </c>
      <c r="K14" s="5">
        <v>0.189314516129032</v>
      </c>
      <c r="L14" s="5">
        <v>0.20066659218709301</v>
      </c>
      <c r="M14" s="5"/>
      <c r="N14" s="5"/>
      <c r="O14" s="5"/>
      <c r="P14" s="5"/>
      <c r="Q14" s="5"/>
    </row>
    <row r="15" spans="2:17" hidden="1" x14ac:dyDescent="0.2">
      <c r="B15" s="6" t="s">
        <v>34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/>
      <c r="N15" s="5"/>
      <c r="O15" s="5"/>
      <c r="P15" s="5"/>
      <c r="Q15" s="5"/>
    </row>
    <row r="16" spans="2:17" hidden="1" x14ac:dyDescent="0.2">
      <c r="B16" s="6" t="s">
        <v>35</v>
      </c>
      <c r="C16" s="5">
        <v>2.9317799994491699E-2</v>
      </c>
      <c r="D16" s="5">
        <v>2.6685640712882E-2</v>
      </c>
      <c r="E16" s="5">
        <v>2.9138786963090899E-2</v>
      </c>
      <c r="F16" s="5">
        <v>3.05993343785241E-2</v>
      </c>
      <c r="G16" s="5">
        <v>2.9513243802749601E-2</v>
      </c>
      <c r="H16" s="5">
        <v>3.01746210569439E-2</v>
      </c>
      <c r="I16" s="5">
        <v>2.38347174570601E-2</v>
      </c>
      <c r="J16" s="5">
        <v>2.2112164520541499E-2</v>
      </c>
      <c r="K16" s="5">
        <v>2.1856671554252201E-2</v>
      </c>
      <c r="L16" s="5">
        <v>2.2483521394257602E-2</v>
      </c>
      <c r="M16" s="5"/>
      <c r="N16" s="5"/>
      <c r="O16" s="5"/>
      <c r="P16" s="5"/>
      <c r="Q16" s="5"/>
    </row>
    <row r="17" spans="2:17" hidden="1" x14ac:dyDescent="0.2">
      <c r="B17" s="6" t="s">
        <v>36</v>
      </c>
      <c r="C17" s="1">
        <v>0</v>
      </c>
      <c r="D17" s="1">
        <v>-8.4027918953716897E-3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/>
      <c r="N17" s="1"/>
      <c r="O17" s="1"/>
      <c r="P17" s="1"/>
      <c r="Q17" s="1"/>
    </row>
    <row r="18" spans="2:17" x14ac:dyDescent="0.2">
      <c r="B18" s="7" t="s">
        <v>37</v>
      </c>
      <c r="C18" s="4">
        <v>6.2450081247073699E-2</v>
      </c>
      <c r="D18" s="4">
        <v>7.4947482550653893E-2</v>
      </c>
      <c r="E18" s="4">
        <v>7.1501546873875804E-2</v>
      </c>
      <c r="F18" s="4">
        <v>5.8090601534780101E-2</v>
      </c>
      <c r="G18" s="4">
        <v>5.45411115239662E-2</v>
      </c>
      <c r="H18" s="4">
        <v>5.9632322818516999E-2</v>
      </c>
      <c r="I18" s="4">
        <v>6.9890232041128306E-2</v>
      </c>
      <c r="J18" s="4">
        <v>8.4392245648790207E-2</v>
      </c>
      <c r="K18" s="4">
        <v>3.52639296187683E-2</v>
      </c>
      <c r="L18" s="4">
        <v>5.3131866085726003E-2</v>
      </c>
      <c r="M18" s="4">
        <v>5.2226187969480101E-2</v>
      </c>
      <c r="N18" s="4">
        <v>5.3336174128761599E-2</v>
      </c>
      <c r="O18" s="4">
        <v>5.5540488019403797E-2</v>
      </c>
      <c r="P18" s="4">
        <v>5.5890425315381201E-2</v>
      </c>
      <c r="Q18" s="4">
        <v>5.7548265888809201E-2</v>
      </c>
    </row>
    <row r="19" spans="2:17" hidden="1" x14ac:dyDescent="0.2">
      <c r="B19" s="6" t="s">
        <v>38</v>
      </c>
      <c r="C19" s="5">
        <v>1.2145748987854201E-2</v>
      </c>
      <c r="D19" s="5">
        <v>8.2266043233719596E-3</v>
      </c>
      <c r="E19" s="5">
        <v>1.44470825239226E-2</v>
      </c>
      <c r="F19" s="5">
        <v>8.1689908408284495E-3</v>
      </c>
      <c r="G19" s="5">
        <v>5.75932905143585E-3</v>
      </c>
      <c r="H19" s="5">
        <v>5.9913969684555497E-3</v>
      </c>
      <c r="I19" s="5">
        <v>1.0613396607560799E-2</v>
      </c>
      <c r="J19" s="5">
        <v>3.6790717418989699E-4</v>
      </c>
      <c r="K19" s="5">
        <v>3.9406158357771304E-3</v>
      </c>
      <c r="L19" s="5">
        <v>3.8170781663128899E-3</v>
      </c>
      <c r="M19" s="5"/>
      <c r="N19" s="5"/>
      <c r="O19" s="5"/>
      <c r="P19" s="5"/>
      <c r="Q19" s="5"/>
    </row>
    <row r="20" spans="2:17" hidden="1" x14ac:dyDescent="0.2">
      <c r="B20" s="6" t="s">
        <v>39</v>
      </c>
      <c r="C20" s="5">
        <v>1.2145748987854201E-2</v>
      </c>
      <c r="D20" s="5">
        <v>8.2266043233719596E-3</v>
      </c>
      <c r="E20" s="5">
        <v>1.44470825239226E-2</v>
      </c>
      <c r="F20" s="5">
        <v>8.9803889209780809E-3</v>
      </c>
      <c r="G20" s="5">
        <v>6.1176283242210302E-3</v>
      </c>
      <c r="H20" s="5">
        <v>6.1066161409258496E-3</v>
      </c>
      <c r="I20" s="5">
        <v>1.0442385181859999E-2</v>
      </c>
      <c r="J20" s="5">
        <v>3.9715107777934999E-3</v>
      </c>
      <c r="K20" s="5">
        <v>4.3804985337243399E-3</v>
      </c>
      <c r="L20" s="5">
        <v>4.6735932670465101E-3</v>
      </c>
      <c r="M20" s="5"/>
      <c r="N20" s="5"/>
      <c r="O20" s="5"/>
      <c r="P20" s="5"/>
      <c r="Q20" s="5"/>
    </row>
    <row r="21" spans="2:17" hidden="1" x14ac:dyDescent="0.2">
      <c r="B21" s="3" t="s">
        <v>40</v>
      </c>
      <c r="C21" s="2">
        <v>1.2145748987854201E-2</v>
      </c>
      <c r="D21" s="2">
        <v>8.2266043233719596E-3</v>
      </c>
      <c r="E21" s="2">
        <v>1.44470825239226E-2</v>
      </c>
      <c r="F21" s="2">
        <v>8.9803889209780809E-3</v>
      </c>
      <c r="G21" s="2">
        <v>6.1176283242210302E-3</v>
      </c>
      <c r="H21" s="2">
        <v>6.1066161409258496E-3</v>
      </c>
      <c r="I21" s="2">
        <v>1.0442385181859999E-2</v>
      </c>
      <c r="J21" s="2">
        <v>3.9715107777934999E-3</v>
      </c>
      <c r="K21" s="2">
        <v>4.3804985337243399E-3</v>
      </c>
      <c r="L21" s="2">
        <v>4.6735932670465101E-3</v>
      </c>
      <c r="M21" s="2"/>
      <c r="N21" s="2"/>
      <c r="O21" s="2"/>
      <c r="P21" s="2"/>
      <c r="Q21" s="2"/>
    </row>
    <row r="22" spans="2:17" hidden="1" x14ac:dyDescent="0.2">
      <c r="B22" s="3" t="s">
        <v>41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</row>
    <row r="23" spans="2:17" hidden="1" x14ac:dyDescent="0.2">
      <c r="B23" s="6" t="s">
        <v>42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/>
      <c r="N23" s="5"/>
      <c r="O23" s="5"/>
      <c r="P23" s="5"/>
      <c r="Q23" s="5"/>
    </row>
    <row r="24" spans="2:17" hidden="1" x14ac:dyDescent="0.2">
      <c r="B24" s="6" t="s">
        <v>43</v>
      </c>
      <c r="C24" s="5">
        <v>0</v>
      </c>
      <c r="D24" s="5" t="s">
        <v>87</v>
      </c>
      <c r="E24" s="5" t="s">
        <v>87</v>
      </c>
      <c r="F24" s="5" t="s">
        <v>87</v>
      </c>
      <c r="G24" s="5" t="s">
        <v>87</v>
      </c>
      <c r="H24" s="5" t="s">
        <v>87</v>
      </c>
      <c r="I24" s="5" t="s">
        <v>87</v>
      </c>
      <c r="J24" s="5" t="s">
        <v>87</v>
      </c>
      <c r="K24" s="5" t="s">
        <v>87</v>
      </c>
      <c r="L24" s="5" t="s">
        <v>87</v>
      </c>
      <c r="M24" s="5"/>
      <c r="N24" s="5"/>
      <c r="O24" s="5"/>
      <c r="P24" s="5"/>
      <c r="Q24" s="5"/>
    </row>
    <row r="25" spans="2:17" hidden="1" x14ac:dyDescent="0.2">
      <c r="B25" s="6" t="s">
        <v>44</v>
      </c>
      <c r="C25" s="1">
        <v>0</v>
      </c>
      <c r="D25" s="1">
        <v>0</v>
      </c>
      <c r="E25" s="1">
        <v>0</v>
      </c>
      <c r="F25" s="1">
        <v>-8.1139808014962702E-4</v>
      </c>
      <c r="G25" s="1">
        <v>-3.5829927278517999E-4</v>
      </c>
      <c r="H25" s="1">
        <v>-1.15219172470299E-4</v>
      </c>
      <c r="I25" s="1">
        <v>1.7101142570088E-4</v>
      </c>
      <c r="J25" s="1">
        <v>-3.6036036036036002E-3</v>
      </c>
      <c r="K25" s="1">
        <v>-4.3988269794721402E-4</v>
      </c>
      <c r="L25" s="1">
        <v>-8.5651510073362399E-4</v>
      </c>
      <c r="M25" s="1"/>
      <c r="N25" s="1"/>
      <c r="O25" s="1"/>
      <c r="P25" s="1"/>
      <c r="Q25" s="1"/>
    </row>
    <row r="26" spans="2:17" x14ac:dyDescent="0.2">
      <c r="B26" s="7" t="s">
        <v>45</v>
      </c>
      <c r="C26" s="4">
        <v>5.03043322592195E-2</v>
      </c>
      <c r="D26" s="4">
        <v>6.6720878227281996E-2</v>
      </c>
      <c r="E26" s="4">
        <v>5.7054464349953198E-2</v>
      </c>
      <c r="F26" s="4">
        <v>4.9921610693951603E-2</v>
      </c>
      <c r="G26" s="4">
        <v>4.8781782472530399E-2</v>
      </c>
      <c r="H26" s="4">
        <v>5.3640925850061499E-2</v>
      </c>
      <c r="I26" s="4">
        <v>5.9276835433567397E-2</v>
      </c>
      <c r="J26" s="4">
        <v>8.4024338474600294E-2</v>
      </c>
      <c r="K26" s="4">
        <v>3.1323313782991198E-2</v>
      </c>
      <c r="L26" s="4">
        <v>4.93147879194131E-2</v>
      </c>
      <c r="M26" s="4">
        <v>4.9097741763766502E-2</v>
      </c>
      <c r="N26" s="4">
        <v>5.0086813619223701E-2</v>
      </c>
      <c r="O26" s="4">
        <v>5.2407225303519198E-2</v>
      </c>
      <c r="P26" s="4">
        <v>5.2457440312501401E-2</v>
      </c>
      <c r="Q26" s="4">
        <v>5.4023599403422898E-2</v>
      </c>
    </row>
    <row r="27" spans="2:17" hidden="1" x14ac:dyDescent="0.2">
      <c r="B27" s="6" t="s">
        <v>46</v>
      </c>
      <c r="C27" s="5">
        <v>1.6579911316753401E-2</v>
      </c>
      <c r="D27" s="5">
        <v>2.1711730026428101E-2</v>
      </c>
      <c r="E27" s="5">
        <v>1.86488236563782E-2</v>
      </c>
      <c r="F27" s="5">
        <v>9.9293120994581492E-3</v>
      </c>
      <c r="G27" s="5">
        <v>9.8996762036201499E-3</v>
      </c>
      <c r="H27" s="5">
        <v>1.17907619827939E-2</v>
      </c>
      <c r="I27" s="5">
        <v>1.25907162172273E-2</v>
      </c>
      <c r="J27" s="5">
        <v>1.8499127399651E-2</v>
      </c>
      <c r="K27" s="5">
        <v>5.8467741935483899E-3</v>
      </c>
      <c r="L27" s="5">
        <v>1.07902282798942E-2</v>
      </c>
      <c r="M27" s="5"/>
      <c r="N27" s="5"/>
      <c r="O27" s="5"/>
      <c r="P27" s="5"/>
      <c r="Q27" s="5"/>
    </row>
    <row r="28" spans="2:17" hidden="1" x14ac:dyDescent="0.2">
      <c r="B28" s="6" t="s">
        <v>47</v>
      </c>
      <c r="C28" s="5">
        <v>1.6483516483516501E-2</v>
      </c>
      <c r="D28" s="5">
        <v>2.6075760655959901E-2</v>
      </c>
      <c r="E28" s="5">
        <v>1.8058853154903201E-2</v>
      </c>
      <c r="F28" s="5">
        <v>1.25147839480705E-2</v>
      </c>
      <c r="G28" s="5">
        <v>5.6266256170709704E-3</v>
      </c>
      <c r="H28" s="5">
        <v>9.5119827939369097E-3</v>
      </c>
      <c r="I28" s="5">
        <v>1.4557347612787401E-2</v>
      </c>
      <c r="J28" s="5">
        <v>1.3574831375878499E-2</v>
      </c>
      <c r="K28" s="5">
        <v>5.1319648093841599E-4</v>
      </c>
      <c r="L28" s="5">
        <v>8.0158641492570695E-3</v>
      </c>
      <c r="M28" s="5"/>
      <c r="N28" s="5"/>
      <c r="O28" s="5"/>
      <c r="P28" s="5"/>
      <c r="Q28" s="5"/>
    </row>
    <row r="29" spans="2:17" hidden="1" x14ac:dyDescent="0.2">
      <c r="B29" s="6" t="s">
        <v>48</v>
      </c>
      <c r="C29" s="5">
        <v>9.6394833236938498E-5</v>
      </c>
      <c r="D29" s="5">
        <v>-4.3640306295317502E-3</v>
      </c>
      <c r="E29" s="5">
        <v>5.8997050147492603E-4</v>
      </c>
      <c r="F29" s="5">
        <v>-2.5854718486123698E-3</v>
      </c>
      <c r="G29" s="5">
        <v>4.2730505865491803E-3</v>
      </c>
      <c r="H29" s="5">
        <v>2.2787791888570301E-3</v>
      </c>
      <c r="I29" s="5">
        <v>-1.9666313955601202E-3</v>
      </c>
      <c r="J29" s="5">
        <v>4.9242960237724596E-3</v>
      </c>
      <c r="K29" s="5">
        <v>5.3335777126099701E-3</v>
      </c>
      <c r="L29" s="5">
        <v>2.77436413063717E-3</v>
      </c>
      <c r="M29" s="5"/>
      <c r="N29" s="5"/>
      <c r="O29" s="5"/>
      <c r="P29" s="5"/>
      <c r="Q29" s="5"/>
    </row>
    <row r="30" spans="2:17" hidden="1" x14ac:dyDescent="0.2">
      <c r="B30" s="6" t="s">
        <v>49</v>
      </c>
      <c r="C30" s="1" t="s">
        <v>87</v>
      </c>
      <c r="D30" s="1" t="s">
        <v>87</v>
      </c>
      <c r="E30" s="1" t="s">
        <v>87</v>
      </c>
      <c r="F30" s="1" t="s">
        <v>87</v>
      </c>
      <c r="G30" s="1" t="s">
        <v>87</v>
      </c>
      <c r="H30" s="1" t="s">
        <v>87</v>
      </c>
      <c r="I30" s="1" t="s">
        <v>87</v>
      </c>
      <c r="J30" s="1" t="s">
        <v>87</v>
      </c>
      <c r="K30" s="1" t="s">
        <v>87</v>
      </c>
      <c r="L30" s="1" t="s">
        <v>87</v>
      </c>
      <c r="M30" s="1"/>
      <c r="N30" s="1"/>
      <c r="O30" s="1"/>
      <c r="P30" s="1"/>
      <c r="Q30" s="1"/>
    </row>
    <row r="31" spans="2:17" x14ac:dyDescent="0.2">
      <c r="B31" s="7" t="s">
        <v>50</v>
      </c>
      <c r="C31" s="4">
        <v>3.3724420942466103E-2</v>
      </c>
      <c r="D31" s="4">
        <v>4.5009148200853798E-2</v>
      </c>
      <c r="E31" s="4">
        <v>3.8405640693575098E-2</v>
      </c>
      <c r="F31" s="4">
        <v>3.9992298594493499E-2</v>
      </c>
      <c r="G31" s="4">
        <v>3.8882106268910199E-2</v>
      </c>
      <c r="H31" s="4">
        <v>4.1850163867267497E-2</v>
      </c>
      <c r="I31" s="4">
        <v>4.6686119216340097E-2</v>
      </c>
      <c r="J31" s="4">
        <v>6.5525211074949297E-2</v>
      </c>
      <c r="K31" s="4">
        <v>2.54765395894428E-2</v>
      </c>
      <c r="L31" s="4">
        <v>3.8524559639518903E-2</v>
      </c>
      <c r="M31" s="4">
        <v>3.81555757970072E-2</v>
      </c>
      <c r="N31" s="4">
        <v>3.8990120298641601E-2</v>
      </c>
      <c r="O31" s="4">
        <v>4.0546029889263098E-2</v>
      </c>
      <c r="P31" s="4">
        <v>4.1644988761903902E-2</v>
      </c>
      <c r="Q31" s="4">
        <v>4.19293171499436E-2</v>
      </c>
    </row>
    <row r="32" spans="2:17" x14ac:dyDescent="0.2">
      <c r="B32" s="6" t="s">
        <v>51</v>
      </c>
      <c r="C32" s="5">
        <v>5.6253270538984802E-2</v>
      </c>
      <c r="D32" s="5">
        <v>-5.6922138646066302E-4</v>
      </c>
      <c r="E32" s="5">
        <v>-9.7848766098280505E-4</v>
      </c>
      <c r="F32" s="5">
        <v>-8.2515058998267201E-5</v>
      </c>
      <c r="G32" s="5">
        <v>-9.2892404055417005E-5</v>
      </c>
      <c r="H32" s="5">
        <v>-1.5362556329373201E-4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5"/>
      <c r="P32" s="5"/>
      <c r="Q32" s="5"/>
    </row>
    <row r="33" spans="2:17" x14ac:dyDescent="0.2">
      <c r="B33" s="6" t="s">
        <v>52</v>
      </c>
      <c r="C33" s="5">
        <v>5.6253270538984802E-2</v>
      </c>
      <c r="D33" s="5">
        <v>-5.6922138646066302E-4</v>
      </c>
      <c r="E33" s="5">
        <v>-9.7848766098280505E-4</v>
      </c>
      <c r="F33" s="5">
        <v>-8.2515058998267201E-5</v>
      </c>
      <c r="G33" s="5">
        <v>-9.2892404055417005E-5</v>
      </c>
      <c r="H33" s="5">
        <v>-1.5362556329373201E-4</v>
      </c>
      <c r="I33" s="5">
        <v>0</v>
      </c>
      <c r="J33" s="5">
        <v>0</v>
      </c>
      <c r="K33" s="5">
        <v>0</v>
      </c>
      <c r="L33" s="5">
        <v>0</v>
      </c>
      <c r="M33" s="5"/>
      <c r="N33" s="5"/>
      <c r="O33" s="5"/>
      <c r="P33" s="5"/>
      <c r="Q33" s="5"/>
    </row>
    <row r="34" spans="2:17" x14ac:dyDescent="0.2">
      <c r="B34" s="6" t="s">
        <v>53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/>
      <c r="N34" s="5"/>
      <c r="O34" s="5"/>
      <c r="P34" s="5"/>
      <c r="Q34" s="5"/>
    </row>
    <row r="35" spans="2:17" x14ac:dyDescent="0.2">
      <c r="B35" s="7" t="s">
        <v>54</v>
      </c>
      <c r="C35" s="4">
        <v>-2.25288495965188E-2</v>
      </c>
      <c r="D35" s="4">
        <v>4.5578369587314503E-2</v>
      </c>
      <c r="E35" s="4">
        <v>3.9384128354557901E-2</v>
      </c>
      <c r="F35" s="4">
        <v>4.0074813653491803E-2</v>
      </c>
      <c r="G35" s="4">
        <v>3.8974998672965701E-2</v>
      </c>
      <c r="H35" s="4">
        <v>4.2003789430561198E-2</v>
      </c>
      <c r="I35" s="4">
        <v>4.6686119216340097E-2</v>
      </c>
      <c r="J35" s="4">
        <v>6.5525211074949297E-2</v>
      </c>
      <c r="K35" s="4">
        <v>2.54765395894428E-2</v>
      </c>
      <c r="L35" s="4">
        <v>3.8524559639518903E-2</v>
      </c>
      <c r="M35" s="4"/>
      <c r="N35" s="4"/>
      <c r="O35" s="4"/>
      <c r="P35" s="4"/>
      <c r="Q35" s="4"/>
    </row>
    <row r="36" spans="2:17" x14ac:dyDescent="0.2">
      <c r="B36" s="6" t="s">
        <v>55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/>
      <c r="N36" s="1"/>
      <c r="O36" s="1"/>
      <c r="P36" s="1"/>
      <c r="Q36" s="1"/>
    </row>
    <row r="37" spans="2:17" x14ac:dyDescent="0.2">
      <c r="B37" s="7" t="s">
        <v>56</v>
      </c>
      <c r="C37" s="4">
        <v>-2.25288495965188E-2</v>
      </c>
      <c r="D37" s="4">
        <v>4.5578369587314503E-2</v>
      </c>
      <c r="E37" s="4">
        <v>3.9384128354557901E-2</v>
      </c>
      <c r="F37" s="4">
        <v>4.0074813653491803E-2</v>
      </c>
      <c r="G37" s="4">
        <v>3.8974998672965701E-2</v>
      </c>
      <c r="H37" s="4">
        <v>4.2003789430561198E-2</v>
      </c>
      <c r="I37" s="4">
        <v>4.6686119216340097E-2</v>
      </c>
      <c r="J37" s="4">
        <v>6.5525211074949297E-2</v>
      </c>
      <c r="K37" s="4">
        <v>2.54765395894428E-2</v>
      </c>
      <c r="L37" s="4">
        <v>3.8524559639518903E-2</v>
      </c>
      <c r="M37" s="4">
        <v>3.81555757970072E-2</v>
      </c>
      <c r="N37" s="4">
        <v>3.8990120298641601E-2</v>
      </c>
      <c r="O37" s="4">
        <v>4.0546029889263098E-2</v>
      </c>
      <c r="P37" s="4">
        <v>4.1644988761903902E-2</v>
      </c>
      <c r="Q37" s="4">
        <v>4.19293171499436E-2</v>
      </c>
    </row>
    <row r="38" spans="2:17" hidden="1" x14ac:dyDescent="0.2">
      <c r="B38" s="6" t="s">
        <v>57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/>
      <c r="N38" s="5"/>
      <c r="O38" s="5"/>
      <c r="P38" s="5"/>
      <c r="Q38" s="5"/>
    </row>
    <row r="39" spans="2:17" hidden="1" x14ac:dyDescent="0.2">
      <c r="B39" s="6" t="s">
        <v>58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/>
      <c r="O39" s="1"/>
      <c r="P39" s="1"/>
      <c r="Q39" s="1"/>
    </row>
    <row r="40" spans="2:17" hidden="1" x14ac:dyDescent="0.2">
      <c r="B40" s="7" t="s">
        <v>59</v>
      </c>
      <c r="C40" s="4">
        <v>-2.25288495965188E-2</v>
      </c>
      <c r="D40" s="4">
        <v>4.5578369587314503E-2</v>
      </c>
      <c r="E40" s="4">
        <v>3.9384128354557901E-2</v>
      </c>
      <c r="F40" s="4">
        <v>4.0074813653491803E-2</v>
      </c>
      <c r="G40" s="4">
        <v>3.8974998672965701E-2</v>
      </c>
      <c r="H40" s="4">
        <v>4.2003789430561198E-2</v>
      </c>
      <c r="I40" s="4">
        <v>4.6686119216340097E-2</v>
      </c>
      <c r="J40" s="4">
        <v>6.5525211074949297E-2</v>
      </c>
      <c r="K40" s="4">
        <v>2.54765395894428E-2</v>
      </c>
      <c r="L40" s="4">
        <v>3.8524559639518903E-2</v>
      </c>
      <c r="M40" s="4">
        <v>3.81555757970072E-2</v>
      </c>
      <c r="N40" s="4">
        <v>3.8990120298641601E-2</v>
      </c>
      <c r="O40" s="4">
        <v>4.0546029889263098E-2</v>
      </c>
      <c r="P40" s="4">
        <v>4.1644988761903902E-2</v>
      </c>
      <c r="Q40" s="4">
        <v>4.19293171499436E-2</v>
      </c>
    </row>
    <row r="41" spans="2:17" hidden="1" x14ac:dyDescent="0.2">
      <c r="B41" s="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2:17" hidden="1" x14ac:dyDescent="0.2">
      <c r="B42" s="6" t="s">
        <v>61</v>
      </c>
      <c r="C42" s="5">
        <v>3.4426726156049502E-3</v>
      </c>
      <c r="D42" s="5">
        <v>-4.7570644439926804E-3</v>
      </c>
      <c r="E42" s="5">
        <v>3.53118929419383E-3</v>
      </c>
      <c r="F42" s="5">
        <v>-4.5108232252386096E-3</v>
      </c>
      <c r="G42" s="5">
        <v>-7.0757471203354702E-4</v>
      </c>
      <c r="H42" s="5">
        <v>3.3285538713641902E-4</v>
      </c>
      <c r="I42" s="5">
        <v>4.1897799296715501E-3</v>
      </c>
      <c r="J42" s="5">
        <v>-2.4715815291731502E-3</v>
      </c>
      <c r="K42" s="5">
        <v>6.1528592375366604E-4</v>
      </c>
      <c r="L42" s="5">
        <v>7.5019550888168901E-4</v>
      </c>
      <c r="M42" s="5"/>
      <c r="N42" s="5"/>
      <c r="O42" s="5"/>
      <c r="P42" s="5"/>
      <c r="Q42" s="5"/>
    </row>
    <row r="43" spans="2:17" hidden="1" x14ac:dyDescent="0.2">
      <c r="B43" s="6" t="s">
        <v>62</v>
      </c>
      <c r="C43" s="5">
        <v>5.6253270538984802E-2</v>
      </c>
      <c r="D43" s="5">
        <v>-5.6922138646066302E-4</v>
      </c>
      <c r="E43" s="5">
        <v>-9.7848766098280505E-4</v>
      </c>
      <c r="F43" s="5">
        <v>-8.2515058998267201E-5</v>
      </c>
      <c r="G43" s="5">
        <v>-9.2892404055417005E-5</v>
      </c>
      <c r="H43" s="5">
        <v>-1.5362556329373201E-4</v>
      </c>
      <c r="I43" s="5">
        <v>0</v>
      </c>
      <c r="J43" s="5">
        <v>0</v>
      </c>
      <c r="K43" s="5">
        <v>0</v>
      </c>
      <c r="L43" s="5">
        <v>0</v>
      </c>
      <c r="M43" s="5"/>
      <c r="N43" s="5"/>
      <c r="O43" s="5"/>
      <c r="P43" s="5"/>
      <c r="Q43" s="5"/>
    </row>
    <row r="44" spans="2:17" hidden="1" x14ac:dyDescent="0.2">
      <c r="B44" s="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2:17" hidden="1" x14ac:dyDescent="0.2">
      <c r="B45" s="7" t="s">
        <v>2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2:17" hidden="1" x14ac:dyDescent="0.2">
      <c r="B46" s="6" t="s">
        <v>71</v>
      </c>
      <c r="C46" s="14" t="s">
        <v>72</v>
      </c>
      <c r="D46" s="14" t="s">
        <v>72</v>
      </c>
      <c r="E46" s="14" t="s">
        <v>72</v>
      </c>
      <c r="F46" s="14" t="s">
        <v>72</v>
      </c>
      <c r="G46" s="14" t="s">
        <v>72</v>
      </c>
      <c r="H46" s="14" t="s">
        <v>72</v>
      </c>
      <c r="I46" s="14" t="s">
        <v>72</v>
      </c>
      <c r="J46" s="14" t="s">
        <v>72</v>
      </c>
      <c r="K46" s="14" t="s">
        <v>72</v>
      </c>
      <c r="L46" s="14" t="s">
        <v>72</v>
      </c>
      <c r="M46" s="14"/>
      <c r="N46" s="14"/>
      <c r="O46" s="14"/>
      <c r="P46" s="14"/>
      <c r="Q46" s="14"/>
    </row>
    <row r="47" spans="2:17" hidden="1" x14ac:dyDescent="0.2">
      <c r="B47" s="6" t="s">
        <v>73</v>
      </c>
      <c r="C47" s="5">
        <v>9.1767881241565499E-2</v>
      </c>
      <c r="D47" s="5">
        <v>0.10494002846106899</v>
      </c>
      <c r="E47" s="5">
        <v>0.10456867400532401</v>
      </c>
      <c r="F47" s="5">
        <v>9.5057347966003805E-2</v>
      </c>
      <c r="G47" s="5">
        <v>9.0556823610595097E-2</v>
      </c>
      <c r="H47" s="5">
        <v>9.6476853748463806E-2</v>
      </c>
      <c r="I47" s="5">
        <v>0.100394395100523</v>
      </c>
      <c r="J47" s="5">
        <v>0.113541814065374</v>
      </c>
      <c r="K47" s="5">
        <v>6.4112903225806497E-2</v>
      </c>
      <c r="L47" s="5">
        <v>8.4143298700331395E-2</v>
      </c>
      <c r="M47" s="5">
        <v>7.9573667711598794E-2</v>
      </c>
      <c r="N47" s="5">
        <v>8.0311169545233194E-2</v>
      </c>
      <c r="O47" s="5">
        <v>8.2164778263815297E-2</v>
      </c>
      <c r="P47" s="5">
        <v>8.1577750735131696E-2</v>
      </c>
      <c r="Q47" s="5">
        <v>8.3842154269563901E-2</v>
      </c>
    </row>
    <row r="48" spans="2:17" hidden="1" x14ac:dyDescent="0.2">
      <c r="B48" s="6" t="s">
        <v>74</v>
      </c>
      <c r="C48" s="5">
        <v>1.2637070698724801E-4</v>
      </c>
      <c r="D48" s="5">
        <v>1.4222406993291299E-4</v>
      </c>
      <c r="E48" s="5">
        <v>1.5046934311821E-4</v>
      </c>
      <c r="F48" s="5">
        <v>1.3072771405781599E-4</v>
      </c>
      <c r="G48" s="5">
        <v>1.2017201019162399E-4</v>
      </c>
      <c r="H48" s="5">
        <v>1.2351092021712401E-4</v>
      </c>
      <c r="I48" s="5">
        <v>1.07303684227402E-4</v>
      </c>
      <c r="J48" s="5">
        <v>1.07109862742323E-4</v>
      </c>
      <c r="K48" s="5">
        <v>5.8754490469208203E-5</v>
      </c>
      <c r="L48" s="5">
        <v>7.8336964212564694E-5</v>
      </c>
      <c r="M48" s="5">
        <v>7.5304825420570201E-5</v>
      </c>
      <c r="N48" s="5">
        <v>7.4122028356762E-5</v>
      </c>
      <c r="O48" s="5">
        <v>7.3369024475813095E-5</v>
      </c>
      <c r="P48" s="5">
        <v>7.0657310162904107E-5</v>
      </c>
      <c r="Q48" s="5">
        <v>6.9086062236475097E-5</v>
      </c>
    </row>
    <row r="49" spans="2:17" hidden="1" x14ac:dyDescent="0.2">
      <c r="B49" s="6" t="s">
        <v>75</v>
      </c>
      <c r="C49" s="5">
        <v>6.2739265746784498E-2</v>
      </c>
      <c r="D49" s="5">
        <v>7.5245646134038099E-2</v>
      </c>
      <c r="E49" s="5">
        <v>7.1760558313547704E-2</v>
      </c>
      <c r="F49" s="5">
        <v>6.11986687570482E-2</v>
      </c>
      <c r="G49" s="5">
        <v>5.7911778756834197E-2</v>
      </c>
      <c r="H49" s="5">
        <v>6.3306534207292098E-2</v>
      </c>
      <c r="I49" s="5">
        <v>7.6720000855057105E-2</v>
      </c>
      <c r="J49" s="5">
        <v>8.9014669119381107E-2</v>
      </c>
      <c r="K49" s="5">
        <v>3.93695014662757E-2</v>
      </c>
      <c r="L49" s="5">
        <v>5.8075447808438499E-2</v>
      </c>
      <c r="M49" s="5"/>
      <c r="N49" s="5"/>
      <c r="O49" s="5"/>
      <c r="P49" s="5"/>
      <c r="Q49" s="5"/>
    </row>
    <row r="50" spans="2:17" hidden="1" x14ac:dyDescent="0.2">
      <c r="B50" s="6" t="s">
        <v>76</v>
      </c>
      <c r="C50" s="5">
        <v>6.2450081247073699E-2</v>
      </c>
      <c r="D50" s="5">
        <v>7.4947482550653893E-2</v>
      </c>
      <c r="E50" s="5">
        <v>7.1501546873875804E-2</v>
      </c>
      <c r="F50" s="5">
        <v>5.8090601534780101E-2</v>
      </c>
      <c r="G50" s="5">
        <v>5.45411115239662E-2</v>
      </c>
      <c r="H50" s="5">
        <v>5.9632322818516999E-2</v>
      </c>
      <c r="I50" s="5">
        <v>6.9890232041128306E-2</v>
      </c>
      <c r="J50" s="5">
        <v>8.4392245648790207E-2</v>
      </c>
      <c r="K50" s="5">
        <v>3.52639296187683E-2</v>
      </c>
      <c r="L50" s="5">
        <v>5.3131866085726003E-2</v>
      </c>
      <c r="M50" s="5">
        <v>5.2226187969480101E-2</v>
      </c>
      <c r="N50" s="5">
        <v>5.3336174128761599E-2</v>
      </c>
      <c r="O50" s="5">
        <v>5.5540488019403797E-2</v>
      </c>
      <c r="P50" s="5">
        <v>5.5890425315381201E-2</v>
      </c>
      <c r="Q50" s="5">
        <v>5.7548265888809201E-2</v>
      </c>
    </row>
    <row r="51" spans="2:17" hidden="1" x14ac:dyDescent="0.2">
      <c r="B51" s="6" t="s">
        <v>77</v>
      </c>
      <c r="C51" s="5">
        <v>4.0467450218954E-4</v>
      </c>
      <c r="D51" s="5">
        <v>3.9572198956427501E-4</v>
      </c>
      <c r="E51" s="5">
        <v>4.2136386790416603E-4</v>
      </c>
      <c r="F51" s="5">
        <v>4.0831604642847298E-4</v>
      </c>
      <c r="G51" s="5">
        <v>3.88428220712352E-4</v>
      </c>
      <c r="H51" s="5">
        <v>3.8102201966407198E-4</v>
      </c>
      <c r="I51" s="5">
        <v>3.12829127521082E-4</v>
      </c>
      <c r="J51" s="5">
        <v>2.7624662987594899E-4</v>
      </c>
      <c r="K51" s="5">
        <v>2.2583863636363601E-4</v>
      </c>
      <c r="L51" s="5">
        <v>2.5721705209846201E-4</v>
      </c>
      <c r="M51" s="5"/>
      <c r="N51" s="5"/>
      <c r="O51" s="5"/>
      <c r="P51" s="5"/>
      <c r="Q51" s="5"/>
    </row>
    <row r="52" spans="2:17" hidden="1" x14ac:dyDescent="0.2">
      <c r="B52" s="6" t="s">
        <v>78</v>
      </c>
      <c r="C52" s="5">
        <v>8.5998072103335305E-5</v>
      </c>
      <c r="D52" s="5">
        <v>1.01575496374602E-4</v>
      </c>
      <c r="E52" s="5">
        <v>1.02887330023743E-4</v>
      </c>
      <c r="F52" s="5">
        <v>7.9889154770745706E-5</v>
      </c>
      <c r="G52" s="5">
        <v>7.2377926110727794E-5</v>
      </c>
      <c r="H52" s="5">
        <v>7.6342072920934003E-5</v>
      </c>
      <c r="I52" s="5">
        <v>7.4700174217889897E-5</v>
      </c>
      <c r="J52" s="5">
        <v>7.9611574925711104E-5</v>
      </c>
      <c r="K52" s="5">
        <v>3.2316651392961902E-5</v>
      </c>
      <c r="L52" s="5">
        <v>4.9465488027408499E-5</v>
      </c>
      <c r="M52" s="5">
        <v>4.94244400255327E-5</v>
      </c>
      <c r="N52" s="5">
        <v>4.92258478316222E-5</v>
      </c>
      <c r="O52" s="5">
        <v>4.9594869127624897E-5</v>
      </c>
      <c r="P52" s="5">
        <v>4.8408629571896699E-5</v>
      </c>
      <c r="Q52" s="5">
        <v>4.7419858344918201E-5</v>
      </c>
    </row>
    <row r="53" spans="2:17" hidden="1" x14ac:dyDescent="0.2">
      <c r="B53" s="6" t="s">
        <v>79</v>
      </c>
      <c r="C53" s="5">
        <v>-3.1023781982428603E-5</v>
      </c>
      <c r="D53" s="5">
        <v>6.17718642000407E-5</v>
      </c>
      <c r="E53" s="5">
        <v>5.6671890064033402E-5</v>
      </c>
      <c r="F53" s="5">
        <v>5.5112921858239101E-5</v>
      </c>
      <c r="G53" s="5">
        <v>5.1721163543712503E-5</v>
      </c>
      <c r="H53" s="5">
        <v>5.3773799160180301E-5</v>
      </c>
      <c r="I53" s="5">
        <v>4.9899124635264699E-5</v>
      </c>
      <c r="J53" s="5">
        <v>6.1813320126409104E-5</v>
      </c>
      <c r="K53" s="5">
        <v>2.3347269061583599E-5</v>
      </c>
      <c r="L53" s="5">
        <v>3.5866160205563603E-5</v>
      </c>
      <c r="M53" s="5">
        <v>3.6014289046292101E-5</v>
      </c>
      <c r="N53" s="5">
        <v>3.5797064557480099E-5</v>
      </c>
      <c r="O53" s="5">
        <v>3.6039727565381801E-5</v>
      </c>
      <c r="P53" s="5">
        <v>3.6070164489265503E-5</v>
      </c>
      <c r="Q53" s="5">
        <v>3.4549820903224002E-5</v>
      </c>
    </row>
    <row r="54" spans="2:17" hidden="1" x14ac:dyDescent="0.2">
      <c r="B54" s="6" t="s">
        <v>80</v>
      </c>
      <c r="C54" s="5">
        <v>2.8818443804015499</v>
      </c>
      <c r="D54" s="5">
        <v>2.9325513196449098</v>
      </c>
      <c r="E54" s="5">
        <v>3.0959752322037599</v>
      </c>
      <c r="F54" s="5">
        <v>2.7777777777731898</v>
      </c>
      <c r="G54" s="5">
        <v>2.7777777777748298</v>
      </c>
      <c r="H54" s="5">
        <v>2.7173913043450399</v>
      </c>
      <c r="I54" s="5">
        <v>2.44498777505585</v>
      </c>
      <c r="J54" s="5">
        <v>2.22222222222537</v>
      </c>
      <c r="K54" s="5">
        <v>2.2727272727272698</v>
      </c>
      <c r="L54" s="5">
        <v>2.40963855422113</v>
      </c>
      <c r="M54" s="5"/>
      <c r="N54" s="5"/>
      <c r="O54" s="5"/>
      <c r="P54" s="5"/>
      <c r="Q54" s="5"/>
    </row>
    <row r="55" spans="2:17" x14ac:dyDescent="0.2">
      <c r="B55" s="6" t="s">
        <v>81</v>
      </c>
      <c r="C55" s="5">
        <v>2.7403674020215399E-5</v>
      </c>
      <c r="D55" s="5">
        <v>2.98163583384157E-5</v>
      </c>
      <c r="E55" s="5">
        <v>3.3959277645873799E-5</v>
      </c>
      <c r="F55" s="5">
        <v>3.38311741892895E-5</v>
      </c>
      <c r="G55" s="5">
        <v>3.3706672328679897E-5</v>
      </c>
      <c r="H55" s="5">
        <v>3.35415813191315E-5</v>
      </c>
      <c r="I55" s="5">
        <v>2.88581780870234E-5</v>
      </c>
      <c r="J55" s="5">
        <v>3.1885288429791001E-5</v>
      </c>
      <c r="K55" s="5">
        <v>3.7939882697947203E-5</v>
      </c>
      <c r="L55" s="5">
        <v>4.0777566752318198E-5</v>
      </c>
      <c r="M55" s="5">
        <v>4.2074880227124801E-5</v>
      </c>
      <c r="N55" s="5">
        <v>4.1172152064512097E-5</v>
      </c>
      <c r="O55" s="5">
        <v>4.1263211471726402E-5</v>
      </c>
      <c r="P55" s="5">
        <v>4.3540584900676002E-5</v>
      </c>
      <c r="Q55" s="5">
        <v>4.3696800402112701E-5</v>
      </c>
    </row>
    <row r="56" spans="2:17" hidden="1" x14ac:dyDescent="0.2">
      <c r="B56" s="6" t="s">
        <v>82</v>
      </c>
      <c r="C56" s="5">
        <v>1.75300889586604E-2</v>
      </c>
      <c r="D56" s="5">
        <v>1.8675882631971299E-2</v>
      </c>
      <c r="E56" s="5">
        <v>1.9555363695229901E-2</v>
      </c>
      <c r="F56" s="5">
        <v>1.8648403333608399E-2</v>
      </c>
      <c r="G56" s="5">
        <v>1.78751526089495E-2</v>
      </c>
      <c r="H56" s="5">
        <v>1.70140311347808E-2</v>
      </c>
      <c r="I56" s="5">
        <v>1.4354271544767601E-2</v>
      </c>
      <c r="J56" s="5">
        <v>1.4603084760152801E-2</v>
      </c>
      <c r="K56" s="5">
        <v>1.6816348973606999E-2</v>
      </c>
      <c r="L56" s="5">
        <v>1.7186161695155099E-2</v>
      </c>
      <c r="M56" s="5"/>
      <c r="N56" s="5"/>
      <c r="O56" s="5"/>
      <c r="P56" s="5"/>
      <c r="Q56" s="5"/>
    </row>
    <row r="57" spans="2:17" hidden="1" x14ac:dyDescent="0.2">
      <c r="B57" s="6" t="s">
        <v>83</v>
      </c>
      <c r="C57" s="5">
        <v>1.37706904624198E-5</v>
      </c>
      <c r="D57" s="5">
        <v>2.1684624246120501E-4</v>
      </c>
      <c r="E57" s="5">
        <v>2.8779048852435401E-4</v>
      </c>
      <c r="F57" s="5">
        <v>0</v>
      </c>
      <c r="G57" s="5" t="s">
        <v>87</v>
      </c>
      <c r="H57" s="5" t="s">
        <v>87</v>
      </c>
      <c r="I57" s="5" t="s">
        <v>87</v>
      </c>
      <c r="J57" s="5" t="s">
        <v>87</v>
      </c>
      <c r="K57" s="5" t="s">
        <v>87</v>
      </c>
      <c r="L57" s="5" t="s">
        <v>87</v>
      </c>
      <c r="M57" s="5"/>
      <c r="N57" s="5"/>
      <c r="O57" s="5"/>
      <c r="P57" s="5"/>
      <c r="Q57" s="5"/>
    </row>
    <row r="58" spans="2:17" hidden="1" x14ac:dyDescent="0.2">
      <c r="B58" s="6" t="s">
        <v>84</v>
      </c>
      <c r="C58" s="5">
        <v>2.9028615494780901E-2</v>
      </c>
      <c r="D58" s="5">
        <v>2.9694382327031199E-2</v>
      </c>
      <c r="E58" s="5">
        <v>3.2808115691776399E-2</v>
      </c>
      <c r="F58" s="5">
        <v>3.3858679208955599E-2</v>
      </c>
      <c r="G58" s="5">
        <v>3.2645044853760803E-2</v>
      </c>
      <c r="H58" s="5">
        <v>3.3170319541171701E-2</v>
      </c>
      <c r="I58" s="5">
        <v>2.36743942454655E-2</v>
      </c>
      <c r="J58" s="5">
        <v>2.4527144945993101E-2</v>
      </c>
      <c r="K58" s="5">
        <v>2.4743401759530801E-2</v>
      </c>
      <c r="L58" s="5">
        <v>2.60678508918929E-2</v>
      </c>
      <c r="M58" s="5"/>
      <c r="N58" s="5"/>
      <c r="O58" s="5"/>
      <c r="P58" s="5"/>
      <c r="Q58" s="5"/>
    </row>
    <row r="59" spans="2:17" hidden="1" x14ac:dyDescent="0.2">
      <c r="B59" s="6" t="s">
        <v>85</v>
      </c>
      <c r="C59" s="5">
        <v>2.5613484260100798E-3</v>
      </c>
      <c r="D59" s="5">
        <v>2.46662600799621E-3</v>
      </c>
      <c r="E59" s="5">
        <v>2.1296496150802202E-3</v>
      </c>
      <c r="F59" s="5">
        <v>2.91553208460544E-3</v>
      </c>
      <c r="G59" s="5">
        <v>3.18488242475715E-3</v>
      </c>
      <c r="H59" s="5">
        <v>3.5077836952068799E-3</v>
      </c>
      <c r="I59" s="5">
        <v>3.9439510052265399E-3</v>
      </c>
      <c r="J59" s="5">
        <v>4.2262157445403497E-3</v>
      </c>
      <c r="K59" s="5">
        <v>4.1055718475073296E-3</v>
      </c>
      <c r="L59" s="5">
        <v>4.93427177596544E-3</v>
      </c>
      <c r="M59" s="5"/>
      <c r="N59" s="5"/>
      <c r="O59" s="5"/>
      <c r="P59" s="5"/>
      <c r="Q59" s="5"/>
    </row>
    <row r="60" spans="2:17" x14ac:dyDescent="0.2">
      <c r="B60" s="12" t="s">
        <v>86</v>
      </c>
      <c r="C60" s="12" t="s">
        <v>3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AD0-134D-894C-8C08-E2302F1F234F}">
  <dimension ref="A1:N6"/>
  <sheetViews>
    <sheetView zoomScale="89" workbookViewId="0">
      <selection activeCell="N5" sqref="N5"/>
    </sheetView>
  </sheetViews>
  <sheetFormatPr baseColWidth="10" defaultColWidth="11.5" defaultRowHeight="15" x14ac:dyDescent="0.2"/>
  <cols>
    <col min="1" max="14" width="13.6640625" customWidth="1"/>
  </cols>
  <sheetData>
    <row r="1" spans="1:14" ht="20" x14ac:dyDescent="0.2">
      <c r="A1" s="27" t="s">
        <v>165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05" t="s">
        <v>166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4" x14ac:dyDescent="0.2">
      <c r="A3" s="22" t="s">
        <v>167</v>
      </c>
      <c r="B3" s="22"/>
      <c r="C3" s="22"/>
      <c r="D3" s="22"/>
      <c r="E3" s="22" t="s">
        <v>168</v>
      </c>
      <c r="F3" s="22" t="s">
        <v>169</v>
      </c>
      <c r="G3" s="22" t="s">
        <v>170</v>
      </c>
      <c r="H3" s="22" t="s">
        <v>171</v>
      </c>
      <c r="I3" s="22" t="s">
        <v>172</v>
      </c>
      <c r="J3" s="22" t="s">
        <v>173</v>
      </c>
      <c r="K3" s="22" t="s">
        <v>174</v>
      </c>
      <c r="L3" s="22" t="s">
        <v>175</v>
      </c>
      <c r="M3" s="22" t="s">
        <v>176</v>
      </c>
      <c r="N3" s="22" t="s">
        <v>177</v>
      </c>
    </row>
    <row r="4" spans="1:14" x14ac:dyDescent="0.2">
      <c r="A4" s="28" t="s">
        <v>16</v>
      </c>
      <c r="B4" s="28" t="s">
        <v>179</v>
      </c>
      <c r="C4" s="28" t="s">
        <v>180</v>
      </c>
      <c r="D4" s="28" t="s">
        <v>181</v>
      </c>
      <c r="E4" s="106">
        <v>43862</v>
      </c>
      <c r="F4" s="106">
        <v>44226</v>
      </c>
      <c r="G4" s="106">
        <v>44590</v>
      </c>
      <c r="H4" s="106">
        <v>44954</v>
      </c>
      <c r="I4" s="106">
        <v>45325</v>
      </c>
      <c r="J4" s="106">
        <v>45691</v>
      </c>
      <c r="K4" s="106">
        <v>46056</v>
      </c>
      <c r="L4" s="106">
        <v>46421</v>
      </c>
      <c r="M4" s="106">
        <v>46786</v>
      </c>
      <c r="N4" s="106">
        <v>47152</v>
      </c>
    </row>
    <row r="5" spans="1:14" x14ac:dyDescent="0.2">
      <c r="A5" s="29" t="s">
        <v>178</v>
      </c>
      <c r="B5" s="107" t="s">
        <v>182</v>
      </c>
      <c r="C5" s="107" t="s">
        <v>183</v>
      </c>
      <c r="D5" s="107"/>
      <c r="E5" s="33">
        <v>26283</v>
      </c>
      <c r="F5" s="33">
        <v>26879</v>
      </c>
      <c r="G5" s="33">
        <v>28181</v>
      </c>
      <c r="H5" s="33">
        <v>31512</v>
      </c>
      <c r="I5" s="33">
        <v>33096</v>
      </c>
      <c r="J5" s="33">
        <v>33114.818702101271</v>
      </c>
      <c r="K5" s="33">
        <v>34415.799440922267</v>
      </c>
      <c r="L5" s="33">
        <v>33490.527377468665</v>
      </c>
      <c r="M5" s="33">
        <v>32213.542798583021</v>
      </c>
      <c r="N5" s="33">
        <v>37775.09527432872</v>
      </c>
    </row>
    <row r="6" spans="1:14" x14ac:dyDescent="0.2">
      <c r="A6" s="26" t="s">
        <v>86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108">
        <f>N5-M5</f>
        <v>5561.5524757456988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</vt:lpstr>
      <vt:lpstr>DDM</vt:lpstr>
      <vt:lpstr>Income Statement</vt:lpstr>
      <vt:lpstr>Common sized IS</vt:lpstr>
      <vt:lpstr>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Ekarth Tushar Patel</cp:lastModifiedBy>
  <dcterms:created xsi:type="dcterms:W3CDTF">2013-04-03T15:49:21Z</dcterms:created>
  <dcterms:modified xsi:type="dcterms:W3CDTF">2025-04-21T04:52:17Z</dcterms:modified>
</cp:coreProperties>
</file>