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jpai\OneDrive\Desktop\Document\excel-challenge\"/>
    </mc:Choice>
  </mc:AlternateContent>
  <xr:revisionPtr revIDLastSave="0" documentId="13_ncr:1_{008986C9-3AF8-4C0D-B61A-03025E5B3E6E}" xr6:coauthVersionLast="47" xr6:coauthVersionMax="47" xr10:uidLastSave="{00000000-0000-0000-0000-000000000000}"/>
  <bookViews>
    <workbookView xWindow="2280" yWindow="3015" windowWidth="24375" windowHeight="12690" activeTab="5" xr2:uid="{00000000-000D-0000-FFFF-FFFF00000000}"/>
  </bookViews>
  <sheets>
    <sheet name="Crowdfunding" sheetId="1" r:id="rId1"/>
    <sheet name="Sheet1" sheetId="3" r:id="rId2"/>
    <sheet name="Sheet2" sheetId="5" r:id="rId3"/>
    <sheet name="Sheet3" sheetId="10" r:id="rId4"/>
    <sheet name="Sheet4" sheetId="11" r:id="rId5"/>
    <sheet name="Sheet5" sheetId="12" r:id="rId6"/>
  </sheets>
  <definedNames>
    <definedName name="_xlnm._FilterDatabase" localSheetId="5" hidden="1">Sheet5!#REF!</definedName>
    <definedName name="_xlcn.WorksheetConnection_CrowdfundingAT1" hidden="1">Crowdfunding!$A:$T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2" l="1"/>
  <c r="H6" i="12"/>
  <c r="H5" i="12"/>
  <c r="H4" i="12"/>
  <c r="H3" i="12"/>
  <c r="H2" i="12"/>
  <c r="D7" i="12"/>
  <c r="D6" i="12"/>
  <c r="D5" i="12"/>
  <c r="D2" i="12"/>
  <c r="D4" i="12"/>
  <c r="D3" i="12"/>
  <c r="H3" i="11"/>
  <c r="H4" i="11"/>
  <c r="H5" i="11"/>
  <c r="H6" i="11"/>
  <c r="H7" i="11"/>
  <c r="H8" i="11"/>
  <c r="H9" i="11"/>
  <c r="H10" i="11"/>
  <c r="H11" i="11"/>
  <c r="H12" i="11"/>
  <c r="H13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E3" i="11"/>
  <c r="E4" i="11"/>
  <c r="E5" i="11"/>
  <c r="E6" i="11"/>
  <c r="E7" i="11"/>
  <c r="E8" i="11"/>
  <c r="E9" i="11"/>
  <c r="E10" i="11"/>
  <c r="E11" i="11"/>
  <c r="E12" i="11"/>
  <c r="E1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C12" i="11"/>
  <c r="C13" i="11"/>
  <c r="C11" i="11"/>
  <c r="C10" i="11"/>
  <c r="C9" i="11"/>
  <c r="C8" i="11"/>
  <c r="C7" i="11"/>
  <c r="C6" i="11"/>
  <c r="C5" i="11"/>
  <c r="C4" i="11"/>
  <c r="C3" i="11"/>
  <c r="C2" i="11"/>
  <c r="B12" i="11"/>
  <c r="B11" i="11"/>
  <c r="B10" i="11"/>
  <c r="B9" i="11"/>
  <c r="B8" i="11"/>
  <c r="B7" i="11"/>
  <c r="B6" i="11"/>
  <c r="B5" i="11"/>
  <c r="B4" i="11"/>
  <c r="B3" i="11"/>
  <c r="B13" i="11"/>
  <c r="B2" i="11"/>
  <c r="I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9" i="1"/>
  <c r="I30" i="1"/>
  <c r="I31" i="1"/>
  <c r="I32" i="1"/>
  <c r="I33" i="1"/>
  <c r="I34" i="1"/>
  <c r="I35" i="1"/>
  <c r="I36" i="1"/>
  <c r="I37" i="1"/>
  <c r="I3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F5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F6" i="1"/>
  <c r="F7" i="1"/>
  <c r="F8" i="1"/>
  <c r="F9" i="1"/>
  <c r="F3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2BBA5-A3C9-4434-9DC5-6B3892D8292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B5F201-F68D-431D-AC54-EA3505B11604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<sst xmlns="http://schemas.openxmlformats.org/spreadsheetml/2006/main" count="7066" uniqueCount="2113">
  <si>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</si>
  <si>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</si>
  <si>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</si>
  <si>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</si>
  <si>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</si>
  <si>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</si>
  <si>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</si>
  <si>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</si>
  <si>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</si>
  <si>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</si>
  <si>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</si>
  <si>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</si>
  <si>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</si>
  <si>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</si>
  <si>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</si>
  <si>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</si>
  <si>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</si>
  <si>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</si>
  <si>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</si>
  <si>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</si>
  <si>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</si>
  <si>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</si>
  <si>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</si>
  <si>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</si>
  <si>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</si>
  <si>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</si>
  <si>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</si>
  <si>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</si>
  <si>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</si>
  <si>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</si>
  <si>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</si>
  <si>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</si>
  <si>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</si>
  <si>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</si>
  <si>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</si>
  <si>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</si>
  <si>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</si>
  <si>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</si>
  <si>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</si>
  <si>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</si>
  <si>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</si>
  <si>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</si>
  <si>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</si>
  <si>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</si>
  <si>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</si>
  <si>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</si>
  <si>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</si>
  <si>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</si>
  <si>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</si>
  <si>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</si>
  <si>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</si>
  <si>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</si>
  <si>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</si>
  <si>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</si>
  <si>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</si>
  <si>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</si>
  <si>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</si>
  <si>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</si>
  <si>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</si>
  <si>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</si>
  <si>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</si>
  <si>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</si>
  <si>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</si>
  <si>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</si>
  <si>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</si>
  <si>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</si>
  <si>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</si>
  <si>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</si>
  <si>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</si>
  <si>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</si>
  <si>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</si>
  <si>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</si>
  <si>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</si>
  <si>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</si>
  <si>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</si>
  <si>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</si>
  <si>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</si>
  <si>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</si>
  <si>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</si>
  <si>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</si>
  <si>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</si>
  <si>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</si>
  <si>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</si>
  <si>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</si>
  <si>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</si>
  <si>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</si>
  <si>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</si>
  <si>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</si>
  <si>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</si>
  <si>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</si>
  <si>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</si>
  <si>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</si>
  <si>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</si>
  <si>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</si>
  <si>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</si>
  <si>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</si>
  <si>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</si>
  <si>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</si>
  <si>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</si>
  <si>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</si>
  <si>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</si>
  <si>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</si>
  <si>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</si>
  <si>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</si>
  <si>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</si>
  <si>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</si>
  <si>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</si>
  <si>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</si>
  <si>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</si>
  <si>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</si>
  <si>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</si>
  <si>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</si>
  <si>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</si>
  <si>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</si>
  <si>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</si>
  <si>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</si>
  <si>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</si>
  <si>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</si>
  <si>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</si>
  <si>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</si>
  <si>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</si>
  <si>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</si>
  <si>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</si>
  <si>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</si>
  <si>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</si>
  <si>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</si>
  <si>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</si>
  <si>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</si>
  <si>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</si>
  <si>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</si>
  <si>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</si>
  <si>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</si>
  <si>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</si>
  <si>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</si>
  <si>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</si>
  <si>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</si>
  <si>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</si>
  <si>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</si>
  <si>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</si>
  <si>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</si>
  <si>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</si>
  <si>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</si>
  <si>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</si>
  <si>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</si>
  <si>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</si>
  <si>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</si>
  <si>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</si>
  <si>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</si>
  <si>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</si>
  <si>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</si>
  <si>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</si>
  <si>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</si>
  <si>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</si>
  <si>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</si>
  <si>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</si>
  <si>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</si>
  <si>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</si>
  <si>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</si>
  <si>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</si>
  <si>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</si>
  <si>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</si>
  <si>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</si>
  <si>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</si>
  <si>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</si>
  <si>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</si>
  <si>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</si>
  <si>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</si>
  <si>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</si>
  <si>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</si>
  <si>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</si>
  <si>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</si>
  <si>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</si>
  <si>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</si>
  <si>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</si>
  <si>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</si>
  <si>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</si>
  <si>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</si>
  <si>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</si>
  <si>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</si>
  <si>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</si>
  <si>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</si>
  <si>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</si>
  <si>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</si>
  <si>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</si>
  <si>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</si>
  <si>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</si>
  <si>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</si>
  <si>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</si>
  <si>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</si>
  <si>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</si>
  <si>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</si>
  <si>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</si>
  <si>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</si>
  <si>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</si>
  <si>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</si>
  <si>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</si>
  <si>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</si>
  <si>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</si>
  <si>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</si>
  <si>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</si>
  <si>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</si>
  <si>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</si>
  <si>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</si>
  <si>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</si>
  <si>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</si>
  <si>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</si>
  <si>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</si>
  <si>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</si>
  <si>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</si>
  <si>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</si>
  <si>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</si>
  <si>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</si>
  <si>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</si>
  <si>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</si>
  <si>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</si>
  <si>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</si>
  <si>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</si>
  <si>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</si>
  <si>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</si>
  <si>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</si>
  <si>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</si>
  <si>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</si>
  <si>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</si>
  <si>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</si>
  <si>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</si>
  <si>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</si>
  <si>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</si>
  <si>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</si>
  <si>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</si>
  <si>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</si>
  <si>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</si>
  <si>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</si>
  <si>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</si>
  <si>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</si>
  <si>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</si>
  <si>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</si>
  <si>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</si>
  <si>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</si>
  <si>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</si>
  <si>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</si>
  <si>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</si>
  <si>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</si>
  <si>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</si>
  <si>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</si>
  <si>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</si>
  <si>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</si>
  <si>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</si>
  <si>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</si>
  <si>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</si>
  <si>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</si>
  <si>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</si>
  <si>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</si>
  <si>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</si>
  <si>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</si>
  <si>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</si>
  <si>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</si>
  <si>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</si>
  <si>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</si>
  <si>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</si>
  <si>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</si>
  <si>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</si>
  <si>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</si>
  <si>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</si>
  <si>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</si>
  <si>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</si>
  <si>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</si>
  <si>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</si>
  <si>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</si>
  <si>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</si>
  <si>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</si>
  <si>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</si>
  <si>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</si>
  <si>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</si>
  <si>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</si>
  <si>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</si>
  <si>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</si>
  <si>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</si>
  <si>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</si>
  <si>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</si>
  <si>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</si>
  <si>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</si>
  <si>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</si>
  <si>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</si>
  <si>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</si>
  <si>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</si>
  <si>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</si>
  <si>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</si>
  <si>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</si>
  <si>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</si>
  <si>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</si>
  <si>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</si>
  <si>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</si>
  <si>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</si>
  <si>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</si>
  <si>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</si>
  <si>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</si>
  <si>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</si>
  <si>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</si>
  <si>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</si>
  <si>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</si>
  <si>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</si>
  <si>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</si>
  <si>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</si>
  <si>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</si>
  <si>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</si>
  <si>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</si>
  <si>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</si>
  <si>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</si>
  <si>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</si>
  <si>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</si>
  <si>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</si>
  <si>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</si>
  <si>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</si>
  <si>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</si>
  <si>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</si>
  <si>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</si>
  <si>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</si>
  <si>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</si>
  <si>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</si>
  <si>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</si>
  <si>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</si>
  <si>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</si>
  <si>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</si>
  <si>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</si>
  <si>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</si>
  <si>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</si>
  <si>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</si>
  <si>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</si>
  <si>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</si>
  <si>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</si>
  <si>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</si>
  <si>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</si>
  <si>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</si>
  <si>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</si>
  <si>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</si>
  <si>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</si>
  <si>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</si>
  <si>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</si>
  <si>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</si>
  <si>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</si>
  <si>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</si>
  <si>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</si>
  <si>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</si>
  <si>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</si>
  <si>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</si>
  <si>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</si>
  <si>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</si>
  <si>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</si>
  <si>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</si>
  <si>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</si>
  <si>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</si>
  <si>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</si>
  <si>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</si>
  <si>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</si>
  <si>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</si>
  <si>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</si>
  <si>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</si>
  <si>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</si>
  <si>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</si>
  <si>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</si>
  <si>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</si>
  <si>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</si>
  <si>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</si>
  <si>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</si>
  <si>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</si>
  <si>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</si>
  <si>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</si>
  <si>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</si>
  <si>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</si>
  <si>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</si>
  <si>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</si>
  <si>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</si>
  <si>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</si>
  <si>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</si>
  <si>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</si>
  <si>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</si>
  <si>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</si>
  <si>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</si>
  <si>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</si>
  <si>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</si>
  <si>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</si>
  <si>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</si>
  <si>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</si>
  <si>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</si>
  <si>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</si>
  <si>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</si>
  <si>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</si>
  <si>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</si>
  <si>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</si>
  <si>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</si>
  <si>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</si>
  <si>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</si>
  <si>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</si>
  <si>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</si>
  <si>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</si>
  <si>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</si>
  <si>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</si>
  <si>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</si>
  <si>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</si>
  <si>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</si>
  <si>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</si>
  <si>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</si>
  <si>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</si>
  <si>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</si>
  <si>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</si>
  <si>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</si>
  <si>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</si>
  <si>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</si>
  <si>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</si>
  <si>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</si>
  <si>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</si>
  <si>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</si>
  <si>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</si>
  <si>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</si>
  <si>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</si>
  <si>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</si>
  <si>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</si>
  <si>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</si>
  <si>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</si>
  <si>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</si>
  <si>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</si>
  <si>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</si>
  <si>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</si>
  <si>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</si>
  <si>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</si>
  <si>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</si>
  <si>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</si>
  <si>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</si>
  <si>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</si>
  <si>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</si>
  <si>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</si>
  <si>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</si>
  <si>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</si>
  <si>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</si>
  <si>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</si>
  <si>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</si>
  <si>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</si>
  <si>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</si>
  <si>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</si>
  <si>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</si>
  <si>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</si>
  <si>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</si>
  <si>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</si>
  <si>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</si>
  <si>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</si>
  <si>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</si>
  <si>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</si>
  <si>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</si>
  <si>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</si>
  <si>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</si>
  <si>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</si>
  <si>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</si>
  <si>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</si>
  <si>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</si>
  <si>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</si>
  <si>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</si>
  <si>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</si>
  <si>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</si>
  <si>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</si>
  <si>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</si>
  <si>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</si>
  <si>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</si>
  <si>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</si>
  <si>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</si>
  <si>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</si>
  <si>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</si>
  <si>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</si>
  <si>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</si>
  <si>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</si>
  <si>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</si>
  <si>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</si>
  <si>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</si>
  <si>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</si>
  <si>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</si>
  <si>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</si>
  <si>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</si>
  <si>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</si>
  <si>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</si>
  <si>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</si>
  <si>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</si>
  <si>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</si>
  <si>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</si>
  <si>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</si>
  <si>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</si>
  <si>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</si>
  <si>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</si>
  <si>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</si>
  <si>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</si>
  <si>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</si>
  <si>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</si>
  <si>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</si>
  <si>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</si>
  <si>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</si>
  <si>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</si>
  <si>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</si>
  <si>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</si>
  <si>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</si>
  <si>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</si>
  <si>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</si>
  <si>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</si>
  <si>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</si>
  <si>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</si>
  <si>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</si>
  <si>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</si>
  <si>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</si>
  <si>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</si>
  <si>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</si>
  <si>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</si>
  <si>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</si>
  <si>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</si>
  <si>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</si>
  <si>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</si>
  <si>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</si>
  <si>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</si>
  <si>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</si>
  <si>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</si>
  <si>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</si>
  <si>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</si>
  <si>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</si>
  <si>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</si>
  <si>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</si>
  <si>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</si>
  <si>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</si>
  <si>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</si>
  <si>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</si>
  <si>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</si>
  <si>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</si>
  <si>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</si>
  <si>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</si>
  <si>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</si>
  <si>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</si>
  <si>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</si>
  <si>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</si>
  <si>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</si>
  <si>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</si>
  <si>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</si>
  <si>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</si>
  <si>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</si>
  <si>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</si>
  <si>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</si>
  <si>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</si>
  <si>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</si>
  <si>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</si>
  <si>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</si>
  <si>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</si>
  <si>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</si>
  <si>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</si>
  <si>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</si>
  <si>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</si>
  <si>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</si>
  <si>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</si>
  <si>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</si>
  <si>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</si>
  <si>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</si>
  <si>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</si>
  <si>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</si>
  <si>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</si>
  <si>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</si>
  <si>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</si>
  <si>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</si>
  <si>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</si>
  <si>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</si>
  <si>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</si>
  <si>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</si>
  <si>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</si>
  <si>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</si>
  <si>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</si>
  <si>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</si>
  <si>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</si>
  <si>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</si>
  <si>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</si>
  <si>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</si>
  <si>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</si>
  <si>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</si>
  <si>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</si>
  <si>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</si>
  <si>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</si>
  <si>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</si>
  <si>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</si>
  <si>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</si>
  <si>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</si>
  <si>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</si>
  <si>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</si>
  <si>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</si>
  <si>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</si>
  <si>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</si>
  <si>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</si>
  <si>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</si>
  <si>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</si>
  <si>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</si>
  <si>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</si>
  <si>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</si>
  <si>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</si>
  <si>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</si>
  <si>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</si>
  <si>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</si>
  <si>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</si>
  <si>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</si>
  <si>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</si>
  <si>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</si>
  <si>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</si>
  <si>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</si>
  <si>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</si>
  <si>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</si>
  <si>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</si>
  <si>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</si>
  <si>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</si>
  <si>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</si>
  <si>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</si>
  <si>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</si>
  <si>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</si>
  <si>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</si>
  <si>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</si>
  <si>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</si>
  <si>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</si>
  <si>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</si>
  <si>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</si>
  <si>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</si>
  <si>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</si>
  <si>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</si>
  <si>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</si>
  <si>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</si>
  <si>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</si>
  <si>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</si>
  <si>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</si>
  <si>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</si>
  <si>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</si>
  <si>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</si>
  <si>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</si>
  <si>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</si>
  <si>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</si>
  <si>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</si>
  <si>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</si>
  <si>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</si>
  <si>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</si>
  <si>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</si>
  <si>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</si>
  <si>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</si>
  <si>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</si>
  <si>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</si>
  <si>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</si>
  <si>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</si>
  <si>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</si>
  <si>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</si>
  <si>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</si>
  <si>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</si>
  <si>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</si>
  <si>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</si>
  <si>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</si>
  <si>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</si>
  <si>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</si>
  <si>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</si>
  <si>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</si>
  <si>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</si>
  <si>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</si>
  <si>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</si>
  <si>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</si>
  <si>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</si>
  <si>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</si>
  <si>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</si>
  <si>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</si>
  <si>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</si>
  <si>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</si>
  <si>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</si>
  <si>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</si>
  <si>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</si>
  <si>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</si>
  <si>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</si>
  <si>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</si>
  <si>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</si>
  <si>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</si>
  <si>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</si>
  <si>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</si>
  <si>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</si>
  <si>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</si>
  <si>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</si>
  <si>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</si>
  <si>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</si>
  <si>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</si>
  <si>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</si>
  <si>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</si>
  <si>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</si>
  <si>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</si>
  <si>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</si>
  <si>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</si>
  <si>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</si>
  <si>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</si>
  <si>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</si>
  <si>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</si>
  <si>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</si>
  <si>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</si>
  <si>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</si>
  <si>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</si>
  <si>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</si>
  <si>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</si>
  <si>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</si>
  <si>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</si>
  <si>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</si>
  <si>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</si>
  <si>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</si>
  <si>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</si>
  <si>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</si>
  <si>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</si>
  <si>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</si>
  <si>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</si>
  <si>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</si>
  <si>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</si>
  <si>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</si>
  <si>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</si>
  <si>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</si>
  <si>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</si>
  <si>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</si>
  <si>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</si>
  <si>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</si>
  <si>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</si>
  <si>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</si>
  <si>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</si>
  <si>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</si>
  <si>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</si>
  <si>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</si>
  <si>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</si>
  <si>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</si>
  <si>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</si>
  <si>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</si>
  <si>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</si>
  <si>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</si>
  <si>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</si>
  <si>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</si>
  <si>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</si>
  <si>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</si>
  <si>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</si>
  <si>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</si>
  <si>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</si>
  <si>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</si>
  <si>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</si>
  <si>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</si>
  <si>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</si>
  <si>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</si>
  <si>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</si>
  <si>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</si>
  <si>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</si>
  <si>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</si>
  <si>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</si>
  <si>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</si>
  <si>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</si>
  <si>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</si>
  <si>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</si>
  <si>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</si>
  <si>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</si>
  <si>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</si>
  <si>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</si>
  <si>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</si>
  <si>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</si>
  <si>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</si>
  <si>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</si>
  <si>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</si>
  <si>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</si>
  <si>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</si>
  <si>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</si>
  <si>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</si>
  <si>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</si>
  <si>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</si>
  <si>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</si>
  <si>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</si>
  <si>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</si>
  <si>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</si>
  <si>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</si>
  <si>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</si>
  <si>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</si>
  <si>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</si>
  <si>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</si>
  <si>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</si>
  <si>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</si>
  <si>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</si>
  <si>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</si>
  <si>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</si>
  <si>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</si>
  <si>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</si>
  <si>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</si>
  <si>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</si>
  <si>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</si>
  <si>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</si>
  <si>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</si>
  <si>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</si>
  <si>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</si>
  <si>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</si>
  <si>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</si>
  <si>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</si>
  <si>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</si>
  <si>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</si>
  <si>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</si>
  <si>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</si>
  <si>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</si>
  <si>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</si>
  <si>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</si>
  <si>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</si>
  <si>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</si>
  <si>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</si>
  <si>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</si>
  <si>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</si>
  <si>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</si>
  <si>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</si>
  <si>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</si>
  <si>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</si>
  <si>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</si>
  <si>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</si>
  <si>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</si>
  <si>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</si>
  <si>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</si>
  <si>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</si>
  <si>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</si>
  <si>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</si>
  <si>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</si>
  <si>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</si>
  <si>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</si>
  <si>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</si>
  <si>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</si>
  <si>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</si>
  <si>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</si>
  <si>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</si>
  <si>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</si>
  <si>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</si>
  <si>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</si>
  <si>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</si>
  <si>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</si>
  <si>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</si>
  <si>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</si>
  <si>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</si>
  <si>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</si>
  <si>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</si>
  <si>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</si>
  <si>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</si>
  <si>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</si>
  <si>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</si>
  <si>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</si>
  <si>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</si>
  <si>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</si>
  <si>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</si>
  <si>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</si>
  <si>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</si>
  <si>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</si>
  <si>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</si>
  <si>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</si>
  <si>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</si>
  <si>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</si>
  <si>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</si>
  <si>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</si>
  <si>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</si>
  <si>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</si>
  <si>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</si>
  <si>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</si>
  <si>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</si>
  <si>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</si>
  <si>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</si>
  <si>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</si>
  <si>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</si>
  <si>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</si>
  <si>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</si>
  <si>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</si>
  <si>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</si>
  <si>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</si>
  <si>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</si>
  <si>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</si>
  <si>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</si>
  <si>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</si>
  <si>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</si>
  <si>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</si>
  <si>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</si>
  <si>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</si>
  <si>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</si>
  <si>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</si>
  <si>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</si>
  <si>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</si>
  <si>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</si>
  <si>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</si>
  <si>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</si>
  <si>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</si>
  <si>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</si>
  <si>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</si>
  <si>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</si>
  <si>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</si>
  <si>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</si>
  <si>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</si>
  <si>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</si>
  <si>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</si>
  <si>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</si>
  <si>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</si>
  <si>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</si>
  <si>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</si>
  <si>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</si>
  <si>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</si>
  <si>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</si>
  <si>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</si>
  <si>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</si>
  <si>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</si>
  <si>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</si>
  <si>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</si>
  <si>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</si>
  <si>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</si>
  <si>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</si>
  <si>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</si>
  <si>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</si>
  <si>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</si>
  <si>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</si>
  <si>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</si>
  <si>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</si>
  <si>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</si>
  <si>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</si>
  <si>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</si>
  <si>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</si>
  <si>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</si>
  <si>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</si>
  <si>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</si>
  <si>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</si>
  <si>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</si>
  <si>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</si>
  <si>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</si>
  <si>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</si>
  <si>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</si>
  <si>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</si>
  <si>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</si>
  <si>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</si>
  <si>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</si>
  <si>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</si>
  <si>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</si>
  <si>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</si>
  <si>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</si>
  <si>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</si>
  <si>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</si>
  <si>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</si>
  <si>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</si>
  <si>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</si>
  <si>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</si>
  <si>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</si>
  <si>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</si>
  <si>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</si>
  <si>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</si>
  <si>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</si>
  <si>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</si>
  <si>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</si>
  <si>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</si>
  <si>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</si>
  <si>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</si>
  <si>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</si>
  <si>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</si>
  <si>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</si>
  <si>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</si>
  <si>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</si>
  <si>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</si>
  <si>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</si>
  <si>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</si>
  <si>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</si>
  <si>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</si>
  <si>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</si>
  <si>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</si>
  <si>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</si>
  <si>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</si>
  <si>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</si>
  <si>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</si>
  <si>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</si>
  <si>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</si>
  <si>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</si>
  <si>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</si>
  <si>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</si>
  <si>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</si>
  <si>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</si>
  <si>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</si>
  <si>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</si>
  <si>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</si>
  <si>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</si>
  <si>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</si>
  <si>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</si>
  <si>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</si>
  <si>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</si>
  <si>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</si>
  <si>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</si>
  <si>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</si>
  <si>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</si>
  <si>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</si>
  <si>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</si>
  <si>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</si>
  <si>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</si>
  <si>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</si>
  <si>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</si>
  <si>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</si>
  <si>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</si>
  <si>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</si>
  <si>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</si>
  <si>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</si>
  <si>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</si>
  <si>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</si>
  <si>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</si>
  <si>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</si>
  <si>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</si>
  <si>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</si>
  <si>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</si>
  <si>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</si>
  <si>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</si>
  <si>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</si>
  <si>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</si>
  <si>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</si>
  <si>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</si>
  <si>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</si>
  <si>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</si>
  <si>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</si>
  <si>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</si>
  <si>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</si>
  <si>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</si>
  <si>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</si>
  <si>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</si>
  <si>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</si>
  <si>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</si>
  <si>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</si>
  <si>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</si>
  <si>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</si>
  <si>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</si>
  <si>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</si>
  <si>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</si>
  <si>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</si>
  <si>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</si>
  <si>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</si>
  <si>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</si>
  <si>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</si>
  <si>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</si>
  <si>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</si>
  <si>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</si>
  <si>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</si>
  <si>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</si>
  <si>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</si>
  <si>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</si>
  <si>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</si>
  <si>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</si>
  <si>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</si>
  <si>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</si>
  <si>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</si>
  <si>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</si>
  <si>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</si>
  <si>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</si>
  <si>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</si>
  <si>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</si>
  <si>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</si>
  <si>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</si>
  <si>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</si>
  <si>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</si>
  <si>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</si>
  <si>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</si>
  <si>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</si>
  <si>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</si>
  <si>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</si>
  <si>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</si>
  <si>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</si>
  <si>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</si>
  <si>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</si>
  <si>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</si>
  <si>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</si>
  <si>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</si>
  <si>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</si>
  <si>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</si>
  <si>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</si>
  <si>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</si>
  <si>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</si>
  <si>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</si>
  <si>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</si>
  <si>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</si>
  <si>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</si>
  <si>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</si>
  <si>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</si>
  <si>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</si>
  <si>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</si>
  <si>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</si>
  <si>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</si>
  <si>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</si>
  <si>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</si>
  <si>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</si>
  <si>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</si>
  <si>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</si>
  <si>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</si>
  <si>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</si>
  <si>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</si>
  <si>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</si>
  <si>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</si>
  <si>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</si>
  <si>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</si>
  <si>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</si>
  <si>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</si>
  <si>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</si>
  <si>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</si>
  <si>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</si>
  <si>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</si>
  <si>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</si>
  <si>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</si>
  <si>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</si>
  <si>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</si>
  <si>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</si>
  <si>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</si>
  <si>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</si>
  <si>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</si>
  <si>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</si>
  <si>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</si>
  <si>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</si>
  <si>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</si>
  <si>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</si>
  <si>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</si>
  <si>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</si>
  <si>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</si>
  <si>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</si>
  <si>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</si>
  <si>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</si>
  <si>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</si>
  <si>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</si>
  <si>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</si>
  <si>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</si>
  <si>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</si>
  <si>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</si>
  <si>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</si>
  <si>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</si>
  <si>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</si>
  <si>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</si>
  <si>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</si>
  <si>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</si>
  <si>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</si>
  <si>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</si>
  <si>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</si>
  <si>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</si>
  <si>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</si>
  <si>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</si>
  <si>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</si>
  <si>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</si>
  <si>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</si>
  <si>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</si>
  <si>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</si>
  <si>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</si>
  <si>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</si>
  <si>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</si>
  <si>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</si>
  <si>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</si>
  <si>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</si>
  <si>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</si>
  <si>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</si>
  <si>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</si>
  <si>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</si>
  <si>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</si>
  <si>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</si>
  <si>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</si>
  <si>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</si>
  <si>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</si>
  <si>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</si>
  <si>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</si>
  <si>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</si>
  <si>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</si>
  <si>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</si>
  <si>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</si>
  <si>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</si>
  <si>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</si>
  <si>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</si>
  <si>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</si>
  <si>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</si>
  <si>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</si>
  <si>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</si>
  <si>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</si>
  <si>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</si>
  <si>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</si>
  <si>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</si>
  <si>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</si>
  <si>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</si>
  <si>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</si>
  <si>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</si>
  <si>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</si>
  <si>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</si>
  <si>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</si>
  <si>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</si>
  <si>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</si>
  <si>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</si>
  <si>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</si>
  <si>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</si>
  <si>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</si>
  <si>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</si>
  <si>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</si>
  <si>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</si>
  <si>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</si>
  <si>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</si>
  <si>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</si>
  <si>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</si>
  <si>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</si>
  <si>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</si>
  <si>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</si>
  <si>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</si>
  <si>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</si>
  <si>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</si>
  <si>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</si>
  <si>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</si>
  <si>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</si>
  <si>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</si>
  <si>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</si>
  <si>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</si>
  <si>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</si>
  <si>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</si>
  <si>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</si>
  <si>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</si>
  <si>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</si>
  <si>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</si>
  <si>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</si>
  <si>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</si>
  <si>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</si>
  <si>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</si>
  <si>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</si>
  <si>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</si>
  <si>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</si>
  <si>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</si>
  <si>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</si>
  <si>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</si>
  <si>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</si>
  <si>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</si>
  <si>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</si>
  <si>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</si>
  <si>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</si>
  <si>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</si>
  <si>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</si>
  <si>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</si>
  <si>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</si>
  <si>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</si>
  <si>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</si>
  <si>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</si>
  <si>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</si>
  <si>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</si>
  <si>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</si>
  <si>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</si>
  <si>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</si>
  <si>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</si>
  <si>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</si>
  <si>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</si>
  <si>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</si>
  <si>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</si>
  <si>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</si>
  <si>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</si>
  <si>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</si>
  <si>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</si>
  <si>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</si>
  <si>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</si>
  <si>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</si>
  <si>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</si>
  <si>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</si>
  <si>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</si>
  <si>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</si>
  <si>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</si>
  <si>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</si>
  <si>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</si>
  <si>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</si>
  <si>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</si>
  <si>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</si>
  <si>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</si>
  <si>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</si>
  <si>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</si>
  <si>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</si>
  <si>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</si>
  <si>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</si>
  <si>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</si>
  <si>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</si>
  <si>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</si>
  <si>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</si>
  <si>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</si>
  <si>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</si>
  <si>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</si>
  <si>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</si>
  <si>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</si>
  <si>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</si>
  <si>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</si>
  <si>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</si>
  <si>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</si>
  <si>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</si>
  <si>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</si>
  <si>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</si>
  <si>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</si>
  <si>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</si>
  <si>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</si>
  <si>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</si>
  <si>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</si>
  <si>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</si>
  <si>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</si>
  <si>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</si>
  <si>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</si>
  <si>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</si>
  <si>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</si>
  <si>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</si>
  <si>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</si>
  <si>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</si>
  <si>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</si>
  <si>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</si>
  <si>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</si>
  <si>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</si>
  <si>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</si>
  <si>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</si>
  <si>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</si>
  <si>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</si>
  <si>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</si>
  <si>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</si>
  <si>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</si>
  <si>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</si>
  <si>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</si>
  <si>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</si>
  <si>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</si>
  <si>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</si>
  <si>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</si>
  <si>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</si>
  <si>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</si>
  <si>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</si>
  <si>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</si>
  <si>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</si>
  <si>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</si>
  <si>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</si>
  <si>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</si>
  <si>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</si>
  <si>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</si>
  <si>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</si>
  <si>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</si>
  <si>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</si>
  <si>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</si>
  <si>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</si>
  <si>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</si>
  <si>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</si>
  <si>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</si>
  <si>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</si>
  <si>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</si>
  <si>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</si>
  <si>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</si>
  <si>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</si>
  <si>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</si>
  <si>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</si>
  <si>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</si>
  <si>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</si>
  <si>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</si>
  <si>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</si>
  <si>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</si>
  <si>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</si>
  <si>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</si>
  <si>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</si>
  <si>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</si>
  <si>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</si>
  <si>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</si>
  <si>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</si>
  <si>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</si>
  <si>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</si>
  <si>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</si>
  <si>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</si>
  <si>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</si>
  <si>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</si>
  <si>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</si>
  <si>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</si>
  <si>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</si>
  <si>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</si>
  <si>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</si>
  <si>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</si>
  <si>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</si>
  <si>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</si>
  <si>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</si>
  <si>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</si>
  <si>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</si>
  <si>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</si>
  <si>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</si>
  <si>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</si>
  <si>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</si>
  <si>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</si>
  <si>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</si>
  <si>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</si>
  <si>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</si>
  <si>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</si>
  <si>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</si>
  <si>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</si>
  <si>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</si>
  <si>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</si>
  <si>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</si>
  <si>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</si>
  <si>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</si>
  <si>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</si>
  <si>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</si>
  <si>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</si>
  <si>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</si>
  <si>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</si>
  <si>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</si>
  <si>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</si>
  <si>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</si>
  <si>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</si>
  <si>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</si>
  <si>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</si>
  <si>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</si>
  <si>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</si>
  <si>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</si>
  <si>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</si>
  <si>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</si>
  <si>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</si>
  <si>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</si>
  <si>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</si>
  <si>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</si>
  <si>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</si>
  <si>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</si>
  <si>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</si>
  <si>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</si>
  <si>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</si>
  <si>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</si>
  <si>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</si>
  <si>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</si>
  <si>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</si>
  <si>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</si>
  <si>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</si>
  <si>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</si>
  <si>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</si>
  <si>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</si>
  <si>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</si>
  <si>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</si>
  <si>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</si>
  <si>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</si>
  <si>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</si>
  <si>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</si>
  <si>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</si>
  <si>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</si>
  <si>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</si>
  <si>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</si>
  <si>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</si>
  <si>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</si>
  <si>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</si>
  <si>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</si>
  <si>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</si>
  <si>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</si>
  <si>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</si>
  <si>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</si>
  <si>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</si>
  <si>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</si>
  <si>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</si>
  <si>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</si>
  <si>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</si>
  <si>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</si>
  <si>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</si>
  <si>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</si>
  <si>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</si>
  <si>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</si>
  <si>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</si>
  <si>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</si>
  <si>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</si>
  <si>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</si>
  <si>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</si>
  <si>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</si>
  <si>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</si>
  <si>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</si>
  <si>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</si>
  <si>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</si>
  <si>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</si>
  <si>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</si>
  <si>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</si>
  <si>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</si>
  <si>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</si>
  <si>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</si>
  <si>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</si>
  <si>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</si>
  <si>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</si>
  <si>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</si>
  <si>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</si>
  <si>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</si>
  <si>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</si>
  <si>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</si>
  <si>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</si>
  <si>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</si>
  <si>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</si>
  <si>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</si>
  <si>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</si>
  <si>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</si>
  <si>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</si>
  <si>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</si>
  <si>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</si>
  <si>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</si>
  <si>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</si>
  <si>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</si>
  <si>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</si>
  <si>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</si>
  <si>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</si>
  <si>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</si>
  <si>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</si>
  <si>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</si>
  <si>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</si>
  <si>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</si>
  <si>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</si>
  <si>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</si>
  <si>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</si>
  <si>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</si>
  <si>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</si>
  <si>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</si>
  <si>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</si>
  <si>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</si>
  <si>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</si>
  <si>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</si>
  <si>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</si>
  <si>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</si>
  <si>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</si>
  <si>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</si>
  <si>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</si>
  <si>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</si>
  <si>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</si>
  <si>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</si>
  <si>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</si>
  <si>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</si>
  <si>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</si>
  <si>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</si>
  <si>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</si>
  <si>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</si>
  <si>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</si>
  <si>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</si>
  <si>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</si>
  <si>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</si>
  <si>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</si>
  <si>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</si>
  <si>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</si>
  <si>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</si>
  <si>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</si>
  <si>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</si>
  <si>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</si>
  <si>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</si>
  <si>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</si>
  <si>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</si>
  <si>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</si>
  <si>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</si>
  <si>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</si>
  <si>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</si>
  <si>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</si>
  <si>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</si>
  <si>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</si>
  <si>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</si>
  <si>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</si>
  <si>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</si>
  <si>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</si>
  <si>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</si>
  <si>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</si>
  <si>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</si>
  <si>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</si>
  <si>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</si>
  <si>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</si>
  <si>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</si>
  <si>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</si>
  <si>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</si>
  <si>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</si>
  <si>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</si>
  <si>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</si>
  <si>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</si>
  <si>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</si>
  <si>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</si>
  <si>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</si>
  <si>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</si>
  <si>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</si>
  <si>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</si>
  <si>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</si>
  <si>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</si>
  <si>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</si>
  <si>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</si>
  <si>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</si>
  <si>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</si>
  <si>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</si>
  <si>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</si>
  <si>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</si>
  <si>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</si>
  <si>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</si>
  <si>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</si>
  <si>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</si>
  <si>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</si>
  <si>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</si>
  <si>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</si>
  <si>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</si>
  <si>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</si>
  <si>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</si>
  <si>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</si>
  <si>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</si>
  <si>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</si>
  <si>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</si>
  <si>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</si>
  <si>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</si>
  <si>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</si>
  <si>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</si>
  <si>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</si>
  <si>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</si>
  <si>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</si>
  <si>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</si>
  <si>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</si>
  <si>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</si>
  <si>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</si>
  <si>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</si>
  <si>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</si>
  <si>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</si>
  <si>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</si>
  <si>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</si>
  <si>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</si>
  <si>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</si>
  <si>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</si>
  <si>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</si>
  <si>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</si>
  <si>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</si>
  <si>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</si>
  <si>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</si>
  <si>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</si>
  <si>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</si>
  <si>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</si>
  <si>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</si>
  <si>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</si>
  <si>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</si>
  <si>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</si>
  <si>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</si>
  <si>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</si>
  <si>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</si>
  <si>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</si>
  <si>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</si>
  <si>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</si>
  <si>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</si>
  <si>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</si>
  <si>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</si>
  <si>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</si>
  <si>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</si>
  <si>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</si>
  <si>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</si>
  <si>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</si>
  <si>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</si>
  <si>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</si>
  <si>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</si>
  <si>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</si>
  <si>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</si>
  <si>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</si>
  <si>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</si>
  <si>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</si>
  <si>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</si>
  <si>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</si>
  <si>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</si>
  <si>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</si>
  <si>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</si>
  <si>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</si>
  <si>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</si>
  <si>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</si>
  <si>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</si>
  <si>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</si>
  <si>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</si>
  <si>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</si>
  <si>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</si>
  <si>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</si>
  <si>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</si>
  <si>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</si>
  <si>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</si>
  <si>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</si>
  <si>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</si>
  <si>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</si>
  <si>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</si>
  <si>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</si>
  <si>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</si>
  <si>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</si>
  <si>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</si>
  <si>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</si>
  <si>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</si>
  <si>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</si>
  <si>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</si>
  <si>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</si>
  <si>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</si>
  <si>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</si>
  <si>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</si>
  <si>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</si>
  <si>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</si>
  <si>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</si>
  <si>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</si>
  <si>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</si>
  <si>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</si>
  <si>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</si>
  <si>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</si>
  <si>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</si>
  <si>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</si>
  <si>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</si>
  <si>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</si>
  <si>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</si>
  <si>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</si>
  <si>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</si>
  <si>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</si>
  <si>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</si>
  <si>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</si>
  <si>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</si>
  <si>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</si>
  <si>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</si>
  <si>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</si>
  <si>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</si>
  <si>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</si>
  <si>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</si>
  <si>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</si>
  <si>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</si>
  <si>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</si>
  <si>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</si>
  <si>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</si>
  <si>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</si>
  <si>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</si>
  <si>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</si>
  <si>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</si>
  <si>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</si>
  <si>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</si>
  <si>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</si>
  <si>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</si>
  <si>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</si>
  <si>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</si>
  <si>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</si>
  <si>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</si>
  <si>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</si>
  <si>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</si>
  <si>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</si>
  <si>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</si>
  <si>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</si>
  <si>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</si>
  <si>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</si>
  <si>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</si>
  <si>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</si>
  <si>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</si>
  <si>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</si>
  <si>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</si>
  <si>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</si>
  <si>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</si>
  <si>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</si>
  <si>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</si>
  <si>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</si>
  <si>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</si>
  <si>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</si>
  <si>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</si>
  <si>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</si>
  <si>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</si>
  <si>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</si>
  <si>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</si>
  <si>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</si>
  <si>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</si>
  <si>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</si>
  <si>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</si>
  <si>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</si>
  <si>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</si>
  <si>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</si>
  <si>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</si>
  <si>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</si>
  <si>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</si>
  <si>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</si>
  <si>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</si>
  <si>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</si>
  <si>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</si>
  <si>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</si>
  <si>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</si>
  <si>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</si>
  <si>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</si>
  <si>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</si>
  <si>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</si>
  <si>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</si>
  <si>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</si>
  <si>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</si>
  <si>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</si>
  <si>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</si>
  <si>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</si>
  <si>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</si>
  <si>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</si>
  <si>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</si>
  <si>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</si>
  <si>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</si>
  <si>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</si>
  <si>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</si>
  <si>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</si>
  <si>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</si>
  <si>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</si>
  <si>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</si>
  <si>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</si>
  <si>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</si>
  <si>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</si>
  <si>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</si>
  <si>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</si>
  <si>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</si>
  <si>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</si>
  <si>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</si>
  <si>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</si>
  <si>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</si>
  <si>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</si>
  <si>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</si>
  <si>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</si>
  <si>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</si>
  <si>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</si>
  <si>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</si>
  <si>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</si>
  <si>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</si>
  <si>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</si>
  <si>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</si>
  <si>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</si>
  <si>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</si>
  <si>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</si>
  <si>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</si>
  <si>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</si>
  <si>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</si>
  <si>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</si>
  <si>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</si>
  <si>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</si>
  <si>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</si>
  <si>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</si>
  <si>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</si>
  <si>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</si>
  <si>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</si>
  <si>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</si>
  <si>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</si>
  <si>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</si>
  <si>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</si>
  <si>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</si>
  <si>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</si>
  <si>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</si>
  <si>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</si>
  <si>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</si>
  <si>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</si>
  <si>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</si>
  <si>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</si>
  <si>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</si>
  <si>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</si>
  <si>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</si>
  <si>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</si>
  <si>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</si>
  <si>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</si>
  <si>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</si>
  <si>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</si>
  <si>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</si>
  <si>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</si>
  <si>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</si>
  <si>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</si>
  <si>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</si>
  <si>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</si>
  <si>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</si>
  <si>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</si>
  <si>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</si>
  <si>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</si>
  <si>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</si>
  <si>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</si>
  <si>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</si>
  <si>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</si>
  <si>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</si>
  <si>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</si>
  <si>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</si>
  <si>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</si>
  <si>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</si>
  <si>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</si>
  <si>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</si>
  <si>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</si>
  <si>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</si>
  <si>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</si>
  <si>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</si>
  <si>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</si>
  <si>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</si>
  <si>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</si>
  <si>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</si>
  <si>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</si>
  <si>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</si>
  <si>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</si>
  <si>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</si>
  <si>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</si>
  <si>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</si>
  <si>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</si>
  <si>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</si>
  <si>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</si>
  <si>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</si>
  <si>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</si>
  <si>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</si>
  <si>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</si>
  <si>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</si>
  <si>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</si>
  <si>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</si>
  <si>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</si>
  <si>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</si>
  <si>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</si>
  <si>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</si>
  <si>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</si>
  <si>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</si>
  <si>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</si>
  <si>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</si>
  <si>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</si>
  <si>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</si>
  <si>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</si>
  <si>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</si>
  <si>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</si>
  <si>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</si>
  <si>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</si>
  <si>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</si>
  <si>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</si>
  <si>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</si>
  <si>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</si>
  <si>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</si>
  <si>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</si>
  <si>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</si>
  <si>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</si>
  <si>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</si>
  <si>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</si>
  <si>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</si>
  <si>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</si>
  <si>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</si>
  <si>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</si>
  <si>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</si>
  <si>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</si>
  <si>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</si>
  <si>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</si>
  <si>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</si>
  <si>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</si>
  <si>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</si>
  <si>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</si>
  <si>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</si>
  <si>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</si>
  <si>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</si>
  <si>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</si>
  <si>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</si>
  <si>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</si>
  <si>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</si>
  <si>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</si>
  <si>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</si>
  <si>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</si>
  <si>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</si>
  <si>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</si>
  <si>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</si>
  <si>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</si>
  <si>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</si>
  <si>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</si>
  <si>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</si>
  <si>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</si>
  <si>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</si>
  <si>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</si>
  <si>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</si>
  <si>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</si>
  <si>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</si>
  <si>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</si>
  <si>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</si>
  <si>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</si>
  <si>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</si>
  <si>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</si>
  <si>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</si>
  <si>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</si>
  <si>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</si>
  <si>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</si>
  <si>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</si>
  <si>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</si>
  <si>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</si>
  <si>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</si>
  <si>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</si>
  <si>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</si>
  <si>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</si>
  <si>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</si>
  <si>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</si>
  <si>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</si>
  <si>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</si>
  <si>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</si>
  <si>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</si>
  <si>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</si>
  <si>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</si>
  <si>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</si>
  <si>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</si>
  <si>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</si>
  <si>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</si>
  <si>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</si>
  <si>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</si>
  <si>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</si>
  <si>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</si>
  <si>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</si>
  <si>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</si>
  <si>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</si>
  <si>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</si>
  <si>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</si>
  <si>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</si>
  <si>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</si>
  <si>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</si>
  <si>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</si>
  <si>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</si>
  <si>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</si>
  <si>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</si>
  <si>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</si>
  <si>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</si>
  <si>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</si>
  <si>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</si>
  <si>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</si>
  <si>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</si>
  <si>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</si>
  <si>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</si>
  <si>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</si>
  <si>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</si>
  <si>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</si>
  <si>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</si>
  <si>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</si>
  <si>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</si>
  <si>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</si>
  <si>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</si>
  <si>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</si>
  <si>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</si>
  <si>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</si>
  <si>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</si>
  <si>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</si>
  <si>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</si>
  <si>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</si>
  <si>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</si>
  <si>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</si>
  <si>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</si>
  <si>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</si>
  <si>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</si>
  <si>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</si>
  <si>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</si>
  <si>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</si>
  <si>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</si>
  <si>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</si>
  <si>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</si>
  <si>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</si>
  <si>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</si>
  <si>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</si>
  <si>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</si>
  <si>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</si>
  <si>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</si>
  <si>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</si>
  <si>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</si>
  <si>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</si>
  <si>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</si>
  <si>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</si>
  <si>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</si>
  <si>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</si>
  <si>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</si>
  <si>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</si>
  <si>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</si>
  <si>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</si>
  <si>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</si>
  <si>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</si>
  <si>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</si>
  <si>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</si>
  <si>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</si>
  <si>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</si>
  <si>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</si>
  <si>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</si>
  <si>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</si>
  <si>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</si>
  <si>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</si>
  <si>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</si>
  <si>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</si>
  <si>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</si>
  <si>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</si>
  <si>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</si>
  <si>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</si>
  <si>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</si>
  <si>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</si>
  <si>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</si>
  <si>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</si>
  <si>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</si>
  <si>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</si>
  <si>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</si>
  <si>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</si>
  <si>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</si>
  <si>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</si>
  <si>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</si>
  <si>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</si>
  <si>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</si>
  <si>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</si>
  <si>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</si>
  <si>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</si>
  <si>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</si>
  <si>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</si>
  <si>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</si>
  <si>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</si>
  <si>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</si>
  <si>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</si>
  <si>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</si>
  <si>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</si>
  <si>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</si>
  <si>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</si>
  <si>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</si>
  <si>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</si>
  <si>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</si>
  <si>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</si>
  <si>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</si>
  <si>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</si>
  <si>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</si>
  <si>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</si>
  <si>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</si>
  <si>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</si>
  <si>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</si>
  <si>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</si>
  <si>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</si>
  <si>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</si>
  <si>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</si>
  <si>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(Multiple Items)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</si>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</sst>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2-4A20-AA47-8E8EFAF8A5F0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B2-4A20-AA47-8E8EFAF8A5F0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B2-4A20-AA47-8E8EFAF8A5F0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B2-4A20-AA47-8E8EFAF8A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555727"/>
        <c:axId val="645556207"/>
      </c:barChart>
      <c:catAx>
        <c:axId val="64555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56207"/>
        <c:crosses val="autoZero"/>
        <c:auto val="1"/>
        <c:lblAlgn val="ctr"/>
        <c:lblOffset val="100"/>
        <c:noMultiLvlLbl val="0"/>
      </c:catAx>
      <c:valAx>
        <c:axId val="6455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5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2-4E9D-B193-4F07E1219EAD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2-4E9D-B193-4F07E1219EAD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D2-4E9D-B193-4F07E1219EAD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D2-4E9D-B193-4F07E1219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901871"/>
        <c:axId val="593570415"/>
      </c:barChart>
      <c:catAx>
        <c:axId val="58590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570415"/>
        <c:crosses val="autoZero"/>
        <c:auto val="1"/>
        <c:lblAlgn val="ctr"/>
        <c:lblOffset val="100"/>
        <c:noMultiLvlLbl val="0"/>
      </c:catAx>
      <c:valAx>
        <c:axId val="5935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0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8-4A71-BC7E-B02F56859D03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8-4A71-BC7E-B02F56859D03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8-4A71-BC7E-B02F56859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846543"/>
        <c:axId val="591844623"/>
      </c:lineChart>
      <c:catAx>
        <c:axId val="59184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44623"/>
        <c:crosses val="autoZero"/>
        <c:auto val="1"/>
        <c:lblAlgn val="ctr"/>
        <c:lblOffset val="100"/>
        <c:noMultiLvlLbl val="0"/>
      </c:catAx>
      <c:valAx>
        <c:axId val="59184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4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26-4D42-85CC-FF5A31C18D3E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26-4D42-85CC-FF5A31C18D3E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26-4D42-85CC-FF5A31C1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99664"/>
        <c:axId val="1280011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26-4D42-85CC-FF5A31C18D3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726-4D42-85CC-FF5A31C18D3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726-4D42-85CC-FF5A31C18D3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726-4D42-85CC-FF5A31C18D3E}"/>
                  </c:ext>
                </c:extLst>
              </c15:ser>
            </c15:filteredLineSeries>
          </c:ext>
        </c:extLst>
      </c:lineChart>
      <c:catAx>
        <c:axId val="127999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01104"/>
        <c:crosses val="autoZero"/>
        <c:auto val="1"/>
        <c:lblAlgn val="ctr"/>
        <c:lblOffset val="100"/>
        <c:noMultiLvlLbl val="0"/>
      </c:catAx>
      <c:valAx>
        <c:axId val="1280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320806</xdr:colOff>
      <xdr:row>1</xdr:row>
      <xdr:rowOff>105603</xdr:rowOff>
    </xdr:from>
    <xdr:to>
      <xdr:col>14</xdr:col>
      <xdr:colOff>140197</xdr:colOff>
      <xdr:row>18</xdr:row>
      <xdr:rowOff>193526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975E9-73AA-399D-4B86-07CFF7655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252411</xdr:colOff>
      <xdr:row>6</xdr:row>
      <xdr:rowOff>9525</xdr:rowOff>
    </xdr:from>
    <xdr:to>
      <xdr:col>18</xdr:col>
      <xdr:colOff>38099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85A6B4-DD87-ECF2-E4B8-915FE5FC3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452437</xdr:colOff>
      <xdr:row>2</xdr:row>
      <xdr:rowOff>171450</xdr:rowOff>
    </xdr:from>
    <xdr:to>
      <xdr:col>12</xdr:col>
      <xdr:colOff>600075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50017-8946-4A0D-889B-3D9392B6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14</xdr:row>
      <xdr:rowOff>0</xdr:rowOff>
    </xdr:from>
    <xdr:to>
      <xdr:col>6</xdr:col>
      <xdr:colOff>895349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4641F-208B-E917-885D-CC6A58618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a Pai" refreshedDate="45520.846324537037" createdVersion="8" refreshedVersion="8" minRefreshableVersion="3" recordCount="1001" xr:uid="{FF7E0842-8CCB-477E-A292-447540045451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ofia Pai" refreshedDate="45520.881101967592" backgroundQuery="1" createdVersion="8" refreshedVersion="8" minRefreshableVersion="3" recordCount="0" supportSubquery="1" supportAdvancedDrill="1" xr:uid="{12BE2988-20C8-4D32-AC42-DC1973FBA9CC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x v="0"/>
    <n v="1450159200"/>
    <b v="0"/>
    <b v="0"/>
    <x v="0"/>
    <x v="0"/>
    <x v="0"/>
  </r>
  <r>
    <n v="1"/>
    <s v="Odom Inc"/>
    <s v="Managed bottom-line architecture"/>
    <n v="1400"/>
    <n v="14560"/>
    <n v="10.4"/>
    <x v="1"/>
    <n v="158"/>
    <n v="92.15"/>
    <x v="1"/>
    <s v="USD"/>
    <x v="1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x v="2"/>
    <n v="13848408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x v="3"/>
    <n v="1568955600"/>
    <b v="0"/>
    <b v="0"/>
    <x v="1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x v="4"/>
    <n v="1548309600"/>
    <b v="0"/>
    <b v="0"/>
    <x v="3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x v="5"/>
    <n v="13470804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x v="6"/>
    <n v="1505365200"/>
    <b v="0"/>
    <b v="0"/>
    <x v="4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x v="7"/>
    <n v="14396148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x v="8"/>
    <n v="12815028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x v="9"/>
    <n v="1383804000"/>
    <b v="0"/>
    <b v="0"/>
    <x v="5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x v="11"/>
    <n v="1285563600"/>
    <b v="0"/>
    <b v="1"/>
    <x v="3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x v="12"/>
    <n v="15724116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x v="13"/>
    <n v="14666580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x v="14"/>
    <n v="13333428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x v="15"/>
    <n v="1576303200"/>
    <b v="0"/>
    <b v="0"/>
    <x v="8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x v="17"/>
    <n v="1294898400"/>
    <b v="0"/>
    <b v="0"/>
    <x v="10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x v="18"/>
    <n v="1537074000"/>
    <b v="0"/>
    <b v="0"/>
    <x v="3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x v="19"/>
    <n v="15534900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x v="20"/>
    <n v="14065236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x v="21"/>
    <n v="1316322000"/>
    <b v="0"/>
    <b v="0"/>
    <x v="3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x v="22"/>
    <n v="1524027600"/>
    <b v="0"/>
    <b v="0"/>
    <x v="3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x v="23"/>
    <n v="15546996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x v="24"/>
    <n v="14034996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x v="25"/>
    <n v="13074228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x v="26"/>
    <n v="15353460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x v="28"/>
    <n v="12676824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x v="29"/>
    <n v="1535518800"/>
    <b v="0"/>
    <b v="0"/>
    <x v="12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x v="30"/>
    <n v="1559106000"/>
    <b v="0"/>
    <b v="0"/>
    <x v="10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x v="31"/>
    <n v="1454392800"/>
    <b v="0"/>
    <b v="0"/>
    <x v="11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x v="32"/>
    <n v="15178968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x v="33"/>
    <n v="14156856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x v="35"/>
    <n v="1551506400"/>
    <b v="0"/>
    <b v="1"/>
    <x v="6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x v="36"/>
    <n v="13008564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x v="37"/>
    <n v="15731928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x v="38"/>
    <n v="1287810000"/>
    <b v="0"/>
    <b v="0"/>
    <x v="14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x v="39"/>
    <n v="13629780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x v="40"/>
    <n v="1277355600"/>
    <b v="0"/>
    <b v="1"/>
    <x v="8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x v="41"/>
    <n v="1348981200"/>
    <b v="0"/>
    <b v="1"/>
    <x v="1"/>
    <x v="1"/>
    <x v="1"/>
  </r>
  <r>
    <n v="42"/>
    <s v="Werner-Bryant"/>
    <s v="Virtual uniform frame"/>
    <n v="1800"/>
    <n v="7991"/>
    <n v="4.4394444444444447"/>
    <x v="1"/>
    <n v="222"/>
    <n v="36"/>
    <x v="1"/>
    <s v="USD"/>
    <x v="42"/>
    <n v="1310533200"/>
    <b v="0"/>
    <b v="0"/>
    <x v="0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x v="43"/>
    <n v="1407560400"/>
    <b v="0"/>
    <b v="0"/>
    <x v="15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x v="44"/>
    <n v="15528852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x v="45"/>
    <n v="14793624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x v="46"/>
    <n v="12805524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x v="47"/>
    <n v="1398661200"/>
    <b v="0"/>
    <b v="0"/>
    <x v="3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x v="48"/>
    <n v="1436245200"/>
    <b v="0"/>
    <b v="0"/>
    <x v="3"/>
    <x v="3"/>
    <x v="3"/>
  </r>
  <r>
    <n v="49"/>
    <s v="Casey-Kelly"/>
    <s v="Sharable holistic interface"/>
    <n v="7200"/>
    <n v="13653"/>
    <n v="1.89625"/>
    <x v="1"/>
    <n v="303"/>
    <n v="45.06"/>
    <x v="1"/>
    <s v="USD"/>
    <x v="49"/>
    <n v="1575439200"/>
    <b v="0"/>
    <b v="0"/>
    <x v="1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x v="51"/>
    <n v="13342068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x v="52"/>
    <n v="1284872400"/>
    <b v="0"/>
    <b v="0"/>
    <x v="3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x v="53"/>
    <n v="1403931600"/>
    <b v="0"/>
    <b v="0"/>
    <x v="6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x v="54"/>
    <n v="15212628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x v="55"/>
    <n v="15333588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x v="56"/>
    <n v="14214744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x v="57"/>
    <n v="1505278800"/>
    <b v="0"/>
    <b v="0"/>
    <x v="11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x v="58"/>
    <n v="14439348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x v="59"/>
    <n v="1498539600"/>
    <b v="0"/>
    <b v="1"/>
    <x v="3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x v="60"/>
    <n v="13427604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x v="61"/>
    <n v="1301720400"/>
    <b v="0"/>
    <b v="0"/>
    <x v="3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x v="62"/>
    <n v="14335668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x v="64"/>
    <n v="1531803600"/>
    <b v="0"/>
    <b v="1"/>
    <x v="2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x v="65"/>
    <n v="12967128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x v="66"/>
    <n v="14289012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x v="67"/>
    <n v="1264831200"/>
    <b v="0"/>
    <b v="1"/>
    <x v="8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x v="68"/>
    <n v="15051924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x v="69"/>
    <n v="1295676000"/>
    <b v="0"/>
    <b v="0"/>
    <x v="3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x v="70"/>
    <n v="12929112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x v="71"/>
    <n v="15754392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x v="72"/>
    <n v="14388372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x v="73"/>
    <n v="1480485600"/>
    <b v="0"/>
    <b v="0"/>
    <x v="17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x v="74"/>
    <n v="14591412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x v="75"/>
    <n v="15323220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x v="76"/>
    <n v="1426222800"/>
    <b v="1"/>
    <b v="1"/>
    <x v="3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x v="77"/>
    <n v="12867732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x v="78"/>
    <n v="1523941200"/>
    <b v="0"/>
    <b v="0"/>
    <x v="18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x v="79"/>
    <n v="15295572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x v="80"/>
    <n v="15065748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x v="81"/>
    <n v="1513576800"/>
    <b v="0"/>
    <b v="0"/>
    <x v="1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x v="82"/>
    <n v="15483096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x v="83"/>
    <n v="14715828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x v="84"/>
    <n v="13443156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x v="85"/>
    <n v="1316408400"/>
    <b v="0"/>
    <b v="0"/>
    <x v="7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x v="86"/>
    <n v="14318388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x v="87"/>
    <n v="1300510800"/>
    <b v="0"/>
    <b v="1"/>
    <x v="1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x v="88"/>
    <n v="14310612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x v="89"/>
    <n v="1271480400"/>
    <b v="0"/>
    <b v="0"/>
    <x v="3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x v="90"/>
    <n v="14563800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x v="91"/>
    <n v="14728788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x v="92"/>
    <n v="12773556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x v="93"/>
    <n v="1351054800"/>
    <b v="0"/>
    <b v="1"/>
    <x v="3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x v="94"/>
    <n v="15555636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x v="95"/>
    <n v="1571634000"/>
    <b v="0"/>
    <b v="0"/>
    <x v="4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x v="96"/>
    <n v="1300856400"/>
    <b v="0"/>
    <b v="0"/>
    <x v="3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x v="48"/>
    <n v="14398740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x v="97"/>
    <n v="14383188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x v="98"/>
    <n v="14194008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x v="3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x v="100"/>
    <n v="1425103200"/>
    <b v="0"/>
    <b v="1"/>
    <x v="5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x v="101"/>
    <n v="15268788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x v="102"/>
    <n v="12886740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x v="103"/>
    <n v="14956020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x v="104"/>
    <n v="13664340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x v="105"/>
    <n v="15683508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x v="106"/>
    <n v="1525928400"/>
    <b v="0"/>
    <b v="1"/>
    <x v="3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x v="107"/>
    <n v="13368852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x v="108"/>
    <n v="13896792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x v="109"/>
    <n v="1538283600"/>
    <b v="0"/>
    <b v="0"/>
    <x v="0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x v="110"/>
    <n v="1348808400"/>
    <b v="0"/>
    <b v="0"/>
    <x v="15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x v="112"/>
    <n v="1505797200"/>
    <b v="0"/>
    <b v="0"/>
    <x v="0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x v="113"/>
    <n v="15548724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x v="114"/>
    <n v="1513922400"/>
    <b v="0"/>
    <b v="0"/>
    <x v="13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x v="115"/>
    <n v="1442638800"/>
    <b v="0"/>
    <b v="0"/>
    <x v="3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x v="116"/>
    <n v="13171860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x v="117"/>
    <n v="13912344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x v="118"/>
    <n v="1404363600"/>
    <b v="0"/>
    <b v="1"/>
    <x v="4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x v="119"/>
    <n v="14295924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x v="33"/>
    <n v="1413608400"/>
    <b v="0"/>
    <b v="0"/>
    <x v="11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x v="120"/>
    <n v="1419400800"/>
    <b v="0"/>
    <b v="0"/>
    <x v="13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x v="121"/>
    <n v="14486040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x v="122"/>
    <n v="1562302800"/>
    <b v="0"/>
    <b v="0"/>
    <x v="14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x v="123"/>
    <n v="1537678800"/>
    <b v="0"/>
    <b v="0"/>
    <x v="3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x v="124"/>
    <n v="14735700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x v="125"/>
    <n v="1273899600"/>
    <b v="0"/>
    <b v="0"/>
    <x v="3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x v="126"/>
    <n v="12840084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x v="127"/>
    <n v="1425103200"/>
    <b v="0"/>
    <b v="0"/>
    <x v="0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x v="128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x v="129"/>
    <n v="1386828000"/>
    <b v="0"/>
    <b v="0"/>
    <x v="2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x v="130"/>
    <n v="1517119200"/>
    <b v="0"/>
    <b v="1"/>
    <x v="3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x v="131"/>
    <n v="1315026000"/>
    <b v="0"/>
    <b v="0"/>
    <x v="21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x v="132"/>
    <n v="13126932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x v="133"/>
    <n v="13630644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x v="134"/>
    <n v="1403154000"/>
    <b v="0"/>
    <b v="1"/>
    <x v="6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x v="9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x v="136"/>
    <n v="13493268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x v="137"/>
    <n v="14309748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x v="138"/>
    <n v="1519970400"/>
    <b v="0"/>
    <b v="0"/>
    <x v="4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x v="139"/>
    <n v="14346036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x v="107"/>
    <n v="1337230800"/>
    <b v="0"/>
    <b v="0"/>
    <x v="2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x v="141"/>
    <n v="1561438800"/>
    <b v="0"/>
    <b v="0"/>
    <x v="3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x v="142"/>
    <n v="14104980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x v="143"/>
    <n v="13224600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x v="144"/>
    <n v="14663124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x v="145"/>
    <n v="15017364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x v="146"/>
    <n v="13615128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x v="148"/>
    <n v="14066964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x v="149"/>
    <n v="14879160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x v="150"/>
    <n v="13511412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x v="151"/>
    <n v="14650164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x v="152"/>
    <n v="12707892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x v="153"/>
    <n v="15723252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x v="154"/>
    <n v="13894200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x v="155"/>
    <n v="14496408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x v="156"/>
    <n v="1555218000"/>
    <b v="0"/>
    <b v="1"/>
    <x v="3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x v="157"/>
    <n v="15577236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x v="158"/>
    <n v="14435028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x v="159"/>
    <n v="1546840800"/>
    <b v="0"/>
    <b v="0"/>
    <x v="1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x v="160"/>
    <n v="15127128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x v="161"/>
    <n v="1507525200"/>
    <b v="0"/>
    <b v="0"/>
    <x v="3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x v="162"/>
    <n v="15043284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x v="163"/>
    <n v="1293343200"/>
    <b v="0"/>
    <b v="0"/>
    <x v="14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x v="3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x v="165"/>
    <n v="15527988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x v="166"/>
    <n v="13423284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x v="167"/>
    <n v="15023412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x v="18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x v="170"/>
    <n v="13693716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x v="171"/>
    <n v="14441076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x v="172"/>
    <n v="14742612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x v="173"/>
    <n v="14736564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x v="174"/>
    <n v="12919608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x v="175"/>
    <n v="15067476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x v="176"/>
    <n v="13635828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x v="177"/>
    <n v="12696660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x v="178"/>
    <n v="15086484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x v="179"/>
    <n v="15619572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x v="180"/>
    <n v="12851316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x v="181"/>
    <n v="1556946000"/>
    <b v="0"/>
    <b v="0"/>
    <x v="3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x v="182"/>
    <n v="1527138000"/>
    <b v="0"/>
    <b v="0"/>
    <x v="19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x v="183"/>
    <n v="1402117200"/>
    <b v="0"/>
    <b v="0"/>
    <x v="3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x v="184"/>
    <n v="13640148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x v="186"/>
    <n v="1457071200"/>
    <b v="0"/>
    <b v="0"/>
    <x v="3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x v="3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x v="188"/>
    <n v="15526260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x v="189"/>
    <n v="14041908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x v="190"/>
    <n v="1523509200"/>
    <b v="1"/>
    <b v="0"/>
    <x v="7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x v="191"/>
    <n v="1443589200"/>
    <b v="0"/>
    <b v="0"/>
    <x v="16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x v="192"/>
    <n v="1533445200"/>
    <b v="0"/>
    <b v="0"/>
    <x v="5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x v="193"/>
    <n v="1499403600"/>
    <b v="0"/>
    <b v="0"/>
    <x v="6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x v="194"/>
    <n v="12835764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x v="195"/>
    <n v="1436590800"/>
    <b v="0"/>
    <b v="0"/>
    <x v="1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x v="196"/>
    <n v="14078196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x v="197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x v="198"/>
    <n v="1484805600"/>
    <b v="0"/>
    <b v="0"/>
    <x v="3"/>
    <x v="3"/>
    <x v="3"/>
  </r>
  <r>
    <n v="204"/>
    <s v="Daniel-Luna"/>
    <s v="Mandatory multimedia leverage"/>
    <n v="75000"/>
    <n v="2529"/>
    <n v="3.372E-2"/>
    <x v="0"/>
    <n v="40"/>
    <n v="63.23"/>
    <x v="1"/>
    <s v="USD"/>
    <x v="199"/>
    <n v="1302670800"/>
    <b v="0"/>
    <b v="0"/>
    <x v="17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x v="200"/>
    <n v="15407892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x v="201"/>
    <n v="12680280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x v="203"/>
    <n v="15122808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x v="204"/>
    <n v="1463115600"/>
    <b v="0"/>
    <b v="0"/>
    <x v="4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x v="205"/>
    <n v="14908500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x v="206"/>
    <n v="13796532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x v="207"/>
    <n v="15803640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x v="208"/>
    <n v="12897144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x v="209"/>
    <n v="12827124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x v="210"/>
    <n v="15502104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x v="211"/>
    <n v="13221144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x v="212"/>
    <n v="15572052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x v="213"/>
    <n v="13239288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x v="214"/>
    <n v="1346130000"/>
    <b v="0"/>
    <b v="0"/>
    <x v="10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x v="215"/>
    <n v="13110516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x v="216"/>
    <n v="1340427600"/>
    <b v="1"/>
    <b v="0"/>
    <x v="0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x v="217"/>
    <n v="14123124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x v="218"/>
    <n v="1459314000"/>
    <b v="0"/>
    <b v="0"/>
    <x v="3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x v="219"/>
    <n v="14154264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x v="220"/>
    <n v="1399093200"/>
    <b v="1"/>
    <b v="0"/>
    <x v="1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x v="221"/>
    <n v="12738996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x v="222"/>
    <n v="1432184400"/>
    <b v="0"/>
    <b v="0"/>
    <x v="20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x v="172"/>
    <n v="14747796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x v="223"/>
    <n v="15004404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x v="224"/>
    <n v="15756120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x v="225"/>
    <n v="1374123600"/>
    <b v="0"/>
    <b v="0"/>
    <x v="3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x v="226"/>
    <n v="14695092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x v="227"/>
    <n v="1309237200"/>
    <b v="0"/>
    <b v="0"/>
    <x v="10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x v="228"/>
    <n v="15039828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x v="229"/>
    <n v="14873976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x v="230"/>
    <n v="15620436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x v="231"/>
    <n v="13985748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x v="232"/>
    <n v="15153912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x v="233"/>
    <n v="14411700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x v="194"/>
    <n v="12811572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x v="234"/>
    <n v="1398229200"/>
    <b v="0"/>
    <b v="1"/>
    <x v="9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x v="235"/>
    <n v="14952564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x v="236"/>
    <n v="15204024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x v="237"/>
    <n v="14098068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x v="238"/>
    <n v="13969332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x v="239"/>
    <n v="13760244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x v="240"/>
    <n v="14836824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x v="241"/>
    <n v="1420437600"/>
    <b v="0"/>
    <b v="0"/>
    <x v="20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x v="242"/>
    <n v="1420783200"/>
    <b v="0"/>
    <b v="0"/>
    <x v="18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x v="1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x v="243"/>
    <n v="13552056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x v="244"/>
    <n v="13831092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x v="245"/>
    <n v="13032756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x v="246"/>
    <n v="14878296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x v="247"/>
    <n v="1298268000"/>
    <b v="0"/>
    <b v="1"/>
    <x v="1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x v="248"/>
    <n v="1456812000"/>
    <b v="0"/>
    <b v="0"/>
    <x v="1"/>
    <x v="1"/>
    <x v="1"/>
  </r>
  <r>
    <n v="257"/>
    <s v="Williams Inc"/>
    <s v="Decentralized exuding strategy"/>
    <n v="5700"/>
    <n v="8322"/>
    <n v="1.46"/>
    <x v="1"/>
    <n v="92"/>
    <n v="90.46"/>
    <x v="1"/>
    <s v="USD"/>
    <x v="249"/>
    <n v="13636692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x v="250"/>
    <n v="14829048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x v="251"/>
    <n v="1356588000"/>
    <b v="1"/>
    <b v="0"/>
    <x v="14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x v="136"/>
    <n v="13498452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x v="252"/>
    <n v="12830580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x v="253"/>
    <n v="1304226000"/>
    <b v="0"/>
    <b v="1"/>
    <x v="7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x v="254"/>
    <n v="1263016800"/>
    <b v="0"/>
    <b v="0"/>
    <x v="14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x v="255"/>
    <n v="1362031200"/>
    <b v="0"/>
    <b v="0"/>
    <x v="3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x v="256"/>
    <n v="1455602400"/>
    <b v="0"/>
    <b v="0"/>
    <x v="3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x v="257"/>
    <n v="1418191200"/>
    <b v="0"/>
    <b v="1"/>
    <x v="17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x v="258"/>
    <n v="1352440800"/>
    <b v="0"/>
    <b v="0"/>
    <x v="3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x v="259"/>
    <n v="13533048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x v="260"/>
    <n v="15507288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x v="261"/>
    <n v="12914424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x v="262"/>
    <n v="14521464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x v="263"/>
    <n v="15648948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x v="264"/>
    <n v="15058836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x v="265"/>
    <n v="15103800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x v="266"/>
    <n v="1555218000"/>
    <b v="0"/>
    <b v="0"/>
    <x v="18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x v="267"/>
    <n v="13352436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x v="268"/>
    <n v="12796884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x v="269"/>
    <n v="13560696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x v="270"/>
    <n v="1536210000"/>
    <b v="0"/>
    <b v="0"/>
    <x v="3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x v="271"/>
    <n v="15117624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x v="272"/>
    <n v="13332564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x v="73"/>
    <n v="14807448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x v="273"/>
    <n v="1465016400"/>
    <b v="0"/>
    <b v="0"/>
    <x v="1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x v="274"/>
    <n v="13362804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x v="275"/>
    <n v="1476766800"/>
    <b v="0"/>
    <b v="0"/>
    <x v="3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x v="276"/>
    <n v="14804856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x v="277"/>
    <n v="1430197200"/>
    <b v="0"/>
    <b v="0"/>
    <x v="5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x v="278"/>
    <n v="13317876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x v="279"/>
    <n v="14388372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x v="280"/>
    <n v="13709268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x v="281"/>
    <n v="1319000400"/>
    <b v="1"/>
    <b v="0"/>
    <x v="2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x v="0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x v="283"/>
    <n v="1287032400"/>
    <b v="0"/>
    <b v="0"/>
    <x v="3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x v="284"/>
    <n v="15415704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x v="285"/>
    <n v="13839768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x v="286"/>
    <n v="15505560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x v="287"/>
    <n v="13904568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x v="288"/>
    <n v="14580180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x v="289"/>
    <n v="1461819600"/>
    <b v="0"/>
    <b v="0"/>
    <x v="0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x v="291"/>
    <n v="14263956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x v="292"/>
    <n v="15370740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x v="293"/>
    <n v="1452578400"/>
    <b v="0"/>
    <b v="0"/>
    <x v="7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x v="294"/>
    <n v="1474088400"/>
    <b v="0"/>
    <b v="0"/>
    <x v="4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x v="295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x v="296"/>
    <n v="15002676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x v="297"/>
    <n v="13406868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x v="298"/>
    <n v="13031892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x v="300"/>
    <n v="1272171600"/>
    <b v="0"/>
    <b v="0"/>
    <x v="11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x v="247"/>
    <n v="1298872800"/>
    <b v="0"/>
    <b v="0"/>
    <x v="3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x v="244"/>
    <n v="1383282000"/>
    <b v="0"/>
    <b v="0"/>
    <x v="3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x v="188"/>
    <n v="15527988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x v="302"/>
    <n v="14034132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x v="303"/>
    <n v="1574229600"/>
    <b v="0"/>
    <b v="1"/>
    <x v="0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x v="305"/>
    <n v="1392530400"/>
    <b v="0"/>
    <b v="0"/>
    <x v="1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x v="306"/>
    <n v="12836628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x v="308"/>
    <n v="13023252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x v="309"/>
    <n v="12917880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x v="310"/>
    <n v="13960692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x v="311"/>
    <n v="14358996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x v="79"/>
    <n v="15311124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x v="312"/>
    <n v="14516280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x v="313"/>
    <n v="15673140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x v="314"/>
    <n v="15445080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x v="315"/>
    <n v="14824728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x v="316"/>
    <n v="1512799200"/>
    <b v="0"/>
    <b v="0"/>
    <x v="4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x v="317"/>
    <n v="13243608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x v="318"/>
    <n v="13645332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x v="319"/>
    <n v="1545112800"/>
    <b v="0"/>
    <b v="0"/>
    <x v="3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x v="32"/>
    <n v="1516168800"/>
    <b v="0"/>
    <b v="0"/>
    <x v="1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x v="320"/>
    <n v="1574920800"/>
    <b v="0"/>
    <b v="0"/>
    <x v="1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x v="321"/>
    <n v="1292479200"/>
    <b v="0"/>
    <b v="1"/>
    <x v="1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x v="322"/>
    <n v="15735384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x v="323"/>
    <n v="13203828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x v="324"/>
    <n v="15028596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x v="325"/>
    <n v="13237560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x v="326"/>
    <n v="14413428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x v="327"/>
    <n v="1375333200"/>
    <b v="0"/>
    <b v="0"/>
    <x v="3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x v="328"/>
    <n v="13894200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x v="329"/>
    <n v="15200568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x v="330"/>
    <n v="1436504400"/>
    <b v="0"/>
    <b v="0"/>
    <x v="6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x v="7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x v="332"/>
    <n v="1425708000"/>
    <b v="0"/>
    <b v="0"/>
    <x v="2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x v="333"/>
    <n v="14883480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x v="296"/>
    <n v="1502600400"/>
    <b v="0"/>
    <b v="0"/>
    <x v="3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x v="17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x v="335"/>
    <n v="14416020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x v="336"/>
    <n v="1447567200"/>
    <b v="0"/>
    <b v="0"/>
    <x v="3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x v="337"/>
    <n v="15623892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x v="4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x v="339"/>
    <n v="14885208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x v="340"/>
    <n v="13272984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x v="341"/>
    <n v="14434164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x v="342"/>
    <n v="15341364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x v="343"/>
    <n v="13150260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x v="344"/>
    <n v="12950712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x v="345"/>
    <n v="15094260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x v="65"/>
    <n v="1299391200"/>
    <b v="0"/>
    <b v="0"/>
    <x v="1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x v="346"/>
    <n v="1325052000"/>
    <b v="0"/>
    <b v="0"/>
    <x v="1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x v="347"/>
    <n v="15228180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x v="348"/>
    <n v="14853240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x v="349"/>
    <n v="12941208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x v="350"/>
    <n v="14156856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x v="351"/>
    <n v="1288933200"/>
    <b v="0"/>
    <b v="1"/>
    <x v="4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x v="352"/>
    <n v="13632372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x v="353"/>
    <n v="15558228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x v="354"/>
    <n v="14277780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x v="355"/>
    <n v="1422424800"/>
    <b v="0"/>
    <b v="1"/>
    <x v="4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x v="356"/>
    <n v="15036372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x v="357"/>
    <n v="15476184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x v="7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x v="359"/>
    <n v="14051412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x v="12"/>
    <n v="1572933600"/>
    <b v="0"/>
    <b v="0"/>
    <x v="3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x v="360"/>
    <n v="15301620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x v="361"/>
    <n v="13209048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x v="362"/>
    <n v="13723956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x v="363"/>
    <n v="1437714000"/>
    <b v="0"/>
    <b v="0"/>
    <x v="3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x v="364"/>
    <n v="1509771600"/>
    <b v="0"/>
    <b v="0"/>
    <x v="14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x v="210"/>
    <n v="15505560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x v="365"/>
    <n v="14890392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x v="366"/>
    <n v="15566004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x v="367"/>
    <n v="12785652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x v="368"/>
    <n v="1339909200"/>
    <b v="0"/>
    <b v="0"/>
    <x v="8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x v="369"/>
    <n v="1325829600"/>
    <b v="0"/>
    <b v="0"/>
    <x v="7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x v="370"/>
    <n v="1290578400"/>
    <b v="0"/>
    <b v="0"/>
    <x v="3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x v="14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x v="287"/>
    <n v="13898520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x v="372"/>
    <n v="12944664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x v="373"/>
    <n v="15003540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x v="374"/>
    <n v="13759380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x v="375"/>
    <n v="1323410400"/>
    <b v="1"/>
    <b v="0"/>
    <x v="3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x v="376"/>
    <n v="1539406800"/>
    <b v="0"/>
    <b v="0"/>
    <x v="6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x v="377"/>
    <n v="13698036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x v="378"/>
    <n v="15259284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x v="379"/>
    <n v="1297231200"/>
    <b v="0"/>
    <b v="0"/>
    <x v="7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x v="14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x v="381"/>
    <n v="15721524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x v="125"/>
    <n v="12767508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x v="383"/>
    <n v="1510898400"/>
    <b v="0"/>
    <b v="0"/>
    <x v="3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x v="384"/>
    <n v="15324084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x v="385"/>
    <n v="13605624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x v="387"/>
    <n v="1468126800"/>
    <b v="0"/>
    <b v="0"/>
    <x v="4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x v="388"/>
    <n v="14928372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x v="277"/>
    <n v="14301972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x v="389"/>
    <n v="14962068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x v="390"/>
    <n v="13895928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x v="391"/>
    <n v="15456312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x v="392"/>
    <n v="12724308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x v="393"/>
    <n v="13279032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x v="394"/>
    <n v="12960216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x v="395"/>
    <n v="15432984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x v="396"/>
    <n v="1336366800"/>
    <b v="0"/>
    <b v="0"/>
    <x v="4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x v="397"/>
    <n v="1325052000"/>
    <b v="0"/>
    <b v="0"/>
    <x v="2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x v="398"/>
    <n v="14995764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x v="399"/>
    <n v="15013044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x v="400"/>
    <n v="12732084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x v="116"/>
    <n v="1316840400"/>
    <b v="0"/>
    <b v="1"/>
    <x v="0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x v="401"/>
    <n v="15245460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x v="402"/>
    <n v="1438578000"/>
    <b v="0"/>
    <b v="0"/>
    <x v="14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x v="403"/>
    <n v="13625496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x v="404"/>
    <n v="14133492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x v="405"/>
    <n v="12980088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x v="406"/>
    <n v="13944276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x v="407"/>
    <n v="1572670800"/>
    <b v="0"/>
    <b v="0"/>
    <x v="3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x v="408"/>
    <n v="15311124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x v="409"/>
    <n v="14007348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x v="410"/>
    <n v="1386741600"/>
    <b v="0"/>
    <b v="1"/>
    <x v="4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x v="412"/>
    <n v="1419660000"/>
    <b v="0"/>
    <b v="1"/>
    <x v="3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x v="413"/>
    <n v="1555822800"/>
    <b v="0"/>
    <b v="0"/>
    <x v="17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x v="414"/>
    <n v="14423796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x v="415"/>
    <n v="13649652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x v="416"/>
    <n v="1479016800"/>
    <b v="0"/>
    <b v="0"/>
    <x v="22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x v="417"/>
    <n v="1499662800"/>
    <b v="0"/>
    <b v="0"/>
    <x v="19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x v="419"/>
    <n v="15057108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x v="420"/>
    <n v="1287464400"/>
    <b v="0"/>
    <b v="0"/>
    <x v="3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x v="421"/>
    <n v="13116564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x v="422"/>
    <n v="12931704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x v="423"/>
    <n v="13559832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x v="425"/>
    <n v="1366088400"/>
    <b v="0"/>
    <b v="1"/>
    <x v="11"/>
    <x v="6"/>
    <x v="11"/>
  </r>
  <r>
    <n v="449"/>
    <s v="Cuevas-Morales"/>
    <s v="Public-key coherent ability"/>
    <n v="900"/>
    <n v="8703"/>
    <n v="9.67"/>
    <x v="1"/>
    <n v="86"/>
    <n v="101.2"/>
    <x v="3"/>
    <s v="DKK"/>
    <x v="426"/>
    <n v="1553317200"/>
    <b v="0"/>
    <b v="0"/>
    <x v="11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x v="10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x v="428"/>
    <n v="15031188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x v="429"/>
    <n v="12784788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x v="411"/>
    <n v="1484114400"/>
    <b v="0"/>
    <b v="0"/>
    <x v="22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x v="430"/>
    <n v="13854456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x v="431"/>
    <n v="13187412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x v="432"/>
    <n v="15182424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x v="433"/>
    <n v="14765940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x v="434"/>
    <n v="12735540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x v="435"/>
    <n v="14219064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x v="3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x v="436"/>
    <n v="1400389200"/>
    <b v="0"/>
    <b v="0"/>
    <x v="6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x v="385"/>
    <n v="13628088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x v="437"/>
    <n v="13888152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x v="438"/>
    <n v="1519538400"/>
    <b v="0"/>
    <b v="0"/>
    <x v="3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x v="439"/>
    <n v="1517810400"/>
    <b v="0"/>
    <b v="0"/>
    <x v="18"/>
    <x v="5"/>
    <x v="18"/>
  </r>
  <r>
    <n v="466"/>
    <s v="Obrien and Sons"/>
    <s v="Pre-emptive transitional frame"/>
    <n v="1200"/>
    <n v="3984"/>
    <n v="3.32"/>
    <x v="1"/>
    <n v="42"/>
    <n v="94.86"/>
    <x v="1"/>
    <s v="USD"/>
    <x v="440"/>
    <n v="13705812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x v="441"/>
    <n v="1448863200"/>
    <b v="0"/>
    <b v="1"/>
    <x v="2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x v="3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x v="443"/>
    <n v="14320980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x v="315"/>
    <n v="1482127200"/>
    <b v="0"/>
    <b v="0"/>
    <x v="8"/>
    <x v="2"/>
    <x v="8"/>
  </r>
  <r>
    <n v="471"/>
    <s v="Perry and Sons"/>
    <s v="Configurable static help-desk"/>
    <n v="3100"/>
    <n v="9889"/>
    <n v="3.19"/>
    <x v="1"/>
    <n v="194"/>
    <n v="50.97"/>
    <x v="4"/>
    <s v="GBP"/>
    <x v="444"/>
    <n v="13359348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x v="445"/>
    <n v="15569460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x v="446"/>
    <n v="1530075600"/>
    <b v="0"/>
    <b v="0"/>
    <x v="5"/>
    <x v="1"/>
    <x v="5"/>
  </r>
  <r>
    <n v="474"/>
    <s v="Santos-Young"/>
    <s v="Enhanced neutral ability"/>
    <n v="4000"/>
    <n v="14606"/>
    <n v="3.6515"/>
    <x v="1"/>
    <n v="142"/>
    <n v="102.86"/>
    <x v="1"/>
    <s v="USD"/>
    <x v="447"/>
    <n v="14187960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x v="448"/>
    <n v="13724820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x v="342"/>
    <n v="15343956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x v="449"/>
    <n v="1311397200"/>
    <b v="0"/>
    <b v="0"/>
    <x v="22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x v="450"/>
    <n v="1426914000"/>
    <b v="0"/>
    <b v="0"/>
    <x v="8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x v="451"/>
    <n v="1501477200"/>
    <b v="0"/>
    <b v="0"/>
    <x v="0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x v="452"/>
    <n v="12690612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x v="453"/>
    <n v="14157720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x v="454"/>
    <n v="13310136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x v="455"/>
    <n v="1576735200"/>
    <b v="0"/>
    <b v="0"/>
    <x v="3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x v="456"/>
    <n v="14113620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x v="457"/>
    <n v="15636852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x v="458"/>
    <n v="1521867600"/>
    <b v="0"/>
    <b v="1"/>
    <x v="18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x v="459"/>
    <n v="14955156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x v="460"/>
    <n v="1455948000"/>
    <b v="0"/>
    <b v="0"/>
    <x v="3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x v="461"/>
    <n v="1282366800"/>
    <b v="0"/>
    <b v="0"/>
    <x v="8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x v="462"/>
    <n v="15745752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x v="463"/>
    <n v="1374901200"/>
    <b v="0"/>
    <b v="1"/>
    <x v="0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x v="464"/>
    <n v="12789108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x v="465"/>
    <n v="15629076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x v="466"/>
    <n v="13324788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x v="467"/>
    <n v="14027220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x v="468"/>
    <n v="1496811600"/>
    <b v="0"/>
    <b v="0"/>
    <x v="10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x v="469"/>
    <n v="14822136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x v="470"/>
    <n v="14202648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x v="471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x v="3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x v="473"/>
    <n v="1363237200"/>
    <b v="0"/>
    <b v="0"/>
    <x v="4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x v="474"/>
    <n v="13458708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x v="72"/>
    <n v="1437454800"/>
    <b v="0"/>
    <b v="0"/>
    <x v="6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x v="443"/>
    <n v="14320116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x v="475"/>
    <n v="13663476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x v="81"/>
    <n v="15128856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x v="476"/>
    <n v="13697172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x v="192"/>
    <n v="1534654800"/>
    <b v="0"/>
    <b v="0"/>
    <x v="3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x v="478"/>
    <n v="15298164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x v="479"/>
    <n v="1564894800"/>
    <b v="0"/>
    <b v="0"/>
    <x v="3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x v="480"/>
    <n v="14046228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x v="180"/>
    <n v="12841812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x v="481"/>
    <n v="1386741600"/>
    <b v="0"/>
    <b v="1"/>
    <x v="1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x v="482"/>
    <n v="13247928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x v="194"/>
    <n v="1284354000"/>
    <b v="0"/>
    <b v="0"/>
    <x v="9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x v="483"/>
    <n v="14943924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x v="355"/>
    <n v="14219064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x v="485"/>
    <n v="1555909200"/>
    <b v="0"/>
    <b v="0"/>
    <x v="3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x v="486"/>
    <n v="14724468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x v="487"/>
    <n v="13423284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x v="488"/>
    <n v="12681144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x v="489"/>
    <n v="12733812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x v="490"/>
    <n v="12908376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x v="312"/>
    <n v="14543064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x v="492"/>
    <n v="1389074400"/>
    <b v="0"/>
    <b v="0"/>
    <x v="7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x v="493"/>
    <n v="14021172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x v="494"/>
    <n v="12844404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x v="495"/>
    <n v="13889880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x v="496"/>
    <n v="15169464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x v="497"/>
    <n v="13777524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x v="498"/>
    <n v="1534568400"/>
    <b v="0"/>
    <b v="1"/>
    <x v="6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x v="499"/>
    <n v="1528606800"/>
    <b v="0"/>
    <b v="1"/>
    <x v="3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x v="500"/>
    <n v="12848724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x v="501"/>
    <n v="15375924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x v="502"/>
    <n v="13812084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x v="503"/>
    <n v="15624756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x v="504"/>
    <n v="15273972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x v="505"/>
    <n v="14361588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x v="506"/>
    <n v="14560344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x v="507"/>
    <n v="13801716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x v="508"/>
    <n v="14533560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x v="509"/>
    <n v="15789816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x v="510"/>
    <n v="1537419600"/>
    <b v="0"/>
    <b v="1"/>
    <x v="3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x v="6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x v="512"/>
    <n v="14606100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x v="513"/>
    <n v="1370494800"/>
    <b v="0"/>
    <b v="0"/>
    <x v="8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x v="515"/>
    <n v="14225112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x v="516"/>
    <n v="14803128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x v="517"/>
    <n v="12940344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x v="518"/>
    <n v="1482645600"/>
    <b v="0"/>
    <b v="0"/>
    <x v="7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x v="519"/>
    <n v="1399093200"/>
    <b v="0"/>
    <b v="0"/>
    <x v="1"/>
    <x v="1"/>
    <x v="1"/>
  </r>
  <r>
    <n v="556"/>
    <s v="Smith and Sons"/>
    <s v="Grass-roots 24/7 attitude"/>
    <n v="5200"/>
    <n v="12467"/>
    <n v="2.3975"/>
    <x v="1"/>
    <n v="122"/>
    <n v="102.19"/>
    <x v="1"/>
    <s v="USD"/>
    <x v="520"/>
    <n v="1315890000"/>
    <b v="0"/>
    <b v="1"/>
    <x v="18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x v="521"/>
    <n v="1444021200"/>
    <b v="0"/>
    <b v="1"/>
    <x v="22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x v="522"/>
    <n v="14600052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x v="523"/>
    <n v="1470718800"/>
    <b v="0"/>
    <b v="0"/>
    <x v="3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x v="524"/>
    <n v="1325052000"/>
    <b v="0"/>
    <b v="0"/>
    <x v="10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x v="525"/>
    <n v="13190004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x v="188"/>
    <n v="15525396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x v="526"/>
    <n v="15438168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x v="527"/>
    <n v="14270868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x v="528"/>
    <n v="1323064800"/>
    <b v="0"/>
    <b v="0"/>
    <x v="3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x v="522"/>
    <n v="14582772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x v="529"/>
    <n v="14051412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x v="530"/>
    <n v="12830580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x v="531"/>
    <n v="12957624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x v="515"/>
    <n v="1419573600"/>
    <b v="0"/>
    <b v="1"/>
    <x v="1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x v="532"/>
    <n v="1438750800"/>
    <b v="0"/>
    <b v="0"/>
    <x v="12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x v="533"/>
    <n v="1444798800"/>
    <b v="0"/>
    <b v="1"/>
    <x v="1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x v="409"/>
    <n v="13991796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x v="534"/>
    <n v="1576562400"/>
    <b v="0"/>
    <b v="1"/>
    <x v="0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x v="53"/>
    <n v="14008212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x v="535"/>
    <n v="1510984800"/>
    <b v="0"/>
    <b v="0"/>
    <x v="3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x v="536"/>
    <n v="1302066000"/>
    <b v="0"/>
    <b v="0"/>
    <x v="17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x v="537"/>
    <n v="1322978400"/>
    <b v="0"/>
    <b v="0"/>
    <x v="22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x v="538"/>
    <n v="1313730000"/>
    <b v="0"/>
    <b v="0"/>
    <x v="17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x v="539"/>
    <n v="13940856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x v="540"/>
    <n v="1305349200"/>
    <b v="0"/>
    <b v="0"/>
    <x v="2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x v="505"/>
    <n v="14343444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x v="541"/>
    <n v="13311864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x v="542"/>
    <n v="1336539600"/>
    <b v="0"/>
    <b v="0"/>
    <x v="2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x v="543"/>
    <n v="1269752400"/>
    <b v="0"/>
    <b v="0"/>
    <x v="18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x v="544"/>
    <n v="12916152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x v="35"/>
    <n v="1552366800"/>
    <b v="0"/>
    <b v="1"/>
    <x v="0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x v="152"/>
    <n v="12721716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x v="545"/>
    <n v="14366772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x v="546"/>
    <n v="1420092000"/>
    <b v="0"/>
    <b v="0"/>
    <x v="15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x v="547"/>
    <n v="12799476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x v="548"/>
    <n v="14022036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x v="549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x v="550"/>
    <n v="14672628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x v="551"/>
    <n v="1270530000"/>
    <b v="0"/>
    <b v="1"/>
    <x v="3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x v="552"/>
    <n v="14577624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x v="462"/>
    <n v="15755256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x v="553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x v="554"/>
    <n v="1424412000"/>
    <b v="0"/>
    <b v="0"/>
    <x v="4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x v="0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x v="548"/>
    <n v="14028948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x v="62"/>
    <n v="14344308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x v="556"/>
    <n v="15578964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x v="557"/>
    <n v="12974904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x v="27"/>
    <n v="1447394400"/>
    <b v="0"/>
    <b v="0"/>
    <x v="9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x v="558"/>
    <n v="14582772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x v="559"/>
    <n v="1395723600"/>
    <b v="0"/>
    <b v="0"/>
    <x v="0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x v="426"/>
    <n v="15521976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x v="56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x v="561"/>
    <n v="13568472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x v="562"/>
    <n v="1375765200"/>
    <b v="0"/>
    <b v="0"/>
    <x v="3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x v="563"/>
    <n v="1289800800"/>
    <b v="0"/>
    <b v="0"/>
    <x v="5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x v="564"/>
    <n v="15045012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x v="565"/>
    <n v="14856696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x v="566"/>
    <n v="14627700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x v="567"/>
    <n v="1379739600"/>
    <b v="0"/>
    <b v="1"/>
    <x v="7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x v="568"/>
    <n v="1402722000"/>
    <b v="0"/>
    <b v="0"/>
    <x v="3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x v="569"/>
    <n v="1369285200"/>
    <b v="0"/>
    <b v="0"/>
    <x v="9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x v="570"/>
    <n v="13047444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x v="571"/>
    <n v="14682996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x v="572"/>
    <n v="1474174800"/>
    <b v="0"/>
    <b v="0"/>
    <x v="3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x v="573"/>
    <n v="15260148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x v="574"/>
    <n v="14374548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x v="511"/>
    <n v="14226840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x v="575"/>
    <n v="15813144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x v="576"/>
    <n v="12864276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x v="577"/>
    <n v="12787380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x v="578"/>
    <n v="12864276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x v="579"/>
    <n v="14679540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x v="580"/>
    <n v="15576372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x v="581"/>
    <n v="1553922000"/>
    <b v="0"/>
    <b v="0"/>
    <x v="3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x v="582"/>
    <n v="14164632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x v="336"/>
    <n v="14472216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x v="583"/>
    <n v="1491627600"/>
    <b v="0"/>
    <b v="0"/>
    <x v="19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x v="584"/>
    <n v="1363150800"/>
    <b v="0"/>
    <b v="0"/>
    <x v="19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x v="585"/>
    <n v="13307544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x v="586"/>
    <n v="1479794400"/>
    <b v="0"/>
    <b v="0"/>
    <x v="3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x v="587"/>
    <n v="1281243600"/>
    <b v="0"/>
    <b v="1"/>
    <x v="3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x v="588"/>
    <n v="15327540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x v="589"/>
    <n v="14533560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x v="590"/>
    <n v="14899860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x v="591"/>
    <n v="1545804000"/>
    <b v="0"/>
    <b v="0"/>
    <x v="8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x v="592"/>
    <n v="14898996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x v="594"/>
    <n v="15397524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x v="595"/>
    <n v="13641012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x v="597"/>
    <n v="1500872400"/>
    <b v="1"/>
    <b v="0"/>
    <x v="0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x v="598"/>
    <n v="1288501200"/>
    <b v="1"/>
    <b v="1"/>
    <x v="3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x v="600"/>
    <n v="1394344800"/>
    <b v="0"/>
    <b v="0"/>
    <x v="12"/>
    <x v="4"/>
    <x v="12"/>
  </r>
  <r>
    <n v="652"/>
    <s v="Cisneros Ltd"/>
    <s v="Vision-oriented regional hub"/>
    <n v="10000"/>
    <n v="12684"/>
    <n v="1.2684"/>
    <x v="1"/>
    <n v="409"/>
    <n v="31.01"/>
    <x v="1"/>
    <s v="USD"/>
    <x v="601"/>
    <n v="14740884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x v="602"/>
    <n v="14602644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x v="335"/>
    <n v="14408244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x v="603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x v="604"/>
    <n v="15148728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x v="605"/>
    <n v="15157368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x v="606"/>
    <n v="14428980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x v="65"/>
    <n v="1296194400"/>
    <b v="0"/>
    <b v="0"/>
    <x v="4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x v="607"/>
    <n v="1440910800"/>
    <b v="1"/>
    <b v="0"/>
    <x v="3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x v="608"/>
    <n v="1335502800"/>
    <b v="0"/>
    <b v="0"/>
    <x v="17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x v="609"/>
    <n v="1544680800"/>
    <b v="0"/>
    <b v="0"/>
    <x v="3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x v="610"/>
    <n v="1288414800"/>
    <b v="0"/>
    <b v="0"/>
    <x v="3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x v="541"/>
    <n v="13305816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x v="611"/>
    <n v="1311397200"/>
    <b v="0"/>
    <b v="1"/>
    <x v="4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x v="613"/>
    <n v="14111028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x v="614"/>
    <n v="13448340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x v="615"/>
    <n v="14992308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x v="90"/>
    <n v="14574168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x v="616"/>
    <n v="12808980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x v="617"/>
    <n v="15224724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x v="618"/>
    <n v="1462510800"/>
    <b v="0"/>
    <b v="0"/>
    <x v="7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x v="619"/>
    <n v="1317790800"/>
    <b v="0"/>
    <b v="0"/>
    <x v="14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x v="620"/>
    <n v="15687828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x v="621"/>
    <n v="13494132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x v="622"/>
    <n v="14724468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x v="35"/>
    <n v="1548050400"/>
    <b v="0"/>
    <b v="0"/>
    <x v="6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x v="623"/>
    <n v="15718068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x v="624"/>
    <n v="15764760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x v="625"/>
    <n v="1324965600"/>
    <b v="0"/>
    <b v="0"/>
    <x v="3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x v="626"/>
    <n v="1387519200"/>
    <b v="0"/>
    <b v="0"/>
    <x v="3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x v="627"/>
    <n v="1537246800"/>
    <b v="0"/>
    <b v="0"/>
    <x v="3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x v="628"/>
    <n v="1279515600"/>
    <b v="0"/>
    <b v="0"/>
    <x v="9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x v="629"/>
    <n v="14423796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x v="630"/>
    <n v="1523077200"/>
    <b v="0"/>
    <b v="0"/>
    <x v="8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x v="631"/>
    <n v="14895540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x v="632"/>
    <n v="1548482400"/>
    <b v="0"/>
    <b v="1"/>
    <x v="19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x v="633"/>
    <n v="1384063200"/>
    <b v="0"/>
    <b v="0"/>
    <x v="2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x v="634"/>
    <n v="1322892000"/>
    <b v="0"/>
    <b v="1"/>
    <x v="4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x v="635"/>
    <n v="13507092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x v="636"/>
    <n v="15642036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x v="637"/>
    <n v="1509685200"/>
    <b v="0"/>
    <b v="0"/>
    <x v="3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x v="638"/>
    <n v="15149592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x v="639"/>
    <n v="14488632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x v="640"/>
    <n v="14295924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x v="641"/>
    <n v="15226452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x v="642"/>
    <n v="1323324000"/>
    <b v="0"/>
    <b v="0"/>
    <x v="8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x v="230"/>
    <n v="1561525200"/>
    <b v="0"/>
    <b v="0"/>
    <x v="6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x v="643"/>
    <n v="13018068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x v="644"/>
    <n v="1374901200"/>
    <b v="0"/>
    <b v="0"/>
    <x v="8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x v="645"/>
    <n v="13364532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x v="646"/>
    <n v="1468904400"/>
    <b v="0"/>
    <b v="0"/>
    <x v="10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x v="626"/>
    <n v="13870872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x v="647"/>
    <n v="15474456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x v="159"/>
    <n v="1547359200"/>
    <b v="0"/>
    <b v="0"/>
    <x v="6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x v="648"/>
    <n v="14962932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x v="267"/>
    <n v="13354164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x v="649"/>
    <n v="15321492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x v="3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x v="571"/>
    <n v="1471496400"/>
    <b v="0"/>
    <b v="0"/>
    <x v="3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x v="650"/>
    <n v="14728788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x v="1"/>
    <n v="14085108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x v="651"/>
    <n v="12815892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x v="652"/>
    <n v="13758516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x v="653"/>
    <n v="1315803600"/>
    <b v="0"/>
    <b v="0"/>
    <x v="4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x v="654"/>
    <n v="1373691600"/>
    <b v="0"/>
    <b v="0"/>
    <x v="8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x v="655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x v="656"/>
    <n v="15204024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x v="657"/>
    <n v="1523336400"/>
    <b v="0"/>
    <b v="0"/>
    <x v="1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x v="265"/>
    <n v="1512280800"/>
    <b v="0"/>
    <b v="0"/>
    <x v="4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x v="658"/>
    <n v="14587092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x v="659"/>
    <n v="1414126800"/>
    <b v="0"/>
    <b v="1"/>
    <x v="3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x v="660"/>
    <n v="14162040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x v="661"/>
    <n v="1288501200"/>
    <b v="0"/>
    <b v="1"/>
    <x v="3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x v="4"/>
    <n v="15529716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x v="663"/>
    <n v="1360130400"/>
    <b v="0"/>
    <b v="0"/>
    <x v="6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x v="664"/>
    <n v="14328756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x v="665"/>
    <n v="15008724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x v="666"/>
    <n v="1492146000"/>
    <b v="0"/>
    <b v="1"/>
    <x v="1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x v="43"/>
    <n v="1407301200"/>
    <b v="0"/>
    <b v="0"/>
    <x v="16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x v="667"/>
    <n v="14866200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x v="668"/>
    <n v="14599188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x v="669"/>
    <n v="14247576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x v="670"/>
    <n v="14798808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x v="3"/>
    <x v="3"/>
    <x v="3"/>
  </r>
  <r>
    <n v="739"/>
    <s v="Meyer-Avila"/>
    <s v="Multi-tiered discrete support"/>
    <n v="10000"/>
    <n v="6100"/>
    <n v="0.61"/>
    <x v="0"/>
    <n v="191"/>
    <n v="31.94"/>
    <x v="1"/>
    <s v="USD"/>
    <x v="672"/>
    <n v="13410324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x v="3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x v="674"/>
    <n v="12746772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x v="675"/>
    <n v="12675096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x v="676"/>
    <n v="1445922000"/>
    <b v="0"/>
    <b v="1"/>
    <x v="3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x v="342"/>
    <n v="15340500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x v="2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x v="3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x v="680"/>
    <n v="12695796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x v="681"/>
    <n v="14137812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x v="5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x v="683"/>
    <n v="1459486800"/>
    <b v="1"/>
    <b v="1"/>
    <x v="9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x v="684"/>
    <n v="1282539600"/>
    <b v="0"/>
    <b v="1"/>
    <x v="3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x v="674"/>
    <n v="12758868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x v="685"/>
    <n v="13559832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x v="605"/>
    <n v="15153912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x v="686"/>
    <n v="14222520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x v="687"/>
    <n v="1305522000"/>
    <b v="0"/>
    <b v="0"/>
    <x v="6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x v="688"/>
    <n v="14149044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x v="689"/>
    <n v="1520402400"/>
    <b v="0"/>
    <b v="0"/>
    <x v="5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x v="690"/>
    <n v="1567141200"/>
    <b v="0"/>
    <b v="1"/>
    <x v="11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x v="691"/>
    <n v="1501131600"/>
    <b v="0"/>
    <b v="0"/>
    <x v="1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x v="17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x v="693"/>
    <n v="13394772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x v="694"/>
    <n v="1305954000"/>
    <b v="0"/>
    <b v="0"/>
    <x v="1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x v="695"/>
    <n v="14943924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x v="123"/>
    <n v="15374196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x v="696"/>
    <n v="1447999200"/>
    <b v="0"/>
    <b v="0"/>
    <x v="18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x v="3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x v="697"/>
    <n v="13787892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x v="698"/>
    <n v="13980564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x v="700"/>
    <n v="15500376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x v="701"/>
    <n v="1492923600"/>
    <b v="0"/>
    <b v="0"/>
    <x v="3"/>
    <x v="3"/>
    <x v="3"/>
  </r>
  <r>
    <n v="774"/>
    <s v="Gonzalez-Snow"/>
    <s v="Polarized user-facing interface"/>
    <n v="5000"/>
    <n v="6775"/>
    <n v="1.355"/>
    <x v="1"/>
    <n v="78"/>
    <n v="86.86"/>
    <x v="6"/>
    <s v="EUR"/>
    <x v="702"/>
    <n v="14675220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x v="1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x v="704"/>
    <n v="15637716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x v="431"/>
    <n v="1319259600"/>
    <b v="0"/>
    <b v="0"/>
    <x v="3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x v="705"/>
    <n v="1313643600"/>
    <b v="0"/>
    <b v="0"/>
    <x v="10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x v="706"/>
    <n v="14403060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x v="707"/>
    <n v="1470805200"/>
    <b v="0"/>
    <b v="1"/>
    <x v="6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x v="708"/>
    <n v="12929112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x v="709"/>
    <n v="13013748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x v="710"/>
    <n v="1387864800"/>
    <b v="0"/>
    <b v="0"/>
    <x v="1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x v="711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x v="157"/>
    <n v="15592788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x v="630"/>
    <n v="15227316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x v="712"/>
    <n v="1306731600"/>
    <b v="0"/>
    <b v="0"/>
    <x v="1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x v="93"/>
    <n v="13525272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x v="713"/>
    <n v="14043636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x v="714"/>
    <n v="12666456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x v="0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x v="716"/>
    <n v="13746420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x v="448"/>
    <n v="1372482000"/>
    <b v="0"/>
    <b v="0"/>
    <x v="9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x v="717"/>
    <n v="15149592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x v="718"/>
    <n v="14782356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x v="719"/>
    <n v="14080788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x v="720"/>
    <n v="1548136800"/>
    <b v="0"/>
    <b v="0"/>
    <x v="2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x v="721"/>
    <n v="1340859600"/>
    <b v="0"/>
    <b v="1"/>
    <x v="3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x v="722"/>
    <n v="14544792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x v="1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x v="723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x v="704"/>
    <n v="15623892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x v="724"/>
    <n v="15515064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x v="725"/>
    <n v="15166008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x v="660"/>
    <n v="1420437600"/>
    <b v="0"/>
    <b v="0"/>
    <x v="4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x v="726"/>
    <n v="1332997200"/>
    <b v="0"/>
    <b v="1"/>
    <x v="6"/>
    <x v="4"/>
    <x v="6"/>
  </r>
  <r>
    <n v="807"/>
    <s v="Walker-Taylor"/>
    <s v="Automated uniform concept"/>
    <n v="700"/>
    <n v="1848"/>
    <n v="2.64"/>
    <x v="1"/>
    <n v="43"/>
    <n v="42.98"/>
    <x v="1"/>
    <s v="USD"/>
    <x v="727"/>
    <n v="15749208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x v="728"/>
    <n v="14649300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x v="730"/>
    <n v="15127128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x v="731"/>
    <n v="1452492000"/>
    <b v="0"/>
    <b v="1"/>
    <x v="1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x v="9"/>
    <x v="5"/>
    <x v="9"/>
  </r>
  <r>
    <n v="813"/>
    <s v="Buckley Group"/>
    <s v="Diverse high-level attitude"/>
    <n v="3200"/>
    <n v="7661"/>
    <n v="2.3940625"/>
    <x v="1"/>
    <n v="68"/>
    <n v="112.66"/>
    <x v="1"/>
    <s v="USD"/>
    <x v="732"/>
    <n v="1346907600"/>
    <b v="0"/>
    <b v="0"/>
    <x v="11"/>
    <x v="6"/>
    <x v="11"/>
  </r>
  <r>
    <n v="814"/>
    <s v="Vincent PLC"/>
    <s v="Visionary 24hour analyzer"/>
    <n v="3200"/>
    <n v="2950"/>
    <n v="0.921875"/>
    <x v="0"/>
    <n v="36"/>
    <n v="81.94"/>
    <x v="3"/>
    <s v="DKK"/>
    <x v="733"/>
    <n v="14644980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x v="734"/>
    <n v="15141816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x v="406"/>
    <n v="13921848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x v="735"/>
    <n v="1559365200"/>
    <b v="0"/>
    <b v="1"/>
    <x v="9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x v="736"/>
    <n v="15491736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x v="737"/>
    <n v="13550328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x v="192"/>
    <n v="1533963600"/>
    <b v="0"/>
    <b v="1"/>
    <x v="1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x v="738"/>
    <n v="14893812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x v="739"/>
    <n v="1395032400"/>
    <b v="0"/>
    <b v="0"/>
    <x v="1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x v="613"/>
    <n v="14124852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x v="740"/>
    <n v="1279688400"/>
    <b v="0"/>
    <b v="1"/>
    <x v="9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x v="145"/>
    <n v="15019956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x v="741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x v="742"/>
    <n v="13054356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x v="202"/>
    <n v="1537592400"/>
    <b v="0"/>
    <b v="0"/>
    <x v="3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x v="743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x v="744"/>
    <n v="15200568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x v="745"/>
    <n v="13356756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x v="746"/>
    <n v="14484312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x v="747"/>
    <n v="12986136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x v="362"/>
    <n v="13724820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x v="748"/>
    <n v="1425621600"/>
    <b v="0"/>
    <b v="0"/>
    <x v="2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x v="749"/>
    <n v="12663000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x v="643"/>
    <n v="13058676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x v="750"/>
    <n v="1538802000"/>
    <b v="0"/>
    <b v="0"/>
    <x v="3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x v="751"/>
    <n v="1398920400"/>
    <b v="0"/>
    <b v="1"/>
    <x v="4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x v="752"/>
    <n v="14056596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x v="753"/>
    <n v="14572440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x v="754"/>
    <n v="15292980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x v="755"/>
    <n v="15357780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x v="756"/>
    <n v="1327471200"/>
    <b v="0"/>
    <b v="0"/>
    <x v="4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x v="757"/>
    <n v="1529557200"/>
    <b v="0"/>
    <b v="0"/>
    <x v="2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x v="758"/>
    <n v="15352596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x v="759"/>
    <n v="15155640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x v="760"/>
    <n v="12770964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x v="761"/>
    <n v="13290264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x v="444"/>
    <n v="13387860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x v="763"/>
    <n v="13116564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x v="764"/>
    <n v="13089780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x v="765"/>
    <n v="15763896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x v="3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x v="767"/>
    <n v="13367124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x v="768"/>
    <n v="13304088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x v="769"/>
    <n v="15248916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x v="770"/>
    <n v="1363669200"/>
    <b v="0"/>
    <b v="1"/>
    <x v="3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x v="771"/>
    <n v="15514200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x v="772"/>
    <n v="12698388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x v="773"/>
    <n v="1312520400"/>
    <b v="0"/>
    <b v="0"/>
    <x v="3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x v="774"/>
    <n v="1436504400"/>
    <b v="0"/>
    <b v="1"/>
    <x v="19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x v="776"/>
    <n v="14115348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x v="777"/>
    <n v="13049172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x v="779"/>
    <n v="13825044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x v="780"/>
    <n v="1278306000"/>
    <b v="0"/>
    <b v="0"/>
    <x v="6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x v="335"/>
    <n v="14425524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x v="535"/>
    <n v="1511071200"/>
    <b v="0"/>
    <b v="1"/>
    <x v="3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x v="270"/>
    <n v="15363828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x v="781"/>
    <n v="1389592800"/>
    <b v="0"/>
    <b v="0"/>
    <x v="14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x v="782"/>
    <n v="1275282000"/>
    <b v="0"/>
    <b v="1"/>
    <x v="14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x v="783"/>
    <n v="12949848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x v="784"/>
    <n v="15620436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x v="785"/>
    <n v="1469595600"/>
    <b v="0"/>
    <b v="0"/>
    <x v="0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x v="786"/>
    <n v="1581141600"/>
    <b v="0"/>
    <b v="0"/>
    <x v="16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x v="787"/>
    <n v="14885208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x v="788"/>
    <n v="15638580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x v="330"/>
    <n v="1438923600"/>
    <b v="0"/>
    <b v="1"/>
    <x v="3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x v="790"/>
    <n v="12778740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x v="791"/>
    <n v="1399352400"/>
    <b v="0"/>
    <b v="1"/>
    <x v="3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x v="792"/>
    <n v="12790836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x v="793"/>
    <n v="12843540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x v="794"/>
    <n v="14411700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x v="795"/>
    <n v="1493528400"/>
    <b v="0"/>
    <b v="0"/>
    <x v="3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x v="796"/>
    <n v="13952052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x v="797"/>
    <n v="15614388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x v="798"/>
    <n v="13266936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x v="799"/>
    <n v="12779604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x v="800"/>
    <n v="1434690000"/>
    <b v="0"/>
    <b v="1"/>
    <x v="4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x v="801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x v="802"/>
    <n v="15184152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x v="803"/>
    <n v="1310878800"/>
    <b v="0"/>
    <b v="1"/>
    <x v="0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x v="212"/>
    <n v="1556600400"/>
    <b v="0"/>
    <b v="0"/>
    <x v="3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x v="804"/>
    <n v="1576994400"/>
    <b v="0"/>
    <b v="0"/>
    <x v="4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x v="805"/>
    <n v="1382677200"/>
    <b v="0"/>
    <b v="0"/>
    <x v="17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x v="2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x v="807"/>
    <n v="15346548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x v="722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x v="477"/>
    <n v="13374900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x v="259"/>
    <n v="13496724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x v="9"/>
    <n v="13798260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x v="808"/>
    <n v="14977620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x v="809"/>
    <n v="1304485200"/>
    <b v="0"/>
    <b v="0"/>
    <x v="3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x v="444"/>
    <n v="13368852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x v="384"/>
    <n v="15304212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x v="810"/>
    <n v="14219928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x v="811"/>
    <n v="1568178000"/>
    <b v="1"/>
    <b v="0"/>
    <x v="2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x v="812"/>
    <n v="13479444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x v="813"/>
    <n v="15587604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x v="814"/>
    <n v="13766292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x v="80"/>
    <n v="15047604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x v="815"/>
    <n v="1419660000"/>
    <b v="0"/>
    <b v="0"/>
    <x v="14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x v="816"/>
    <n v="1311310800"/>
    <b v="0"/>
    <b v="1"/>
    <x v="12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x v="474"/>
    <n v="1344315600"/>
    <b v="0"/>
    <b v="0"/>
    <x v="15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x v="817"/>
    <n v="15107256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x v="818"/>
    <n v="15512472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x v="819"/>
    <n v="1330236000"/>
    <b v="0"/>
    <b v="0"/>
    <x v="2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x v="2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x v="820"/>
    <n v="15734520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x v="821"/>
    <n v="1507093200"/>
    <b v="0"/>
    <b v="0"/>
    <x v="3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x v="151"/>
    <n v="1463374800"/>
    <b v="0"/>
    <b v="0"/>
    <x v="0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x v="822"/>
    <n v="13445748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x v="823"/>
    <n v="1389074400"/>
    <b v="0"/>
    <b v="0"/>
    <x v="2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x v="824"/>
    <n v="14949972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x v="825"/>
    <n v="14254488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x v="826"/>
    <n v="14041044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x v="827"/>
    <n v="1394773200"/>
    <b v="0"/>
    <b v="0"/>
    <x v="1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x v="828"/>
    <n v="13665204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x v="829"/>
    <n v="14566392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x v="830"/>
    <n v="1438318800"/>
    <b v="0"/>
    <b v="0"/>
    <x v="3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x v="831"/>
    <n v="15640308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x v="832"/>
    <n v="1449295200"/>
    <b v="0"/>
    <b v="0"/>
    <x v="4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x v="833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x v="834"/>
    <n v="1306213200"/>
    <b v="0"/>
    <b v="1"/>
    <x v="11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x v="835"/>
    <n v="1356242400"/>
    <b v="0"/>
    <b v="0"/>
    <x v="2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x v="836"/>
    <n v="1297576800"/>
    <b v="1"/>
    <b v="0"/>
    <x v="3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x v="837"/>
    <n v="12961944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x v="219"/>
    <n v="1414558800"/>
    <b v="0"/>
    <b v="0"/>
    <x v="0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x v="365"/>
    <n v="14883480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x v="838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x v="839"/>
    <n v="1308373200"/>
    <b v="0"/>
    <b v="0"/>
    <x v="3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x v="840"/>
    <n v="1412312400"/>
    <b v="0"/>
    <b v="0"/>
    <x v="3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x v="841"/>
    <n v="14192280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x v="842"/>
    <n v="1430974800"/>
    <b v="0"/>
    <b v="0"/>
    <x v="2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x v="3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x v="844"/>
    <n v="1482818400"/>
    <b v="0"/>
    <b v="1"/>
    <x v="1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x v="845"/>
    <n v="1471928400"/>
    <b v="0"/>
    <b v="0"/>
    <x v="4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x v="846"/>
    <n v="14537016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x v="110"/>
    <n v="1350363600"/>
    <b v="0"/>
    <b v="0"/>
    <x v="2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x v="847"/>
    <n v="1353996000"/>
    <b v="0"/>
    <b v="0"/>
    <x v="3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x v="848"/>
    <n v="14511096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x v="849"/>
    <n v="13296312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x v="780"/>
    <n v="1278997200"/>
    <b v="0"/>
    <b v="0"/>
    <x v="10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x v="140"/>
    <n v="12801204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x v="850"/>
    <n v="14581044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x v="851"/>
    <n v="12982680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x v="852"/>
    <n v="1386223200"/>
    <b v="0"/>
    <b v="0"/>
    <x v="0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x v="853"/>
    <n v="12998232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x v="854"/>
    <n v="1431752400"/>
    <b v="0"/>
    <b v="0"/>
    <x v="3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x v="67"/>
    <n v="12678552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x v="855"/>
    <n v="14976756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x v="107"/>
    <n v="13368852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x v="344"/>
    <n v="1295157600"/>
    <b v="0"/>
    <b v="0"/>
    <x v="0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x v="856"/>
    <n v="15775992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x v="857"/>
    <n v="1305003600"/>
    <b v="0"/>
    <b v="0"/>
    <x v="3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x v="858"/>
    <n v="13817268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x v="859"/>
    <n v="14024628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x v="860"/>
    <n v="12921336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x v="170"/>
    <n v="1368939600"/>
    <b v="0"/>
    <b v="0"/>
    <x v="7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x v="861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x v="862"/>
    <n v="12967128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x v="863"/>
    <n v="15207480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x v="864"/>
    <n v="14808312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x v="527"/>
    <n v="14269140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x v="865"/>
    <n v="1446616800"/>
    <b v="1"/>
    <b v="0"/>
    <x v="9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x v="866"/>
    <n v="15170328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x v="867"/>
    <n v="1311224400"/>
    <b v="0"/>
    <b v="1"/>
    <x v="4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x v="868"/>
    <n v="15661908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x v="105"/>
    <n v="1570165200"/>
    <b v="0"/>
    <b v="0"/>
    <x v="3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x v="481"/>
    <n v="13885560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x v="253"/>
    <n v="1303189200"/>
    <b v="0"/>
    <b v="0"/>
    <x v="1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x v="869"/>
    <n v="14944788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x v="864"/>
    <n v="1480744800"/>
    <b v="0"/>
    <b v="0"/>
    <x v="15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x v="843"/>
    <n v="15558228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x v="289"/>
    <n v="1458882000"/>
    <b v="0"/>
    <b v="1"/>
    <x v="6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x v="870"/>
    <n v="1411966800"/>
    <b v="0"/>
    <b v="1"/>
    <x v="1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x v="871"/>
    <n v="15268788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x v="873"/>
    <n v="14140404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x v="874"/>
    <n v="15438168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x v="875"/>
    <n v="1359698400"/>
    <b v="0"/>
    <b v="0"/>
    <x v="3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x v="876"/>
    <n v="13906296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x v="877"/>
    <n v="12670776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x v="878"/>
    <n v="1467781200"/>
    <b v="0"/>
    <b v="0"/>
    <x v="0"/>
    <x v="0"/>
    <x v="0"/>
  </r>
  <r>
    <m/>
    <m/>
    <m/>
    <m/>
    <m/>
    <m/>
    <x v="4"/>
    <m/>
    <m/>
    <x v="7"/>
    <m/>
    <x v="879"/>
    <m/>
    <m/>
    <m/>
    <x v="24"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4F1E0-ACB1-4CA0-BBA4-EF20840297B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6CA07-69D5-47F1-9202-FC0D6455B0E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66120-BDA1-4204-AB0A-B063A731CAD3}" name="PivotTable6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name="Year"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1" hier="20" name="[Range].[date created conversion (Year)].[All]" cap="All"/>
  </pageFields>
  <dataFields count="1">
    <dataField name="Count of outcome" fld="2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85" zoomScaleNormal="100" workbookViewId="0">
      <selection activeCell="G1001" sqref="G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customWidth="1"/>
    <col min="8" max="8" width="13" bestFit="1" customWidth="1"/>
    <col min="9" max="9" width="16" customWidth="1"/>
    <col min="12" max="12" width="11.125" bestFit="1" customWidth="1"/>
    <col min="13" max="13" width="21.625" style="9" customWidth="1"/>
    <col min="14" max="14" width="11.125" bestFit="1" customWidth="1"/>
    <col min="15" max="15" width="19.5" style="9" customWidth="1"/>
    <col min="18" max="18" width="28" bestFit="1" customWidth="1"/>
    <col min="19" max="19" width="14.75" customWidth="1"/>
    <col min="20" max="20" width="14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2072</v>
      </c>
      <c r="N1" s="1" t="s">
        <v>9</v>
      </c>
      <c r="O1" s="8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 s="9">
        <f t="shared" ref="M2:M65" si="0">(((L2/60)/60)/24)+DATE(1970,1,1)</f>
        <v>42336.25</v>
      </c>
      <c r="N2">
        <v>1450159200</v>
      </c>
      <c r="O2" s="9">
        <f t="shared" ref="O2:O65" si="1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 t="shared" ref="I3:I66" si="2">ROUND(E3/H3,2)</f>
        <v>92.15</v>
      </c>
      <c r="J3" t="s">
        <v>21</v>
      </c>
      <c r="K3" t="s">
        <v>22</v>
      </c>
      <c r="L3">
        <v>1408424400</v>
      </c>
      <c r="M3" s="9">
        <f t="shared" si="0"/>
        <v>41870.208333333336</v>
      </c>
      <c r="N3">
        <v>1408597200</v>
      </c>
      <c r="O3" s="9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</f>
        <v>1.3147878228782288</v>
      </c>
      <c r="G4" t="s">
        <v>20</v>
      </c>
      <c r="H4">
        <v>1425</v>
      </c>
      <c r="I4">
        <f t="shared" si="2"/>
        <v>100.02</v>
      </c>
      <c r="J4" t="s">
        <v>26</v>
      </c>
      <c r="K4" t="s">
        <v>27</v>
      </c>
      <c r="L4">
        <v>1384668000</v>
      </c>
      <c r="M4" s="9">
        <f t="shared" si="0"/>
        <v>41595.25</v>
      </c>
      <c r="N4">
        <v>1384840800</v>
      </c>
      <c r="O4" s="9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9">
        <f t="shared" si="0"/>
        <v>43688.208333333328</v>
      </c>
      <c r="N5">
        <v>1568955600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9">
        <f t="shared" si="0"/>
        <v>43485.25</v>
      </c>
      <c r="N6">
        <v>1548309600</v>
      </c>
      <c r="O6" s="9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9">
        <f t="shared" si="0"/>
        <v>41149.208333333336</v>
      </c>
      <c r="N7">
        <v>1347080400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9">
        <f t="shared" si="0"/>
        <v>42991.208333333328</v>
      </c>
      <c r="N8">
        <v>1505365200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9">
        <f t="shared" si="0"/>
        <v>42229.208333333328</v>
      </c>
      <c r="N9">
        <v>1439614800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9">
        <f t="shared" si="0"/>
        <v>40399.208333333336</v>
      </c>
      <c r="N10">
        <v>1281502800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9">
        <f t="shared" si="0"/>
        <v>41536.208333333336</v>
      </c>
      <c r="N11">
        <v>1383804000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9">
        <f t="shared" si="0"/>
        <v>40404.208333333336</v>
      </c>
      <c r="N12">
        <v>1285909200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9">
        <f t="shared" si="0"/>
        <v>40442.208333333336</v>
      </c>
      <c r="N13">
        <v>1285563600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9">
        <f t="shared" si="0"/>
        <v>43760.208333333328</v>
      </c>
      <c r="N14">
        <v>1572411600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9">
        <f t="shared" si="0"/>
        <v>42532.208333333328</v>
      </c>
      <c r="N15">
        <v>1466658000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9">
        <f t="shared" si="0"/>
        <v>40974.25</v>
      </c>
      <c r="N16">
        <v>1333342800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9">
        <f t="shared" si="0"/>
        <v>43809.25</v>
      </c>
      <c r="N17">
        <v>1576303200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9">
        <f t="shared" si="0"/>
        <v>41661.25</v>
      </c>
      <c r="N18">
        <v>1392271200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9">
        <f t="shared" si="0"/>
        <v>40555.25</v>
      </c>
      <c r="N19">
        <v>1294898400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9">
        <f t="shared" si="0"/>
        <v>43351.208333333328</v>
      </c>
      <c r="N20">
        <v>1537074000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9">
        <f t="shared" si="0"/>
        <v>43528.25</v>
      </c>
      <c r="N21">
        <v>1553490000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9">
        <f t="shared" si="0"/>
        <v>41848.208333333336</v>
      </c>
      <c r="N22">
        <v>1406523600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9">
        <f t="shared" si="0"/>
        <v>40770.208333333336</v>
      </c>
      <c r="N23">
        <v>1316322000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9">
        <f t="shared" si="0"/>
        <v>43193.208333333328</v>
      </c>
      <c r="N24">
        <v>1524027600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9">
        <f t="shared" si="0"/>
        <v>43510.25</v>
      </c>
      <c r="N25">
        <v>1554699600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9">
        <f t="shared" si="0"/>
        <v>41811.208333333336</v>
      </c>
      <c r="N26">
        <v>1403499600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9">
        <f t="shared" si="0"/>
        <v>40681.208333333336</v>
      </c>
      <c r="N27">
        <v>1307422800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9">
        <f t="shared" si="0"/>
        <v>43312.208333333328</v>
      </c>
      <c r="N28">
        <v>1535346000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9">
        <f t="shared" si="0"/>
        <v>42280.208333333328</v>
      </c>
      <c r="N29">
        <v>1444539600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9">
        <f t="shared" si="0"/>
        <v>40218.25</v>
      </c>
      <c r="N30">
        <v>1267682400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9">
        <f t="shared" si="0"/>
        <v>43301.208333333328</v>
      </c>
      <c r="N31">
        <v>1535518800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9">
        <f t="shared" si="0"/>
        <v>43609.208333333328</v>
      </c>
      <c r="N32">
        <v>1559106000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9">
        <f t="shared" si="0"/>
        <v>42374.25</v>
      </c>
      <c r="N33">
        <v>1454392800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9">
        <f t="shared" si="0"/>
        <v>43110.25</v>
      </c>
      <c r="N34">
        <v>1517896800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9">
        <f t="shared" si="0"/>
        <v>41917.208333333336</v>
      </c>
      <c r="N35">
        <v>1415685600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9">
        <f t="shared" si="0"/>
        <v>42817.208333333328</v>
      </c>
      <c r="N36">
        <v>1490677200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9">
        <f t="shared" si="0"/>
        <v>43484.25</v>
      </c>
      <c r="N37">
        <v>1551506400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9">
        <f t="shared" si="0"/>
        <v>40600.25</v>
      </c>
      <c r="N38">
        <v>1300856400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9">
        <f t="shared" si="0"/>
        <v>43744.208333333328</v>
      </c>
      <c r="N39">
        <v>1573192800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9">
        <f t="shared" si="0"/>
        <v>40469.208333333336</v>
      </c>
      <c r="N40">
        <v>1287810000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9">
        <f t="shared" si="0"/>
        <v>41330.25</v>
      </c>
      <c r="N41">
        <v>1362978000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9">
        <f t="shared" si="0"/>
        <v>40334.208333333336</v>
      </c>
      <c r="N42">
        <v>1277355600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9">
        <f t="shared" si="0"/>
        <v>41156.208333333336</v>
      </c>
      <c r="N43">
        <v>1348981200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9">
        <f t="shared" si="0"/>
        <v>40728.208333333336</v>
      </c>
      <c r="N44">
        <v>1310533200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9">
        <f t="shared" si="0"/>
        <v>41844.208333333336</v>
      </c>
      <c r="N45">
        <v>1407560400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9">
        <f t="shared" si="0"/>
        <v>43541.208333333328</v>
      </c>
      <c r="N46">
        <v>1552885200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9">
        <f t="shared" si="0"/>
        <v>42676.208333333328</v>
      </c>
      <c r="N47">
        <v>1479362400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9">
        <f t="shared" si="0"/>
        <v>40367.208333333336</v>
      </c>
      <c r="N48">
        <v>1280552400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9">
        <f t="shared" si="0"/>
        <v>41727.208333333336</v>
      </c>
      <c r="N49">
        <v>1398661200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9">
        <f t="shared" si="0"/>
        <v>42180.208333333328</v>
      </c>
      <c r="N50">
        <v>1436245200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9">
        <f t="shared" si="0"/>
        <v>43758.208333333328</v>
      </c>
      <c r="N51">
        <v>1575439200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9">
        <f t="shared" si="0"/>
        <v>41487.208333333336</v>
      </c>
      <c r="N52">
        <v>1377752400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9">
        <f t="shared" si="0"/>
        <v>40995.208333333336</v>
      </c>
      <c r="N53">
        <v>1334206800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9">
        <f t="shared" si="0"/>
        <v>40436.208333333336</v>
      </c>
      <c r="N54">
        <v>1284872400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9">
        <f t="shared" si="0"/>
        <v>41779.208333333336</v>
      </c>
      <c r="N55">
        <v>1403931600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9">
        <f t="shared" si="0"/>
        <v>43170.25</v>
      </c>
      <c r="N56">
        <v>1521262800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9">
        <f t="shared" si="0"/>
        <v>43311.208333333328</v>
      </c>
      <c r="N57">
        <v>1533358800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9">
        <f t="shared" si="0"/>
        <v>42014.25</v>
      </c>
      <c r="N58">
        <v>1421474400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9">
        <f t="shared" si="0"/>
        <v>42979.208333333328</v>
      </c>
      <c r="N59">
        <v>1505278800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9">
        <f t="shared" si="0"/>
        <v>42268.208333333328</v>
      </c>
      <c r="N60">
        <v>1443934800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9">
        <f t="shared" si="0"/>
        <v>42898.208333333328</v>
      </c>
      <c r="N61">
        <v>1498539600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9">
        <f t="shared" si="0"/>
        <v>41107.208333333336</v>
      </c>
      <c r="N62">
        <v>1342760400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9">
        <f t="shared" si="0"/>
        <v>40595.25</v>
      </c>
      <c r="N63">
        <v>1301720400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9">
        <f t="shared" si="0"/>
        <v>42160.208333333328</v>
      </c>
      <c r="N64">
        <v>1433566800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9">
        <f t="shared" si="0"/>
        <v>42853.208333333328</v>
      </c>
      <c r="N65">
        <v>1493874000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9">
        <f t="shared" ref="M66:M129" si="4">(((L66/60)/60)/24)+DATE(1970,1,1)</f>
        <v>43283.208333333328</v>
      </c>
      <c r="N66">
        <v>1531803600</v>
      </c>
      <c r="O66" s="9">
        <f t="shared" ref="O66:O129" si="5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ref="I67:I130" si="6">ROUND(E67/H67,2)</f>
        <v>61.04</v>
      </c>
      <c r="J67" t="s">
        <v>21</v>
      </c>
      <c r="K67" t="s">
        <v>22</v>
      </c>
      <c r="L67">
        <v>1296108000</v>
      </c>
      <c r="M67" s="9">
        <f t="shared" si="4"/>
        <v>40570.25</v>
      </c>
      <c r="N67">
        <v>1296712800</v>
      </c>
      <c r="O67" s="9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</f>
        <v>0.45068965517241377</v>
      </c>
      <c r="G68" t="s">
        <v>14</v>
      </c>
      <c r="H68">
        <v>12</v>
      </c>
      <c r="I68">
        <f t="shared" si="6"/>
        <v>108.92</v>
      </c>
      <c r="J68" t="s">
        <v>21</v>
      </c>
      <c r="K68" t="s">
        <v>22</v>
      </c>
      <c r="L68">
        <v>1428469200</v>
      </c>
      <c r="M68" s="9">
        <f t="shared" si="4"/>
        <v>42102.208333333328</v>
      </c>
      <c r="N68">
        <v>1428901200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9">
        <f t="shared" si="4"/>
        <v>40203.25</v>
      </c>
      <c r="N69">
        <v>1264831200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9">
        <f t="shared" si="4"/>
        <v>42943.208333333328</v>
      </c>
      <c r="N70">
        <v>1505192400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9">
        <f t="shared" si="4"/>
        <v>40531.25</v>
      </c>
      <c r="N71">
        <v>1295676000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9">
        <f t="shared" si="4"/>
        <v>40484.208333333336</v>
      </c>
      <c r="N72">
        <v>1292911200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9">
        <f t="shared" si="4"/>
        <v>43799.25</v>
      </c>
      <c r="N73">
        <v>1575439200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9">
        <f t="shared" si="4"/>
        <v>42186.208333333328</v>
      </c>
      <c r="N74">
        <v>1438837200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9">
        <f t="shared" si="4"/>
        <v>42701.25</v>
      </c>
      <c r="N75">
        <v>1480485600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9">
        <f t="shared" si="4"/>
        <v>42456.208333333328</v>
      </c>
      <c r="N76">
        <v>1459141200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9">
        <f t="shared" si="4"/>
        <v>43296.208333333328</v>
      </c>
      <c r="N77">
        <v>1532322000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9">
        <f t="shared" si="4"/>
        <v>42027.25</v>
      </c>
      <c r="N78">
        <v>1426222800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9">
        <f t="shared" si="4"/>
        <v>40448.208333333336</v>
      </c>
      <c r="N79">
        <v>1286773200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9">
        <f t="shared" si="4"/>
        <v>43206.208333333328</v>
      </c>
      <c r="N80">
        <v>1523941200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9">
        <f t="shared" si="4"/>
        <v>43267.208333333328</v>
      </c>
      <c r="N81">
        <v>1529557200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9">
        <f t="shared" si="4"/>
        <v>42976.208333333328</v>
      </c>
      <c r="N82">
        <v>1506574800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9">
        <f t="shared" si="4"/>
        <v>43062.25</v>
      </c>
      <c r="N83">
        <v>1513576800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9">
        <f t="shared" si="4"/>
        <v>43482.25</v>
      </c>
      <c r="N84">
        <v>1548309600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9">
        <f t="shared" si="4"/>
        <v>42579.208333333328</v>
      </c>
      <c r="N85">
        <v>1471582800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9">
        <f t="shared" si="4"/>
        <v>41118.208333333336</v>
      </c>
      <c r="N86">
        <v>1344315600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9">
        <f t="shared" si="4"/>
        <v>40797.208333333336</v>
      </c>
      <c r="N87">
        <v>1316408400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9">
        <f t="shared" si="4"/>
        <v>42128.208333333328</v>
      </c>
      <c r="N88">
        <v>1431838800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9">
        <f t="shared" si="4"/>
        <v>40610.25</v>
      </c>
      <c r="N89">
        <v>1300510800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9">
        <f t="shared" si="4"/>
        <v>42110.208333333328</v>
      </c>
      <c r="N90">
        <v>1431061200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9">
        <f t="shared" si="4"/>
        <v>40283.208333333336</v>
      </c>
      <c r="N91">
        <v>1271480400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9">
        <f t="shared" si="4"/>
        <v>42425.25</v>
      </c>
      <c r="N92">
        <v>1456380000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9">
        <f t="shared" si="4"/>
        <v>42588.208333333328</v>
      </c>
      <c r="N93">
        <v>1472878800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9">
        <f t="shared" si="4"/>
        <v>40352.208333333336</v>
      </c>
      <c r="N94">
        <v>1277355600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9">
        <f t="shared" si="4"/>
        <v>41202.208333333336</v>
      </c>
      <c r="N95">
        <v>1351054800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9">
        <f t="shared" si="4"/>
        <v>43562.208333333328</v>
      </c>
      <c r="N96">
        <v>1555563600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9">
        <f t="shared" si="4"/>
        <v>43752.208333333328</v>
      </c>
      <c r="N97">
        <v>1571634000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9">
        <f t="shared" si="4"/>
        <v>40612.25</v>
      </c>
      <c r="N98">
        <v>1300856400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9">
        <f t="shared" si="4"/>
        <v>42180.208333333328</v>
      </c>
      <c r="N99">
        <v>1439874000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9">
        <f t="shared" si="4"/>
        <v>42212.208333333328</v>
      </c>
      <c r="N100">
        <v>1438318800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9">
        <f t="shared" si="4"/>
        <v>41968.25</v>
      </c>
      <c r="N101">
        <v>1419400800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9">
        <f t="shared" si="4"/>
        <v>40835.208333333336</v>
      </c>
      <c r="N102">
        <v>1320555600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9">
        <f t="shared" si="4"/>
        <v>42056.25</v>
      </c>
      <c r="N103">
        <v>1425103200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9">
        <f t="shared" si="4"/>
        <v>43234.208333333328</v>
      </c>
      <c r="N104">
        <v>1526878800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9">
        <f t="shared" si="4"/>
        <v>40475.208333333336</v>
      </c>
      <c r="N105">
        <v>1288674000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9">
        <f t="shared" si="4"/>
        <v>42878.208333333328</v>
      </c>
      <c r="N106">
        <v>1495602000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9">
        <f t="shared" si="4"/>
        <v>41366.208333333336</v>
      </c>
      <c r="N107">
        <v>1366434000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9">
        <f t="shared" si="4"/>
        <v>43716.208333333328</v>
      </c>
      <c r="N108">
        <v>1568350800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9">
        <f t="shared" si="4"/>
        <v>43213.208333333328</v>
      </c>
      <c r="N109">
        <v>1525928400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9">
        <f t="shared" si="4"/>
        <v>41005.208333333336</v>
      </c>
      <c r="N110">
        <v>1336885200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9">
        <f t="shared" si="4"/>
        <v>41651.25</v>
      </c>
      <c r="N111">
        <v>1389679200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9">
        <f t="shared" si="4"/>
        <v>43354.208333333328</v>
      </c>
      <c r="N112">
        <v>1538283600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9">
        <f t="shared" si="4"/>
        <v>41174.208333333336</v>
      </c>
      <c r="N113">
        <v>1348808400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9">
        <f t="shared" si="4"/>
        <v>41875.208333333336</v>
      </c>
      <c r="N114">
        <v>1410152400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9">
        <f t="shared" si="4"/>
        <v>42990.208333333328</v>
      </c>
      <c r="N115">
        <v>1505797200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9">
        <f t="shared" si="4"/>
        <v>43564.208333333328</v>
      </c>
      <c r="N116">
        <v>1554872400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9">
        <f t="shared" si="4"/>
        <v>43056.25</v>
      </c>
      <c r="N117">
        <v>1513922400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9">
        <f t="shared" si="4"/>
        <v>42265.208333333328</v>
      </c>
      <c r="N118">
        <v>1442638800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9">
        <f t="shared" si="4"/>
        <v>40808.208333333336</v>
      </c>
      <c r="N119">
        <v>1317186000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9">
        <f t="shared" si="4"/>
        <v>41665.25</v>
      </c>
      <c r="N120">
        <v>1391234400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9">
        <f t="shared" si="4"/>
        <v>41806.208333333336</v>
      </c>
      <c r="N121">
        <v>1404363600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9">
        <f t="shared" si="4"/>
        <v>42111.208333333328</v>
      </c>
      <c r="N122">
        <v>1429592400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9">
        <f t="shared" si="4"/>
        <v>41917.208333333336</v>
      </c>
      <c r="N123">
        <v>1413608400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9">
        <f t="shared" si="4"/>
        <v>41970.25</v>
      </c>
      <c r="N124">
        <v>1419400800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9">
        <f t="shared" si="4"/>
        <v>42332.25</v>
      </c>
      <c r="N125">
        <v>1448604000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9">
        <f t="shared" si="4"/>
        <v>43598.208333333328</v>
      </c>
      <c r="N126">
        <v>1562302800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9">
        <f t="shared" si="4"/>
        <v>43362.208333333328</v>
      </c>
      <c r="N127">
        <v>1537678800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9">
        <f t="shared" si="4"/>
        <v>42596.208333333328</v>
      </c>
      <c r="N128">
        <v>1473570000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9">
        <f t="shared" si="4"/>
        <v>40310.208333333336</v>
      </c>
      <c r="N129">
        <v>1273899600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9">
        <f t="shared" ref="M130:M193" si="8">(((L130/60)/60)/24)+DATE(1970,1,1)</f>
        <v>40417.208333333336</v>
      </c>
      <c r="N130">
        <v>1284008400</v>
      </c>
      <c r="O130" s="9">
        <f t="shared" ref="O130:O193" si="9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ref="I131:I194" si="10">ROUND(E131/H131,2)</f>
        <v>86.47</v>
      </c>
      <c r="J131" t="s">
        <v>26</v>
      </c>
      <c r="K131" t="s">
        <v>27</v>
      </c>
      <c r="L131">
        <v>1422943200</v>
      </c>
      <c r="M131" s="9">
        <f t="shared" si="8"/>
        <v>42038.25</v>
      </c>
      <c r="N131">
        <v>1425103200</v>
      </c>
      <c r="O131" s="9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</f>
        <v>1.5546875</v>
      </c>
      <c r="G132" t="s">
        <v>20</v>
      </c>
      <c r="H132">
        <v>533</v>
      </c>
      <c r="I132">
        <f t="shared" si="10"/>
        <v>28</v>
      </c>
      <c r="J132" t="s">
        <v>36</v>
      </c>
      <c r="K132" t="s">
        <v>37</v>
      </c>
      <c r="L132">
        <v>1319605200</v>
      </c>
      <c r="M132" s="9">
        <f t="shared" si="8"/>
        <v>40842.208333333336</v>
      </c>
      <c r="N132">
        <v>1320991200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9">
        <f t="shared" si="8"/>
        <v>41607.25</v>
      </c>
      <c r="N133">
        <v>1386828000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9">
        <f t="shared" si="8"/>
        <v>43112.25</v>
      </c>
      <c r="N134">
        <v>1517119200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9">
        <f t="shared" si="8"/>
        <v>40767.208333333336</v>
      </c>
      <c r="N135">
        <v>1315026000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9">
        <f t="shared" si="8"/>
        <v>40713.208333333336</v>
      </c>
      <c r="N136">
        <v>1312693200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9">
        <f t="shared" si="8"/>
        <v>41340.25</v>
      </c>
      <c r="N137">
        <v>1363064400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9">
        <f t="shared" si="8"/>
        <v>41797.208333333336</v>
      </c>
      <c r="N138">
        <v>1403154000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9">
        <f t="shared" si="8"/>
        <v>40457.208333333336</v>
      </c>
      <c r="N139">
        <v>1286859600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9">
        <f t="shared" si="8"/>
        <v>41180.208333333336</v>
      </c>
      <c r="N140">
        <v>1349326800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9">
        <f t="shared" si="8"/>
        <v>42115.208333333328</v>
      </c>
      <c r="N141">
        <v>1430974800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9">
        <f t="shared" si="8"/>
        <v>43156.25</v>
      </c>
      <c r="N142">
        <v>1519970400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9">
        <f t="shared" si="8"/>
        <v>42167.208333333328</v>
      </c>
      <c r="N143">
        <v>1434603600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9">
        <f t="shared" si="8"/>
        <v>41005.208333333336</v>
      </c>
      <c r="N144">
        <v>1337230800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9">
        <f t="shared" si="8"/>
        <v>40357.208333333336</v>
      </c>
      <c r="N145">
        <v>1279429200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9">
        <f t="shared" si="8"/>
        <v>43633.208333333328</v>
      </c>
      <c r="N146">
        <v>1561438800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9">
        <f t="shared" si="8"/>
        <v>41889.208333333336</v>
      </c>
      <c r="N147">
        <v>1410498000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9">
        <f t="shared" si="8"/>
        <v>40855.25</v>
      </c>
      <c r="N148">
        <v>1322460000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9">
        <f t="shared" si="8"/>
        <v>42534.208333333328</v>
      </c>
      <c r="N149">
        <v>1466312400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9">
        <f t="shared" si="8"/>
        <v>42941.208333333328</v>
      </c>
      <c r="N150">
        <v>1501736400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9">
        <f t="shared" si="8"/>
        <v>41275.25</v>
      </c>
      <c r="N151">
        <v>1361512800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9">
        <f t="shared" si="8"/>
        <v>43450.25</v>
      </c>
      <c r="N152">
        <v>1545026400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9">
        <f t="shared" si="8"/>
        <v>41799.208333333336</v>
      </c>
      <c r="N153">
        <v>1406696400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9">
        <f t="shared" si="8"/>
        <v>42783.25</v>
      </c>
      <c r="N154">
        <v>1487916000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9">
        <f t="shared" si="8"/>
        <v>41201.208333333336</v>
      </c>
      <c r="N155">
        <v>1351141200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9">
        <f t="shared" si="8"/>
        <v>42502.208333333328</v>
      </c>
      <c r="N156">
        <v>1465016400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9">
        <f t="shared" si="8"/>
        <v>40262.208333333336</v>
      </c>
      <c r="N157">
        <v>1270789200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9">
        <f t="shared" si="8"/>
        <v>43743.208333333328</v>
      </c>
      <c r="N158">
        <v>1572325200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9">
        <f t="shared" si="8"/>
        <v>41638.25</v>
      </c>
      <c r="N159">
        <v>1389420000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9">
        <f t="shared" si="8"/>
        <v>42346.25</v>
      </c>
      <c r="N160">
        <v>1449640800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9">
        <f t="shared" si="8"/>
        <v>43551.208333333328</v>
      </c>
      <c r="N161">
        <v>1555218000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9">
        <f t="shared" si="8"/>
        <v>43582.208333333328</v>
      </c>
      <c r="N162">
        <v>1557723600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9">
        <f t="shared" si="8"/>
        <v>42270.208333333328</v>
      </c>
      <c r="N163">
        <v>1443502800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9">
        <f t="shared" si="8"/>
        <v>43442.25</v>
      </c>
      <c r="N164">
        <v>1546840800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9">
        <f t="shared" si="8"/>
        <v>43028.208333333328</v>
      </c>
      <c r="N165">
        <v>1512712800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9">
        <f t="shared" si="8"/>
        <v>43016.208333333328</v>
      </c>
      <c r="N166">
        <v>1507525200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9">
        <f t="shared" si="8"/>
        <v>42948.208333333328</v>
      </c>
      <c r="N167">
        <v>1504328400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9">
        <f t="shared" si="8"/>
        <v>40534.25</v>
      </c>
      <c r="N168">
        <v>1293343200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9">
        <f t="shared" si="8"/>
        <v>41435.208333333336</v>
      </c>
      <c r="N169">
        <v>1371704400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9">
        <f t="shared" si="8"/>
        <v>43518.25</v>
      </c>
      <c r="N170">
        <v>1552798800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9">
        <f t="shared" si="8"/>
        <v>41077.208333333336</v>
      </c>
      <c r="N171">
        <v>1342328400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9">
        <f t="shared" si="8"/>
        <v>42950.208333333328</v>
      </c>
      <c r="N172">
        <v>1502341200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9">
        <f t="shared" si="8"/>
        <v>41718.208333333336</v>
      </c>
      <c r="N173">
        <v>1397192400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9">
        <f t="shared" si="8"/>
        <v>41839.208333333336</v>
      </c>
      <c r="N174">
        <v>1407042000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9">
        <f t="shared" si="8"/>
        <v>41412.208333333336</v>
      </c>
      <c r="N175">
        <v>1369371600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9">
        <f t="shared" si="8"/>
        <v>42282.208333333328</v>
      </c>
      <c r="N176">
        <v>1444107600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9">
        <f t="shared" si="8"/>
        <v>42613.208333333328</v>
      </c>
      <c r="N177">
        <v>1474261200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9">
        <f t="shared" si="8"/>
        <v>42616.208333333328</v>
      </c>
      <c r="N178">
        <v>1473656400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9">
        <f t="shared" si="8"/>
        <v>40497.25</v>
      </c>
      <c r="N179">
        <v>1291960800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9">
        <f t="shared" si="8"/>
        <v>42999.208333333328</v>
      </c>
      <c r="N180">
        <v>1506747600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9">
        <f t="shared" si="8"/>
        <v>41350.208333333336</v>
      </c>
      <c r="N181">
        <v>1363582800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9">
        <f t="shared" si="8"/>
        <v>40259.208333333336</v>
      </c>
      <c r="N182">
        <v>1269666000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9">
        <f t="shared" si="8"/>
        <v>43012.208333333328</v>
      </c>
      <c r="N183">
        <v>1508648400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9">
        <f t="shared" si="8"/>
        <v>43631.208333333328</v>
      </c>
      <c r="N184">
        <v>1561957200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9">
        <f t="shared" si="8"/>
        <v>40430.208333333336</v>
      </c>
      <c r="N185">
        <v>1285131600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9">
        <f t="shared" si="8"/>
        <v>43588.208333333328</v>
      </c>
      <c r="N186">
        <v>1556946000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9">
        <f t="shared" si="8"/>
        <v>43233.208333333328</v>
      </c>
      <c r="N187">
        <v>1527138000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9">
        <f t="shared" si="8"/>
        <v>41782.208333333336</v>
      </c>
      <c r="N188">
        <v>1402117200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9">
        <f t="shared" si="8"/>
        <v>41328.25</v>
      </c>
      <c r="N189">
        <v>1364014800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9">
        <f t="shared" si="8"/>
        <v>41975.25</v>
      </c>
      <c r="N190">
        <v>1417586400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9">
        <f t="shared" si="8"/>
        <v>42433.25</v>
      </c>
      <c r="N191">
        <v>1457071200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9">
        <f t="shared" si="8"/>
        <v>41429.208333333336</v>
      </c>
      <c r="N192">
        <v>1370408400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9">
        <f t="shared" si="8"/>
        <v>43536.208333333328</v>
      </c>
      <c r="N193">
        <v>1552626000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9">
        <f t="shared" ref="M194:M257" si="12">(((L194/60)/60)/24)+DATE(1970,1,1)</f>
        <v>41817.208333333336</v>
      </c>
      <c r="N194">
        <v>1404190800</v>
      </c>
      <c r="O194" s="9">
        <f t="shared" ref="O194:O257" si="13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ref="I195:I258" si="14">ROUND(E195/H195,2)</f>
        <v>46.34</v>
      </c>
      <c r="J195" t="s">
        <v>21</v>
      </c>
      <c r="K195" t="s">
        <v>22</v>
      </c>
      <c r="L195">
        <v>1523163600</v>
      </c>
      <c r="M195" s="9">
        <f t="shared" si="12"/>
        <v>43198.208333333328</v>
      </c>
      <c r="N195">
        <v>1523509200</v>
      </c>
      <c r="O195" s="9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</f>
        <v>1.227605633802817</v>
      </c>
      <c r="G196" t="s">
        <v>20</v>
      </c>
      <c r="H196">
        <v>126</v>
      </c>
      <c r="I196">
        <f t="shared" si="14"/>
        <v>69.17</v>
      </c>
      <c r="J196" t="s">
        <v>21</v>
      </c>
      <c r="K196" t="s">
        <v>22</v>
      </c>
      <c r="L196">
        <v>1442206800</v>
      </c>
      <c r="M196" s="9">
        <f t="shared" si="12"/>
        <v>42261.208333333328</v>
      </c>
      <c r="N196">
        <v>1443589200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9">
        <f t="shared" si="12"/>
        <v>43310.208333333328</v>
      </c>
      <c r="N197">
        <v>1533445200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9">
        <f t="shared" si="12"/>
        <v>42616.208333333328</v>
      </c>
      <c r="N198">
        <v>1474520400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9">
        <f t="shared" si="12"/>
        <v>42909.208333333328</v>
      </c>
      <c r="N199">
        <v>1499403600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9">
        <f t="shared" si="12"/>
        <v>40396.208333333336</v>
      </c>
      <c r="N200">
        <v>1283576400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9">
        <f t="shared" si="12"/>
        <v>42192.208333333328</v>
      </c>
      <c r="N201">
        <v>1436590800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9">
        <f t="shared" si="12"/>
        <v>40262.208333333336</v>
      </c>
      <c r="N202">
        <v>1270443600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9">
        <f t="shared" si="12"/>
        <v>41845.208333333336</v>
      </c>
      <c r="N203">
        <v>1407819600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9">
        <f t="shared" si="12"/>
        <v>40818.208333333336</v>
      </c>
      <c r="N204">
        <v>1317877200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9">
        <f t="shared" si="12"/>
        <v>42752.25</v>
      </c>
      <c r="N205">
        <v>1484805600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9">
        <f t="shared" si="12"/>
        <v>40636.208333333336</v>
      </c>
      <c r="N206">
        <v>1302670800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9">
        <f t="shared" si="12"/>
        <v>43390.208333333328</v>
      </c>
      <c r="N207">
        <v>1540789200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9">
        <f t="shared" si="12"/>
        <v>40236.25</v>
      </c>
      <c r="N208">
        <v>1268028000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9">
        <f t="shared" si="12"/>
        <v>43340.208333333328</v>
      </c>
      <c r="N209">
        <v>1537160400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9">
        <f t="shared" si="12"/>
        <v>43048.25</v>
      </c>
      <c r="N210">
        <v>1512280800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9">
        <f t="shared" si="12"/>
        <v>42496.208333333328</v>
      </c>
      <c r="N211">
        <v>1463115600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9">
        <f t="shared" si="12"/>
        <v>42797.25</v>
      </c>
      <c r="N212">
        <v>1490850000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9">
        <f t="shared" si="12"/>
        <v>41513.208333333336</v>
      </c>
      <c r="N213">
        <v>1379653200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9">
        <f t="shared" si="12"/>
        <v>43814.25</v>
      </c>
      <c r="N214">
        <v>1580364000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9">
        <f t="shared" si="12"/>
        <v>40488.208333333336</v>
      </c>
      <c r="N215">
        <v>1289714400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9">
        <f t="shared" si="12"/>
        <v>40409.208333333336</v>
      </c>
      <c r="N216">
        <v>1282712400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9">
        <f t="shared" si="12"/>
        <v>43509.25</v>
      </c>
      <c r="N217">
        <v>1550210400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9">
        <f t="shared" si="12"/>
        <v>40869.25</v>
      </c>
      <c r="N218">
        <v>1322114400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9">
        <f t="shared" si="12"/>
        <v>43583.208333333328</v>
      </c>
      <c r="N219">
        <v>1557205200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9">
        <f t="shared" si="12"/>
        <v>40858.25</v>
      </c>
      <c r="N220">
        <v>1323928800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9">
        <f t="shared" si="12"/>
        <v>41137.208333333336</v>
      </c>
      <c r="N221">
        <v>1346130000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9">
        <f t="shared" si="12"/>
        <v>40725.208333333336</v>
      </c>
      <c r="N222">
        <v>1311051600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9">
        <f t="shared" si="12"/>
        <v>41081.208333333336</v>
      </c>
      <c r="N223">
        <v>1340427600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9">
        <f t="shared" si="12"/>
        <v>41914.208333333336</v>
      </c>
      <c r="N224">
        <v>1412312400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9">
        <f t="shared" si="12"/>
        <v>42445.208333333328</v>
      </c>
      <c r="N225">
        <v>1459314000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9">
        <f t="shared" si="12"/>
        <v>41906.208333333336</v>
      </c>
      <c r="N226">
        <v>1415426400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9">
        <f t="shared" si="12"/>
        <v>41762.208333333336</v>
      </c>
      <c r="N227">
        <v>1399093200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9">
        <f t="shared" si="12"/>
        <v>40276.208333333336</v>
      </c>
      <c r="N228">
        <v>1273899600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9">
        <f t="shared" si="12"/>
        <v>42139.208333333328</v>
      </c>
      <c r="N229">
        <v>1432184400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9">
        <f t="shared" si="12"/>
        <v>42613.208333333328</v>
      </c>
      <c r="N230">
        <v>1474779600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9">
        <f t="shared" si="12"/>
        <v>42887.208333333328</v>
      </c>
      <c r="N231">
        <v>1500440400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9">
        <f t="shared" si="12"/>
        <v>43805.25</v>
      </c>
      <c r="N232">
        <v>1575612000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9">
        <f t="shared" si="12"/>
        <v>41415.208333333336</v>
      </c>
      <c r="N233">
        <v>1374123600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9">
        <f t="shared" si="12"/>
        <v>42576.208333333328</v>
      </c>
      <c r="N234">
        <v>1469509200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9">
        <f t="shared" si="12"/>
        <v>40706.208333333336</v>
      </c>
      <c r="N235">
        <v>1309237200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9">
        <f t="shared" si="12"/>
        <v>42969.208333333328</v>
      </c>
      <c r="N236">
        <v>1503982800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9">
        <f t="shared" si="12"/>
        <v>42779.25</v>
      </c>
      <c r="N237">
        <v>1487397600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9">
        <f t="shared" si="12"/>
        <v>43641.208333333328</v>
      </c>
      <c r="N238">
        <v>1562043600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9">
        <f t="shared" si="12"/>
        <v>41754.208333333336</v>
      </c>
      <c r="N239">
        <v>1398574800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9">
        <f t="shared" si="12"/>
        <v>43083.25</v>
      </c>
      <c r="N240">
        <v>1515391200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9">
        <f t="shared" si="12"/>
        <v>42245.208333333328</v>
      </c>
      <c r="N241">
        <v>1441170000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9">
        <f t="shared" si="12"/>
        <v>40396.208333333336</v>
      </c>
      <c r="N242">
        <v>1281157200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9">
        <f t="shared" si="12"/>
        <v>41742.208333333336</v>
      </c>
      <c r="N243">
        <v>1398229200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9">
        <f t="shared" si="12"/>
        <v>42865.208333333328</v>
      </c>
      <c r="N244">
        <v>1495256400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9">
        <f t="shared" si="12"/>
        <v>43163.25</v>
      </c>
      <c r="N245">
        <v>1520402400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9">
        <f t="shared" si="12"/>
        <v>41834.208333333336</v>
      </c>
      <c r="N246">
        <v>1409806800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9">
        <f t="shared" si="12"/>
        <v>41736.208333333336</v>
      </c>
      <c r="N247">
        <v>1396933200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9">
        <f t="shared" si="12"/>
        <v>41491.208333333336</v>
      </c>
      <c r="N248">
        <v>1376024400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9">
        <f t="shared" si="12"/>
        <v>42726.25</v>
      </c>
      <c r="N249">
        <v>1483682400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9">
        <f t="shared" si="12"/>
        <v>42004.25</v>
      </c>
      <c r="N250">
        <v>1420437600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9">
        <f t="shared" si="12"/>
        <v>42006.25</v>
      </c>
      <c r="N251">
        <v>1420783200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9">
        <f t="shared" si="12"/>
        <v>40203.25</v>
      </c>
      <c r="N252">
        <v>1267423200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9">
        <f t="shared" si="12"/>
        <v>41252.25</v>
      </c>
      <c r="N253">
        <v>1355205600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9">
        <f t="shared" si="12"/>
        <v>41572.208333333336</v>
      </c>
      <c r="N254">
        <v>1383109200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9">
        <f t="shared" si="12"/>
        <v>40641.208333333336</v>
      </c>
      <c r="N255">
        <v>1303275600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9">
        <f t="shared" si="12"/>
        <v>42787.25</v>
      </c>
      <c r="N256">
        <v>1487829600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9">
        <f t="shared" si="12"/>
        <v>40590.25</v>
      </c>
      <c r="N257">
        <v>1298268000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9">
        <f t="shared" ref="M258:M321" si="16">(((L258/60)/60)/24)+DATE(1970,1,1)</f>
        <v>42393.25</v>
      </c>
      <c r="N258">
        <v>1456812000</v>
      </c>
      <c r="O258" s="9">
        <f t="shared" ref="O258:O321" si="17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ref="I259:I322" si="18">ROUND(E259/H259,2)</f>
        <v>90.46</v>
      </c>
      <c r="J259" t="s">
        <v>21</v>
      </c>
      <c r="K259" t="s">
        <v>22</v>
      </c>
      <c r="L259">
        <v>1362463200</v>
      </c>
      <c r="M259" s="9">
        <f t="shared" si="16"/>
        <v>41338.25</v>
      </c>
      <c r="N259">
        <v>1363669200</v>
      </c>
      <c r="O259" s="9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</f>
        <v>2.6848000000000001</v>
      </c>
      <c r="G260" t="s">
        <v>20</v>
      </c>
      <c r="H260">
        <v>186</v>
      </c>
      <c r="I260">
        <f t="shared" si="18"/>
        <v>72.17</v>
      </c>
      <c r="J260" t="s">
        <v>21</v>
      </c>
      <c r="K260" t="s">
        <v>22</v>
      </c>
      <c r="L260">
        <v>1481176800</v>
      </c>
      <c r="M260" s="9">
        <f t="shared" si="16"/>
        <v>42712.25</v>
      </c>
      <c r="N260">
        <v>1482904800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9">
        <f t="shared" si="16"/>
        <v>41251.25</v>
      </c>
      <c r="N261">
        <v>1356588000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9">
        <f t="shared" si="16"/>
        <v>41180.208333333336</v>
      </c>
      <c r="N262">
        <v>1349845200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9">
        <f t="shared" si="16"/>
        <v>40415.208333333336</v>
      </c>
      <c r="N263">
        <v>1283058000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9">
        <f t="shared" si="16"/>
        <v>40638.208333333336</v>
      </c>
      <c r="N264">
        <v>1304226000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9">
        <f t="shared" si="16"/>
        <v>40187.25</v>
      </c>
      <c r="N265">
        <v>1263016800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9">
        <f t="shared" si="16"/>
        <v>41317.25</v>
      </c>
      <c r="N266">
        <v>1362031200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9">
        <f t="shared" si="16"/>
        <v>42372.25</v>
      </c>
      <c r="N267">
        <v>1455602400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9">
        <f t="shared" si="16"/>
        <v>41950.25</v>
      </c>
      <c r="N268">
        <v>1418191200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9">
        <f t="shared" si="16"/>
        <v>41206.208333333336</v>
      </c>
      <c r="N269">
        <v>1352440800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9">
        <f t="shared" si="16"/>
        <v>41186.208333333336</v>
      </c>
      <c r="N270">
        <v>1353304800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9">
        <f t="shared" si="16"/>
        <v>43496.25</v>
      </c>
      <c r="N271">
        <v>1550728800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9">
        <f t="shared" si="16"/>
        <v>40514.25</v>
      </c>
      <c r="N272">
        <v>1291442400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9">
        <f t="shared" si="16"/>
        <v>42345.25</v>
      </c>
      <c r="N273">
        <v>1452146400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9">
        <f t="shared" si="16"/>
        <v>43656.208333333328</v>
      </c>
      <c r="N274">
        <v>1564894800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9">
        <f t="shared" si="16"/>
        <v>42995.208333333328</v>
      </c>
      <c r="N275">
        <v>1505883600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9">
        <f t="shared" si="16"/>
        <v>43045.25</v>
      </c>
      <c r="N276">
        <v>1510380000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9">
        <f t="shared" si="16"/>
        <v>43561.208333333328</v>
      </c>
      <c r="N277">
        <v>1555218000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9">
        <f t="shared" si="16"/>
        <v>41018.208333333336</v>
      </c>
      <c r="N278">
        <v>1335243600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9">
        <f t="shared" si="16"/>
        <v>40378.208333333336</v>
      </c>
      <c r="N279">
        <v>1279688400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9">
        <f t="shared" si="16"/>
        <v>41239.25</v>
      </c>
      <c r="N280">
        <v>1356069600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9">
        <f t="shared" si="16"/>
        <v>43346.208333333328</v>
      </c>
      <c r="N281">
        <v>1536210000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9">
        <f t="shared" si="16"/>
        <v>43060.25</v>
      </c>
      <c r="N282">
        <v>1511762400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9">
        <f t="shared" si="16"/>
        <v>40979.25</v>
      </c>
      <c r="N283">
        <v>1333256400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9">
        <f t="shared" si="16"/>
        <v>42701.25</v>
      </c>
      <c r="N284">
        <v>1480744800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9">
        <f t="shared" si="16"/>
        <v>42520.208333333328</v>
      </c>
      <c r="N285">
        <v>1465016400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9">
        <f t="shared" si="16"/>
        <v>41030.208333333336</v>
      </c>
      <c r="N286">
        <v>1336280400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9">
        <f t="shared" si="16"/>
        <v>42623.208333333328</v>
      </c>
      <c r="N287">
        <v>1476766800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9">
        <f t="shared" si="16"/>
        <v>42697.25</v>
      </c>
      <c r="N288">
        <v>1480485600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9">
        <f t="shared" si="16"/>
        <v>42122.208333333328</v>
      </c>
      <c r="N289">
        <v>1430197200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9">
        <f t="shared" si="16"/>
        <v>40982.208333333336</v>
      </c>
      <c r="N290">
        <v>1331787600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9">
        <f t="shared" si="16"/>
        <v>42219.208333333328</v>
      </c>
      <c r="N291">
        <v>1438837200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9">
        <f t="shared" si="16"/>
        <v>41404.208333333336</v>
      </c>
      <c r="N292">
        <v>1370926800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9">
        <f t="shared" si="16"/>
        <v>40831.208333333336</v>
      </c>
      <c r="N293">
        <v>1319000400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9">
        <f t="shared" si="16"/>
        <v>40984.208333333336</v>
      </c>
      <c r="N294">
        <v>1333429200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9">
        <f t="shared" si="16"/>
        <v>40456.208333333336</v>
      </c>
      <c r="N295">
        <v>1287032400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9">
        <f t="shared" si="16"/>
        <v>43399.208333333328</v>
      </c>
      <c r="N296">
        <v>1541570400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9">
        <f t="shared" si="16"/>
        <v>41562.208333333336</v>
      </c>
      <c r="N297">
        <v>1383976800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9">
        <f t="shared" si="16"/>
        <v>43493.25</v>
      </c>
      <c r="N298">
        <v>1550556000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9">
        <f t="shared" si="16"/>
        <v>41653.25</v>
      </c>
      <c r="N299">
        <v>1390456800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9">
        <f t="shared" si="16"/>
        <v>42426.25</v>
      </c>
      <c r="N300">
        <v>1458018000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9">
        <f t="shared" si="16"/>
        <v>42432.25</v>
      </c>
      <c r="N301">
        <v>1461819600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9">
        <f t="shared" si="16"/>
        <v>42977.208333333328</v>
      </c>
      <c r="N302">
        <v>1504155600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9">
        <f t="shared" si="16"/>
        <v>42061.25</v>
      </c>
      <c r="N303">
        <v>1426395600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9">
        <f t="shared" si="16"/>
        <v>43345.208333333328</v>
      </c>
      <c r="N304">
        <v>1537074000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9">
        <f t="shared" si="16"/>
        <v>42376.25</v>
      </c>
      <c r="N305">
        <v>1452578400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9">
        <f t="shared" si="16"/>
        <v>42589.208333333328</v>
      </c>
      <c r="N306">
        <v>1474088400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9">
        <f t="shared" si="16"/>
        <v>42448.208333333328</v>
      </c>
      <c r="N307">
        <v>1461906000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9">
        <f t="shared" si="16"/>
        <v>42930.208333333328</v>
      </c>
      <c r="N308">
        <v>1500267600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9">
        <f t="shared" si="16"/>
        <v>41066.208333333336</v>
      </c>
      <c r="N309">
        <v>1340686800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9">
        <f t="shared" si="16"/>
        <v>40651.208333333336</v>
      </c>
      <c r="N310">
        <v>1303189200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9">
        <f t="shared" si="16"/>
        <v>40807.208333333336</v>
      </c>
      <c r="N311">
        <v>1318309200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9">
        <f t="shared" si="16"/>
        <v>40277.208333333336</v>
      </c>
      <c r="N312">
        <v>1272171600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9">
        <f t="shared" si="16"/>
        <v>40590.25</v>
      </c>
      <c r="N313">
        <v>1298872800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9">
        <f t="shared" si="16"/>
        <v>41572.208333333336</v>
      </c>
      <c r="N314">
        <v>1383282000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9">
        <f t="shared" si="16"/>
        <v>40966.25</v>
      </c>
      <c r="N315">
        <v>1330495200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9">
        <f t="shared" si="16"/>
        <v>43536.208333333328</v>
      </c>
      <c r="N316">
        <v>1552798800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9">
        <f t="shared" si="16"/>
        <v>41783.208333333336</v>
      </c>
      <c r="N317">
        <v>1403413200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9">
        <f t="shared" si="16"/>
        <v>43788.25</v>
      </c>
      <c r="N318">
        <v>1574229600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9">
        <f t="shared" si="16"/>
        <v>42869.208333333328</v>
      </c>
      <c r="N319">
        <v>1495861200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9">
        <f t="shared" si="16"/>
        <v>41684.25</v>
      </c>
      <c r="N320">
        <v>1392530400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9">
        <f t="shared" si="16"/>
        <v>40402.208333333336</v>
      </c>
      <c r="N321">
        <v>1283662800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9">
        <f t="shared" ref="M322:M385" si="20">(((L322/60)/60)/24)+DATE(1970,1,1)</f>
        <v>40673.208333333336</v>
      </c>
      <c r="N322">
        <v>1305781200</v>
      </c>
      <c r="O322" s="9">
        <f t="shared" ref="O322:O385" si="21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ref="I323:I386" si="22">ROUND(E323/H323,2)</f>
        <v>65</v>
      </c>
      <c r="J323" t="s">
        <v>21</v>
      </c>
      <c r="K323" t="s">
        <v>22</v>
      </c>
      <c r="L323">
        <v>1301634000</v>
      </c>
      <c r="M323" s="9">
        <f t="shared" si="20"/>
        <v>40634.208333333336</v>
      </c>
      <c r="N323">
        <v>1302325200</v>
      </c>
      <c r="O323" s="9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</f>
        <v>1.6656234096692113</v>
      </c>
      <c r="G324" t="s">
        <v>20</v>
      </c>
      <c r="H324">
        <v>5168</v>
      </c>
      <c r="I324">
        <f t="shared" si="22"/>
        <v>38</v>
      </c>
      <c r="J324" t="s">
        <v>21</v>
      </c>
      <c r="K324" t="s">
        <v>22</v>
      </c>
      <c r="L324">
        <v>1290664800</v>
      </c>
      <c r="M324" s="9">
        <f t="shared" si="20"/>
        <v>40507.25</v>
      </c>
      <c r="N324">
        <v>1291788000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9">
        <f t="shared" si="20"/>
        <v>41725.208333333336</v>
      </c>
      <c r="N325">
        <v>1396069200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9">
        <f t="shared" si="20"/>
        <v>42176.208333333328</v>
      </c>
      <c r="N326">
        <v>1435899600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9">
        <f t="shared" si="20"/>
        <v>43267.208333333328</v>
      </c>
      <c r="N327">
        <v>1531112400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9">
        <f t="shared" si="20"/>
        <v>42364.25</v>
      </c>
      <c r="N328">
        <v>1451628000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9">
        <f t="shared" si="20"/>
        <v>43705.208333333328</v>
      </c>
      <c r="N329">
        <v>1567314000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9">
        <f t="shared" si="20"/>
        <v>43434.25</v>
      </c>
      <c r="N330">
        <v>1544508000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9">
        <f t="shared" si="20"/>
        <v>42716.25</v>
      </c>
      <c r="N331">
        <v>1482472800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9">
        <f t="shared" si="20"/>
        <v>43077.25</v>
      </c>
      <c r="N332">
        <v>1512799200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9">
        <f t="shared" si="20"/>
        <v>40896.25</v>
      </c>
      <c r="N333">
        <v>1324360800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9">
        <f t="shared" si="20"/>
        <v>41361.208333333336</v>
      </c>
      <c r="N334">
        <v>1364533200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9">
        <f t="shared" si="20"/>
        <v>43424.25</v>
      </c>
      <c r="N335">
        <v>1545112800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9">
        <f t="shared" si="20"/>
        <v>43110.25</v>
      </c>
      <c r="N336">
        <v>1516168800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9">
        <f t="shared" si="20"/>
        <v>43784.25</v>
      </c>
      <c r="N337">
        <v>1574920800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9">
        <f t="shared" si="20"/>
        <v>40527.25</v>
      </c>
      <c r="N338">
        <v>1292479200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9">
        <f t="shared" si="20"/>
        <v>43780.25</v>
      </c>
      <c r="N339">
        <v>1573538400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9">
        <f t="shared" si="20"/>
        <v>40821.208333333336</v>
      </c>
      <c r="N340">
        <v>1320382800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9">
        <f t="shared" si="20"/>
        <v>42949.208333333328</v>
      </c>
      <c r="N341">
        <v>1502859600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9">
        <f t="shared" si="20"/>
        <v>40889.25</v>
      </c>
      <c r="N342">
        <v>1323756000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9">
        <f t="shared" si="20"/>
        <v>42244.208333333328</v>
      </c>
      <c r="N343">
        <v>1441342800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9">
        <f t="shared" si="20"/>
        <v>41475.208333333336</v>
      </c>
      <c r="N344">
        <v>1375333200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9">
        <f t="shared" si="20"/>
        <v>41597.25</v>
      </c>
      <c r="N345">
        <v>1389420000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9">
        <f t="shared" si="20"/>
        <v>43122.25</v>
      </c>
      <c r="N346">
        <v>1520056800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9">
        <f t="shared" si="20"/>
        <v>42194.208333333328</v>
      </c>
      <c r="N347">
        <v>1436504400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9">
        <f t="shared" si="20"/>
        <v>42971.208333333328</v>
      </c>
      <c r="N348">
        <v>1508302800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9">
        <f t="shared" si="20"/>
        <v>42046.25</v>
      </c>
      <c r="N349">
        <v>1425708000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9">
        <f t="shared" si="20"/>
        <v>42782.25</v>
      </c>
      <c r="N350">
        <v>1488348000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9">
        <f t="shared" si="20"/>
        <v>42930.208333333328</v>
      </c>
      <c r="N351">
        <v>1502600400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9">
        <f t="shared" si="20"/>
        <v>42144.208333333328</v>
      </c>
      <c r="N352">
        <v>1433653200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9">
        <f t="shared" si="20"/>
        <v>42240.208333333328</v>
      </c>
      <c r="N353">
        <v>1441602000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9">
        <f t="shared" si="20"/>
        <v>42315.25</v>
      </c>
      <c r="N354">
        <v>1447567200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9">
        <f t="shared" si="20"/>
        <v>43651.208333333328</v>
      </c>
      <c r="N355">
        <v>1562389200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9">
        <f t="shared" si="20"/>
        <v>41520.208333333336</v>
      </c>
      <c r="N356">
        <v>1378789200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9">
        <f t="shared" si="20"/>
        <v>42757.25</v>
      </c>
      <c r="N357">
        <v>1488520800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9">
        <f t="shared" si="20"/>
        <v>40922.25</v>
      </c>
      <c r="N358">
        <v>1327298400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9">
        <f t="shared" si="20"/>
        <v>42250.208333333328</v>
      </c>
      <c r="N359">
        <v>1443416400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9">
        <f t="shared" si="20"/>
        <v>43322.208333333328</v>
      </c>
      <c r="N360">
        <v>1534136400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9">
        <f t="shared" si="20"/>
        <v>40782.208333333336</v>
      </c>
      <c r="N361">
        <v>1315026000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9">
        <f t="shared" si="20"/>
        <v>40544.25</v>
      </c>
      <c r="N362">
        <v>1295071200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9">
        <f t="shared" si="20"/>
        <v>43015.208333333328</v>
      </c>
      <c r="N363">
        <v>1509426000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9">
        <f t="shared" si="20"/>
        <v>40570.25</v>
      </c>
      <c r="N364">
        <v>1299391200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9">
        <f t="shared" si="20"/>
        <v>40904.25</v>
      </c>
      <c r="N365">
        <v>1325052000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9">
        <f t="shared" si="20"/>
        <v>43164.25</v>
      </c>
      <c r="N366">
        <v>1522818000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9">
        <f t="shared" si="20"/>
        <v>42733.25</v>
      </c>
      <c r="N367">
        <v>1485324000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9">
        <f t="shared" si="20"/>
        <v>40546.25</v>
      </c>
      <c r="N368">
        <v>1294120800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9">
        <f t="shared" si="20"/>
        <v>41930.208333333336</v>
      </c>
      <c r="N369">
        <v>1415685600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9">
        <f t="shared" si="20"/>
        <v>40464.208333333336</v>
      </c>
      <c r="N370">
        <v>1288933200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9">
        <f t="shared" si="20"/>
        <v>41308.25</v>
      </c>
      <c r="N371">
        <v>1363237200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9">
        <f t="shared" si="20"/>
        <v>43570.208333333328</v>
      </c>
      <c r="N372">
        <v>1555822800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9">
        <f t="shared" si="20"/>
        <v>42043.25</v>
      </c>
      <c r="N373">
        <v>1427778000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9">
        <f t="shared" si="20"/>
        <v>42012.25</v>
      </c>
      <c r="N374">
        <v>1422424800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9">
        <f t="shared" si="20"/>
        <v>42964.208333333328</v>
      </c>
      <c r="N375">
        <v>1503637200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9">
        <f t="shared" si="20"/>
        <v>43476.25</v>
      </c>
      <c r="N376">
        <v>1547618400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9">
        <f t="shared" si="20"/>
        <v>42293.208333333328</v>
      </c>
      <c r="N377">
        <v>1449900000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9">
        <f t="shared" si="20"/>
        <v>41826.208333333336</v>
      </c>
      <c r="N378">
        <v>1405141200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9">
        <f t="shared" si="20"/>
        <v>43760.208333333328</v>
      </c>
      <c r="N379">
        <v>1572933600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9">
        <f t="shared" si="20"/>
        <v>43241.208333333328</v>
      </c>
      <c r="N380">
        <v>1530162000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9">
        <f t="shared" si="20"/>
        <v>40843.208333333336</v>
      </c>
      <c r="N381">
        <v>1320904800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9">
        <f t="shared" si="20"/>
        <v>41448.208333333336</v>
      </c>
      <c r="N382">
        <v>1372395600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9">
        <f t="shared" si="20"/>
        <v>42163.208333333328</v>
      </c>
      <c r="N383">
        <v>1437714000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9">
        <f t="shared" si="20"/>
        <v>43024.208333333328</v>
      </c>
      <c r="N384">
        <v>1509771600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9">
        <f t="shared" si="20"/>
        <v>43509.25</v>
      </c>
      <c r="N385">
        <v>1550556000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9">
        <f t="shared" ref="M386:M449" si="24">(((L386/60)/60)/24)+DATE(1970,1,1)</f>
        <v>42776.25</v>
      </c>
      <c r="N386">
        <v>1489039200</v>
      </c>
      <c r="O386" s="9">
        <f t="shared" ref="O386:O449" si="25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ref="I387:I450" si="26">ROUND(E387/H387,2)</f>
        <v>50.01</v>
      </c>
      <c r="J387" t="s">
        <v>21</v>
      </c>
      <c r="K387" t="s">
        <v>22</v>
      </c>
      <c r="L387">
        <v>1553835600</v>
      </c>
      <c r="M387" s="9">
        <f t="shared" si="24"/>
        <v>43553.208333333328</v>
      </c>
      <c r="N387">
        <v>1556600400</v>
      </c>
      <c r="O387" s="9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</f>
        <v>0.76423616236162362</v>
      </c>
      <c r="G388" t="s">
        <v>14</v>
      </c>
      <c r="H388">
        <v>1068</v>
      </c>
      <c r="I388">
        <f t="shared" si="26"/>
        <v>96.96</v>
      </c>
      <c r="J388" t="s">
        <v>21</v>
      </c>
      <c r="K388" t="s">
        <v>22</v>
      </c>
      <c r="L388">
        <v>1277528400</v>
      </c>
      <c r="M388" s="9">
        <f t="shared" si="24"/>
        <v>40355.208333333336</v>
      </c>
      <c r="N388">
        <v>1278565200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9">
        <f t="shared" si="24"/>
        <v>41072.208333333336</v>
      </c>
      <c r="N389">
        <v>1339909200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9">
        <f t="shared" si="24"/>
        <v>40912.25</v>
      </c>
      <c r="N390">
        <v>1325829600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9">
        <f t="shared" si="24"/>
        <v>40479.208333333336</v>
      </c>
      <c r="N391">
        <v>1290578400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9">
        <f t="shared" si="24"/>
        <v>41530.208333333336</v>
      </c>
      <c r="N392">
        <v>1380344400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9">
        <f t="shared" si="24"/>
        <v>41653.25</v>
      </c>
      <c r="N393">
        <v>1389852000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9">
        <f t="shared" si="24"/>
        <v>40549.25</v>
      </c>
      <c r="N394">
        <v>1294466400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9">
        <f t="shared" si="24"/>
        <v>42933.208333333328</v>
      </c>
      <c r="N395">
        <v>1500354000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9">
        <f t="shared" si="24"/>
        <v>41484.208333333336</v>
      </c>
      <c r="N396">
        <v>1375938000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9">
        <f t="shared" si="24"/>
        <v>40885.25</v>
      </c>
      <c r="N397">
        <v>1323410400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9">
        <f t="shared" si="24"/>
        <v>43378.208333333328</v>
      </c>
      <c r="N398">
        <v>1539406800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9">
        <f t="shared" si="24"/>
        <v>41417.208333333336</v>
      </c>
      <c r="N399">
        <v>1369803600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9">
        <f t="shared" si="24"/>
        <v>43228.208333333328</v>
      </c>
      <c r="N400">
        <v>1525928400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9">
        <f t="shared" si="24"/>
        <v>40576.25</v>
      </c>
      <c r="N401">
        <v>1297231200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9">
        <f t="shared" si="24"/>
        <v>41502.208333333336</v>
      </c>
      <c r="N402">
        <v>1378530000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9">
        <f t="shared" si="24"/>
        <v>43765.208333333328</v>
      </c>
      <c r="N403">
        <v>1572152400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9">
        <f t="shared" si="24"/>
        <v>40914.25</v>
      </c>
      <c r="N404">
        <v>1329890400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9">
        <f t="shared" si="24"/>
        <v>40310.208333333336</v>
      </c>
      <c r="N405">
        <v>1276750800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9">
        <f t="shared" si="24"/>
        <v>43053.25</v>
      </c>
      <c r="N406">
        <v>1510898400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9">
        <f t="shared" si="24"/>
        <v>43255.208333333328</v>
      </c>
      <c r="N407">
        <v>1532408400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9">
        <f t="shared" si="24"/>
        <v>41304.25</v>
      </c>
      <c r="N408">
        <v>1360562400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9">
        <f t="shared" si="24"/>
        <v>43751.208333333328</v>
      </c>
      <c r="N409">
        <v>1571547600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9">
        <f t="shared" si="24"/>
        <v>42541.208333333328</v>
      </c>
      <c r="N410">
        <v>1468126800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9">
        <f t="shared" si="24"/>
        <v>42843.208333333328</v>
      </c>
      <c r="N411">
        <v>1492837200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9">
        <f t="shared" si="24"/>
        <v>42122.208333333328</v>
      </c>
      <c r="N412">
        <v>1430197200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9">
        <f t="shared" si="24"/>
        <v>42884.208333333328</v>
      </c>
      <c r="N413">
        <v>1496206800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9">
        <f t="shared" si="24"/>
        <v>41642.25</v>
      </c>
      <c r="N414">
        <v>1389592800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9">
        <f t="shared" si="24"/>
        <v>43431.25</v>
      </c>
      <c r="N415">
        <v>1545631200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9">
        <f t="shared" si="24"/>
        <v>40288.208333333336</v>
      </c>
      <c r="N416">
        <v>1272430800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9">
        <f t="shared" si="24"/>
        <v>40921.25</v>
      </c>
      <c r="N417">
        <v>1327903200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9">
        <f t="shared" si="24"/>
        <v>40560.25</v>
      </c>
      <c r="N418">
        <v>1296021600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9">
        <f t="shared" si="24"/>
        <v>43407.208333333328</v>
      </c>
      <c r="N419">
        <v>1543298400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9">
        <f t="shared" si="24"/>
        <v>41035.208333333336</v>
      </c>
      <c r="N420">
        <v>1336366800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9">
        <f t="shared" si="24"/>
        <v>40899.25</v>
      </c>
      <c r="N421">
        <v>1325052000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9">
        <f t="shared" si="24"/>
        <v>42911.208333333328</v>
      </c>
      <c r="N422">
        <v>1499576400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9">
        <f t="shared" si="24"/>
        <v>42915.208333333328</v>
      </c>
      <c r="N423">
        <v>1501304400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9">
        <f t="shared" si="24"/>
        <v>40285.208333333336</v>
      </c>
      <c r="N424">
        <v>1273208400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9">
        <f t="shared" si="24"/>
        <v>40808.208333333336</v>
      </c>
      <c r="N425">
        <v>1316840400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9">
        <f t="shared" si="24"/>
        <v>43208.208333333328</v>
      </c>
      <c r="N426">
        <v>1524546000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9">
        <f t="shared" si="24"/>
        <v>42213.208333333328</v>
      </c>
      <c r="N427">
        <v>1438578000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9">
        <f t="shared" si="24"/>
        <v>41332.25</v>
      </c>
      <c r="N428">
        <v>1362549600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9">
        <f t="shared" si="24"/>
        <v>41895.208333333336</v>
      </c>
      <c r="N429">
        <v>1413349200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9">
        <f t="shared" si="24"/>
        <v>40585.25</v>
      </c>
      <c r="N430">
        <v>1298008800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9">
        <f t="shared" si="24"/>
        <v>41680.25</v>
      </c>
      <c r="N431">
        <v>1394427600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9">
        <f t="shared" si="24"/>
        <v>43737.208333333328</v>
      </c>
      <c r="N432">
        <v>1572670800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9">
        <f t="shared" si="24"/>
        <v>43273.208333333328</v>
      </c>
      <c r="N433">
        <v>1531112400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9">
        <f t="shared" si="24"/>
        <v>41761.208333333336</v>
      </c>
      <c r="N434">
        <v>1400734800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9">
        <f t="shared" si="24"/>
        <v>41603.25</v>
      </c>
      <c r="N435">
        <v>1386741600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9">
        <f t="shared" si="24"/>
        <v>42705.25</v>
      </c>
      <c r="N436">
        <v>1481781600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9">
        <f t="shared" si="24"/>
        <v>41988.25</v>
      </c>
      <c r="N437">
        <v>1419660000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9">
        <f t="shared" si="24"/>
        <v>43575.208333333328</v>
      </c>
      <c r="N438">
        <v>1555822800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9">
        <f t="shared" si="24"/>
        <v>42260.208333333328</v>
      </c>
      <c r="N439">
        <v>1442379600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9">
        <f t="shared" si="24"/>
        <v>41337.25</v>
      </c>
      <c r="N440">
        <v>1364965200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9">
        <f t="shared" si="24"/>
        <v>42680.208333333328</v>
      </c>
      <c r="N441">
        <v>1479016800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9">
        <f t="shared" si="24"/>
        <v>42916.208333333328</v>
      </c>
      <c r="N442">
        <v>1499662800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9">
        <f t="shared" si="24"/>
        <v>41025.208333333336</v>
      </c>
      <c r="N443">
        <v>1337835600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9">
        <f t="shared" si="24"/>
        <v>42980.208333333328</v>
      </c>
      <c r="N444">
        <v>1505710800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9">
        <f t="shared" si="24"/>
        <v>40451.208333333336</v>
      </c>
      <c r="N445">
        <v>1287464400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9">
        <f t="shared" si="24"/>
        <v>40748.208333333336</v>
      </c>
      <c r="N446">
        <v>1311656400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9">
        <f t="shared" si="24"/>
        <v>40515.25</v>
      </c>
      <c r="N447">
        <v>1293170400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9">
        <f t="shared" si="24"/>
        <v>41261.25</v>
      </c>
      <c r="N448">
        <v>1355983200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9">
        <f t="shared" si="24"/>
        <v>43088.25</v>
      </c>
      <c r="N449">
        <v>1515045600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9">
        <f t="shared" ref="M450:M513" si="28">(((L450/60)/60)/24)+DATE(1970,1,1)</f>
        <v>41378.208333333336</v>
      </c>
      <c r="N450">
        <v>1366088400</v>
      </c>
      <c r="O450" s="9">
        <f t="shared" ref="O450:O513" si="29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ref="I451:I514" si="30">ROUND(E451/H451,2)</f>
        <v>101.2</v>
      </c>
      <c r="J451" t="s">
        <v>36</v>
      </c>
      <c r="K451" t="s">
        <v>37</v>
      </c>
      <c r="L451">
        <v>1551852000</v>
      </c>
      <c r="M451" s="9">
        <f t="shared" si="28"/>
        <v>43530.25</v>
      </c>
      <c r="N451">
        <v>1553317200</v>
      </c>
      <c r="O451" s="9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</f>
        <v>0.04</v>
      </c>
      <c r="G452" t="s">
        <v>14</v>
      </c>
      <c r="H452">
        <v>1</v>
      </c>
      <c r="I452">
        <f t="shared" si="30"/>
        <v>4</v>
      </c>
      <c r="J452" t="s">
        <v>15</v>
      </c>
      <c r="K452" t="s">
        <v>16</v>
      </c>
      <c r="L452">
        <v>1540098000</v>
      </c>
      <c r="M452" s="9">
        <f t="shared" si="28"/>
        <v>43394.208333333328</v>
      </c>
      <c r="N452">
        <v>1542088800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9">
        <f t="shared" si="28"/>
        <v>42935.208333333328</v>
      </c>
      <c r="N453">
        <v>1503118800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9">
        <f t="shared" si="28"/>
        <v>40365.208333333336</v>
      </c>
      <c r="N454">
        <v>1278478800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9">
        <f t="shared" si="28"/>
        <v>42705.25</v>
      </c>
      <c r="N455">
        <v>1484114400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9">
        <f t="shared" si="28"/>
        <v>41568.208333333336</v>
      </c>
      <c r="N456">
        <v>1385445600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9">
        <f t="shared" si="28"/>
        <v>40809.208333333336</v>
      </c>
      <c r="N457">
        <v>1318741200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9">
        <f t="shared" si="28"/>
        <v>43141.25</v>
      </c>
      <c r="N458">
        <v>1518242400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9">
        <f t="shared" si="28"/>
        <v>42657.208333333328</v>
      </c>
      <c r="N459">
        <v>1476594000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9">
        <f t="shared" si="28"/>
        <v>40265.208333333336</v>
      </c>
      <c r="N460">
        <v>1273554000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9">
        <f t="shared" si="28"/>
        <v>42001.25</v>
      </c>
      <c r="N461">
        <v>1421906400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9">
        <f t="shared" si="28"/>
        <v>40399.208333333336</v>
      </c>
      <c r="N462">
        <v>1281589200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9">
        <f t="shared" si="28"/>
        <v>41757.208333333336</v>
      </c>
      <c r="N463">
        <v>1400389200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9">
        <f t="shared" si="28"/>
        <v>41304.25</v>
      </c>
      <c r="N464">
        <v>1362808800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9">
        <f t="shared" si="28"/>
        <v>41639.25</v>
      </c>
      <c r="N465">
        <v>1388815200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9">
        <f t="shared" si="28"/>
        <v>43142.25</v>
      </c>
      <c r="N466">
        <v>1519538400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9">
        <f t="shared" si="28"/>
        <v>43127.25</v>
      </c>
      <c r="N467">
        <v>1517810400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9">
        <f t="shared" si="28"/>
        <v>41409.208333333336</v>
      </c>
      <c r="N468">
        <v>1370581200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9">
        <f t="shared" si="28"/>
        <v>42331.25</v>
      </c>
      <c r="N469">
        <v>1448863200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9">
        <f t="shared" si="28"/>
        <v>43569.208333333328</v>
      </c>
      <c r="N470">
        <v>1556600400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9">
        <f t="shared" si="28"/>
        <v>42142.208333333328</v>
      </c>
      <c r="N471">
        <v>1432098000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9">
        <f t="shared" si="28"/>
        <v>42716.25</v>
      </c>
      <c r="N472">
        <v>1482127200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9">
        <f t="shared" si="28"/>
        <v>41031.208333333336</v>
      </c>
      <c r="N473">
        <v>1335934800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9">
        <f t="shared" si="28"/>
        <v>43535.208333333328</v>
      </c>
      <c r="N474">
        <v>1556946000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9">
        <f t="shared" si="28"/>
        <v>43277.208333333328</v>
      </c>
      <c r="N475">
        <v>1530075600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9">
        <f t="shared" si="28"/>
        <v>41989.25</v>
      </c>
      <c r="N476">
        <v>1418796000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9">
        <f t="shared" si="28"/>
        <v>41450.208333333336</v>
      </c>
      <c r="N477">
        <v>1372482000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9">
        <f t="shared" si="28"/>
        <v>43322.208333333328</v>
      </c>
      <c r="N478">
        <v>1534395600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9">
        <f t="shared" si="28"/>
        <v>40720.208333333336</v>
      </c>
      <c r="N479">
        <v>1311397200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9">
        <f t="shared" si="28"/>
        <v>42072.208333333328</v>
      </c>
      <c r="N480">
        <v>1426914000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9">
        <f t="shared" si="28"/>
        <v>42945.208333333328</v>
      </c>
      <c r="N481">
        <v>1501477200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9">
        <f t="shared" si="28"/>
        <v>40248.25</v>
      </c>
      <c r="N482">
        <v>1269061200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9">
        <f t="shared" si="28"/>
        <v>41913.208333333336</v>
      </c>
      <c r="N483">
        <v>1415772000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9">
        <f t="shared" si="28"/>
        <v>40963.25</v>
      </c>
      <c r="N484">
        <v>1331013600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9">
        <f t="shared" si="28"/>
        <v>43811.25</v>
      </c>
      <c r="N485">
        <v>1576735200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9">
        <f t="shared" si="28"/>
        <v>41855.208333333336</v>
      </c>
      <c r="N486">
        <v>1411362000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9">
        <f t="shared" si="28"/>
        <v>43626.208333333328</v>
      </c>
      <c r="N487">
        <v>1563685200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9">
        <f t="shared" si="28"/>
        <v>43168.25</v>
      </c>
      <c r="N488">
        <v>1521867600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9">
        <f t="shared" si="28"/>
        <v>42845.208333333328</v>
      </c>
      <c r="N489">
        <v>1495515600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9">
        <f t="shared" si="28"/>
        <v>42403.25</v>
      </c>
      <c r="N490">
        <v>1455948000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9">
        <f t="shared" si="28"/>
        <v>40406.208333333336</v>
      </c>
      <c r="N491">
        <v>1282366800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9">
        <f t="shared" si="28"/>
        <v>43786.25</v>
      </c>
      <c r="N492">
        <v>1574575200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9">
        <f t="shared" si="28"/>
        <v>41456.208333333336</v>
      </c>
      <c r="N493">
        <v>1374901200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9">
        <f t="shared" si="28"/>
        <v>40336.208333333336</v>
      </c>
      <c r="N494">
        <v>1278910800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9">
        <f t="shared" si="28"/>
        <v>43645.208333333328</v>
      </c>
      <c r="N495">
        <v>1562907600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9">
        <f t="shared" si="28"/>
        <v>40990.208333333336</v>
      </c>
      <c r="N496">
        <v>1332478800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9">
        <f t="shared" si="28"/>
        <v>41800.208333333336</v>
      </c>
      <c r="N497">
        <v>1402722000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9">
        <f t="shared" si="28"/>
        <v>42876.208333333328</v>
      </c>
      <c r="N498">
        <v>1496811600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9">
        <f t="shared" si="28"/>
        <v>42724.25</v>
      </c>
      <c r="N499">
        <v>1482213600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9">
        <f t="shared" si="28"/>
        <v>42005.25</v>
      </c>
      <c r="N500">
        <v>1420264800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9">
        <f t="shared" si="28"/>
        <v>42444.208333333328</v>
      </c>
      <c r="N501">
        <v>1458450000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t="e">
        <f t="shared" si="30"/>
        <v>#DIV/0!</v>
      </c>
      <c r="J502" t="s">
        <v>21</v>
      </c>
      <c r="K502" t="s">
        <v>22</v>
      </c>
      <c r="L502">
        <v>1367384400</v>
      </c>
      <c r="M502" s="9">
        <f t="shared" si="28"/>
        <v>41395.208333333336</v>
      </c>
      <c r="N502">
        <v>1369803600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9">
        <f t="shared" si="28"/>
        <v>41345.208333333336</v>
      </c>
      <c r="N503">
        <v>1363237200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9">
        <f t="shared" si="28"/>
        <v>41117.208333333336</v>
      </c>
      <c r="N504">
        <v>1345870800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9">
        <f t="shared" si="28"/>
        <v>42186.208333333328</v>
      </c>
      <c r="N505">
        <v>1437454800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9">
        <f t="shared" si="28"/>
        <v>42142.208333333328</v>
      </c>
      <c r="N506">
        <v>1432011600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9">
        <f t="shared" si="28"/>
        <v>41341.25</v>
      </c>
      <c r="N507">
        <v>1366347600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9">
        <f t="shared" si="28"/>
        <v>43062.25</v>
      </c>
      <c r="N508">
        <v>1512885600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9">
        <f t="shared" si="28"/>
        <v>41373.208333333336</v>
      </c>
      <c r="N509">
        <v>1369717200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9">
        <f t="shared" si="28"/>
        <v>43310.208333333328</v>
      </c>
      <c r="N510">
        <v>1534654800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9">
        <f t="shared" si="28"/>
        <v>41034.208333333336</v>
      </c>
      <c r="N511">
        <v>1337058000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9">
        <f t="shared" si="28"/>
        <v>43251.208333333328</v>
      </c>
      <c r="N512">
        <v>1529816400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9">
        <f t="shared" si="28"/>
        <v>43671.208333333328</v>
      </c>
      <c r="N513">
        <v>1564894800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9">
        <f t="shared" ref="M514:M577" si="32">(((L514/60)/60)/24)+DATE(1970,1,1)</f>
        <v>41825.208333333336</v>
      </c>
      <c r="N514">
        <v>1404622800</v>
      </c>
      <c r="O514" s="9">
        <f t="shared" ref="O514:O577" si="33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ref="I515:I578" si="34">ROUND(E515/H515,2)</f>
        <v>93.14</v>
      </c>
      <c r="J515" t="s">
        <v>21</v>
      </c>
      <c r="K515" t="s">
        <v>22</v>
      </c>
      <c r="L515">
        <v>1284008400</v>
      </c>
      <c r="M515" s="9">
        <f t="shared" si="32"/>
        <v>40430.208333333336</v>
      </c>
      <c r="N515">
        <v>1284181200</v>
      </c>
      <c r="O515" s="9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</f>
        <v>0.22439077144917088</v>
      </c>
      <c r="G516" t="s">
        <v>74</v>
      </c>
      <c r="H516">
        <v>528</v>
      </c>
      <c r="I516">
        <f t="shared" si="34"/>
        <v>58.95</v>
      </c>
      <c r="J516" t="s">
        <v>98</v>
      </c>
      <c r="K516" t="s">
        <v>99</v>
      </c>
      <c r="L516">
        <v>1386309600</v>
      </c>
      <c r="M516" s="9">
        <f t="shared" si="32"/>
        <v>41614.25</v>
      </c>
      <c r="N516">
        <v>1386741600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9">
        <f t="shared" si="32"/>
        <v>40900.25</v>
      </c>
      <c r="N517">
        <v>1324792800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9">
        <f t="shared" si="32"/>
        <v>40396.208333333336</v>
      </c>
      <c r="N518">
        <v>1284354000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9">
        <f t="shared" si="32"/>
        <v>42860.208333333328</v>
      </c>
      <c r="N519">
        <v>1494392400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9">
        <f t="shared" si="32"/>
        <v>43154.25</v>
      </c>
      <c r="N520">
        <v>1519538400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9">
        <f t="shared" si="32"/>
        <v>42012.25</v>
      </c>
      <c r="N521">
        <v>1421906400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9">
        <f t="shared" si="32"/>
        <v>43574.208333333328</v>
      </c>
      <c r="N522">
        <v>1555909200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9">
        <f t="shared" si="32"/>
        <v>42605.208333333328</v>
      </c>
      <c r="N523">
        <v>1472446800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9">
        <f t="shared" si="32"/>
        <v>41093.208333333336</v>
      </c>
      <c r="N524">
        <v>1342328400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9">
        <f t="shared" si="32"/>
        <v>40241.25</v>
      </c>
      <c r="N525">
        <v>1268114400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9">
        <f t="shared" si="32"/>
        <v>40294.208333333336</v>
      </c>
      <c r="N526">
        <v>1273381200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9">
        <f t="shared" si="32"/>
        <v>40505.25</v>
      </c>
      <c r="N527">
        <v>1290837600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9">
        <f t="shared" si="32"/>
        <v>42364.25</v>
      </c>
      <c r="N528">
        <v>1454306400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9">
        <f t="shared" si="32"/>
        <v>42405.25</v>
      </c>
      <c r="N529">
        <v>1457762400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9">
        <f t="shared" si="32"/>
        <v>41601.25</v>
      </c>
      <c r="N530">
        <v>1389074400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9">
        <f t="shared" si="32"/>
        <v>41769.208333333336</v>
      </c>
      <c r="N531">
        <v>1402117200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9">
        <f t="shared" si="32"/>
        <v>40421.208333333336</v>
      </c>
      <c r="N532">
        <v>1284440400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9">
        <f t="shared" si="32"/>
        <v>41589.25</v>
      </c>
      <c r="N533">
        <v>1388988000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9">
        <f t="shared" si="32"/>
        <v>43125.25</v>
      </c>
      <c r="N534">
        <v>1516946400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9">
        <f t="shared" si="32"/>
        <v>41479.208333333336</v>
      </c>
      <c r="N535">
        <v>1377752400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9">
        <f t="shared" si="32"/>
        <v>43329.208333333328</v>
      </c>
      <c r="N536">
        <v>1534568400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9">
        <f t="shared" si="32"/>
        <v>43259.208333333328</v>
      </c>
      <c r="N537">
        <v>1528606800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9">
        <f t="shared" si="32"/>
        <v>40414.208333333336</v>
      </c>
      <c r="N538">
        <v>1284872400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9">
        <f t="shared" si="32"/>
        <v>43342.208333333328</v>
      </c>
      <c r="N539">
        <v>1537592400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9">
        <f t="shared" si="32"/>
        <v>41539.208333333336</v>
      </c>
      <c r="N540">
        <v>1381208400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9">
        <f t="shared" si="32"/>
        <v>43647.208333333328</v>
      </c>
      <c r="N541">
        <v>1562475600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9">
        <f t="shared" si="32"/>
        <v>43225.208333333328</v>
      </c>
      <c r="N542">
        <v>1527397200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9">
        <f t="shared" si="32"/>
        <v>42165.208333333328</v>
      </c>
      <c r="N543">
        <v>1436158800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9">
        <f t="shared" si="32"/>
        <v>42391.25</v>
      </c>
      <c r="N544">
        <v>1456034400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9">
        <f t="shared" si="32"/>
        <v>41528.208333333336</v>
      </c>
      <c r="N545">
        <v>1380171600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9">
        <f t="shared" si="32"/>
        <v>42377.25</v>
      </c>
      <c r="N546">
        <v>1453356000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9">
        <f t="shared" si="32"/>
        <v>43824.25</v>
      </c>
      <c r="N547">
        <v>1578981600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9">
        <f t="shared" si="32"/>
        <v>43360.208333333328</v>
      </c>
      <c r="N548">
        <v>1537419600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9">
        <f t="shared" si="32"/>
        <v>42029.25</v>
      </c>
      <c r="N549">
        <v>1423202400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9">
        <f t="shared" si="32"/>
        <v>42461.208333333328</v>
      </c>
      <c r="N550">
        <v>1460610000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9">
        <f t="shared" si="32"/>
        <v>41422.208333333336</v>
      </c>
      <c r="N551">
        <v>1370494800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9">
        <f t="shared" si="32"/>
        <v>40968.25</v>
      </c>
      <c r="N552">
        <v>1332306000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9">
        <f t="shared" si="32"/>
        <v>41993.25</v>
      </c>
      <c r="N553">
        <v>1422511200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9">
        <f t="shared" si="32"/>
        <v>42700.25</v>
      </c>
      <c r="N554">
        <v>1480312800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9">
        <f t="shared" si="32"/>
        <v>40545.25</v>
      </c>
      <c r="N555">
        <v>1294034400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9">
        <f t="shared" si="32"/>
        <v>42723.25</v>
      </c>
      <c r="N556">
        <v>1482645600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9">
        <f t="shared" si="32"/>
        <v>41731.208333333336</v>
      </c>
      <c r="N557">
        <v>1399093200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9">
        <f t="shared" si="32"/>
        <v>40792.208333333336</v>
      </c>
      <c r="N558">
        <v>1315890000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9">
        <f t="shared" si="32"/>
        <v>42279.208333333328</v>
      </c>
      <c r="N559">
        <v>1444021200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9">
        <f t="shared" si="32"/>
        <v>42424.25</v>
      </c>
      <c r="N560">
        <v>1460005200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9">
        <f t="shared" si="32"/>
        <v>42584.208333333328</v>
      </c>
      <c r="N561">
        <v>1470718800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9">
        <f t="shared" si="32"/>
        <v>40865.25</v>
      </c>
      <c r="N562">
        <v>1325052000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9">
        <f t="shared" si="32"/>
        <v>40833.208333333336</v>
      </c>
      <c r="N563">
        <v>1319000400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9">
        <f t="shared" si="32"/>
        <v>43536.208333333328</v>
      </c>
      <c r="N564">
        <v>1552539600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9">
        <f t="shared" si="32"/>
        <v>43417.25</v>
      </c>
      <c r="N565">
        <v>1543816800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9">
        <f t="shared" si="32"/>
        <v>42078.208333333328</v>
      </c>
      <c r="N566">
        <v>1427086800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9">
        <f t="shared" si="32"/>
        <v>40862.25</v>
      </c>
      <c r="N567">
        <v>1323064800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9">
        <f t="shared" si="32"/>
        <v>42424.25</v>
      </c>
      <c r="N568">
        <v>1458277200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9">
        <f t="shared" si="32"/>
        <v>41830.208333333336</v>
      </c>
      <c r="N569">
        <v>1405141200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9">
        <f t="shared" si="32"/>
        <v>40374.208333333336</v>
      </c>
      <c r="N570">
        <v>1283058000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9">
        <f t="shared" si="32"/>
        <v>40554.25</v>
      </c>
      <c r="N571">
        <v>1295762400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9">
        <f t="shared" si="32"/>
        <v>41993.25</v>
      </c>
      <c r="N572">
        <v>1419573600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9">
        <f t="shared" si="32"/>
        <v>42174.208333333328</v>
      </c>
      <c r="N573">
        <v>1438750800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9">
        <f t="shared" si="32"/>
        <v>42275.208333333328</v>
      </c>
      <c r="N574">
        <v>1444798800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9">
        <f t="shared" si="32"/>
        <v>41761.208333333336</v>
      </c>
      <c r="N575">
        <v>1399179600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9">
        <f t="shared" si="32"/>
        <v>43806.25</v>
      </c>
      <c r="N576">
        <v>1576562400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9">
        <f t="shared" si="32"/>
        <v>41779.208333333336</v>
      </c>
      <c r="N577">
        <v>1400821200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9">
        <f t="shared" ref="M578:M641" si="36">(((L578/60)/60)/24)+DATE(1970,1,1)</f>
        <v>43040.208333333328</v>
      </c>
      <c r="N578">
        <v>1510984800</v>
      </c>
      <c r="O578" s="9">
        <f t="shared" ref="O578:O641" si="37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ref="I579:I642" si="38">ROUND(E579/H579,2)</f>
        <v>41.78</v>
      </c>
      <c r="J579" t="s">
        <v>21</v>
      </c>
      <c r="K579" t="s">
        <v>22</v>
      </c>
      <c r="L579">
        <v>1299823200</v>
      </c>
      <c r="M579" s="9">
        <f t="shared" si="36"/>
        <v>40613.25</v>
      </c>
      <c r="N579">
        <v>1302066000</v>
      </c>
      <c r="O579" s="9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</f>
        <v>0.1675440414507772</v>
      </c>
      <c r="G580" t="s">
        <v>14</v>
      </c>
      <c r="H580">
        <v>245</v>
      </c>
      <c r="I580">
        <f t="shared" si="38"/>
        <v>65.989999999999995</v>
      </c>
      <c r="J580" t="s">
        <v>21</v>
      </c>
      <c r="K580" t="s">
        <v>22</v>
      </c>
      <c r="L580">
        <v>1322719200</v>
      </c>
      <c r="M580" s="9">
        <f t="shared" si="36"/>
        <v>40878.25</v>
      </c>
      <c r="N580">
        <v>1322978400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9">
        <f t="shared" si="36"/>
        <v>40762.208333333336</v>
      </c>
      <c r="N581">
        <v>1313730000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9">
        <f t="shared" si="36"/>
        <v>41696.25</v>
      </c>
      <c r="N582">
        <v>1394085600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9">
        <f t="shared" si="36"/>
        <v>40662.208333333336</v>
      </c>
      <c r="N583">
        <v>1305349200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9">
        <f t="shared" si="36"/>
        <v>42165.208333333328</v>
      </c>
      <c r="N584">
        <v>1434344400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9">
        <f t="shared" si="36"/>
        <v>40959.25</v>
      </c>
      <c r="N585">
        <v>1331186400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9">
        <f t="shared" si="36"/>
        <v>41024.208333333336</v>
      </c>
      <c r="N586">
        <v>1336539600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9">
        <f t="shared" si="36"/>
        <v>40255.208333333336</v>
      </c>
      <c r="N587">
        <v>1269752400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9">
        <f t="shared" si="36"/>
        <v>40499.25</v>
      </c>
      <c r="N588">
        <v>1291615200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9">
        <f t="shared" si="36"/>
        <v>43484.25</v>
      </c>
      <c r="N589">
        <v>1552366800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9">
        <f t="shared" si="36"/>
        <v>40262.208333333336</v>
      </c>
      <c r="N590">
        <v>1272171600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9">
        <f t="shared" si="36"/>
        <v>42190.208333333328</v>
      </c>
      <c r="N591">
        <v>1436677200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9">
        <f t="shared" si="36"/>
        <v>41994.25</v>
      </c>
      <c r="N592">
        <v>1420092000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9">
        <f t="shared" si="36"/>
        <v>40373.208333333336</v>
      </c>
      <c r="N593">
        <v>1279947600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9">
        <f t="shared" si="36"/>
        <v>41789.208333333336</v>
      </c>
      <c r="N594">
        <v>1402203600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9">
        <f t="shared" si="36"/>
        <v>41724.208333333336</v>
      </c>
      <c r="N595">
        <v>1396933200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9">
        <f t="shared" si="36"/>
        <v>42548.208333333328</v>
      </c>
      <c r="N596">
        <v>1467262800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9">
        <f t="shared" si="36"/>
        <v>40253.208333333336</v>
      </c>
      <c r="N597">
        <v>1270530000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9">
        <f t="shared" si="36"/>
        <v>42434.25</v>
      </c>
      <c r="N598">
        <v>1457762400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9">
        <f t="shared" si="36"/>
        <v>43786.25</v>
      </c>
      <c r="N599">
        <v>1575525600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9">
        <f t="shared" si="36"/>
        <v>40344.208333333336</v>
      </c>
      <c r="N600">
        <v>1279083600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9">
        <f t="shared" si="36"/>
        <v>42047.25</v>
      </c>
      <c r="N601">
        <v>1424412000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9">
        <f t="shared" si="36"/>
        <v>41485.208333333336</v>
      </c>
      <c r="N602">
        <v>1376197200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9">
        <f t="shared" si="36"/>
        <v>41789.208333333336</v>
      </c>
      <c r="N603">
        <v>1402894800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9">
        <f t="shared" si="36"/>
        <v>42160.208333333328</v>
      </c>
      <c r="N604">
        <v>1434430800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9">
        <f t="shared" si="36"/>
        <v>43573.208333333328</v>
      </c>
      <c r="N605">
        <v>1557896400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9">
        <f t="shared" si="36"/>
        <v>40565.25</v>
      </c>
      <c r="N606">
        <v>1297490400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9">
        <f t="shared" si="36"/>
        <v>42280.208333333328</v>
      </c>
      <c r="N607">
        <v>1447394400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9">
        <f t="shared" si="36"/>
        <v>42436.25</v>
      </c>
      <c r="N608">
        <v>1458277200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9">
        <f t="shared" si="36"/>
        <v>41721.208333333336</v>
      </c>
      <c r="N609">
        <v>1395723600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9">
        <f t="shared" si="36"/>
        <v>43530.25</v>
      </c>
      <c r="N610">
        <v>1552197600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9">
        <f t="shared" si="36"/>
        <v>43481.25</v>
      </c>
      <c r="N611">
        <v>1549087200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9">
        <f t="shared" si="36"/>
        <v>41259.25</v>
      </c>
      <c r="N612">
        <v>1356847200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9">
        <f t="shared" si="36"/>
        <v>41480.208333333336</v>
      </c>
      <c r="N613">
        <v>1375765200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9">
        <f t="shared" si="36"/>
        <v>40474.208333333336</v>
      </c>
      <c r="N614">
        <v>1289800800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9">
        <f t="shared" si="36"/>
        <v>42973.208333333328</v>
      </c>
      <c r="N615">
        <v>1504501200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9">
        <f t="shared" si="36"/>
        <v>42746.25</v>
      </c>
      <c r="N616">
        <v>1485669600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9">
        <f t="shared" si="36"/>
        <v>42489.208333333328</v>
      </c>
      <c r="N617">
        <v>1462770000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9">
        <f t="shared" si="36"/>
        <v>41537.208333333336</v>
      </c>
      <c r="N618">
        <v>1379739600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9">
        <f t="shared" si="36"/>
        <v>41794.208333333336</v>
      </c>
      <c r="N619">
        <v>1402722000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9">
        <f t="shared" si="36"/>
        <v>41396.208333333336</v>
      </c>
      <c r="N620">
        <v>1369285200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9">
        <f t="shared" si="36"/>
        <v>40669.208333333336</v>
      </c>
      <c r="N621">
        <v>1304744400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9">
        <f t="shared" si="36"/>
        <v>42559.208333333328</v>
      </c>
      <c r="N622">
        <v>1468299600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9">
        <f t="shared" si="36"/>
        <v>42626.208333333328</v>
      </c>
      <c r="N623">
        <v>1474174800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9">
        <f t="shared" si="36"/>
        <v>43205.208333333328</v>
      </c>
      <c r="N624">
        <v>1526014800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9">
        <f t="shared" si="36"/>
        <v>42201.208333333328</v>
      </c>
      <c r="N625">
        <v>1437454800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9">
        <f t="shared" si="36"/>
        <v>42029.25</v>
      </c>
      <c r="N626">
        <v>1422684000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9">
        <f t="shared" si="36"/>
        <v>43857.25</v>
      </c>
      <c r="N627">
        <v>1581314400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9">
        <f t="shared" si="36"/>
        <v>40449.208333333336</v>
      </c>
      <c r="N628">
        <v>1286427600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9">
        <f t="shared" si="36"/>
        <v>40345.208333333336</v>
      </c>
      <c r="N629">
        <v>1278738000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9">
        <f t="shared" si="36"/>
        <v>40455.208333333336</v>
      </c>
      <c r="N630">
        <v>1286427600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9">
        <f t="shared" si="36"/>
        <v>42557.208333333328</v>
      </c>
      <c r="N631">
        <v>1467954000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9">
        <f t="shared" si="36"/>
        <v>43586.208333333328</v>
      </c>
      <c r="N632">
        <v>1557637200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9">
        <f t="shared" si="36"/>
        <v>43550.208333333328</v>
      </c>
      <c r="N633">
        <v>1553922000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9">
        <f t="shared" si="36"/>
        <v>41945.208333333336</v>
      </c>
      <c r="N634">
        <v>1416463200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9">
        <f t="shared" si="36"/>
        <v>42315.25</v>
      </c>
      <c r="N635">
        <v>1447221600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9">
        <f t="shared" si="36"/>
        <v>42819.208333333328</v>
      </c>
      <c r="N636">
        <v>1491627600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9">
        <f t="shared" si="36"/>
        <v>41314.25</v>
      </c>
      <c r="N637">
        <v>1363150800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9">
        <f t="shared" si="36"/>
        <v>40926.25</v>
      </c>
      <c r="N638">
        <v>1330754400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9">
        <f t="shared" si="36"/>
        <v>42688.25</v>
      </c>
      <c r="N639">
        <v>1479794400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9">
        <f t="shared" si="36"/>
        <v>40386.208333333336</v>
      </c>
      <c r="N640">
        <v>1281243600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9">
        <f t="shared" si="36"/>
        <v>43309.208333333328</v>
      </c>
      <c r="N641">
        <v>1532754000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9">
        <f t="shared" ref="M642:M705" si="40">(((L642/60)/60)/24)+DATE(1970,1,1)</f>
        <v>42387.25</v>
      </c>
      <c r="N642">
        <v>1453356000</v>
      </c>
      <c r="O642" s="9">
        <f t="shared" ref="O642:O705" si="41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ref="I643:I706" si="42">ROUND(E643/H643,2)</f>
        <v>58.13</v>
      </c>
      <c r="J643" t="s">
        <v>98</v>
      </c>
      <c r="K643" t="s">
        <v>99</v>
      </c>
      <c r="L643">
        <v>1487570400</v>
      </c>
      <c r="M643" s="9">
        <f t="shared" si="40"/>
        <v>42786.25</v>
      </c>
      <c r="N643">
        <v>1489986000</v>
      </c>
      <c r="O643" s="9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</f>
        <v>1.4545652173913044</v>
      </c>
      <c r="G644" t="s">
        <v>20</v>
      </c>
      <c r="H644">
        <v>129</v>
      </c>
      <c r="I644">
        <f t="shared" si="42"/>
        <v>103.74</v>
      </c>
      <c r="J644" t="s">
        <v>15</v>
      </c>
      <c r="K644" t="s">
        <v>16</v>
      </c>
      <c r="L644">
        <v>1545026400</v>
      </c>
      <c r="M644" s="9">
        <f t="shared" si="40"/>
        <v>43451.25</v>
      </c>
      <c r="N644">
        <v>1545804000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9">
        <f t="shared" si="40"/>
        <v>42795.25</v>
      </c>
      <c r="N645">
        <v>1489899600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9">
        <f t="shared" si="40"/>
        <v>43452.25</v>
      </c>
      <c r="N646">
        <v>1546495200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9">
        <f t="shared" si="40"/>
        <v>43369.208333333328</v>
      </c>
      <c r="N647">
        <v>1539752400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9">
        <f t="shared" si="40"/>
        <v>41346.208333333336</v>
      </c>
      <c r="N648">
        <v>1364101200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9">
        <f t="shared" si="40"/>
        <v>43199.208333333328</v>
      </c>
      <c r="N649">
        <v>1525323600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9">
        <f t="shared" si="40"/>
        <v>42922.208333333328</v>
      </c>
      <c r="N650">
        <v>1500872400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9">
        <f t="shared" si="40"/>
        <v>40471.208333333336</v>
      </c>
      <c r="N651">
        <v>1288501200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9">
        <f t="shared" si="40"/>
        <v>41828.208333333336</v>
      </c>
      <c r="N652">
        <v>1407128400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9">
        <f t="shared" si="40"/>
        <v>41692.25</v>
      </c>
      <c r="N653">
        <v>1394344800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9">
        <f t="shared" si="40"/>
        <v>42587.208333333328</v>
      </c>
      <c r="N654">
        <v>1474088400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9">
        <f t="shared" si="40"/>
        <v>42468.208333333328</v>
      </c>
      <c r="N655">
        <v>1460264400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9">
        <f t="shared" si="40"/>
        <v>42240.208333333328</v>
      </c>
      <c r="N656">
        <v>1440824400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9">
        <f t="shared" si="40"/>
        <v>42796.25</v>
      </c>
      <c r="N657">
        <v>1489554000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9">
        <f t="shared" si="40"/>
        <v>43097.25</v>
      </c>
      <c r="N658">
        <v>1514872800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9">
        <f t="shared" si="40"/>
        <v>43096.25</v>
      </c>
      <c r="N659">
        <v>1515736800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9">
        <f t="shared" si="40"/>
        <v>42246.208333333328</v>
      </c>
      <c r="N660">
        <v>1442898000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9">
        <f t="shared" si="40"/>
        <v>40570.25</v>
      </c>
      <c r="N661">
        <v>1296194400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9">
        <f t="shared" si="40"/>
        <v>42237.208333333328</v>
      </c>
      <c r="N662">
        <v>1440910800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9">
        <f t="shared" si="40"/>
        <v>40996.208333333336</v>
      </c>
      <c r="N663">
        <v>1335502800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9">
        <f t="shared" si="40"/>
        <v>43443.25</v>
      </c>
      <c r="N664">
        <v>1544680800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9">
        <f t="shared" si="40"/>
        <v>40458.208333333336</v>
      </c>
      <c r="N665">
        <v>1288414800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9">
        <f t="shared" si="40"/>
        <v>40959.25</v>
      </c>
      <c r="N666">
        <v>1330581600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9">
        <f t="shared" si="40"/>
        <v>40733.208333333336</v>
      </c>
      <c r="N667">
        <v>1311397200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9">
        <f t="shared" si="40"/>
        <v>41516.208333333336</v>
      </c>
      <c r="N668">
        <v>1378357200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9">
        <f t="shared" si="40"/>
        <v>41892.208333333336</v>
      </c>
      <c r="N669">
        <v>1411102800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9">
        <f t="shared" si="40"/>
        <v>41122.208333333336</v>
      </c>
      <c r="N670">
        <v>1344834000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9">
        <f t="shared" si="40"/>
        <v>42912.208333333328</v>
      </c>
      <c r="N671">
        <v>1499230800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9">
        <f t="shared" si="40"/>
        <v>42425.25</v>
      </c>
      <c r="N672">
        <v>1457416800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9">
        <f t="shared" si="40"/>
        <v>40390.208333333336</v>
      </c>
      <c r="N673">
        <v>1280898000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9">
        <f t="shared" si="40"/>
        <v>43180.208333333328</v>
      </c>
      <c r="N674">
        <v>1522472400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9">
        <f t="shared" si="40"/>
        <v>42475.208333333328</v>
      </c>
      <c r="N675">
        <v>1462510800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9">
        <f t="shared" si="40"/>
        <v>40774.208333333336</v>
      </c>
      <c r="N676">
        <v>1317790800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9">
        <f t="shared" si="40"/>
        <v>43719.208333333328</v>
      </c>
      <c r="N677">
        <v>1568782800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9">
        <f t="shared" si="40"/>
        <v>41178.208333333336</v>
      </c>
      <c r="N678">
        <v>1349413200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9">
        <f t="shared" si="40"/>
        <v>42561.208333333328</v>
      </c>
      <c r="N679">
        <v>1472446800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9">
        <f t="shared" si="40"/>
        <v>43484.25</v>
      </c>
      <c r="N680">
        <v>1548050400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9">
        <f t="shared" si="40"/>
        <v>43756.208333333328</v>
      </c>
      <c r="N681">
        <v>1571806800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9">
        <f t="shared" si="40"/>
        <v>43813.25</v>
      </c>
      <c r="N682">
        <v>1576476000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9">
        <f t="shared" si="40"/>
        <v>40898.25</v>
      </c>
      <c r="N683">
        <v>1324965600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9">
        <f t="shared" si="40"/>
        <v>41619.25</v>
      </c>
      <c r="N684">
        <v>1387519200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9">
        <f t="shared" si="40"/>
        <v>43359.208333333328</v>
      </c>
      <c r="N685">
        <v>1537246800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9">
        <f t="shared" si="40"/>
        <v>40358.208333333336</v>
      </c>
      <c r="N686">
        <v>1279515600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9">
        <f t="shared" si="40"/>
        <v>42239.208333333328</v>
      </c>
      <c r="N687">
        <v>1442379600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9">
        <f t="shared" si="40"/>
        <v>43186.208333333328</v>
      </c>
      <c r="N688">
        <v>1523077200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9">
        <f t="shared" si="40"/>
        <v>42806.25</v>
      </c>
      <c r="N689">
        <v>1489554000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9">
        <f t="shared" si="40"/>
        <v>43475.25</v>
      </c>
      <c r="N690">
        <v>1548482400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9">
        <f t="shared" si="40"/>
        <v>41576.208333333336</v>
      </c>
      <c r="N691">
        <v>1384063200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9">
        <f t="shared" si="40"/>
        <v>40874.25</v>
      </c>
      <c r="N692">
        <v>1322892000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9">
        <f t="shared" si="40"/>
        <v>41185.208333333336</v>
      </c>
      <c r="N693">
        <v>1350709200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9">
        <f t="shared" si="40"/>
        <v>43655.208333333328</v>
      </c>
      <c r="N694">
        <v>1564203600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9">
        <f t="shared" si="40"/>
        <v>43025.208333333328</v>
      </c>
      <c r="N695">
        <v>1509685200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9">
        <f t="shared" si="40"/>
        <v>43066.25</v>
      </c>
      <c r="N696">
        <v>1514959200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9">
        <f t="shared" si="40"/>
        <v>42322.25</v>
      </c>
      <c r="N697">
        <v>1448863200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9">
        <f t="shared" si="40"/>
        <v>42114.208333333328</v>
      </c>
      <c r="N698">
        <v>1429592400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9">
        <f t="shared" si="40"/>
        <v>43190.208333333328</v>
      </c>
      <c r="N699">
        <v>1522645200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9">
        <f t="shared" si="40"/>
        <v>40871.25</v>
      </c>
      <c r="N700">
        <v>1323324000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9">
        <f t="shared" si="40"/>
        <v>43641.208333333328</v>
      </c>
      <c r="N701">
        <v>1561525200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9">
        <f t="shared" si="40"/>
        <v>40203.25</v>
      </c>
      <c r="N702">
        <v>1265695200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9">
        <f t="shared" si="40"/>
        <v>40629.208333333336</v>
      </c>
      <c r="N703">
        <v>1301806800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9">
        <f t="shared" si="40"/>
        <v>41477.208333333336</v>
      </c>
      <c r="N704">
        <v>1374901200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9">
        <f t="shared" si="40"/>
        <v>41020.208333333336</v>
      </c>
      <c r="N705">
        <v>1336453200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9">
        <f t="shared" ref="M706:M769" si="44">(((L706/60)/60)/24)+DATE(1970,1,1)</f>
        <v>42555.208333333328</v>
      </c>
      <c r="N706">
        <v>1468904400</v>
      </c>
      <c r="O706" s="9">
        <f t="shared" ref="O706:O769" si="45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ref="I707:I770" si="46">ROUND(E707/H707,2)</f>
        <v>82.99</v>
      </c>
      <c r="J707" t="s">
        <v>40</v>
      </c>
      <c r="K707" t="s">
        <v>41</v>
      </c>
      <c r="L707">
        <v>1386741600</v>
      </c>
      <c r="M707" s="9">
        <f t="shared" si="44"/>
        <v>41619.25</v>
      </c>
      <c r="N707">
        <v>1387087200</v>
      </c>
      <c r="O707" s="9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</f>
        <v>1.278468634686347</v>
      </c>
      <c r="G708" t="s">
        <v>20</v>
      </c>
      <c r="H708">
        <v>1345</v>
      </c>
      <c r="I708">
        <f t="shared" si="46"/>
        <v>103.04</v>
      </c>
      <c r="J708" t="s">
        <v>26</v>
      </c>
      <c r="K708" t="s">
        <v>27</v>
      </c>
      <c r="L708">
        <v>1546754400</v>
      </c>
      <c r="M708" s="9">
        <f t="shared" si="44"/>
        <v>43471.25</v>
      </c>
      <c r="N708">
        <v>1547445600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9">
        <f t="shared" si="44"/>
        <v>43442.25</v>
      </c>
      <c r="N709">
        <v>1547359200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9">
        <f t="shared" si="44"/>
        <v>42877.208333333328</v>
      </c>
      <c r="N710">
        <v>1496293200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9">
        <f t="shared" si="44"/>
        <v>41018.208333333336</v>
      </c>
      <c r="N711">
        <v>1335416400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9">
        <f t="shared" si="44"/>
        <v>43295.208333333328</v>
      </c>
      <c r="N712">
        <v>1532149200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9">
        <f t="shared" si="44"/>
        <v>42393.25</v>
      </c>
      <c r="N713">
        <v>1453788000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9">
        <f t="shared" si="44"/>
        <v>42559.208333333328</v>
      </c>
      <c r="N714">
        <v>1471496400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9">
        <f t="shared" si="44"/>
        <v>42604.208333333328</v>
      </c>
      <c r="N715">
        <v>1472878800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9">
        <f t="shared" si="44"/>
        <v>41870.208333333336</v>
      </c>
      <c r="N716">
        <v>1408510800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9">
        <f t="shared" si="44"/>
        <v>40397.208333333336</v>
      </c>
      <c r="N717">
        <v>1281589200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9">
        <f t="shared" si="44"/>
        <v>41465.208333333336</v>
      </c>
      <c r="N718">
        <v>1375851600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9">
        <f t="shared" si="44"/>
        <v>40777.208333333336</v>
      </c>
      <c r="N719">
        <v>1315803600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9">
        <f t="shared" si="44"/>
        <v>41442.208333333336</v>
      </c>
      <c r="N720">
        <v>1373691600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9">
        <f t="shared" si="44"/>
        <v>41058.208333333336</v>
      </c>
      <c r="N721">
        <v>1339218000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9">
        <f t="shared" si="44"/>
        <v>43152.25</v>
      </c>
      <c r="N722">
        <v>1520402400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9">
        <f t="shared" si="44"/>
        <v>43194.208333333328</v>
      </c>
      <c r="N723">
        <v>1523336400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9">
        <f t="shared" si="44"/>
        <v>43045.25</v>
      </c>
      <c r="N724">
        <v>1512280800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9">
        <f t="shared" si="44"/>
        <v>42431.25</v>
      </c>
      <c r="N725">
        <v>1458709200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9">
        <f t="shared" si="44"/>
        <v>41934.208333333336</v>
      </c>
      <c r="N726">
        <v>1414126800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9">
        <f t="shared" si="44"/>
        <v>41958.25</v>
      </c>
      <c r="N727">
        <v>1416204000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9">
        <f t="shared" si="44"/>
        <v>40476.208333333336</v>
      </c>
      <c r="N728">
        <v>1288501200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9">
        <f t="shared" si="44"/>
        <v>43485.25</v>
      </c>
      <c r="N729">
        <v>1552971600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9">
        <f t="shared" si="44"/>
        <v>42515.208333333328</v>
      </c>
      <c r="N730">
        <v>1465102800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9">
        <f t="shared" si="44"/>
        <v>41309.25</v>
      </c>
      <c r="N731">
        <v>1360130400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9">
        <f t="shared" si="44"/>
        <v>42147.208333333328</v>
      </c>
      <c r="N732">
        <v>1432875600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9">
        <f t="shared" si="44"/>
        <v>42939.208333333328</v>
      </c>
      <c r="N733">
        <v>1500872400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9">
        <f t="shared" si="44"/>
        <v>42816.208333333328</v>
      </c>
      <c r="N734">
        <v>1492146000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9">
        <f t="shared" si="44"/>
        <v>41844.208333333336</v>
      </c>
      <c r="N735">
        <v>1407301200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9">
        <f t="shared" si="44"/>
        <v>42763.25</v>
      </c>
      <c r="N736">
        <v>1486620000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9">
        <f t="shared" si="44"/>
        <v>42459.208333333328</v>
      </c>
      <c r="N737">
        <v>1459918800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9">
        <f t="shared" si="44"/>
        <v>42055.25</v>
      </c>
      <c r="N738">
        <v>1424757600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9">
        <f t="shared" si="44"/>
        <v>42685.25</v>
      </c>
      <c r="N739">
        <v>1479880800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9">
        <f t="shared" si="44"/>
        <v>41959.25</v>
      </c>
      <c r="N740">
        <v>1418018400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9">
        <f t="shared" si="44"/>
        <v>41089.208333333336</v>
      </c>
      <c r="N741">
        <v>1341032400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9">
        <f t="shared" si="44"/>
        <v>42769.25</v>
      </c>
      <c r="N742">
        <v>1486360800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9">
        <f t="shared" si="44"/>
        <v>40321.208333333336</v>
      </c>
      <c r="N743">
        <v>1274677200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9">
        <f t="shared" si="44"/>
        <v>40197.25</v>
      </c>
      <c r="N744">
        <v>1267509600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9">
        <f t="shared" si="44"/>
        <v>42298.208333333328</v>
      </c>
      <c r="N745">
        <v>1445922000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9">
        <f t="shared" si="44"/>
        <v>43322.208333333328</v>
      </c>
      <c r="N746">
        <v>1534050000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9">
        <f t="shared" si="44"/>
        <v>40328.208333333336</v>
      </c>
      <c r="N747">
        <v>1277528400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9">
        <f t="shared" si="44"/>
        <v>40825.208333333336</v>
      </c>
      <c r="N748">
        <v>1318568400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9">
        <f t="shared" si="44"/>
        <v>40423.208333333336</v>
      </c>
      <c r="N749">
        <v>1284354000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9">
        <f t="shared" si="44"/>
        <v>40238.25</v>
      </c>
      <c r="N750">
        <v>1269579600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9">
        <f t="shared" si="44"/>
        <v>41920.208333333336</v>
      </c>
      <c r="N751">
        <v>1413781200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9">
        <f t="shared" si="44"/>
        <v>40360.208333333336</v>
      </c>
      <c r="N752">
        <v>1280120400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9">
        <f t="shared" si="44"/>
        <v>42446.208333333328</v>
      </c>
      <c r="N753">
        <v>1459486800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9">
        <f t="shared" si="44"/>
        <v>40395.208333333336</v>
      </c>
      <c r="N754">
        <v>1282539600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9">
        <f t="shared" si="44"/>
        <v>40321.208333333336</v>
      </c>
      <c r="N755">
        <v>1275886800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9">
        <f t="shared" si="44"/>
        <v>41210.208333333336</v>
      </c>
      <c r="N756">
        <v>1355983200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9">
        <f t="shared" si="44"/>
        <v>43096.25</v>
      </c>
      <c r="N757">
        <v>1515391200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9">
        <f t="shared" si="44"/>
        <v>42024.25</v>
      </c>
      <c r="N758">
        <v>1422252000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9">
        <f t="shared" si="44"/>
        <v>40675.208333333336</v>
      </c>
      <c r="N759">
        <v>1305522000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9">
        <f t="shared" si="44"/>
        <v>41936.208333333336</v>
      </c>
      <c r="N760">
        <v>1414904400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9">
        <f t="shared" si="44"/>
        <v>43136.25</v>
      </c>
      <c r="N761">
        <v>1520402400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9">
        <f t="shared" si="44"/>
        <v>43678.208333333328</v>
      </c>
      <c r="N762">
        <v>1567141200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9">
        <f t="shared" si="44"/>
        <v>42938.208333333328</v>
      </c>
      <c r="N763">
        <v>1501131600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9">
        <f t="shared" si="44"/>
        <v>41241.25</v>
      </c>
      <c r="N764">
        <v>1355032800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9">
        <f t="shared" si="44"/>
        <v>41037.208333333336</v>
      </c>
      <c r="N765">
        <v>1339477200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9">
        <f t="shared" si="44"/>
        <v>40676.208333333336</v>
      </c>
      <c r="N766">
        <v>1305954000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9">
        <f t="shared" si="44"/>
        <v>42840.208333333328</v>
      </c>
      <c r="N767">
        <v>1494392400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9">
        <f t="shared" si="44"/>
        <v>43362.208333333328</v>
      </c>
      <c r="N768">
        <v>1537419600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9">
        <f t="shared" si="44"/>
        <v>42283.208333333328</v>
      </c>
      <c r="N769">
        <v>1447999200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9">
        <f t="shared" ref="M770:M833" si="48">(((L770/60)/60)/24)+DATE(1970,1,1)</f>
        <v>41619.25</v>
      </c>
      <c r="N770">
        <v>1388037600</v>
      </c>
      <c r="O770" s="9">
        <f t="shared" ref="O770:O833" si="49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ref="I771:I834" si="50">ROUND(E771/H771,2)</f>
        <v>32</v>
      </c>
      <c r="J771" t="s">
        <v>21</v>
      </c>
      <c r="K771" t="s">
        <v>22</v>
      </c>
      <c r="L771">
        <v>1376542800</v>
      </c>
      <c r="M771" s="9">
        <f t="shared" si="48"/>
        <v>41501.208333333336</v>
      </c>
      <c r="N771">
        <v>1378789200</v>
      </c>
      <c r="O771" s="9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</f>
        <v>2.7074418604651163</v>
      </c>
      <c r="G772" t="s">
        <v>20</v>
      </c>
      <c r="H772">
        <v>216</v>
      </c>
      <c r="I772">
        <f t="shared" si="50"/>
        <v>53.9</v>
      </c>
      <c r="J772" t="s">
        <v>107</v>
      </c>
      <c r="K772" t="s">
        <v>108</v>
      </c>
      <c r="L772">
        <v>1397451600</v>
      </c>
      <c r="M772" s="9">
        <f t="shared" si="48"/>
        <v>41743.208333333336</v>
      </c>
      <c r="N772">
        <v>1398056400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9">
        <f t="shared" si="48"/>
        <v>43491.25</v>
      </c>
      <c r="N773">
        <v>1550815200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9">
        <f t="shared" si="48"/>
        <v>43505.25</v>
      </c>
      <c r="N774">
        <v>1550037600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9">
        <f t="shared" si="48"/>
        <v>42838.208333333328</v>
      </c>
      <c r="N775">
        <v>1492923600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9">
        <f t="shared" si="48"/>
        <v>42513.208333333328</v>
      </c>
      <c r="N776">
        <v>1467522000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9">
        <f t="shared" si="48"/>
        <v>41949.25</v>
      </c>
      <c r="N777">
        <v>1416117600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9">
        <f t="shared" si="48"/>
        <v>43650.208333333328</v>
      </c>
      <c r="N778">
        <v>1563771600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9">
        <f t="shared" si="48"/>
        <v>40809.208333333336</v>
      </c>
      <c r="N779">
        <v>1319259600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9">
        <f t="shared" si="48"/>
        <v>40768.208333333336</v>
      </c>
      <c r="N780">
        <v>1313643600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9">
        <f t="shared" si="48"/>
        <v>42230.208333333328</v>
      </c>
      <c r="N781">
        <v>1440306000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9">
        <f t="shared" si="48"/>
        <v>42573.208333333328</v>
      </c>
      <c r="N782">
        <v>1470805200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9">
        <f t="shared" si="48"/>
        <v>40482.208333333336</v>
      </c>
      <c r="N783">
        <v>1292911200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9">
        <f t="shared" si="48"/>
        <v>40603.25</v>
      </c>
      <c r="N784">
        <v>1301374800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9">
        <f t="shared" si="48"/>
        <v>41625.25</v>
      </c>
      <c r="N785">
        <v>1387864800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9">
        <f t="shared" si="48"/>
        <v>42435.25</v>
      </c>
      <c r="N786">
        <v>1458190800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9">
        <f t="shared" si="48"/>
        <v>43582.208333333328</v>
      </c>
      <c r="N787">
        <v>1559278800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9">
        <f t="shared" si="48"/>
        <v>43186.208333333328</v>
      </c>
      <c r="N788">
        <v>1522731600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9">
        <f t="shared" si="48"/>
        <v>40684.208333333336</v>
      </c>
      <c r="N789">
        <v>1306731600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9">
        <f t="shared" si="48"/>
        <v>41202.208333333336</v>
      </c>
      <c r="N790">
        <v>1352527200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9">
        <f t="shared" si="48"/>
        <v>41786.208333333336</v>
      </c>
      <c r="N791">
        <v>1404363600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9">
        <f t="shared" si="48"/>
        <v>40223.25</v>
      </c>
      <c r="N792">
        <v>1266645600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9">
        <f t="shared" si="48"/>
        <v>42715.25</v>
      </c>
      <c r="N793">
        <v>1482818400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9">
        <f t="shared" si="48"/>
        <v>41451.208333333336</v>
      </c>
      <c r="N794">
        <v>1374642000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9">
        <f t="shared" si="48"/>
        <v>41450.208333333336</v>
      </c>
      <c r="N795">
        <v>1372482000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9">
        <f t="shared" si="48"/>
        <v>43091.25</v>
      </c>
      <c r="N796">
        <v>1514959200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9">
        <f t="shared" si="48"/>
        <v>42675.208333333328</v>
      </c>
      <c r="N797">
        <v>1478235600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9">
        <f t="shared" si="48"/>
        <v>41859.208333333336</v>
      </c>
      <c r="N798">
        <v>1408078800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9">
        <f t="shared" si="48"/>
        <v>43464.25</v>
      </c>
      <c r="N799">
        <v>1548136800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9">
        <f t="shared" si="48"/>
        <v>41060.208333333336</v>
      </c>
      <c r="N800">
        <v>1340859600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9">
        <f t="shared" si="48"/>
        <v>42399.25</v>
      </c>
      <c r="N801">
        <v>1454479200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9">
        <f t="shared" si="48"/>
        <v>42167.208333333328</v>
      </c>
      <c r="N802">
        <v>1434430800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9">
        <f t="shared" si="48"/>
        <v>43830.25</v>
      </c>
      <c r="N803">
        <v>1579672800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9">
        <f t="shared" si="48"/>
        <v>43650.208333333328</v>
      </c>
      <c r="N804">
        <v>1562389200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9">
        <f t="shared" si="48"/>
        <v>43492.25</v>
      </c>
      <c r="N805">
        <v>1551506400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9">
        <f t="shared" si="48"/>
        <v>43102.25</v>
      </c>
      <c r="N806">
        <v>1516600800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9">
        <f t="shared" si="48"/>
        <v>41958.25</v>
      </c>
      <c r="N807">
        <v>1420437600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9">
        <f t="shared" si="48"/>
        <v>40973.25</v>
      </c>
      <c r="N808">
        <v>1332997200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9">
        <f t="shared" si="48"/>
        <v>43753.208333333328</v>
      </c>
      <c r="N809">
        <v>1574920800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9">
        <f t="shared" si="48"/>
        <v>42507.208333333328</v>
      </c>
      <c r="N810">
        <v>1464930000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9">
        <f t="shared" si="48"/>
        <v>41135.208333333336</v>
      </c>
      <c r="N811">
        <v>1345006800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9">
        <f t="shared" si="48"/>
        <v>43067.25</v>
      </c>
      <c r="N812">
        <v>1512712800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9">
        <f t="shared" si="48"/>
        <v>42378.25</v>
      </c>
      <c r="N813">
        <v>1452492000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9">
        <f t="shared" si="48"/>
        <v>43206.208333333328</v>
      </c>
      <c r="N814">
        <v>1524286800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9">
        <f t="shared" si="48"/>
        <v>41148.208333333336</v>
      </c>
      <c r="N815">
        <v>1346907600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9">
        <f t="shared" si="48"/>
        <v>42517.208333333328</v>
      </c>
      <c r="N816">
        <v>1464498000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9">
        <f t="shared" si="48"/>
        <v>43068.25</v>
      </c>
      <c r="N817">
        <v>1514181600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9">
        <f t="shared" si="48"/>
        <v>41680.25</v>
      </c>
      <c r="N818">
        <v>1392184800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9">
        <f t="shared" si="48"/>
        <v>43589.208333333328</v>
      </c>
      <c r="N819">
        <v>1559365200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9">
        <f t="shared" si="48"/>
        <v>43486.25</v>
      </c>
      <c r="N820">
        <v>1549173600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9">
        <f t="shared" si="48"/>
        <v>41237.25</v>
      </c>
      <c r="N821">
        <v>1355032800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9">
        <f t="shared" si="48"/>
        <v>43310.208333333328</v>
      </c>
      <c r="N822">
        <v>1533963600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9">
        <f t="shared" si="48"/>
        <v>42794.25</v>
      </c>
      <c r="N823">
        <v>1489381200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9">
        <f t="shared" si="48"/>
        <v>41698.25</v>
      </c>
      <c r="N824">
        <v>1395032400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9">
        <f t="shared" si="48"/>
        <v>41892.208333333336</v>
      </c>
      <c r="N825">
        <v>1412485200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9">
        <f t="shared" si="48"/>
        <v>40348.208333333336</v>
      </c>
      <c r="N826">
        <v>1279688400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9">
        <f t="shared" si="48"/>
        <v>42941.208333333328</v>
      </c>
      <c r="N827">
        <v>1501995600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9">
        <f t="shared" si="48"/>
        <v>40525.25</v>
      </c>
      <c r="N828">
        <v>1294639200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9">
        <f t="shared" si="48"/>
        <v>40666.208333333336</v>
      </c>
      <c r="N829">
        <v>1305435600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9">
        <f t="shared" si="48"/>
        <v>43340.208333333328</v>
      </c>
      <c r="N830">
        <v>1537592400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9">
        <f t="shared" si="48"/>
        <v>42164.208333333328</v>
      </c>
      <c r="N831">
        <v>1435122000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9">
        <f t="shared" si="48"/>
        <v>43103.25</v>
      </c>
      <c r="N832">
        <v>1520056800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9">
        <f t="shared" si="48"/>
        <v>40994.208333333336</v>
      </c>
      <c r="N833">
        <v>1335675600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9">
        <f t="shared" ref="M834:M897" si="52">(((L834/60)/60)/24)+DATE(1970,1,1)</f>
        <v>42299.208333333328</v>
      </c>
      <c r="N834">
        <v>1448431200</v>
      </c>
      <c r="O834" s="9">
        <f t="shared" ref="O834:O897" si="53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ref="I835:I898" si="54">ROUND(E835/H835,2)</f>
        <v>64.989999999999995</v>
      </c>
      <c r="J835" t="s">
        <v>36</v>
      </c>
      <c r="K835" t="s">
        <v>37</v>
      </c>
      <c r="L835">
        <v>1297663200</v>
      </c>
      <c r="M835" s="9">
        <f t="shared" si="52"/>
        <v>40588.25</v>
      </c>
      <c r="N835">
        <v>1298613600</v>
      </c>
      <c r="O835" s="9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</f>
        <v>1.5380821917808218</v>
      </c>
      <c r="G836" t="s">
        <v>20</v>
      </c>
      <c r="H836">
        <v>119</v>
      </c>
      <c r="I836">
        <f t="shared" si="54"/>
        <v>94.35</v>
      </c>
      <c r="J836" t="s">
        <v>21</v>
      </c>
      <c r="K836" t="s">
        <v>22</v>
      </c>
      <c r="L836">
        <v>1371963600</v>
      </c>
      <c r="M836" s="9">
        <f t="shared" si="52"/>
        <v>41448.208333333336</v>
      </c>
      <c r="N836">
        <v>1372482000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9">
        <f t="shared" si="52"/>
        <v>42063.25</v>
      </c>
      <c r="N837">
        <v>1425621600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9">
        <f t="shared" si="52"/>
        <v>40214.25</v>
      </c>
      <c r="N838">
        <v>1266300000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9">
        <f t="shared" si="52"/>
        <v>40629.208333333336</v>
      </c>
      <c r="N839">
        <v>1305867600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9">
        <f t="shared" si="52"/>
        <v>43370.208333333328</v>
      </c>
      <c r="N840">
        <v>1538802000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9">
        <f t="shared" si="52"/>
        <v>41715.208333333336</v>
      </c>
      <c r="N841">
        <v>1398920400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9">
        <f t="shared" si="52"/>
        <v>41836.208333333336</v>
      </c>
      <c r="N842">
        <v>1405659600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9">
        <f t="shared" si="52"/>
        <v>42419.25</v>
      </c>
      <c r="N843">
        <v>1457244000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9">
        <f t="shared" si="52"/>
        <v>43266.208333333328</v>
      </c>
      <c r="N844">
        <v>1529298000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9">
        <f t="shared" si="52"/>
        <v>43338.208333333328</v>
      </c>
      <c r="N845">
        <v>1535778000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9">
        <f t="shared" si="52"/>
        <v>40930.25</v>
      </c>
      <c r="N846">
        <v>1327471200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9">
        <f t="shared" si="52"/>
        <v>43235.208333333328</v>
      </c>
      <c r="N847">
        <v>1529557200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9">
        <f t="shared" si="52"/>
        <v>43302.208333333328</v>
      </c>
      <c r="N848">
        <v>1535259600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9">
        <f t="shared" si="52"/>
        <v>43107.25</v>
      </c>
      <c r="N849">
        <v>1515564000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9">
        <f t="shared" si="52"/>
        <v>40341.208333333336</v>
      </c>
      <c r="N850">
        <v>1277096400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9">
        <f t="shared" si="52"/>
        <v>40948.25</v>
      </c>
      <c r="N851">
        <v>1329026400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9">
        <f t="shared" si="52"/>
        <v>40866.25</v>
      </c>
      <c r="N852">
        <v>1322978400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9">
        <f t="shared" si="52"/>
        <v>41031.208333333336</v>
      </c>
      <c r="N853">
        <v>1338786000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9">
        <f t="shared" si="52"/>
        <v>40740.208333333336</v>
      </c>
      <c r="N854">
        <v>1311656400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9">
        <f t="shared" si="52"/>
        <v>40714.208333333336</v>
      </c>
      <c r="N855">
        <v>1308978000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9">
        <f t="shared" si="52"/>
        <v>43787.25</v>
      </c>
      <c r="N856">
        <v>1576389600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9">
        <f t="shared" si="52"/>
        <v>40712.208333333336</v>
      </c>
      <c r="N857">
        <v>1311051600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9">
        <f t="shared" si="52"/>
        <v>41023.208333333336</v>
      </c>
      <c r="N858">
        <v>1336712400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9">
        <f t="shared" si="52"/>
        <v>40944.25</v>
      </c>
      <c r="N859">
        <v>1330408800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9">
        <f t="shared" si="52"/>
        <v>43211.208333333328</v>
      </c>
      <c r="N860">
        <v>1524891600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9">
        <f t="shared" si="52"/>
        <v>41334.25</v>
      </c>
      <c r="N861">
        <v>1363669200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9">
        <f t="shared" si="52"/>
        <v>43515.25</v>
      </c>
      <c r="N862">
        <v>1551420000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9">
        <f t="shared" si="52"/>
        <v>40258.208333333336</v>
      </c>
      <c r="N863">
        <v>1269838800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9">
        <f t="shared" si="52"/>
        <v>40756.208333333336</v>
      </c>
      <c r="N864">
        <v>1312520400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9">
        <f t="shared" si="52"/>
        <v>42172.208333333328</v>
      </c>
      <c r="N865">
        <v>1436504400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9">
        <f t="shared" si="52"/>
        <v>42601.208333333328</v>
      </c>
      <c r="N866">
        <v>1472014800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9">
        <f t="shared" si="52"/>
        <v>41897.208333333336</v>
      </c>
      <c r="N867">
        <v>1411534800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9">
        <f t="shared" si="52"/>
        <v>40671.208333333336</v>
      </c>
      <c r="N868">
        <v>1304917200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9">
        <f t="shared" si="52"/>
        <v>43382.208333333328</v>
      </c>
      <c r="N869">
        <v>1539579600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9">
        <f t="shared" si="52"/>
        <v>41559.208333333336</v>
      </c>
      <c r="N870">
        <v>1382504400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9">
        <f t="shared" si="52"/>
        <v>40350.208333333336</v>
      </c>
      <c r="N871">
        <v>1278306000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9">
        <f t="shared" si="52"/>
        <v>42240.208333333328</v>
      </c>
      <c r="N872">
        <v>1442552400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9">
        <f t="shared" si="52"/>
        <v>43040.208333333328</v>
      </c>
      <c r="N873">
        <v>1511071200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9">
        <f t="shared" si="52"/>
        <v>43346.208333333328</v>
      </c>
      <c r="N874">
        <v>1536382800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9">
        <f t="shared" si="52"/>
        <v>41647.25</v>
      </c>
      <c r="N875">
        <v>1389592800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9">
        <f t="shared" si="52"/>
        <v>40291.208333333336</v>
      </c>
      <c r="N876">
        <v>1275282000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9">
        <f t="shared" si="52"/>
        <v>40556.25</v>
      </c>
      <c r="N877">
        <v>1294984800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9">
        <f t="shared" si="52"/>
        <v>43624.208333333328</v>
      </c>
      <c r="N878">
        <v>1562043600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9">
        <f t="shared" si="52"/>
        <v>42577.208333333328</v>
      </c>
      <c r="N879">
        <v>1469595600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9">
        <f t="shared" si="52"/>
        <v>43845.25</v>
      </c>
      <c r="N880">
        <v>1581141600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9">
        <f t="shared" si="52"/>
        <v>42788.25</v>
      </c>
      <c r="N881">
        <v>1488520800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9">
        <f t="shared" si="52"/>
        <v>43667.208333333328</v>
      </c>
      <c r="N882">
        <v>1563858000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9">
        <f t="shared" si="52"/>
        <v>42194.208333333328</v>
      </c>
      <c r="N883">
        <v>1438923600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9">
        <f t="shared" si="52"/>
        <v>42025.25</v>
      </c>
      <c r="N884">
        <v>1422165600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9">
        <f t="shared" si="52"/>
        <v>40323.208333333336</v>
      </c>
      <c r="N885">
        <v>1277874000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9">
        <f t="shared" si="52"/>
        <v>41763.208333333336</v>
      </c>
      <c r="N886">
        <v>1399352400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9">
        <f t="shared" si="52"/>
        <v>40335.208333333336</v>
      </c>
      <c r="N887">
        <v>1279083600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9">
        <f t="shared" si="52"/>
        <v>40416.208333333336</v>
      </c>
      <c r="N888">
        <v>1284354000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9">
        <f t="shared" si="52"/>
        <v>42202.208333333328</v>
      </c>
      <c r="N889">
        <v>1441170000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9">
        <f t="shared" si="52"/>
        <v>42836.208333333328</v>
      </c>
      <c r="N890">
        <v>1493528400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9">
        <f t="shared" si="52"/>
        <v>41710.208333333336</v>
      </c>
      <c r="N891">
        <v>1395205200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9">
        <f t="shared" si="52"/>
        <v>43640.208333333328</v>
      </c>
      <c r="N892">
        <v>1561438800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9">
        <f t="shared" si="52"/>
        <v>40880.25</v>
      </c>
      <c r="N893">
        <v>1326693600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9">
        <f t="shared" si="52"/>
        <v>40319.208333333336</v>
      </c>
      <c r="N894">
        <v>1277960400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9">
        <f t="shared" si="52"/>
        <v>42170.208333333328</v>
      </c>
      <c r="N895">
        <v>1434690000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9">
        <f t="shared" si="52"/>
        <v>41466.208333333336</v>
      </c>
      <c r="N896">
        <v>1376110800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9">
        <f t="shared" si="52"/>
        <v>43134.25</v>
      </c>
      <c r="N897">
        <v>1518415200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9">
        <f t="shared" ref="M898:M961" si="56">(((L898/60)/60)/24)+DATE(1970,1,1)</f>
        <v>40738.208333333336</v>
      </c>
      <c r="N898">
        <v>1310878800</v>
      </c>
      <c r="O898" s="9">
        <f t="shared" ref="O898:O961" si="57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ref="I899:I962" si="58">ROUND(E899/H899,2)</f>
        <v>90.26</v>
      </c>
      <c r="J899" t="s">
        <v>21</v>
      </c>
      <c r="K899" t="s">
        <v>22</v>
      </c>
      <c r="L899">
        <v>1556427600</v>
      </c>
      <c r="M899" s="9">
        <f t="shared" si="56"/>
        <v>43583.208333333328</v>
      </c>
      <c r="N899">
        <v>1556600400</v>
      </c>
      <c r="O899" s="9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</f>
        <v>0.52479620323841425</v>
      </c>
      <c r="G900" t="s">
        <v>14</v>
      </c>
      <c r="H900">
        <v>1221</v>
      </c>
      <c r="I900">
        <f t="shared" si="58"/>
        <v>76.98</v>
      </c>
      <c r="J900" t="s">
        <v>21</v>
      </c>
      <c r="K900" t="s">
        <v>22</v>
      </c>
      <c r="L900">
        <v>1576476000</v>
      </c>
      <c r="M900" s="9">
        <f t="shared" si="56"/>
        <v>43815.25</v>
      </c>
      <c r="N900">
        <v>1576994400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9">
        <f t="shared" si="56"/>
        <v>41554.208333333336</v>
      </c>
      <c r="N901">
        <v>1382677200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9">
        <f t="shared" si="56"/>
        <v>41901.208333333336</v>
      </c>
      <c r="N902">
        <v>1411189200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9">
        <f t="shared" si="56"/>
        <v>43298.208333333328</v>
      </c>
      <c r="N903">
        <v>1534654800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9">
        <f t="shared" si="56"/>
        <v>42399.25</v>
      </c>
      <c r="N904">
        <v>1457762400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9">
        <f t="shared" si="56"/>
        <v>41034.208333333336</v>
      </c>
      <c r="N905">
        <v>1337490000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9">
        <f t="shared" si="56"/>
        <v>41186.208333333336</v>
      </c>
      <c r="N906">
        <v>1349672400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9">
        <f t="shared" si="56"/>
        <v>41536.208333333336</v>
      </c>
      <c r="N907">
        <v>1379826000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9">
        <f t="shared" si="56"/>
        <v>42868.208333333328</v>
      </c>
      <c r="N908">
        <v>1497762000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9">
        <f t="shared" si="56"/>
        <v>40660.208333333336</v>
      </c>
      <c r="N909">
        <v>1304485200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9">
        <f t="shared" si="56"/>
        <v>41031.208333333336</v>
      </c>
      <c r="N910">
        <v>1336885200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9">
        <f t="shared" si="56"/>
        <v>43255.208333333328</v>
      </c>
      <c r="N911">
        <v>1530421200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9">
        <f t="shared" si="56"/>
        <v>42026.25</v>
      </c>
      <c r="N912">
        <v>1421992800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9">
        <f t="shared" si="56"/>
        <v>43717.208333333328</v>
      </c>
      <c r="N913">
        <v>1568178000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9">
        <f t="shared" si="56"/>
        <v>41157.208333333336</v>
      </c>
      <c r="N914">
        <v>1347944400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9">
        <f t="shared" si="56"/>
        <v>43597.208333333328</v>
      </c>
      <c r="N915">
        <v>1558760400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9">
        <f t="shared" si="56"/>
        <v>41490.208333333336</v>
      </c>
      <c r="N916">
        <v>1376629200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9">
        <f t="shared" si="56"/>
        <v>42976.208333333328</v>
      </c>
      <c r="N917">
        <v>1504760400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9">
        <f t="shared" si="56"/>
        <v>41991.25</v>
      </c>
      <c r="N918">
        <v>1419660000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9">
        <f t="shared" si="56"/>
        <v>40722.208333333336</v>
      </c>
      <c r="N919">
        <v>1311310800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9">
        <f t="shared" si="56"/>
        <v>41117.208333333336</v>
      </c>
      <c r="N920">
        <v>1344315600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9">
        <f t="shared" si="56"/>
        <v>43022.208333333328</v>
      </c>
      <c r="N921">
        <v>1510725600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9">
        <f t="shared" si="56"/>
        <v>43503.25</v>
      </c>
      <c r="N922">
        <v>1551247200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9">
        <f t="shared" si="56"/>
        <v>40951.25</v>
      </c>
      <c r="N923">
        <v>1330236000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9">
        <f t="shared" si="56"/>
        <v>43443.25</v>
      </c>
      <c r="N924">
        <v>1545112800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9">
        <f t="shared" si="56"/>
        <v>40373.208333333336</v>
      </c>
      <c r="N925">
        <v>1279170000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9">
        <f t="shared" si="56"/>
        <v>43769.208333333328</v>
      </c>
      <c r="N926">
        <v>1573452000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9">
        <f t="shared" si="56"/>
        <v>43000.208333333328</v>
      </c>
      <c r="N927">
        <v>1507093200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9">
        <f t="shared" si="56"/>
        <v>42502.208333333328</v>
      </c>
      <c r="N928">
        <v>1463374800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9">
        <f t="shared" si="56"/>
        <v>41102.208333333336</v>
      </c>
      <c r="N929">
        <v>1344574800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9">
        <f t="shared" si="56"/>
        <v>41637.25</v>
      </c>
      <c r="N930">
        <v>1389074400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9">
        <f t="shared" si="56"/>
        <v>42858.208333333328</v>
      </c>
      <c r="N931">
        <v>1494997200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9">
        <f t="shared" si="56"/>
        <v>42060.25</v>
      </c>
      <c r="N932">
        <v>1425448800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9">
        <f t="shared" si="56"/>
        <v>41818.208333333336</v>
      </c>
      <c r="N933">
        <v>1404104400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9">
        <f t="shared" si="56"/>
        <v>41709.208333333336</v>
      </c>
      <c r="N934">
        <v>1394773200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9">
        <f t="shared" si="56"/>
        <v>41372.208333333336</v>
      </c>
      <c r="N935">
        <v>1366520400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9">
        <f t="shared" si="56"/>
        <v>42422.25</v>
      </c>
      <c r="N936">
        <v>1456639200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9">
        <f t="shared" si="56"/>
        <v>42209.208333333328</v>
      </c>
      <c r="N937">
        <v>1438318800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9">
        <f t="shared" si="56"/>
        <v>43668.208333333328</v>
      </c>
      <c r="N938">
        <v>1564030800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9">
        <f t="shared" si="56"/>
        <v>42334.25</v>
      </c>
      <c r="N939">
        <v>1449295200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9">
        <f t="shared" si="56"/>
        <v>43263.208333333328</v>
      </c>
      <c r="N940">
        <v>1531890000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9">
        <f t="shared" si="56"/>
        <v>40670.208333333336</v>
      </c>
      <c r="N941">
        <v>1306213200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9">
        <f t="shared" si="56"/>
        <v>41244.25</v>
      </c>
      <c r="N942">
        <v>1356242400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9">
        <f t="shared" si="56"/>
        <v>40552.25</v>
      </c>
      <c r="N943">
        <v>1297576800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9">
        <f t="shared" si="56"/>
        <v>40568.25</v>
      </c>
      <c r="N944">
        <v>1296194400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9">
        <f t="shared" si="56"/>
        <v>41906.208333333336</v>
      </c>
      <c r="N945">
        <v>1414558800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9">
        <f t="shared" si="56"/>
        <v>42776.25</v>
      </c>
      <c r="N946">
        <v>1488348000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9">
        <f t="shared" si="56"/>
        <v>41004.208333333336</v>
      </c>
      <c r="N947">
        <v>1334898000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9">
        <f t="shared" si="56"/>
        <v>40710.208333333336</v>
      </c>
      <c r="N948">
        <v>1308373200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9">
        <f t="shared" si="56"/>
        <v>41908.208333333336</v>
      </c>
      <c r="N949">
        <v>1412312400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9">
        <f t="shared" si="56"/>
        <v>41985.25</v>
      </c>
      <c r="N950">
        <v>1419228000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9">
        <f t="shared" si="56"/>
        <v>42112.208333333328</v>
      </c>
      <c r="N951">
        <v>1430974800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9">
        <f t="shared" si="56"/>
        <v>43571.208333333328</v>
      </c>
      <c r="N952">
        <v>1555822800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9">
        <f t="shared" si="56"/>
        <v>42730.25</v>
      </c>
      <c r="N953">
        <v>1482818400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9">
        <f t="shared" si="56"/>
        <v>42591.208333333328</v>
      </c>
      <c r="N954">
        <v>1471928400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9">
        <f t="shared" si="56"/>
        <v>42358.25</v>
      </c>
      <c r="N955">
        <v>1453701600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9">
        <f t="shared" si="56"/>
        <v>41174.208333333336</v>
      </c>
      <c r="N956">
        <v>1350363600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9">
        <f t="shared" si="56"/>
        <v>41238.25</v>
      </c>
      <c r="N957">
        <v>1353996000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9">
        <f t="shared" si="56"/>
        <v>42360.25</v>
      </c>
      <c r="N958">
        <v>1451109600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9">
        <f t="shared" si="56"/>
        <v>40955.25</v>
      </c>
      <c r="N959">
        <v>1329631200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9">
        <f t="shared" si="56"/>
        <v>40350.208333333336</v>
      </c>
      <c r="N960">
        <v>1278997200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9">
        <f t="shared" si="56"/>
        <v>40357.208333333336</v>
      </c>
      <c r="N961">
        <v>1280120400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9">
        <f t="shared" ref="M962:M1001" si="60">(((L962/60)/60)/24)+DATE(1970,1,1)</f>
        <v>42408.25</v>
      </c>
      <c r="N962">
        <v>1458104400</v>
      </c>
      <c r="O962" s="9">
        <f t="shared" ref="O962:O1001" si="61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ref="I963:I1001" si="62">ROUND(E963/H963,2)</f>
        <v>43.87</v>
      </c>
      <c r="J963" t="s">
        <v>21</v>
      </c>
      <c r="K963" t="s">
        <v>22</v>
      </c>
      <c r="L963">
        <v>1297922400</v>
      </c>
      <c r="M963" s="9">
        <f t="shared" si="60"/>
        <v>40591.25</v>
      </c>
      <c r="N963">
        <v>1298268000</v>
      </c>
      <c r="O963" s="9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</f>
        <v>2.9602777777777778</v>
      </c>
      <c r="G964" t="s">
        <v>20</v>
      </c>
      <c r="H964">
        <v>266</v>
      </c>
      <c r="I964">
        <f t="shared" si="62"/>
        <v>40.06</v>
      </c>
      <c r="J964" t="s">
        <v>21</v>
      </c>
      <c r="K964" t="s">
        <v>22</v>
      </c>
      <c r="L964">
        <v>1384408800</v>
      </c>
      <c r="M964" s="9">
        <f t="shared" si="60"/>
        <v>41592.25</v>
      </c>
      <c r="N964">
        <v>1386223200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9">
        <f t="shared" si="60"/>
        <v>40607.25</v>
      </c>
      <c r="N965">
        <v>1299823200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9">
        <f t="shared" si="60"/>
        <v>42135.208333333328</v>
      </c>
      <c r="N966">
        <v>1431752400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9">
        <f t="shared" si="60"/>
        <v>40203.25</v>
      </c>
      <c r="N967">
        <v>1267855200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9">
        <f t="shared" si="60"/>
        <v>42901.208333333328</v>
      </c>
      <c r="N968">
        <v>1497675600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9">
        <f t="shared" si="60"/>
        <v>41005.208333333336</v>
      </c>
      <c r="N969">
        <v>1336885200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9">
        <f t="shared" si="60"/>
        <v>40544.25</v>
      </c>
      <c r="N970">
        <v>1295157600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9">
        <f t="shared" si="60"/>
        <v>43821.25</v>
      </c>
      <c r="N971">
        <v>1577599200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9">
        <f t="shared" si="60"/>
        <v>40672.208333333336</v>
      </c>
      <c r="N972">
        <v>1305003600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9">
        <f t="shared" si="60"/>
        <v>41555.208333333336</v>
      </c>
      <c r="N973">
        <v>1381726800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9">
        <f t="shared" si="60"/>
        <v>41792.208333333336</v>
      </c>
      <c r="N974">
        <v>1402462800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9">
        <f t="shared" si="60"/>
        <v>40522.25</v>
      </c>
      <c r="N975">
        <v>1292133600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9">
        <f t="shared" si="60"/>
        <v>41412.208333333336</v>
      </c>
      <c r="N976">
        <v>1368939600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9">
        <f t="shared" si="60"/>
        <v>42337.25</v>
      </c>
      <c r="N977">
        <v>1452146400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9">
        <f t="shared" si="60"/>
        <v>40571.25</v>
      </c>
      <c r="N978">
        <v>1296712800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9">
        <f t="shared" si="60"/>
        <v>43138.25</v>
      </c>
      <c r="N979">
        <v>1520748000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9">
        <f t="shared" si="60"/>
        <v>42686.25</v>
      </c>
      <c r="N980">
        <v>1480831200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9">
        <f t="shared" si="60"/>
        <v>42078.208333333328</v>
      </c>
      <c r="N981">
        <v>1426914000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9">
        <f t="shared" si="60"/>
        <v>42307.208333333328</v>
      </c>
      <c r="N982">
        <v>1446616800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9">
        <f t="shared" si="60"/>
        <v>43094.25</v>
      </c>
      <c r="N983">
        <v>1517032800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9">
        <f t="shared" si="60"/>
        <v>40743.208333333336</v>
      </c>
      <c r="N984">
        <v>1311224400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9">
        <f t="shared" si="60"/>
        <v>43681.208333333328</v>
      </c>
      <c r="N985">
        <v>1566190800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9">
        <f t="shared" si="60"/>
        <v>43716.208333333328</v>
      </c>
      <c r="N986">
        <v>1570165200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9">
        <f t="shared" si="60"/>
        <v>41614.25</v>
      </c>
      <c r="N987">
        <v>1388556000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9">
        <f t="shared" si="60"/>
        <v>40638.208333333336</v>
      </c>
      <c r="N988">
        <v>1303189200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9">
        <f t="shared" si="60"/>
        <v>42852.208333333328</v>
      </c>
      <c r="N989">
        <v>1494478800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9">
        <f t="shared" si="60"/>
        <v>42686.25</v>
      </c>
      <c r="N990">
        <v>1480744800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9">
        <f t="shared" si="60"/>
        <v>43571.208333333328</v>
      </c>
      <c r="N991">
        <v>1555822800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9">
        <f t="shared" si="60"/>
        <v>42432.25</v>
      </c>
      <c r="N992">
        <v>1458882000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9">
        <f t="shared" si="60"/>
        <v>41907.208333333336</v>
      </c>
      <c r="N993">
        <v>1411966800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9">
        <f t="shared" si="60"/>
        <v>43227.208333333328</v>
      </c>
      <c r="N994">
        <v>1526878800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9">
        <f t="shared" si="60"/>
        <v>42362.25</v>
      </c>
      <c r="N995">
        <v>1452405600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9">
        <f t="shared" si="60"/>
        <v>41929.208333333336</v>
      </c>
      <c r="N996">
        <v>1414040400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9">
        <f t="shared" si="60"/>
        <v>43408.208333333328</v>
      </c>
      <c r="N997">
        <v>1543816800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9">
        <f t="shared" si="60"/>
        <v>41276.25</v>
      </c>
      <c r="N998">
        <v>1359698400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9">
        <f t="shared" si="60"/>
        <v>41659.25</v>
      </c>
      <c r="N999">
        <v>1390629600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9">
        <f t="shared" si="60"/>
        <v>40220.25</v>
      </c>
      <c r="N1000">
        <v>1267077600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9">
        <f t="shared" si="60"/>
        <v>42550.208333333328</v>
      </c>
      <c r="N1001">
        <v>1467781200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min"/>
        <cfvo type="percentile" val="50"/>
        <cfvo type="max"/>
        <color rgb="FFC00000"/>
        <color rgb="FF00B050"/>
        <color rgb="FF5DD5FF"/>
      </colorScale>
    </cfRule>
  </conditionalFormatting>
  <conditionalFormatting sqref="G1:G1048576">
    <cfRule type="containsText" dxfId="39" priority="2" operator="containsText" text="canceled">
      <formula>NOT(ISERROR(SEARCH("canceled",G1)))</formula>
    </cfRule>
    <cfRule type="containsText" dxfId="38" priority="3" operator="containsText" text="live">
      <formula>NOT(ISERROR(SEARCH("live",G1)))</formula>
    </cfRule>
    <cfRule type="containsText" dxfId="37" priority="4" operator="containsText" text="successful">
      <formula>NOT(ISERROR(SEARCH("successful",G1)))</formula>
    </cfRule>
    <cfRule type="containsText" dxfId="36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11C5-1AC2-4FFD-ACA8-6BB9814DAFAC}">
  <sheetPr codeName="Sheet2"/>
  <dimension ref="A2:F15"/>
  <sheetViews>
    <sheetView zoomScaleNormal="100" workbookViewId="0">
      <selection activeCell="E14" sqref="E1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625" bestFit="1" customWidth="1"/>
    <col min="8" max="8" width="16.5" bestFit="1" customWidth="1"/>
    <col min="9" max="9" width="15.625" bestFit="1" customWidth="1"/>
    <col min="10" max="10" width="21.625" bestFit="1" customWidth="1"/>
    <col min="11" max="11" width="20.625" bestFit="1" customWidth="1"/>
    <col min="12" max="12" width="3.125" bestFit="1" customWidth="1"/>
    <col min="13" max="14" width="3.25" bestFit="1" customWidth="1"/>
    <col min="15" max="15" width="2.875" bestFit="1" customWidth="1"/>
    <col min="16" max="16" width="3.875" bestFit="1" customWidth="1"/>
    <col min="17" max="17" width="10.5" bestFit="1" customWidth="1"/>
    <col min="18" max="18" width="5.625" bestFit="1" customWidth="1"/>
    <col min="19" max="20" width="3.125" bestFit="1" customWidth="1"/>
    <col min="21" max="22" width="3.25" bestFit="1" customWidth="1"/>
    <col min="23" max="23" width="3.125" bestFit="1" customWidth="1"/>
    <col min="24" max="24" width="8.75" bestFit="1" customWidth="1"/>
    <col min="25" max="25" width="11" bestFit="1" customWidth="1"/>
    <col min="26" max="27" width="3.125" bestFit="1" customWidth="1"/>
    <col min="28" max="29" width="3.25" bestFit="1" customWidth="1"/>
    <col min="30" max="30" width="2.875" bestFit="1" customWidth="1"/>
    <col min="31" max="31" width="3.875" bestFit="1" customWidth="1"/>
    <col min="32" max="32" width="14.25" bestFit="1" customWidth="1"/>
    <col min="33" max="33" width="11" bestFit="1" customWidth="1"/>
  </cols>
  <sheetData>
    <row r="2" spans="1:6" x14ac:dyDescent="0.25">
      <c r="A2" s="6" t="s">
        <v>6</v>
      </c>
      <c r="B2" t="s">
        <v>2046</v>
      </c>
    </row>
    <row r="4" spans="1:6" x14ac:dyDescent="0.25">
      <c r="A4" s="6" t="s">
        <v>2033</v>
      </c>
      <c r="B4" s="6" t="s">
        <v>2045</v>
      </c>
    </row>
    <row r="5" spans="1:6" x14ac:dyDescent="0.25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7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2038</v>
      </c>
      <c r="E9">
        <v>4</v>
      </c>
      <c r="F9">
        <v>4</v>
      </c>
    </row>
    <row r="10" spans="1:6" x14ac:dyDescent="0.25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2044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4711-16E8-4523-B183-CED5A4A45C38}">
  <sheetPr codeName="Sheet3"/>
  <dimension ref="A2:F31"/>
  <sheetViews>
    <sheetView topLeftCell="A4" workbookViewId="0">
      <selection activeCell="E20" sqref="E20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</cols>
  <sheetData>
    <row r="2" spans="1:6" x14ac:dyDescent="0.25">
      <c r="A2" s="6" t="s">
        <v>6</v>
      </c>
      <c r="B2" t="s">
        <v>2046</v>
      </c>
    </row>
    <row r="3" spans="1:6" x14ac:dyDescent="0.25">
      <c r="A3" s="6" t="s">
        <v>2031</v>
      </c>
      <c r="B3" t="s">
        <v>2071</v>
      </c>
    </row>
    <row r="5" spans="1:6" x14ac:dyDescent="0.25">
      <c r="A5" s="6" t="s">
        <v>2033</v>
      </c>
      <c r="B5" s="6" t="s">
        <v>2045</v>
      </c>
    </row>
    <row r="6" spans="1:6" x14ac:dyDescent="0.25">
      <c r="A6" s="6" t="s">
        <v>2034</v>
      </c>
      <c r="B6" t="s">
        <v>74</v>
      </c>
      <c r="C6" t="s">
        <v>14</v>
      </c>
      <c r="D6" t="s">
        <v>47</v>
      </c>
      <c r="E6" t="s">
        <v>20</v>
      </c>
      <c r="F6" t="s">
        <v>2044</v>
      </c>
    </row>
    <row r="7" spans="1:6" x14ac:dyDescent="0.25">
      <c r="A7" s="7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7" t="s">
        <v>2056</v>
      </c>
      <c r="E8">
        <v>4</v>
      </c>
      <c r="F8">
        <v>4</v>
      </c>
    </row>
    <row r="9" spans="1:6" x14ac:dyDescent="0.25">
      <c r="A9" s="7" t="s">
        <v>2048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7" t="s">
        <v>2049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7" t="s">
        <v>2057</v>
      </c>
      <c r="C11">
        <v>8</v>
      </c>
      <c r="E11">
        <v>10</v>
      </c>
      <c r="F11">
        <v>18</v>
      </c>
    </row>
    <row r="12" spans="1:6" x14ac:dyDescent="0.25">
      <c r="A12" s="7" t="s">
        <v>2064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7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7" t="s">
        <v>2058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7" t="s">
        <v>2059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7" t="s">
        <v>2060</v>
      </c>
      <c r="C16">
        <v>3</v>
      </c>
      <c r="E16">
        <v>4</v>
      </c>
      <c r="F16">
        <v>7</v>
      </c>
    </row>
    <row r="17" spans="1:6" x14ac:dyDescent="0.25">
      <c r="A17" s="7" t="s">
        <v>2054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7" t="s">
        <v>2065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7" t="s">
        <v>2063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7" t="s">
        <v>2070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7" t="s">
        <v>2066</v>
      </c>
      <c r="C21">
        <v>4</v>
      </c>
      <c r="E21">
        <v>4</v>
      </c>
      <c r="F21">
        <v>8</v>
      </c>
    </row>
    <row r="22" spans="1:6" x14ac:dyDescent="0.25">
      <c r="A22" s="7" t="s">
        <v>2061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7" t="s">
        <v>2050</v>
      </c>
      <c r="C23">
        <v>9</v>
      </c>
      <c r="E23">
        <v>5</v>
      </c>
      <c r="F23">
        <v>14</v>
      </c>
    </row>
    <row r="24" spans="1:6" x14ac:dyDescent="0.25">
      <c r="A24" s="7" t="s">
        <v>2051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7" t="s">
        <v>2052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7" t="s">
        <v>2067</v>
      </c>
      <c r="C26">
        <v>7</v>
      </c>
      <c r="E26">
        <v>14</v>
      </c>
      <c r="F26">
        <v>21</v>
      </c>
    </row>
    <row r="27" spans="1:6" x14ac:dyDescent="0.25">
      <c r="A27" s="7" t="s">
        <v>2055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7" t="s">
        <v>2068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7" t="s">
        <v>2069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7" t="s">
        <v>2062</v>
      </c>
      <c r="E30">
        <v>3</v>
      </c>
      <c r="F30">
        <v>3</v>
      </c>
    </row>
    <row r="31" spans="1:6" x14ac:dyDescent="0.25">
      <c r="A31" s="7" t="s">
        <v>2044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1931-21D3-40BD-8E20-86A3DAE34633}">
  <sheetPr codeName="Sheet4"/>
  <dimension ref="A1:E18"/>
  <sheetViews>
    <sheetView workbookViewId="0">
      <selection activeCell="A19" sqref="A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2031</v>
      </c>
      <c r="B1" t="s" vm="1">
        <v>2074</v>
      </c>
    </row>
    <row r="2" spans="1:5" x14ac:dyDescent="0.25">
      <c r="A2" s="6" t="s">
        <v>2087</v>
      </c>
      <c r="B2" t="s" vm="2">
        <v>2074</v>
      </c>
    </row>
    <row r="4" spans="1:5" x14ac:dyDescent="0.25">
      <c r="A4" s="6" t="s">
        <v>2033</v>
      </c>
      <c r="B4" s="6" t="s">
        <v>2045</v>
      </c>
    </row>
    <row r="5" spans="1:5" x14ac:dyDescent="0.25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7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7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7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3866-E7C8-4D9B-9739-F608A651452F}">
  <sheetPr codeName="Sheet5"/>
  <dimension ref="A1:H13"/>
  <sheetViews>
    <sheetView workbookViewId="0">
      <selection activeCell="C2" sqref="C2"/>
    </sheetView>
  </sheetViews>
  <sheetFormatPr defaultRowHeight="15.75" x14ac:dyDescent="0.25"/>
  <cols>
    <col min="1" max="1" width="25.5" customWidth="1"/>
    <col min="2" max="2" width="16.375" customWidth="1"/>
    <col min="3" max="3" width="12.125" customWidth="1"/>
    <col min="4" max="4" width="14.75" customWidth="1"/>
    <col min="5" max="5" width="11.625" customWidth="1"/>
    <col min="6" max="6" width="19.125" style="4" customWidth="1"/>
    <col min="7" max="7" width="15.375" customWidth="1"/>
    <col min="8" max="8" width="17.5" customWidth="1"/>
  </cols>
  <sheetData>
    <row r="1" spans="1:8" x14ac:dyDescent="0.25">
      <c r="A1" t="s">
        <v>2</v>
      </c>
      <c r="B1" t="s">
        <v>2088</v>
      </c>
      <c r="C1" t="s">
        <v>2089</v>
      </c>
      <c r="D1" t="s">
        <v>2090</v>
      </c>
      <c r="E1" t="s">
        <v>2091</v>
      </c>
      <c r="F1" s="4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COUNTIFS(Crowdfunding!$G:$G,"=canceled",Crowdfunding!$D:$D,"&lt;1000")</f>
        <v>1</v>
      </c>
      <c r="E2">
        <f>SUM(B2:D2)</f>
        <v>51</v>
      </c>
      <c r="F2" s="4">
        <f>ROUND(B2/E2,2)</f>
        <v>0.59</v>
      </c>
      <c r="G2" s="4">
        <f>ROUND(C2/E2,2)</f>
        <v>0.39</v>
      </c>
      <c r="H2" s="4">
        <f>ROUND(D2/E2,2)</f>
        <v>0.02</v>
      </c>
    </row>
    <row r="3" spans="1:8" x14ac:dyDescent="0.25">
      <c r="A3" t="s">
        <v>2096</v>
      </c>
      <c r="B3">
        <f>COUNTIFS(Crowdfunding!$G:$G,"=successful",Crowdfunding!$D:$D,"&gt;=1000",Crowdfunding!$G:$G,"=successful",Crowdfunding!$D:$D,"&lt;=4999")</f>
        <v>191</v>
      </c>
      <c r="C3">
        <f>COUNTIFS(Crowdfunding!$G:$G,"=failed",Crowdfunding!$D:$D,"&gt;=1000",Crowdfunding!$G:$G,"=failed",Crowdfunding!$D:$D,"&lt;=4999")</f>
        <v>38</v>
      </c>
      <c r="D3">
        <f>COUNTIFS(Crowdfunding!$G:$G,"=canceled",Crowdfunding!$D:$D,"&gt;=1000",Crowdfunding!$G:$G,"=canceled",Crowdfunding!$D:$D,"&lt;=4999")</f>
        <v>2</v>
      </c>
      <c r="E3">
        <f t="shared" ref="E3:E13" si="0">SUM(B3:D3)</f>
        <v>231</v>
      </c>
      <c r="F3" s="4">
        <f t="shared" ref="F3:F13" si="1">ROUND(B3/E3,2)</f>
        <v>0.83</v>
      </c>
      <c r="G3" s="4">
        <f t="shared" ref="G3:G13" si="2">ROUND(C3/E3,2)</f>
        <v>0.16</v>
      </c>
      <c r="H3" s="4">
        <f t="shared" ref="H3:H13" si="3">ROUND(D3/E3,2)</f>
        <v>0.01</v>
      </c>
    </row>
    <row r="4" spans="1:8" x14ac:dyDescent="0.25">
      <c r="A4" t="s">
        <v>2097</v>
      </c>
      <c r="B4">
        <f>COUNTIFS(Crowdfunding!$G:$G,"=successful",Crowdfunding!$D:$D,"&gt;=5000",Crowdfunding!$G:$G,"=successful",Crowdfunding!$D:$D,"&lt;=9999")</f>
        <v>164</v>
      </c>
      <c r="C4">
        <f>COUNTIFS(Crowdfunding!$G:$G,"=failed",Crowdfunding!$D:$D,"&gt;=5000",Crowdfunding!$G:$G,"=failed",Crowdfunding!$D:$D,"&lt;=9999")</f>
        <v>126</v>
      </c>
      <c r="D4">
        <f>COUNTIFS(Crowdfunding!$G:$G,"=canceled",Crowdfunding!$D:$D,"&gt;=5000",Crowdfunding!$G:$G,"=canceled",Crowdfunding!$D:$D,"&lt;=9999")</f>
        <v>25</v>
      </c>
      <c r="E4">
        <f t="shared" si="0"/>
        <v>315</v>
      </c>
      <c r="F4" s="4">
        <f t="shared" si="1"/>
        <v>0.52</v>
      </c>
      <c r="G4" s="4">
        <f t="shared" si="2"/>
        <v>0.4</v>
      </c>
      <c r="H4" s="4">
        <f t="shared" si="3"/>
        <v>0.08</v>
      </c>
    </row>
    <row r="5" spans="1:8" x14ac:dyDescent="0.25">
      <c r="A5" t="s">
        <v>2098</v>
      </c>
      <c r="B5">
        <f>COUNTIFS(Crowdfunding!$G:$G,"=successful",Crowdfunding!$D:$D,"&gt;=10000",Crowdfunding!$G:$G,"=successful",Crowdfunding!$D:$D,"&lt;=14999")</f>
        <v>4</v>
      </c>
      <c r="C5">
        <f>COUNTIFS(Crowdfunding!$G:$G,"=failed",Crowdfunding!$D:$D,"&gt;=10000",Crowdfunding!$G:$G,"=failed",Crowdfunding!$D:$D,"&lt;=14999")</f>
        <v>5</v>
      </c>
      <c r="D5">
        <f>COUNTIFS(Crowdfunding!$G:$G,"=canceled",Crowdfunding!$D:$D,"&gt;=10000",Crowdfunding!$G:$G,"=canceled",Crowdfunding!$D:$D,"&lt;=14999")</f>
        <v>0</v>
      </c>
      <c r="E5">
        <f t="shared" si="0"/>
        <v>9</v>
      </c>
      <c r="F5" s="4">
        <f t="shared" si="1"/>
        <v>0.44</v>
      </c>
      <c r="G5" s="4">
        <f t="shared" si="2"/>
        <v>0.56000000000000005</v>
      </c>
      <c r="H5" s="4">
        <f t="shared" si="3"/>
        <v>0</v>
      </c>
    </row>
    <row r="6" spans="1:8" x14ac:dyDescent="0.25">
      <c r="A6" t="s">
        <v>2099</v>
      </c>
      <c r="B6">
        <f>COUNTIFS(Crowdfunding!$G:$G,"=successful",Crowdfunding!$D:$D,"&gt;=15000",Crowdfunding!$G:$G,"=successful",Crowdfunding!$D:$D,"&lt;=19999")</f>
        <v>10</v>
      </c>
      <c r="C6">
        <f>COUNTIFS(Crowdfunding!$G:$G,"=failed",Crowdfunding!$D:$D,"&gt;=15000",Crowdfunding!$G:$G,"=failed",Crowdfunding!$D:$D,"&lt;=19999")</f>
        <v>0</v>
      </c>
      <c r="D6">
        <f>COUNTIFS(Crowdfunding!$G:$G,"=canceled",Crowdfunding!$D:$D,"&gt;=15000",Crowdfunding!$G:$G,"=canceled",Crowdfunding!$D:$D,"&lt;=19999")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2100</v>
      </c>
      <c r="B7">
        <f>COUNTIFS(Crowdfunding!$G:$G,"=successful",Crowdfunding!$D:$D,"&gt;=20000",Crowdfunding!$G:$G,"=successful",Crowdfunding!$D:$D,"&lt;=24999")</f>
        <v>7</v>
      </c>
      <c r="C7">
        <f>COUNTIFS(Crowdfunding!$G:$G,"=failed",Crowdfunding!$D:$D,"&gt;=20000",Crowdfunding!$G:$G,"=failed",Crowdfunding!$D:$D,"&lt;=24999")</f>
        <v>0</v>
      </c>
      <c r="D7">
        <f>COUNTIFS(Crowdfunding!$G:$G,"=canceled",Crowdfunding!$D:$D,"&gt;=20000",Crowdfunding!$G:$G,"=canceled",Crowdfunding!$D:$D,"&lt;=24999")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2101</v>
      </c>
      <c r="B8">
        <f>COUNTIFS(Crowdfunding!$G:$G,"=successful",Crowdfunding!$D:$D,"&gt;=25000",Crowdfunding!$G:$G,"=successful",Crowdfunding!$D:$D,"&lt;=29999")</f>
        <v>11</v>
      </c>
      <c r="C8">
        <f>COUNTIFS(Crowdfunding!$G:$G,"=failed",Crowdfunding!$D:$D,"&gt;=25000",Crowdfunding!$G:$G,"=failed",Crowdfunding!$D:$D,"&lt;=29999")</f>
        <v>3</v>
      </c>
      <c r="D8">
        <f>COUNTIFS(Crowdfunding!$G:$G,"=canceled",Crowdfunding!$D:$D,"&gt;=25000",Crowdfunding!$G:$G,"=canceled",Crowdfunding!$D:$D,"&lt;=29999")</f>
        <v>0</v>
      </c>
      <c r="E8">
        <f t="shared" si="0"/>
        <v>14</v>
      </c>
      <c r="F8" s="4">
        <f t="shared" si="1"/>
        <v>0.79</v>
      </c>
      <c r="G8" s="4">
        <f t="shared" si="2"/>
        <v>0.21</v>
      </c>
      <c r="H8" s="4">
        <f t="shared" si="3"/>
        <v>0</v>
      </c>
    </row>
    <row r="9" spans="1:8" x14ac:dyDescent="0.25">
      <c r="A9" t="s">
        <v>2102</v>
      </c>
      <c r="B9">
        <f>COUNTIFS(Crowdfunding!$G:$G,"=successful",Crowdfunding!$D:$D,"&gt;=30000",Crowdfunding!$G:$G,"=successful",Crowdfunding!$D:$D,"&lt;=34999")</f>
        <v>7</v>
      </c>
      <c r="C9">
        <f>COUNTIFS(Crowdfunding!$G:$G,"=failed",Crowdfunding!$D:$D,"&gt;=30000",Crowdfunding!$G:$G,"=failed",Crowdfunding!$D:$D,"&lt;=34999")</f>
        <v>0</v>
      </c>
      <c r="D9">
        <f>COUNTIFS(Crowdfunding!$G:$G,"=canceled",Crowdfunding!$D:$D,"&gt;=30000",Crowdfunding!$G:$G,"=canceled",Crowdfunding!$D:$D,"&lt;=34999")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2103</v>
      </c>
      <c r="B10">
        <f>COUNTIFS(Crowdfunding!$G:$G,"=successful",Crowdfunding!$D:$D,"&gt;=35000",Crowdfunding!$G:$G,"=successful",Crowdfunding!$D:$D,"&lt;=39999")</f>
        <v>8</v>
      </c>
      <c r="C10">
        <f>COUNTIFS(Crowdfunding!$G:$G,"=failed",Crowdfunding!$D:$D,"&gt;=35000",Crowdfunding!$G:$G,"=failed",Crowdfunding!$D:$D,"&lt;=39999")</f>
        <v>3</v>
      </c>
      <c r="D10">
        <f>COUNTIFS(Crowdfunding!$G:$G,"=canceled",Crowdfunding!$D:$D,"&gt;=35000",Crowdfunding!$G:$G,"=canceled",Crowdfunding!$D:$D,"&lt;=39999")</f>
        <v>1</v>
      </c>
      <c r="E10">
        <f t="shared" si="0"/>
        <v>12</v>
      </c>
      <c r="F10" s="4">
        <f t="shared" si="1"/>
        <v>0.67</v>
      </c>
      <c r="G10" s="4">
        <f t="shared" si="2"/>
        <v>0.25</v>
      </c>
      <c r="H10" s="4">
        <f t="shared" si="3"/>
        <v>0.08</v>
      </c>
    </row>
    <row r="11" spans="1:8" x14ac:dyDescent="0.25">
      <c r="A11" t="s">
        <v>2104</v>
      </c>
      <c r="B11">
        <f>COUNTIFS(Crowdfunding!$G:$G,"=successful",Crowdfunding!$D:$D,"&gt;=40000",Crowdfunding!$G:$G,"=successful",Crowdfunding!$D:$D,"&lt;=44999")</f>
        <v>11</v>
      </c>
      <c r="C11">
        <f>COUNTIFS(Crowdfunding!$G:$G,"=failed",Crowdfunding!$D:$D,"&gt;=40000",Crowdfunding!$G:$G,"=failed",Crowdfunding!$D:$D,"&lt;=44999")</f>
        <v>3</v>
      </c>
      <c r="D11">
        <f>COUNTIFS(Crowdfunding!$G:$G,"=canceled",Crowdfunding!$D:$D,"&gt;=40000",Crowdfunding!$G:$G,"=canceled",Crowdfunding!$D:$D,"&lt;=44999")</f>
        <v>0</v>
      </c>
      <c r="E11">
        <f t="shared" si="0"/>
        <v>14</v>
      </c>
      <c r="F11" s="4">
        <f t="shared" si="1"/>
        <v>0.79</v>
      </c>
      <c r="G11" s="4">
        <f t="shared" si="2"/>
        <v>0.21</v>
      </c>
      <c r="H11" s="4">
        <f t="shared" si="3"/>
        <v>0</v>
      </c>
    </row>
    <row r="12" spans="1:8" x14ac:dyDescent="0.25">
      <c r="A12" t="s">
        <v>2105</v>
      </c>
      <c r="B12">
        <f>COUNTIFS(Crowdfunding!$G:$G,"=successful",Crowdfunding!$D:$D,"&gt;=45000",Crowdfunding!$G:$G,"=successful",Crowdfunding!$D:$D,"&lt;=49999")</f>
        <v>8</v>
      </c>
      <c r="C12">
        <f>COUNTIFS(Crowdfunding!$G:$G,"=failed",Crowdfunding!$D:$D,"&gt;=45000",Crowdfunding!$G:$G,"=failed",Crowdfunding!$D:$D,"&lt;=49999")</f>
        <v>3</v>
      </c>
      <c r="D12">
        <f>COUNTIFS(Crowdfunding!$G:$G,"=canceled",Crowdfunding!$D:$D,"&gt;=45000",Crowdfunding!$G:$G,"=canceled",Crowdfunding!$D:$D,"&lt;=49999")</f>
        <v>0</v>
      </c>
      <c r="E12">
        <f t="shared" si="0"/>
        <v>11</v>
      </c>
      <c r="F12" s="4">
        <f t="shared" si="1"/>
        <v>0.73</v>
      </c>
      <c r="G12" s="4">
        <f t="shared" si="2"/>
        <v>0.27</v>
      </c>
      <c r="H12" s="4">
        <f t="shared" si="3"/>
        <v>0</v>
      </c>
    </row>
    <row r="13" spans="1:8" x14ac:dyDescent="0.25">
      <c r="A13" t="s">
        <v>2106</v>
      </c>
      <c r="B13">
        <f>COUNTIFS(Crowdfunding!$G:$G,"=successful",Crowdfunding!$D:$D,"&gt;=50000")</f>
        <v>114</v>
      </c>
      <c r="C13">
        <f>COUNTIFS(Crowdfunding!$G:$G,"=failed",Crowdfunding!$D:$D,"&gt;=50000")</f>
        <v>163</v>
      </c>
      <c r="D13">
        <f>COUNTIFS(Crowdfunding!$G:$G,"=canceled",Crowdfunding!$D:$D,"&gt;=50000")</f>
        <v>28</v>
      </c>
      <c r="E13">
        <f t="shared" si="0"/>
        <v>305</v>
      </c>
      <c r="F13" s="4">
        <f t="shared" si="1"/>
        <v>0.37</v>
      </c>
      <c r="G13" s="4">
        <f t="shared" si="2"/>
        <v>0.53</v>
      </c>
      <c r="H13" s="4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B4E3-6BDD-4373-AF39-BA1C00835639}">
  <dimension ref="A1:H566"/>
  <sheetViews>
    <sheetView tabSelected="1" workbookViewId="0">
      <selection activeCell="H7" sqref="H7"/>
    </sheetView>
  </sheetViews>
  <sheetFormatPr defaultRowHeight="15.75" x14ac:dyDescent="0.25"/>
  <cols>
    <col min="1" max="1" width="13" bestFit="1" customWidth="1"/>
    <col min="3" max="3" width="40" customWidth="1"/>
    <col min="4" max="4" width="14.75" customWidth="1"/>
    <col min="5" max="5" width="13.125" customWidth="1"/>
    <col min="6" max="6" width="16.625" customWidth="1"/>
    <col min="7" max="7" width="40.375" customWidth="1"/>
    <col min="8" max="8" width="17.5" customWidth="1"/>
    <col min="9" max="9" width="17" customWidth="1"/>
    <col min="10" max="10" width="11.875" customWidth="1"/>
  </cols>
  <sheetData>
    <row r="1" spans="1:8" x14ac:dyDescent="0.25">
      <c r="A1" s="1" t="s">
        <v>4</v>
      </c>
      <c r="B1" s="1" t="s">
        <v>5</v>
      </c>
      <c r="C1" s="1"/>
      <c r="E1" s="1" t="s">
        <v>4</v>
      </c>
      <c r="F1" s="1" t="s">
        <v>5</v>
      </c>
    </row>
    <row r="2" spans="1:8" x14ac:dyDescent="0.25">
      <c r="A2" t="s">
        <v>20</v>
      </c>
      <c r="B2">
        <v>158</v>
      </c>
      <c r="C2" t="s">
        <v>2107</v>
      </c>
      <c r="D2">
        <f>ROUND(AVERAGE(B2:B566),0)</f>
        <v>851</v>
      </c>
      <c r="E2" t="s">
        <v>14</v>
      </c>
      <c r="F2">
        <v>0</v>
      </c>
      <c r="G2" t="s">
        <v>2107</v>
      </c>
      <c r="H2">
        <f>ROUND(AVERAGE(F2:F365),0)</f>
        <v>586</v>
      </c>
    </row>
    <row r="3" spans="1:8" x14ac:dyDescent="0.25">
      <c r="A3" t="s">
        <v>20</v>
      </c>
      <c r="B3">
        <v>1425</v>
      </c>
      <c r="C3" t="s">
        <v>2108</v>
      </c>
      <c r="D3">
        <f>MEDIAN(B2:B566)</f>
        <v>201</v>
      </c>
      <c r="E3" t="s">
        <v>14</v>
      </c>
      <c r="F3">
        <v>24</v>
      </c>
      <c r="G3" t="s">
        <v>2108</v>
      </c>
      <c r="H3">
        <f>ROUND(MEDIAN(F2:F365),0)</f>
        <v>115</v>
      </c>
    </row>
    <row r="4" spans="1:8" x14ac:dyDescent="0.25">
      <c r="A4" t="s">
        <v>20</v>
      </c>
      <c r="B4">
        <v>174</v>
      </c>
      <c r="C4" t="s">
        <v>2109</v>
      </c>
      <c r="D4">
        <f>MIN(B2:B566)</f>
        <v>16</v>
      </c>
      <c r="E4" t="s">
        <v>14</v>
      </c>
      <c r="F4">
        <v>53</v>
      </c>
      <c r="G4" t="s">
        <v>2109</v>
      </c>
      <c r="H4">
        <f>MIN(F2:F365)</f>
        <v>0</v>
      </c>
    </row>
    <row r="5" spans="1:8" x14ac:dyDescent="0.25">
      <c r="A5" t="s">
        <v>20</v>
      </c>
      <c r="B5">
        <v>227</v>
      </c>
      <c r="C5" t="s">
        <v>2110</v>
      </c>
      <c r="D5">
        <f>MAX(B2:B566)</f>
        <v>7295</v>
      </c>
      <c r="E5" t="s">
        <v>14</v>
      </c>
      <c r="F5">
        <v>18</v>
      </c>
      <c r="G5" t="s">
        <v>2110</v>
      </c>
      <c r="H5">
        <f>MAX(F2:F365)</f>
        <v>6080</v>
      </c>
    </row>
    <row r="6" spans="1:8" x14ac:dyDescent="0.25">
      <c r="A6" t="s">
        <v>20</v>
      </c>
      <c r="B6">
        <v>220</v>
      </c>
      <c r="C6" t="s">
        <v>2111</v>
      </c>
      <c r="D6">
        <f>ROUND(_xlfn.VAR.P(B2:B566),0)</f>
        <v>1603374</v>
      </c>
      <c r="E6" t="s">
        <v>14</v>
      </c>
      <c r="F6">
        <v>44</v>
      </c>
      <c r="G6" t="s">
        <v>2111</v>
      </c>
      <c r="H6">
        <f>ROUND(_xlfn.VAR.P(F2:F365),0)</f>
        <v>921575</v>
      </c>
    </row>
    <row r="7" spans="1:8" x14ac:dyDescent="0.25">
      <c r="A7" t="s">
        <v>20</v>
      </c>
      <c r="B7">
        <v>98</v>
      </c>
      <c r="C7" t="s">
        <v>2112</v>
      </c>
      <c r="D7">
        <f>ROUND(_xlfn.STDEV.P(B2:B566),0)</f>
        <v>1266</v>
      </c>
      <c r="E7" t="s">
        <v>14</v>
      </c>
      <c r="F7">
        <v>27</v>
      </c>
      <c r="G7" t="s">
        <v>2112</v>
      </c>
      <c r="H7">
        <f>ROUND(_xlfn.STDEV.P(F2:F365),0)</f>
        <v>960</v>
      </c>
    </row>
    <row r="8" spans="1:8" x14ac:dyDescent="0.25">
      <c r="A8" t="s">
        <v>20</v>
      </c>
      <c r="B8">
        <v>100</v>
      </c>
      <c r="E8" t="s">
        <v>14</v>
      </c>
      <c r="F8">
        <v>55</v>
      </c>
    </row>
    <row r="9" spans="1:8" x14ac:dyDescent="0.25">
      <c r="A9" t="s">
        <v>20</v>
      </c>
      <c r="B9">
        <v>1249</v>
      </c>
      <c r="E9" t="s">
        <v>14</v>
      </c>
      <c r="F9">
        <v>200</v>
      </c>
    </row>
    <row r="10" spans="1:8" x14ac:dyDescent="0.25">
      <c r="A10" t="s">
        <v>20</v>
      </c>
      <c r="B10">
        <v>1396</v>
      </c>
      <c r="E10" t="s">
        <v>14</v>
      </c>
      <c r="F10">
        <v>452</v>
      </c>
    </row>
    <row r="11" spans="1:8" x14ac:dyDescent="0.25">
      <c r="A11" t="s">
        <v>20</v>
      </c>
      <c r="B11">
        <v>890</v>
      </c>
      <c r="E11" t="s">
        <v>14</v>
      </c>
      <c r="F11">
        <v>674</v>
      </c>
    </row>
    <row r="12" spans="1:8" x14ac:dyDescent="0.25">
      <c r="A12" t="s">
        <v>20</v>
      </c>
      <c r="B12">
        <v>142</v>
      </c>
      <c r="E12" t="s">
        <v>14</v>
      </c>
      <c r="F12">
        <v>558</v>
      </c>
    </row>
    <row r="13" spans="1:8" x14ac:dyDescent="0.25">
      <c r="A13" t="s">
        <v>20</v>
      </c>
      <c r="B13">
        <v>2673</v>
      </c>
      <c r="E13" t="s">
        <v>14</v>
      </c>
      <c r="F13">
        <v>15</v>
      </c>
    </row>
    <row r="14" spans="1:8" x14ac:dyDescent="0.25">
      <c r="A14" t="s">
        <v>20</v>
      </c>
      <c r="B14">
        <v>163</v>
      </c>
      <c r="E14" t="s">
        <v>14</v>
      </c>
      <c r="F14">
        <v>2307</v>
      </c>
    </row>
    <row r="15" spans="1:8" x14ac:dyDescent="0.25">
      <c r="A15" t="s">
        <v>20</v>
      </c>
      <c r="B15">
        <v>2220</v>
      </c>
      <c r="E15" t="s">
        <v>14</v>
      </c>
      <c r="F15">
        <v>88</v>
      </c>
    </row>
    <row r="16" spans="1:8" x14ac:dyDescent="0.25">
      <c r="A16" t="s">
        <v>20</v>
      </c>
      <c r="B16">
        <v>1606</v>
      </c>
      <c r="E16" t="s">
        <v>14</v>
      </c>
      <c r="F16">
        <v>48</v>
      </c>
    </row>
    <row r="17" spans="1:6" x14ac:dyDescent="0.25">
      <c r="A17" t="s">
        <v>20</v>
      </c>
      <c r="B17">
        <v>129</v>
      </c>
      <c r="E17" t="s">
        <v>14</v>
      </c>
      <c r="F17">
        <v>1</v>
      </c>
    </row>
    <row r="18" spans="1:6" x14ac:dyDescent="0.25">
      <c r="A18" t="s">
        <v>20</v>
      </c>
      <c r="B18">
        <v>226</v>
      </c>
      <c r="E18" t="s">
        <v>14</v>
      </c>
      <c r="F18">
        <v>1467</v>
      </c>
    </row>
    <row r="19" spans="1:6" x14ac:dyDescent="0.25">
      <c r="A19" t="s">
        <v>20</v>
      </c>
      <c r="B19">
        <v>5419</v>
      </c>
      <c r="E19" t="s">
        <v>14</v>
      </c>
      <c r="F19">
        <v>75</v>
      </c>
    </row>
    <row r="20" spans="1:6" x14ac:dyDescent="0.25">
      <c r="A20" t="s">
        <v>20</v>
      </c>
      <c r="B20">
        <v>165</v>
      </c>
      <c r="E20" t="s">
        <v>14</v>
      </c>
      <c r="F20">
        <v>120</v>
      </c>
    </row>
    <row r="21" spans="1:6" x14ac:dyDescent="0.25">
      <c r="A21" t="s">
        <v>20</v>
      </c>
      <c r="B21">
        <v>1965</v>
      </c>
      <c r="E21" t="s">
        <v>14</v>
      </c>
      <c r="F21">
        <v>2253</v>
      </c>
    </row>
    <row r="22" spans="1:6" x14ac:dyDescent="0.25">
      <c r="A22" t="s">
        <v>20</v>
      </c>
      <c r="B22">
        <v>16</v>
      </c>
      <c r="E22" t="s">
        <v>14</v>
      </c>
      <c r="F22">
        <v>5</v>
      </c>
    </row>
    <row r="23" spans="1:6" x14ac:dyDescent="0.25">
      <c r="A23" t="s">
        <v>20</v>
      </c>
      <c r="B23">
        <v>107</v>
      </c>
      <c r="E23" t="s">
        <v>14</v>
      </c>
      <c r="F23">
        <v>38</v>
      </c>
    </row>
    <row r="24" spans="1:6" x14ac:dyDescent="0.25">
      <c r="A24" t="s">
        <v>20</v>
      </c>
      <c r="B24">
        <v>134</v>
      </c>
      <c r="E24" t="s">
        <v>14</v>
      </c>
      <c r="F24">
        <v>12</v>
      </c>
    </row>
    <row r="25" spans="1:6" x14ac:dyDescent="0.25">
      <c r="A25" t="s">
        <v>20</v>
      </c>
      <c r="B25">
        <v>198</v>
      </c>
      <c r="E25" t="s">
        <v>14</v>
      </c>
      <c r="F25">
        <v>1684</v>
      </c>
    </row>
    <row r="26" spans="1:6" x14ac:dyDescent="0.25">
      <c r="A26" t="s">
        <v>20</v>
      </c>
      <c r="B26">
        <v>111</v>
      </c>
      <c r="E26" t="s">
        <v>14</v>
      </c>
      <c r="F26">
        <v>56</v>
      </c>
    </row>
    <row r="27" spans="1:6" x14ac:dyDescent="0.25">
      <c r="A27" t="s">
        <v>20</v>
      </c>
      <c r="B27">
        <v>222</v>
      </c>
      <c r="E27" t="s">
        <v>14</v>
      </c>
      <c r="F27">
        <v>838</v>
      </c>
    </row>
    <row r="28" spans="1:6" x14ac:dyDescent="0.25">
      <c r="A28" t="s">
        <v>20</v>
      </c>
      <c r="B28">
        <v>6212</v>
      </c>
      <c r="E28" t="s">
        <v>14</v>
      </c>
      <c r="F28">
        <v>1000</v>
      </c>
    </row>
    <row r="29" spans="1:6" x14ac:dyDescent="0.25">
      <c r="A29" t="s">
        <v>20</v>
      </c>
      <c r="B29">
        <v>98</v>
      </c>
      <c r="E29" t="s">
        <v>14</v>
      </c>
      <c r="F29">
        <v>1482</v>
      </c>
    </row>
    <row r="30" spans="1:6" x14ac:dyDescent="0.25">
      <c r="A30" t="s">
        <v>20</v>
      </c>
      <c r="B30">
        <v>92</v>
      </c>
      <c r="E30" t="s">
        <v>14</v>
      </c>
      <c r="F30">
        <v>106</v>
      </c>
    </row>
    <row r="31" spans="1:6" x14ac:dyDescent="0.25">
      <c r="A31" t="s">
        <v>20</v>
      </c>
      <c r="B31">
        <v>149</v>
      </c>
      <c r="E31" t="s">
        <v>14</v>
      </c>
      <c r="F31">
        <v>679</v>
      </c>
    </row>
    <row r="32" spans="1:6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1002">
    <sortCondition sortBy="cellColor" ref="A2:A1002" dxfId="41"/>
  </sortState>
  <conditionalFormatting sqref="A1:A566">
    <cfRule type="containsText" dxfId="11" priority="5" operator="containsText" text="canceled">
      <formula>NOT(ISERROR(SEARCH("canceled",A1)))</formula>
    </cfRule>
    <cfRule type="containsText" dxfId="10" priority="6" operator="containsText" text="live">
      <formula>NOT(ISERROR(SEARCH("live",A1)))</formula>
    </cfRule>
    <cfRule type="containsText" dxfId="9" priority="7" operator="containsText" text="successful">
      <formula>NOT(ISERROR(SEARCH("successful",A1)))</formula>
    </cfRule>
    <cfRule type="containsText" dxfId="8" priority="8" operator="containsText" text="Failed">
      <formula>NOT(ISERROR(SEARCH("Failed",A1)))</formula>
    </cfRule>
  </conditionalFormatting>
  <conditionalFormatting sqref="E1:E365">
    <cfRule type="containsText" dxfId="3" priority="1" operator="containsText" text="canceled">
      <formula>NOT(ISERROR(SEARCH("canceled",E1)))</formula>
    </cfRule>
    <cfRule type="containsText" dxfId="2" priority="2" operator="containsText" text="live">
      <formula>NOT(ISERROR(SEARCH("live",E1)))</formula>
    </cfRule>
    <cfRule type="containsText" dxfId="1" priority="3" operator="containsText" text="successful">
      <formula>NOT(ISERROR(SEARCH("successful",E1)))</formula>
    </cfRule>
    <cfRule type="containsText" dxfId="0" priority="4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Sofia Pai</cp:lastModifiedBy>
  <dcterms:created xsi:type="dcterms:W3CDTF">2021-09-29T18:52:28Z</dcterms:created>
  <dcterms:modified xsi:type="dcterms:W3CDTF">2024-08-21T03:08:30Z</dcterms:modified>
</cp:coreProperties>
</file>