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Module 9\"/>
    </mc:Choice>
  </mc:AlternateContent>
  <xr:revisionPtr revIDLastSave="0" documentId="8_{B784AC82-3961-49A1-BFAC-21A6F7169F4B}" xr6:coauthVersionLast="47" xr6:coauthVersionMax="47" xr10:uidLastSave="{00000000-0000-0000-0000-000000000000}"/>
  <bookViews>
    <workbookView xWindow="51705" yWindow="2025" windowWidth="24420" windowHeight="15450" activeTab="3" xr2:uid="{CDCB9B64-94DE-4ECD-88DC-FA944715FB36}"/>
  </bookViews>
  <sheets>
    <sheet name="Warehouses" sheetId="2" r:id="rId1"/>
    <sheet name="Model Conditions" sheetId="3" r:id="rId2"/>
    <sheet name="Distribution Centers" sheetId="1" r:id="rId3"/>
    <sheet name="Model" sheetId="4" r:id="rId4"/>
    <sheet name="Model (2)" sheetId="5" r:id="rId5"/>
  </sheets>
  <definedNames>
    <definedName name="solver_adj" localSheetId="2" hidden="1">'Distribution Centers'!$O$16:$T$19,'Distribution Centers'!$Y$16:$AB$16</definedName>
    <definedName name="solver_adj" localSheetId="3" hidden="1">Model!$C$10:$H$13,Model!$C$18:$F$18</definedName>
    <definedName name="solver_adj" localSheetId="4" hidden="1">'Model (2)'!$C$10:$H$13,'Model (2)'!$C$18:$F$18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2" hidden="1">'Distribution Centers'!$AC$16</definedName>
    <definedName name="solver_lhs1" localSheetId="3" hidden="1">Model!$C$10:$H$13</definedName>
    <definedName name="solver_lhs1" localSheetId="4" hidden="1">'Model (2)'!$C$10:$H$13</definedName>
    <definedName name="solver_lhs2" localSheetId="2" hidden="1">'Distribution Centers'!$O$16:$T$19</definedName>
    <definedName name="solver_lhs2" localSheetId="3" hidden="1">Model!$C$10:$H$13</definedName>
    <definedName name="solver_lhs2" localSheetId="4" hidden="1">'Model (2)'!$C$10:$H$13</definedName>
    <definedName name="solver_lhs3" localSheetId="2" hidden="1">'Distribution Centers'!$O$16:$T$19</definedName>
    <definedName name="solver_lhs3" localSheetId="3" hidden="1">Model!$C$14:$H$14</definedName>
    <definedName name="solver_lhs3" localSheetId="4" hidden="1">'Model (2)'!$C$14:$H$14</definedName>
    <definedName name="solver_lhs4" localSheetId="2" hidden="1">'Distribution Centers'!$O$20:$T$20</definedName>
    <definedName name="solver_lhs4" localSheetId="3" hidden="1">Model!$C$18:$F$18</definedName>
    <definedName name="solver_lhs4" localSheetId="4" hidden="1">'Model (2)'!$C$18:$F$18</definedName>
    <definedName name="solver_lhs5" localSheetId="2" hidden="1">'Distribution Centers'!$Y$16:$AB$16</definedName>
    <definedName name="solver_lhs5" localSheetId="3" hidden="1">Model!$C$19:$F$19</definedName>
    <definedName name="solver_lhs5" localSheetId="4" hidden="1">'Model (2)'!$C$19:$F$19</definedName>
    <definedName name="solver_lhs6" localSheetId="2" hidden="1">'Distribution Centers'!$Y$17:$AB$17</definedName>
    <definedName name="solver_lhs6" localSheetId="3" hidden="1">Model!$G$18</definedName>
    <definedName name="solver_lhs6" localSheetId="4" hidden="1">'Model (2)'!$G$18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6</definedName>
    <definedName name="solver_num" localSheetId="3" hidden="1">6</definedName>
    <definedName name="solver_num" localSheetId="4" hidden="1">6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'Distribution Centers'!$V$22</definedName>
    <definedName name="solver_opt" localSheetId="3" hidden="1">Model!$J$16</definedName>
    <definedName name="solver_opt" localSheetId="4" hidden="1">'Model (2)'!$J$16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2" hidden="1">1</definedName>
    <definedName name="solver_rel1" localSheetId="3" hidden="1">4</definedName>
    <definedName name="solver_rel1" localSheetId="4" hidden="1">4</definedName>
    <definedName name="solver_rel2" localSheetId="2" hidden="1">4</definedName>
    <definedName name="solver_rel2" localSheetId="3" hidden="1">3</definedName>
    <definedName name="solver_rel2" localSheetId="4" hidden="1">3</definedName>
    <definedName name="solver_rel3" localSheetId="2" hidden="1">3</definedName>
    <definedName name="solver_rel3" localSheetId="3" hidden="1">2</definedName>
    <definedName name="solver_rel3" localSheetId="4" hidden="1">2</definedName>
    <definedName name="solver_rel4" localSheetId="2" hidden="1">2</definedName>
    <definedName name="solver_rel4" localSheetId="3" hidden="1">5</definedName>
    <definedName name="solver_rel4" localSheetId="4" hidden="1">5</definedName>
    <definedName name="solver_rel5" localSheetId="2" hidden="1">5</definedName>
    <definedName name="solver_rel5" localSheetId="3" hidden="1">1</definedName>
    <definedName name="solver_rel5" localSheetId="4" hidden="1">1</definedName>
    <definedName name="solver_rel6" localSheetId="2" hidden="1">1</definedName>
    <definedName name="solver_rel6" localSheetId="3" hidden="1">1</definedName>
    <definedName name="solver_rel6" localSheetId="4" hidden="1">1</definedName>
    <definedName name="solver_rhs1" localSheetId="2" hidden="1">2</definedName>
    <definedName name="solver_rhs1" localSheetId="3" hidden="1">"integer"</definedName>
    <definedName name="solver_rhs1" localSheetId="4" hidden="1">"integer"</definedName>
    <definedName name="solver_rhs2" localSheetId="2" hidden="1">"integer"</definedName>
    <definedName name="solver_rhs2" localSheetId="3" hidden="1">0</definedName>
    <definedName name="solver_rhs2" localSheetId="4" hidden="1">0</definedName>
    <definedName name="solver_rhs3" localSheetId="2" hidden="1">0</definedName>
    <definedName name="solver_rhs3" localSheetId="3" hidden="1">Model!$C$15:$H$15</definedName>
    <definedName name="solver_rhs3" localSheetId="4" hidden="1">'Model (2)'!$C$15:$H$15</definedName>
    <definedName name="solver_rhs4" localSheetId="2" hidden="1">'Distribution Centers'!$O$21:$T$21</definedName>
    <definedName name="solver_rhs4" localSheetId="3" hidden="1">"binary"</definedName>
    <definedName name="solver_rhs4" localSheetId="4" hidden="1">"binary"</definedName>
    <definedName name="solver_rhs5" localSheetId="2" hidden="1">"binary"</definedName>
    <definedName name="solver_rhs5" localSheetId="3" hidden="1">0</definedName>
    <definedName name="solver_rhs5" localSheetId="4" hidden="1">0</definedName>
    <definedName name="solver_rhs6" localSheetId="2" hidden="1">0</definedName>
    <definedName name="solver_rhs6" localSheetId="3" hidden="1">2</definedName>
    <definedName name="solver_rhs6" localSheetId="4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4" l="1"/>
  <c r="H7" i="5"/>
  <c r="G7" i="5"/>
  <c r="F7" i="5"/>
  <c r="C39" i="5" s="1" a="1"/>
  <c r="C39" i="5" s="1"/>
  <c r="E7" i="5"/>
  <c r="D7" i="5"/>
  <c r="C7" i="5"/>
  <c r="H6" i="5"/>
  <c r="G6" i="5"/>
  <c r="F6" i="5"/>
  <c r="E6" i="5"/>
  <c r="D6" i="5"/>
  <c r="C6" i="5"/>
  <c r="H5" i="5"/>
  <c r="G5" i="5"/>
  <c r="F5" i="5"/>
  <c r="E5" i="5"/>
  <c r="C31" i="5" s="1" a="1"/>
  <c r="C31" i="5" s="1"/>
  <c r="D5" i="5"/>
  <c r="C5" i="5"/>
  <c r="H4" i="5"/>
  <c r="G4" i="5"/>
  <c r="F4" i="5"/>
  <c r="E4" i="5"/>
  <c r="D4" i="5"/>
  <c r="C4" i="5"/>
  <c r="J16" i="5" s="1"/>
  <c r="Q7" i="5"/>
  <c r="P7" i="5"/>
  <c r="O7" i="5"/>
  <c r="N7" i="5"/>
  <c r="M7" i="5"/>
  <c r="L7" i="5"/>
  <c r="Q6" i="5"/>
  <c r="P6" i="5"/>
  <c r="O6" i="5"/>
  <c r="N6" i="5"/>
  <c r="M6" i="5"/>
  <c r="L6" i="5"/>
  <c r="Q5" i="5"/>
  <c r="P5" i="5"/>
  <c r="O5" i="5"/>
  <c r="N5" i="5"/>
  <c r="M5" i="5"/>
  <c r="L5" i="5"/>
  <c r="Q4" i="5"/>
  <c r="P4" i="5"/>
  <c r="O4" i="5"/>
  <c r="N4" i="5"/>
  <c r="M4" i="5"/>
  <c r="L4" i="5"/>
  <c r="H38" i="5"/>
  <c r="G38" i="5"/>
  <c r="F38" i="5"/>
  <c r="E38" i="5"/>
  <c r="D38" i="5"/>
  <c r="C38" i="5"/>
  <c r="C35" i="5" a="1"/>
  <c r="C35" i="5" s="1"/>
  <c r="H34" i="5"/>
  <c r="G34" i="5"/>
  <c r="F34" i="5"/>
  <c r="E34" i="5"/>
  <c r="D34" i="5"/>
  <c r="C34" i="5"/>
  <c r="H30" i="5"/>
  <c r="G30" i="5"/>
  <c r="F30" i="5"/>
  <c r="E30" i="5"/>
  <c r="D30" i="5"/>
  <c r="C30" i="5"/>
  <c r="H26" i="5"/>
  <c r="G26" i="5"/>
  <c r="F26" i="5"/>
  <c r="E26" i="5"/>
  <c r="D26" i="5"/>
  <c r="C26" i="5"/>
  <c r="F22" i="5"/>
  <c r="E22" i="5"/>
  <c r="D22" i="5"/>
  <c r="C22" i="5"/>
  <c r="G18" i="5"/>
  <c r="AC16" i="5"/>
  <c r="H14" i="5"/>
  <c r="G14" i="5"/>
  <c r="F14" i="5"/>
  <c r="E14" i="5"/>
  <c r="D14" i="5"/>
  <c r="C14" i="5"/>
  <c r="I13" i="5"/>
  <c r="F19" i="5" s="1"/>
  <c r="I12" i="5"/>
  <c r="E19" i="5" s="1"/>
  <c r="I11" i="5"/>
  <c r="D19" i="5" s="1"/>
  <c r="I10" i="5"/>
  <c r="C19" i="5" s="1"/>
  <c r="H38" i="4"/>
  <c r="G38" i="4"/>
  <c r="F38" i="4"/>
  <c r="E38" i="4"/>
  <c r="D38" i="4"/>
  <c r="C38" i="4"/>
  <c r="H34" i="4"/>
  <c r="G34" i="4"/>
  <c r="F34" i="4"/>
  <c r="E34" i="4"/>
  <c r="D34" i="4"/>
  <c r="C34" i="4"/>
  <c r="H30" i="4"/>
  <c r="G30" i="4"/>
  <c r="F30" i="4"/>
  <c r="E30" i="4"/>
  <c r="D30" i="4"/>
  <c r="C30" i="4"/>
  <c r="D26" i="4"/>
  <c r="E26" i="4"/>
  <c r="F26" i="4"/>
  <c r="G26" i="4"/>
  <c r="H26" i="4"/>
  <c r="C26" i="4"/>
  <c r="D22" i="4"/>
  <c r="Y25" i="1"/>
  <c r="C22" i="4"/>
  <c r="Y17" i="1"/>
  <c r="G18" i="4"/>
  <c r="F22" i="4"/>
  <c r="E22" i="4"/>
  <c r="I11" i="4"/>
  <c r="D19" i="4" s="1"/>
  <c r="I12" i="4"/>
  <c r="E19" i="4" s="1"/>
  <c r="I13" i="4"/>
  <c r="F19" i="4" s="1"/>
  <c r="I10" i="4"/>
  <c r="C19" i="4" s="1"/>
  <c r="D14" i="4"/>
  <c r="E14" i="4"/>
  <c r="F14" i="4"/>
  <c r="G14" i="4"/>
  <c r="H14" i="4"/>
  <c r="C14" i="4"/>
  <c r="AC16" i="4"/>
  <c r="U16" i="1"/>
  <c r="AC16" i="1"/>
  <c r="AB25" i="1"/>
  <c r="AA25" i="1"/>
  <c r="Z25" i="1"/>
  <c r="V22" i="1"/>
  <c r="Z28" i="1"/>
  <c r="Y28" i="1"/>
  <c r="X28" i="1"/>
  <c r="W28" i="1"/>
  <c r="P42" i="1"/>
  <c r="Q42" i="1"/>
  <c r="R42" i="1"/>
  <c r="S42" i="1"/>
  <c r="T42" i="1"/>
  <c r="O42" i="1"/>
  <c r="P38" i="1"/>
  <c r="Q38" i="1"/>
  <c r="R38" i="1"/>
  <c r="S38" i="1"/>
  <c r="T38" i="1"/>
  <c r="O38" i="1"/>
  <c r="T34" i="1"/>
  <c r="R40" i="1"/>
  <c r="Q40" i="1"/>
  <c r="P40" i="1"/>
  <c r="O40" i="1"/>
  <c r="R36" i="1"/>
  <c r="Q36" i="1"/>
  <c r="P36" i="1"/>
  <c r="O36" i="1"/>
  <c r="O41" i="1" a="1"/>
  <c r="O41" i="1" s="1"/>
  <c r="O37" i="1" a="1"/>
  <c r="O37" i="1" s="1"/>
  <c r="O33" i="1" a="1"/>
  <c r="O33" i="1" s="1"/>
  <c r="R32" i="1"/>
  <c r="R34" i="1" s="1"/>
  <c r="Q32" i="1"/>
  <c r="Q34" i="1" s="1"/>
  <c r="P32" i="1"/>
  <c r="P34" i="1" s="1"/>
  <c r="O32" i="1"/>
  <c r="O34" i="1" s="1"/>
  <c r="O29" i="1" a="1"/>
  <c r="O29" i="1" s="1"/>
  <c r="P30" i="1"/>
  <c r="P28" i="1"/>
  <c r="Q28" i="1"/>
  <c r="Q30" i="1" s="1"/>
  <c r="R28" i="1"/>
  <c r="R30" i="1" s="1"/>
  <c r="O28" i="1"/>
  <c r="O30" i="1" s="1"/>
  <c r="Q20" i="1"/>
  <c r="R20" i="1"/>
  <c r="S20" i="1"/>
  <c r="T20" i="1"/>
  <c r="P20" i="1"/>
  <c r="O20" i="1"/>
  <c r="U17" i="1"/>
  <c r="Z17" i="1" s="1"/>
  <c r="U18" i="1"/>
  <c r="AA17" i="1" s="1"/>
  <c r="U19" i="1"/>
  <c r="AB17" i="1" s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10" i="1"/>
  <c r="H32" i="5" l="1"/>
  <c r="C40" i="5"/>
  <c r="C27" i="5" a="1"/>
  <c r="C27" i="5" s="1"/>
  <c r="C28" i="5" s="1"/>
  <c r="D40" i="5"/>
  <c r="D36" i="5"/>
  <c r="E40" i="5"/>
  <c r="G28" i="5"/>
  <c r="H28" i="5"/>
  <c r="D32" i="5"/>
  <c r="E36" i="5"/>
  <c r="F40" i="5"/>
  <c r="E32" i="5"/>
  <c r="F36" i="5"/>
  <c r="G40" i="5"/>
  <c r="H40" i="5"/>
  <c r="F32" i="5"/>
  <c r="G36" i="5"/>
  <c r="G32" i="5"/>
  <c r="H36" i="5"/>
  <c r="C39" i="4" a="1"/>
  <c r="C39" i="4" s="1"/>
  <c r="C40" i="4" s="1"/>
  <c r="C35" i="4" a="1"/>
  <c r="H36" i="4" s="1"/>
  <c r="C31" i="4" a="1"/>
  <c r="G32" i="4" s="1"/>
  <c r="C27" i="4" a="1"/>
  <c r="C27" i="4" s="1"/>
  <c r="C28" i="4" s="1"/>
  <c r="C36" i="5"/>
  <c r="C32" i="5"/>
  <c r="E24" i="5" s="1"/>
  <c r="T30" i="1"/>
  <c r="S34" i="1"/>
  <c r="S30" i="1"/>
  <c r="F24" i="5" l="1"/>
  <c r="F28" i="5"/>
  <c r="G24" i="5"/>
  <c r="D28" i="5"/>
  <c r="D24" i="5" s="1"/>
  <c r="E28" i="5"/>
  <c r="H40" i="4"/>
  <c r="D40" i="4"/>
  <c r="F40" i="4"/>
  <c r="E40" i="4"/>
  <c r="G40" i="4"/>
  <c r="D36" i="4"/>
  <c r="G36" i="4"/>
  <c r="E36" i="4"/>
  <c r="F36" i="4"/>
  <c r="C35" i="4"/>
  <c r="C36" i="4" s="1"/>
  <c r="E32" i="4"/>
  <c r="F32" i="4"/>
  <c r="C31" i="4"/>
  <c r="C32" i="4" s="1"/>
  <c r="D32" i="4"/>
  <c r="H32" i="4"/>
  <c r="H28" i="4"/>
  <c r="G28" i="4"/>
  <c r="F28" i="4"/>
  <c r="D28" i="4"/>
  <c r="E28" i="4"/>
  <c r="D24" i="4" l="1"/>
  <c r="G24" i="4"/>
  <c r="F24" i="4"/>
  <c r="E2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<sst xmlns="http://schemas.openxmlformats.org/spreadsheetml/2006/main" count="88" uniqueCount="48">
  <si>
    <t>distribution_center</t>
  </si>
  <si>
    <t>name</t>
  </si>
  <si>
    <t>demand</t>
  </si>
  <si>
    <t>latitude</t>
  </si>
  <si>
    <t>longitude</t>
  </si>
  <si>
    <t>Praline Park</t>
  </si>
  <si>
    <t>Pineapple Pop Paradise</t>
  </si>
  <si>
    <t>Waffle Cone Wonderland</t>
  </si>
  <si>
    <t>Tartberry Thicket</t>
  </si>
  <si>
    <t>Taffy Tundra</t>
  </si>
  <si>
    <t>Nougat Nook</t>
  </si>
  <si>
    <t>warehouse</t>
  </si>
  <si>
    <t>set_up_cost</t>
  </si>
  <si>
    <t>Honeycomb Highlands</t>
  </si>
  <si>
    <t>Lemon Drop Lagoon</t>
  </si>
  <si>
    <t>Cocoa Bean Crater</t>
  </si>
  <si>
    <t>Gummy Grotto</t>
  </si>
  <si>
    <t>max_dcs</t>
  </si>
  <si>
    <t>cost_per_unit_distance</t>
  </si>
  <si>
    <t>method_to_calculate_distance</t>
  </si>
  <si>
    <t>manhattan</t>
  </si>
  <si>
    <t>Setup Cost</t>
  </si>
  <si>
    <t>WH</t>
  </si>
  <si>
    <t>DC</t>
  </si>
  <si>
    <t>WH Lat</t>
  </si>
  <si>
    <t>WH Long</t>
  </si>
  <si>
    <t>DC Lat</t>
  </si>
  <si>
    <t>DC Long</t>
  </si>
  <si>
    <t>Manhattan</t>
  </si>
  <si>
    <t>WH v DC</t>
  </si>
  <si>
    <t>Total Units</t>
  </si>
  <si>
    <t>Demand</t>
  </si>
  <si>
    <t>Linking Constraints</t>
  </si>
  <si>
    <t>Binary Variables</t>
  </si>
  <si>
    <t>Total Profit -&gt;</t>
  </si>
  <si>
    <t>X1</t>
  </si>
  <si>
    <t>X2</t>
  </si>
  <si>
    <t>X3</t>
  </si>
  <si>
    <t>X4</t>
  </si>
  <si>
    <t>WH 1</t>
  </si>
  <si>
    <t>WH 2</t>
  </si>
  <si>
    <t>WH 3</t>
  </si>
  <si>
    <t>WH 4</t>
  </si>
  <si>
    <t>Max if 1 Product</t>
  </si>
  <si>
    <t>SUM</t>
  </si>
  <si>
    <t>Actual Cost</t>
  </si>
  <si>
    <t>Max if 1</t>
  </si>
  <si>
    <t>Total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</si>
</sst>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1" xfId="0" applyBorder="1"/>
    <xf numFmtId="0" fontId="2" fillId="0" borderId="1" xfId="0" applyFont="1" applyBorder="1"/>
    <xf numFmtId="165" fontId="0" fillId="0" borderId="0" xfId="0" applyNumberFormat="1"/>
    <xf numFmtId="0" fontId="4" fillId="2" borderId="0" xfId="0" applyFont="1" applyFill="1"/>
    <xf numFmtId="0" fontId="5" fillId="2" borderId="0" xfId="0" applyFont="1" applyFill="1"/>
    <xf numFmtId="165" fontId="6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0C92-9078-4439-8798-204D882355EF}">
  <dimension ref="A1:E5"/>
  <sheetViews>
    <sheetView workbookViewId="0">
      <selection activeCell="E5" sqref="E5"/>
    </sheetView>
  </sheetViews>
  <sheetFormatPr defaultRowHeight="14.5" x14ac:dyDescent="0.35"/>
  <cols>
    <col min="1" max="1" width="10.1796875" bestFit="1" customWidth="1"/>
    <col min="2" max="2" width="20.1796875" bestFit="1" customWidth="1"/>
    <col min="3" max="3" width="10.7265625" bestFit="1" customWidth="1"/>
    <col min="4" max="4" width="7.36328125" bestFit="1" customWidth="1"/>
    <col min="5" max="5" width="8.81640625" bestFit="1" customWidth="1"/>
  </cols>
  <sheetData>
    <row r="1" spans="1:5" x14ac:dyDescent="0.35">
      <c r="A1" t="s">
        <v>11</v>
      </c>
      <c r="B1" t="s">
        <v>1</v>
      </c>
      <c r="C1" t="s">
        <v>12</v>
      </c>
      <c r="D1" t="s">
        <v>3</v>
      </c>
      <c r="E1" t="s">
        <v>4</v>
      </c>
    </row>
    <row r="2" spans="1:5" x14ac:dyDescent="0.35">
      <c r="A2">
        <v>1</v>
      </c>
      <c r="B2" t="s">
        <v>13</v>
      </c>
      <c r="C2">
        <v>2708</v>
      </c>
      <c r="D2">
        <v>41.02</v>
      </c>
      <c r="E2">
        <v>-79.87</v>
      </c>
    </row>
    <row r="3" spans="1:5" x14ac:dyDescent="0.35">
      <c r="A3">
        <v>2</v>
      </c>
      <c r="B3" t="s">
        <v>14</v>
      </c>
      <c r="C3">
        <v>1665</v>
      </c>
      <c r="D3">
        <v>27.64</v>
      </c>
      <c r="E3">
        <v>-80.69</v>
      </c>
    </row>
    <row r="4" spans="1:5" x14ac:dyDescent="0.35">
      <c r="A4">
        <v>3</v>
      </c>
      <c r="B4" t="s">
        <v>15</v>
      </c>
      <c r="C4">
        <v>2255</v>
      </c>
      <c r="D4">
        <v>46.38</v>
      </c>
      <c r="E4">
        <v>-77.69</v>
      </c>
    </row>
    <row r="5" spans="1:5" x14ac:dyDescent="0.35">
      <c r="A5">
        <v>4</v>
      </c>
      <c r="B5" t="s">
        <v>16</v>
      </c>
      <c r="C5">
        <v>2774</v>
      </c>
      <c r="D5">
        <v>44.64</v>
      </c>
      <c r="E5">
        <v>-108.23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0CB3-D157-4BE4-823E-C1FB90E41B50}">
  <dimension ref="A1:C2"/>
  <sheetViews>
    <sheetView workbookViewId="0">
      <selection activeCell="C3" sqref="C3"/>
    </sheetView>
  </sheetViews>
  <sheetFormatPr defaultRowHeight="14.5" x14ac:dyDescent="0.35"/>
  <cols>
    <col min="1" max="1" width="8.26953125" bestFit="1" customWidth="1"/>
    <col min="2" max="2" width="20.54296875" bestFit="1" customWidth="1"/>
    <col min="3" max="3" width="27" bestFit="1" customWidth="1"/>
  </cols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>
        <v>2</v>
      </c>
      <c r="B2">
        <v>1</v>
      </c>
      <c r="C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4463-68BD-43A8-BDBD-4C16766CFFF3}">
  <dimension ref="A1:AC42"/>
  <sheetViews>
    <sheetView topLeftCell="G1" workbookViewId="0">
      <selection activeCell="Y24" sqref="Y24"/>
    </sheetView>
  </sheetViews>
  <sheetFormatPr defaultRowHeight="14.5" x14ac:dyDescent="0.35"/>
  <cols>
    <col min="1" max="1" width="17" bestFit="1" customWidth="1"/>
    <col min="2" max="2" width="22.08984375" bestFit="1" customWidth="1"/>
    <col min="3" max="3" width="7.90625" bestFit="1" customWidth="1"/>
    <col min="4" max="4" width="7.36328125" bestFit="1" customWidth="1"/>
    <col min="5" max="5" width="8.81640625" bestFit="1" customWidth="1"/>
    <col min="21" max="21" width="11.81640625" customWidth="1"/>
    <col min="22" max="22" width="13.6328125" bestFit="1" customWidth="1"/>
    <col min="24" max="24" width="16.3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9" x14ac:dyDescent="0.35">
      <c r="A2">
        <v>1</v>
      </c>
      <c r="B2" t="s">
        <v>5</v>
      </c>
      <c r="C2">
        <v>720</v>
      </c>
      <c r="D2">
        <v>43.35</v>
      </c>
      <c r="E2">
        <v>-119.08</v>
      </c>
    </row>
    <row r="3" spans="1:29" x14ac:dyDescent="0.35">
      <c r="A3">
        <v>2</v>
      </c>
      <c r="B3" t="s">
        <v>6</v>
      </c>
      <c r="C3">
        <v>919</v>
      </c>
      <c r="D3">
        <v>35.14</v>
      </c>
      <c r="E3">
        <v>-68.540000000000006</v>
      </c>
    </row>
    <row r="4" spans="1:29" x14ac:dyDescent="0.35">
      <c r="A4">
        <v>3</v>
      </c>
      <c r="B4" t="s">
        <v>7</v>
      </c>
      <c r="C4">
        <v>931</v>
      </c>
      <c r="D4">
        <v>34.29</v>
      </c>
      <c r="E4">
        <v>-124.29</v>
      </c>
    </row>
    <row r="5" spans="1:29" x14ac:dyDescent="0.35">
      <c r="A5">
        <v>4</v>
      </c>
      <c r="B5" t="s">
        <v>8</v>
      </c>
      <c r="C5">
        <v>922</v>
      </c>
      <c r="D5">
        <v>43.89</v>
      </c>
      <c r="E5">
        <v>-92.9</v>
      </c>
    </row>
    <row r="6" spans="1:29" x14ac:dyDescent="0.35">
      <c r="A6">
        <v>5</v>
      </c>
      <c r="B6" t="s">
        <v>9</v>
      </c>
      <c r="C6">
        <v>730</v>
      </c>
      <c r="D6">
        <v>43.99</v>
      </c>
      <c r="E6">
        <v>-78.760000000000005</v>
      </c>
    </row>
    <row r="7" spans="1:29" x14ac:dyDescent="0.35">
      <c r="A7">
        <v>6</v>
      </c>
      <c r="B7" t="s">
        <v>10</v>
      </c>
      <c r="C7">
        <v>657</v>
      </c>
      <c r="D7">
        <v>36.049999999999997</v>
      </c>
      <c r="E7">
        <v>-73.23</v>
      </c>
    </row>
    <row r="9" spans="1:29" x14ac:dyDescent="0.35"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N9" t="s">
        <v>29</v>
      </c>
      <c r="O9">
        <v>1</v>
      </c>
      <c r="P9">
        <v>2</v>
      </c>
      <c r="Q9">
        <v>3</v>
      </c>
      <c r="R9">
        <v>4</v>
      </c>
      <c r="S9">
        <v>5</v>
      </c>
      <c r="T9">
        <v>6</v>
      </c>
    </row>
    <row r="10" spans="1:29" x14ac:dyDescent="0.35">
      <c r="F10">
        <v>1</v>
      </c>
      <c r="G10">
        <v>1</v>
      </c>
      <c r="H10">
        <v>41.02</v>
      </c>
      <c r="I10">
        <v>-79.87</v>
      </c>
      <c r="J10">
        <v>43.35</v>
      </c>
      <c r="K10">
        <v>-119.08</v>
      </c>
      <c r="L10">
        <f>ABS(H10-J10)+ABS(I10-K10)</f>
        <v>41.539999999999992</v>
      </c>
      <c r="N10">
        <v>1</v>
      </c>
      <c r="O10">
        <v>41.539999999999992</v>
      </c>
      <c r="P10">
        <v>17.21</v>
      </c>
      <c r="Q10">
        <v>51.15</v>
      </c>
      <c r="R10">
        <v>15.9</v>
      </c>
      <c r="S10">
        <v>4.08</v>
      </c>
      <c r="T10">
        <v>11.61</v>
      </c>
    </row>
    <row r="11" spans="1:29" x14ac:dyDescent="0.35">
      <c r="F11">
        <v>1</v>
      </c>
      <c r="G11">
        <v>2</v>
      </c>
      <c r="H11">
        <v>41.02</v>
      </c>
      <c r="I11">
        <v>-79.87</v>
      </c>
      <c r="J11">
        <v>35.14</v>
      </c>
      <c r="K11">
        <v>-68.540000000000006</v>
      </c>
      <c r="L11">
        <f t="shared" ref="L11:L33" si="0">ABS(H11-J11)+ABS(I11-K11)</f>
        <v>17.21</v>
      </c>
      <c r="N11">
        <v>2</v>
      </c>
      <c r="O11">
        <v>54.1</v>
      </c>
      <c r="P11">
        <v>19.649999999999999</v>
      </c>
      <c r="Q11">
        <v>50.25</v>
      </c>
      <c r="R11">
        <v>28.46</v>
      </c>
      <c r="S11">
        <v>18.28</v>
      </c>
      <c r="T11">
        <v>15.87</v>
      </c>
    </row>
    <row r="12" spans="1:29" x14ac:dyDescent="0.35">
      <c r="F12">
        <v>1</v>
      </c>
      <c r="G12">
        <v>3</v>
      </c>
      <c r="H12">
        <v>41.02</v>
      </c>
      <c r="I12">
        <v>-79.87</v>
      </c>
      <c r="J12">
        <v>34.29</v>
      </c>
      <c r="K12">
        <v>-124.29</v>
      </c>
      <c r="L12">
        <f t="shared" si="0"/>
        <v>51.150000000000006</v>
      </c>
      <c r="N12">
        <v>3</v>
      </c>
      <c r="O12">
        <v>44.42</v>
      </c>
      <c r="P12">
        <v>20.39</v>
      </c>
      <c r="Q12">
        <v>58.69</v>
      </c>
      <c r="R12">
        <v>17.7</v>
      </c>
      <c r="S12">
        <v>3.46</v>
      </c>
      <c r="T12">
        <v>14.79</v>
      </c>
    </row>
    <row r="13" spans="1:29" x14ac:dyDescent="0.35">
      <c r="F13">
        <v>1</v>
      </c>
      <c r="G13">
        <v>4</v>
      </c>
      <c r="H13">
        <v>41.02</v>
      </c>
      <c r="I13">
        <v>-79.87</v>
      </c>
      <c r="J13">
        <v>43.89</v>
      </c>
      <c r="K13">
        <v>-92.9</v>
      </c>
      <c r="L13">
        <f t="shared" si="0"/>
        <v>15.899999999999999</v>
      </c>
      <c r="N13">
        <v>4</v>
      </c>
      <c r="O13">
        <v>12.14</v>
      </c>
      <c r="P13">
        <v>49.19</v>
      </c>
      <c r="Q13">
        <v>26.41</v>
      </c>
      <c r="R13">
        <v>16.079999999999998</v>
      </c>
      <c r="S13">
        <v>30.12</v>
      </c>
      <c r="T13">
        <v>43.59</v>
      </c>
    </row>
    <row r="14" spans="1:29" x14ac:dyDescent="0.35">
      <c r="F14">
        <v>1</v>
      </c>
      <c r="G14">
        <v>5</v>
      </c>
      <c r="H14">
        <v>41.02</v>
      </c>
      <c r="I14">
        <v>-79.87</v>
      </c>
      <c r="J14">
        <v>43.99</v>
      </c>
      <c r="K14">
        <v>-78.760000000000005</v>
      </c>
      <c r="L14">
        <f t="shared" si="0"/>
        <v>4.0799999999999983</v>
      </c>
    </row>
    <row r="15" spans="1:29" x14ac:dyDescent="0.35">
      <c r="F15">
        <v>1</v>
      </c>
      <c r="G15">
        <v>6</v>
      </c>
      <c r="H15">
        <v>41.02</v>
      </c>
      <c r="I15">
        <v>-79.87</v>
      </c>
      <c r="J15">
        <v>36.049999999999997</v>
      </c>
      <c r="K15">
        <v>-73.23</v>
      </c>
      <c r="L15">
        <f t="shared" si="0"/>
        <v>11.610000000000007</v>
      </c>
      <c r="N15" t="s">
        <v>29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 s="1" t="s">
        <v>30</v>
      </c>
    </row>
    <row r="16" spans="1:29" x14ac:dyDescent="0.35">
      <c r="F16">
        <v>2</v>
      </c>
      <c r="G16">
        <v>1</v>
      </c>
      <c r="H16">
        <v>27.64</v>
      </c>
      <c r="I16">
        <v>-80.69</v>
      </c>
      <c r="J16">
        <v>43.35</v>
      </c>
      <c r="K16">
        <v>-119.08</v>
      </c>
      <c r="L16">
        <f t="shared" si="0"/>
        <v>54.1</v>
      </c>
      <c r="N16">
        <v>1</v>
      </c>
      <c r="O16">
        <v>0</v>
      </c>
      <c r="P16">
        <v>919</v>
      </c>
      <c r="Q16">
        <v>0</v>
      </c>
      <c r="R16">
        <v>922</v>
      </c>
      <c r="S16">
        <v>730</v>
      </c>
      <c r="T16">
        <v>657</v>
      </c>
      <c r="U16">
        <f>SUM(O16:T16)</f>
        <v>3228</v>
      </c>
      <c r="V16" t="s">
        <v>35</v>
      </c>
      <c r="X16" t="s">
        <v>33</v>
      </c>
      <c r="Y16">
        <v>1</v>
      </c>
      <c r="Z16">
        <v>0</v>
      </c>
      <c r="AA16">
        <v>0</v>
      </c>
      <c r="AB16">
        <v>1</v>
      </c>
      <c r="AC16">
        <f>SUM(Y16:AB16)</f>
        <v>2</v>
      </c>
    </row>
    <row r="17" spans="6:28" x14ac:dyDescent="0.35">
      <c r="F17">
        <v>2</v>
      </c>
      <c r="G17">
        <v>2</v>
      </c>
      <c r="H17">
        <v>27.64</v>
      </c>
      <c r="I17">
        <v>-80.69</v>
      </c>
      <c r="J17">
        <v>35.14</v>
      </c>
      <c r="K17">
        <v>-68.540000000000006</v>
      </c>
      <c r="L17">
        <f t="shared" si="0"/>
        <v>19.649999999999991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ref="U17:U20" si="1">SUM(O17:T17)</f>
        <v>0</v>
      </c>
      <c r="V17" t="s">
        <v>36</v>
      </c>
      <c r="X17" t="s">
        <v>32</v>
      </c>
      <c r="Y17">
        <f>U16-(4879*Y16)</f>
        <v>-1651</v>
      </c>
      <c r="Z17">
        <f>U17-(4879*Z16)</f>
        <v>0</v>
      </c>
      <c r="AA17">
        <f>U18-(4879*AA16)</f>
        <v>0</v>
      </c>
      <c r="AB17">
        <f>U19-(4879*AB16)</f>
        <v>-3228</v>
      </c>
    </row>
    <row r="18" spans="6:28" x14ac:dyDescent="0.35">
      <c r="F18">
        <v>2</v>
      </c>
      <c r="G18">
        <v>3</v>
      </c>
      <c r="H18">
        <v>27.64</v>
      </c>
      <c r="I18">
        <v>-80.69</v>
      </c>
      <c r="J18">
        <v>34.29</v>
      </c>
      <c r="K18">
        <v>-124.29</v>
      </c>
      <c r="L18">
        <f t="shared" si="0"/>
        <v>50.250000000000007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1"/>
        <v>0</v>
      </c>
      <c r="V18" t="s">
        <v>37</v>
      </c>
    </row>
    <row r="19" spans="6:28" x14ac:dyDescent="0.35">
      <c r="F19">
        <v>2</v>
      </c>
      <c r="G19">
        <v>4</v>
      </c>
      <c r="H19">
        <v>27.64</v>
      </c>
      <c r="I19">
        <v>-80.69</v>
      </c>
      <c r="J19">
        <v>43.89</v>
      </c>
      <c r="K19">
        <v>-92.9</v>
      </c>
      <c r="L19">
        <f t="shared" si="0"/>
        <v>28.460000000000008</v>
      </c>
      <c r="N19">
        <v>4</v>
      </c>
      <c r="O19">
        <v>720</v>
      </c>
      <c r="P19">
        <v>0</v>
      </c>
      <c r="Q19">
        <v>931</v>
      </c>
      <c r="R19">
        <v>0</v>
      </c>
      <c r="S19">
        <v>0</v>
      </c>
      <c r="T19">
        <v>0</v>
      </c>
      <c r="U19">
        <f t="shared" si="1"/>
        <v>1651</v>
      </c>
      <c r="V19" t="s">
        <v>38</v>
      </c>
    </row>
    <row r="20" spans="6:28" x14ac:dyDescent="0.35">
      <c r="F20">
        <v>2</v>
      </c>
      <c r="G20">
        <v>5</v>
      </c>
      <c r="H20">
        <v>27.64</v>
      </c>
      <c r="I20">
        <v>-80.69</v>
      </c>
      <c r="J20">
        <v>43.99</v>
      </c>
      <c r="K20">
        <v>-78.760000000000005</v>
      </c>
      <c r="L20">
        <f t="shared" si="0"/>
        <v>18.279999999999994</v>
      </c>
      <c r="N20" t="s">
        <v>44</v>
      </c>
      <c r="O20">
        <f>SUM(O16:O19)</f>
        <v>720</v>
      </c>
      <c r="P20">
        <f>SUM(P16:P19)</f>
        <v>919</v>
      </c>
      <c r="Q20">
        <f t="shared" ref="Q20:T20" si="2">SUM(Q16:Q19)</f>
        <v>931</v>
      </c>
      <c r="R20">
        <f t="shared" si="2"/>
        <v>922</v>
      </c>
      <c r="S20">
        <f t="shared" si="2"/>
        <v>730</v>
      </c>
      <c r="T20">
        <f t="shared" si="2"/>
        <v>657</v>
      </c>
    </row>
    <row r="21" spans="6:28" x14ac:dyDescent="0.35">
      <c r="F21">
        <v>2</v>
      </c>
      <c r="G21">
        <v>6</v>
      </c>
      <c r="H21">
        <v>27.64</v>
      </c>
      <c r="I21">
        <v>-80.69</v>
      </c>
      <c r="J21">
        <v>36.049999999999997</v>
      </c>
      <c r="K21">
        <v>-73.23</v>
      </c>
      <c r="L21">
        <f t="shared" si="0"/>
        <v>15.86999999999999</v>
      </c>
      <c r="N21" s="1" t="s">
        <v>31</v>
      </c>
      <c r="O21">
        <v>720</v>
      </c>
      <c r="P21">
        <v>919</v>
      </c>
      <c r="Q21">
        <v>931</v>
      </c>
      <c r="R21">
        <v>922</v>
      </c>
      <c r="S21">
        <v>730</v>
      </c>
      <c r="T21">
        <v>657</v>
      </c>
    </row>
    <row r="22" spans="6:28" x14ac:dyDescent="0.35">
      <c r="F22">
        <v>3</v>
      </c>
      <c r="G22">
        <v>1</v>
      </c>
      <c r="H22">
        <v>46.38</v>
      </c>
      <c r="I22">
        <v>-77.69</v>
      </c>
      <c r="J22">
        <v>43.35</v>
      </c>
      <c r="K22">
        <v>-119.08</v>
      </c>
      <c r="L22">
        <f t="shared" si="0"/>
        <v>44.42</v>
      </c>
      <c r="U22" t="s">
        <v>34</v>
      </c>
      <c r="V22">
        <f>SUMPRODUCT(O10:T13,O16:T19)+SUMPRODUCT(Y24:AB24,Y16:AB16)</f>
        <v>79892.47</v>
      </c>
    </row>
    <row r="23" spans="6:28" x14ac:dyDescent="0.35">
      <c r="F23">
        <v>3</v>
      </c>
      <c r="G23">
        <v>2</v>
      </c>
      <c r="H23">
        <v>46.38</v>
      </c>
      <c r="I23">
        <v>-77.69</v>
      </c>
      <c r="J23">
        <v>35.14</v>
      </c>
      <c r="K23">
        <v>-68.540000000000006</v>
      </c>
      <c r="L23">
        <f t="shared" si="0"/>
        <v>20.389999999999993</v>
      </c>
    </row>
    <row r="24" spans="6:28" x14ac:dyDescent="0.35">
      <c r="F24">
        <v>3</v>
      </c>
      <c r="G24">
        <v>3</v>
      </c>
      <c r="H24">
        <v>46.38</v>
      </c>
      <c r="I24">
        <v>-77.69</v>
      </c>
      <c r="J24">
        <v>34.29</v>
      </c>
      <c r="K24">
        <v>-124.29</v>
      </c>
      <c r="L24">
        <f t="shared" si="0"/>
        <v>58.690000000000012</v>
      </c>
      <c r="X24" t="s">
        <v>21</v>
      </c>
      <c r="Y24">
        <v>2708</v>
      </c>
      <c r="Z24">
        <v>1665</v>
      </c>
      <c r="AA24">
        <v>2255</v>
      </c>
      <c r="AB24">
        <v>2774</v>
      </c>
    </row>
    <row r="25" spans="6:28" x14ac:dyDescent="0.35">
      <c r="F25">
        <v>3</v>
      </c>
      <c r="G25">
        <v>4</v>
      </c>
      <c r="H25">
        <v>46.38</v>
      </c>
      <c r="I25">
        <v>-77.69</v>
      </c>
      <c r="J25">
        <v>43.89</v>
      </c>
      <c r="K25">
        <v>-92.9</v>
      </c>
      <c r="L25">
        <f t="shared" si="0"/>
        <v>17.70000000000001</v>
      </c>
      <c r="X25" t="s">
        <v>45</v>
      </c>
      <c r="Y25">
        <f>Y24*Y16</f>
        <v>2708</v>
      </c>
      <c r="Z25">
        <f>Z24*Z16</f>
        <v>0</v>
      </c>
      <c r="AA25">
        <f>AA24*AA16</f>
        <v>0</v>
      </c>
      <c r="AB25">
        <f>AB24*AB16</f>
        <v>2774</v>
      </c>
    </row>
    <row r="26" spans="6:28" x14ac:dyDescent="0.35">
      <c r="F26">
        <v>3</v>
      </c>
      <c r="G26">
        <v>5</v>
      </c>
      <c r="H26">
        <v>46.38</v>
      </c>
      <c r="I26">
        <v>-77.69</v>
      </c>
      <c r="J26">
        <v>43.99</v>
      </c>
      <c r="K26">
        <v>-78.760000000000005</v>
      </c>
      <c r="L26">
        <f t="shared" si="0"/>
        <v>3.460000000000008</v>
      </c>
    </row>
    <row r="27" spans="6:28" x14ac:dyDescent="0.35">
      <c r="F27">
        <v>3</v>
      </c>
      <c r="G27">
        <v>6</v>
      </c>
      <c r="H27">
        <v>46.38</v>
      </c>
      <c r="I27">
        <v>-77.69</v>
      </c>
      <c r="J27">
        <v>36.049999999999997</v>
      </c>
      <c r="K27">
        <v>-73.23</v>
      </c>
      <c r="L27">
        <f t="shared" si="0"/>
        <v>14.79</v>
      </c>
    </row>
    <row r="28" spans="6:28" x14ac:dyDescent="0.35">
      <c r="F28">
        <v>4</v>
      </c>
      <c r="G28">
        <v>1</v>
      </c>
      <c r="H28">
        <v>44.64</v>
      </c>
      <c r="I28">
        <v>-108.23</v>
      </c>
      <c r="J28">
        <v>43.35</v>
      </c>
      <c r="K28">
        <v>-119.08</v>
      </c>
      <c r="L28">
        <f t="shared" si="0"/>
        <v>12.139999999999993</v>
      </c>
      <c r="N28" t="s">
        <v>39</v>
      </c>
      <c r="O28">
        <f>SUM($O$21:$T$21)</f>
        <v>4879</v>
      </c>
      <c r="P28">
        <f t="shared" ref="P28:R28" si="3">SUM($O$21:$T$21)</f>
        <v>4879</v>
      </c>
      <c r="Q28">
        <f t="shared" si="3"/>
        <v>4879</v>
      </c>
      <c r="R28">
        <f t="shared" si="3"/>
        <v>4879</v>
      </c>
      <c r="S28">
        <v>4879</v>
      </c>
      <c r="T28">
        <v>4879</v>
      </c>
      <c r="V28" t="s">
        <v>43</v>
      </c>
      <c r="W28">
        <f>MIN(O30:T30)</f>
        <v>96</v>
      </c>
      <c r="X28">
        <f>MIN(O34:T34)</f>
        <v>91</v>
      </c>
      <c r="Y28">
        <f>MIN(O38:T38)</f>
        <v>84</v>
      </c>
      <c r="Z28">
        <f>MIN(O42:T42)</f>
        <v>100</v>
      </c>
    </row>
    <row r="29" spans="6:28" x14ac:dyDescent="0.35">
      <c r="F29">
        <v>4</v>
      </c>
      <c r="G29">
        <v>2</v>
      </c>
      <c r="H29">
        <v>44.64</v>
      </c>
      <c r="I29">
        <v>-108.23</v>
      </c>
      <c r="J29">
        <v>35.14</v>
      </c>
      <c r="K29">
        <v>-68.540000000000006</v>
      </c>
      <c r="L29">
        <f t="shared" si="0"/>
        <v>49.19</v>
      </c>
      <c r="O29" cm="1">
        <f t="array" ref="O29:T29">O10:T10</f>
        <v>41.539999999999992</v>
      </c>
      <c r="P29">
        <v>17.21</v>
      </c>
      <c r="Q29">
        <v>51.15</v>
      </c>
      <c r="R29">
        <v>15.9</v>
      </c>
      <c r="S29">
        <v>4.08</v>
      </c>
      <c r="T29">
        <v>11.61</v>
      </c>
    </row>
    <row r="30" spans="6:28" x14ac:dyDescent="0.35">
      <c r="F30">
        <v>4</v>
      </c>
      <c r="G30">
        <v>3</v>
      </c>
      <c r="H30">
        <v>44.64</v>
      </c>
      <c r="I30">
        <v>-108.23</v>
      </c>
      <c r="J30">
        <v>34.29</v>
      </c>
      <c r="K30">
        <v>-124.29</v>
      </c>
      <c r="L30">
        <f t="shared" si="0"/>
        <v>26.410000000000004</v>
      </c>
      <c r="O30">
        <f>ROUNDUP(O28/O29,0)</f>
        <v>118</v>
      </c>
      <c r="P30">
        <f t="shared" ref="P30:T30" si="4">ROUNDUP(P28/P29,0)</f>
        <v>284</v>
      </c>
      <c r="Q30">
        <f t="shared" si="4"/>
        <v>96</v>
      </c>
      <c r="R30">
        <f t="shared" si="4"/>
        <v>307</v>
      </c>
      <c r="S30">
        <f t="shared" si="4"/>
        <v>1196</v>
      </c>
      <c r="T30">
        <f t="shared" si="4"/>
        <v>421</v>
      </c>
    </row>
    <row r="31" spans="6:28" x14ac:dyDescent="0.35">
      <c r="F31">
        <v>4</v>
      </c>
      <c r="G31">
        <v>4</v>
      </c>
      <c r="H31">
        <v>44.64</v>
      </c>
      <c r="I31">
        <v>-108.23</v>
      </c>
      <c r="J31">
        <v>43.89</v>
      </c>
      <c r="K31">
        <v>-92.9</v>
      </c>
      <c r="L31">
        <f t="shared" si="0"/>
        <v>16.079999999999998</v>
      </c>
    </row>
    <row r="32" spans="6:28" x14ac:dyDescent="0.35">
      <c r="F32">
        <v>4</v>
      </c>
      <c r="G32">
        <v>5</v>
      </c>
      <c r="H32">
        <v>44.64</v>
      </c>
      <c r="I32">
        <v>-108.23</v>
      </c>
      <c r="J32">
        <v>43.99</v>
      </c>
      <c r="K32">
        <v>-78.760000000000005</v>
      </c>
      <c r="L32">
        <f t="shared" si="0"/>
        <v>30.119999999999997</v>
      </c>
      <c r="N32" t="s">
        <v>40</v>
      </c>
      <c r="O32">
        <f>SUM($O$21:$T$21)</f>
        <v>4879</v>
      </c>
      <c r="P32">
        <f t="shared" ref="P32:R32" si="5">SUM($O$21:$T$21)</f>
        <v>4879</v>
      </c>
      <c r="Q32">
        <f t="shared" si="5"/>
        <v>4879</v>
      </c>
      <c r="R32">
        <f t="shared" si="5"/>
        <v>4879</v>
      </c>
      <c r="S32">
        <v>4879</v>
      </c>
      <c r="T32">
        <v>4879</v>
      </c>
    </row>
    <row r="33" spans="6:20" x14ac:dyDescent="0.35">
      <c r="F33">
        <v>4</v>
      </c>
      <c r="G33">
        <v>6</v>
      </c>
      <c r="H33">
        <v>44.64</v>
      </c>
      <c r="I33">
        <v>-108.23</v>
      </c>
      <c r="J33">
        <v>36.049999999999997</v>
      </c>
      <c r="K33">
        <v>-73.23</v>
      </c>
      <c r="L33">
        <f t="shared" si="0"/>
        <v>43.59</v>
      </c>
      <c r="O33" cm="1">
        <f t="array" ref="O33:T33">O11:T11</f>
        <v>54.1</v>
      </c>
      <c r="P33">
        <v>19.649999999999999</v>
      </c>
      <c r="Q33">
        <v>50.25</v>
      </c>
      <c r="R33">
        <v>28.46</v>
      </c>
      <c r="S33">
        <v>18.28</v>
      </c>
      <c r="T33">
        <v>15.87</v>
      </c>
    </row>
    <row r="34" spans="6:20" x14ac:dyDescent="0.35">
      <c r="O34">
        <f>ROUNDUP(O32/O33,0)</f>
        <v>91</v>
      </c>
      <c r="P34">
        <f t="shared" ref="P34:T34" si="6">ROUNDUP(P32/P33,0)</f>
        <v>249</v>
      </c>
      <c r="Q34">
        <f t="shared" si="6"/>
        <v>98</v>
      </c>
      <c r="R34">
        <f t="shared" si="6"/>
        <v>172</v>
      </c>
      <c r="S34">
        <f t="shared" si="6"/>
        <v>267</v>
      </c>
      <c r="T34">
        <f t="shared" si="6"/>
        <v>308</v>
      </c>
    </row>
    <row r="36" spans="6:20" x14ac:dyDescent="0.35">
      <c r="N36" t="s">
        <v>41</v>
      </c>
      <c r="O36">
        <f>SUM($O$21:$T$21)</f>
        <v>4879</v>
      </c>
      <c r="P36">
        <f t="shared" ref="P36:R36" si="7">SUM($O$21:$T$21)</f>
        <v>4879</v>
      </c>
      <c r="Q36">
        <f t="shared" si="7"/>
        <v>4879</v>
      </c>
      <c r="R36">
        <f t="shared" si="7"/>
        <v>4879</v>
      </c>
      <c r="S36">
        <v>4879</v>
      </c>
      <c r="T36">
        <v>4879</v>
      </c>
    </row>
    <row r="37" spans="6:20" x14ac:dyDescent="0.35">
      <c r="O37" cm="1">
        <f t="array" ref="O37:T37">O12:T12</f>
        <v>44.42</v>
      </c>
      <c r="P37">
        <v>20.39</v>
      </c>
      <c r="Q37">
        <v>58.69</v>
      </c>
      <c r="R37">
        <v>17.7</v>
      </c>
      <c r="S37">
        <v>3.46</v>
      </c>
      <c r="T37">
        <v>14.79</v>
      </c>
    </row>
    <row r="38" spans="6:20" x14ac:dyDescent="0.35">
      <c r="O38">
        <f>ROUNDUP(O36/O37,0)</f>
        <v>110</v>
      </c>
      <c r="P38">
        <f t="shared" ref="P38:T38" si="8">ROUNDUP(P36/P37,0)</f>
        <v>240</v>
      </c>
      <c r="Q38">
        <f t="shared" si="8"/>
        <v>84</v>
      </c>
      <c r="R38">
        <f t="shared" si="8"/>
        <v>276</v>
      </c>
      <c r="S38">
        <f t="shared" si="8"/>
        <v>1411</v>
      </c>
      <c r="T38">
        <f t="shared" si="8"/>
        <v>330</v>
      </c>
    </row>
    <row r="40" spans="6:20" x14ac:dyDescent="0.35">
      <c r="N40" t="s">
        <v>42</v>
      </c>
      <c r="O40">
        <f>SUM($O$21:$T$21)</f>
        <v>4879</v>
      </c>
      <c r="P40">
        <f t="shared" ref="P40:R40" si="9">SUM($O$21:$T$21)</f>
        <v>4879</v>
      </c>
      <c r="Q40">
        <f t="shared" si="9"/>
        <v>4879</v>
      </c>
      <c r="R40">
        <f t="shared" si="9"/>
        <v>4879</v>
      </c>
      <c r="S40">
        <v>4879</v>
      </c>
      <c r="T40">
        <v>4879</v>
      </c>
    </row>
    <row r="41" spans="6:20" x14ac:dyDescent="0.35">
      <c r="O41" cm="1">
        <f t="array" ref="O41:T41">O13:T13</f>
        <v>12.14</v>
      </c>
      <c r="P41">
        <v>49.19</v>
      </c>
      <c r="Q41">
        <v>26.41</v>
      </c>
      <c r="R41">
        <v>16.079999999999998</v>
      </c>
      <c r="S41">
        <v>30.12</v>
      </c>
      <c r="T41">
        <v>43.59</v>
      </c>
    </row>
    <row r="42" spans="6:20" x14ac:dyDescent="0.35">
      <c r="O42">
        <f>ROUNDUP(O40/O41,0)</f>
        <v>402</v>
      </c>
      <c r="P42">
        <f t="shared" ref="P42:T42" si="10">ROUNDUP(P40/P41,0)</f>
        <v>100</v>
      </c>
      <c r="Q42">
        <f t="shared" si="10"/>
        <v>185</v>
      </c>
      <c r="R42">
        <f t="shared" si="10"/>
        <v>304</v>
      </c>
      <c r="S42">
        <f t="shared" si="10"/>
        <v>162</v>
      </c>
      <c r="T42">
        <f t="shared" si="10"/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EEC8-D98F-4218-ACE1-C0FFCF583C60}">
  <dimension ref="A3:AC40"/>
  <sheetViews>
    <sheetView tabSelected="1" zoomScale="90" zoomScaleNormal="90" workbookViewId="0">
      <selection activeCell="J16" sqref="J16"/>
    </sheetView>
  </sheetViews>
  <sheetFormatPr defaultRowHeight="14.5" x14ac:dyDescent="0.35"/>
  <cols>
    <col min="1" max="1" width="9.6328125" customWidth="1"/>
    <col min="2" max="2" width="17.26953125" bestFit="1" customWidth="1"/>
    <col min="3" max="6" width="11.1796875" bestFit="1" customWidth="1"/>
    <col min="7" max="7" width="7.81640625" bestFit="1" customWidth="1"/>
    <col min="8" max="8" width="5.81640625" bestFit="1" customWidth="1"/>
    <col min="9" max="9" width="12.08984375" bestFit="1" customWidth="1"/>
    <col min="10" max="10" width="12.26953125" customWidth="1"/>
  </cols>
  <sheetData>
    <row r="3" spans="1:29" x14ac:dyDescent="0.35">
      <c r="B3" s="4" t="s">
        <v>29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</row>
    <row r="4" spans="1:29" x14ac:dyDescent="0.35">
      <c r="B4" s="4">
        <v>1</v>
      </c>
      <c r="C4" s="3">
        <v>41.539999999999992</v>
      </c>
      <c r="D4" s="3">
        <v>17.21</v>
      </c>
      <c r="E4" s="3">
        <v>51.15</v>
      </c>
      <c r="F4" s="3">
        <v>15.9</v>
      </c>
      <c r="G4" s="3">
        <v>4.08</v>
      </c>
      <c r="H4" s="3">
        <v>11.61</v>
      </c>
    </row>
    <row r="5" spans="1:29" x14ac:dyDescent="0.35">
      <c r="B5" s="4">
        <v>2</v>
      </c>
      <c r="C5" s="3">
        <v>54.1</v>
      </c>
      <c r="D5" s="3">
        <v>19.649999999999999</v>
      </c>
      <c r="E5" s="3">
        <v>50.25</v>
      </c>
      <c r="F5" s="3">
        <v>28.46</v>
      </c>
      <c r="G5" s="3">
        <v>18.28</v>
      </c>
      <c r="H5" s="3">
        <v>15.87</v>
      </c>
    </row>
    <row r="6" spans="1:29" x14ac:dyDescent="0.35">
      <c r="B6" s="4">
        <v>3</v>
      </c>
      <c r="C6" s="3">
        <v>44.42</v>
      </c>
      <c r="D6" s="3">
        <v>20.39</v>
      </c>
      <c r="E6" s="3">
        <v>58.69</v>
      </c>
      <c r="F6" s="3">
        <v>17.7</v>
      </c>
      <c r="G6" s="3">
        <v>3.46</v>
      </c>
      <c r="H6" s="3">
        <v>14.79</v>
      </c>
    </row>
    <row r="7" spans="1:29" x14ac:dyDescent="0.35">
      <c r="A7" s="1"/>
      <c r="B7" s="4">
        <v>4</v>
      </c>
      <c r="C7" s="3">
        <v>12.14</v>
      </c>
      <c r="D7" s="3">
        <v>49.19</v>
      </c>
      <c r="E7" s="3">
        <v>26.41</v>
      </c>
      <c r="F7" s="3">
        <v>16.079999999999998</v>
      </c>
      <c r="G7" s="3">
        <v>30.12</v>
      </c>
      <c r="H7" s="3">
        <v>43.59</v>
      </c>
    </row>
    <row r="9" spans="1:29" x14ac:dyDescent="0.35">
      <c r="B9" s="4" t="s">
        <v>29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1" t="s">
        <v>30</v>
      </c>
    </row>
    <row r="10" spans="1:29" x14ac:dyDescent="0.35">
      <c r="B10" s="4">
        <v>1</v>
      </c>
      <c r="C10" s="3">
        <v>0</v>
      </c>
      <c r="D10" s="3">
        <v>919</v>
      </c>
      <c r="E10" s="3">
        <v>0</v>
      </c>
      <c r="F10" s="3">
        <v>922</v>
      </c>
      <c r="G10" s="3">
        <v>730</v>
      </c>
      <c r="H10" s="3">
        <v>657</v>
      </c>
      <c r="I10">
        <f>SUM(C10:H10)</f>
        <v>3228</v>
      </c>
      <c r="J10" t="s">
        <v>35</v>
      </c>
    </row>
    <row r="11" spans="1:29" x14ac:dyDescent="0.35">
      <c r="B11" s="4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>
        <f t="shared" ref="I11:I13" si="0">SUM(C11:H11)</f>
        <v>0</v>
      </c>
      <c r="J11" t="s">
        <v>36</v>
      </c>
    </row>
    <row r="12" spans="1:29" x14ac:dyDescent="0.35">
      <c r="B12" s="4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>
        <f t="shared" si="0"/>
        <v>0</v>
      </c>
      <c r="J12" t="s">
        <v>37</v>
      </c>
    </row>
    <row r="13" spans="1:29" x14ac:dyDescent="0.35">
      <c r="B13" s="4">
        <v>4</v>
      </c>
      <c r="C13" s="3">
        <v>720</v>
      </c>
      <c r="D13" s="3">
        <v>0</v>
      </c>
      <c r="E13" s="3">
        <v>931</v>
      </c>
      <c r="F13" s="3">
        <v>0</v>
      </c>
      <c r="G13" s="3">
        <v>0</v>
      </c>
      <c r="H13" s="3">
        <v>0</v>
      </c>
      <c r="I13">
        <f t="shared" si="0"/>
        <v>1651</v>
      </c>
      <c r="J13" t="s">
        <v>38</v>
      </c>
    </row>
    <row r="14" spans="1:29" x14ac:dyDescent="0.35">
      <c r="B14" s="1" t="s">
        <v>44</v>
      </c>
      <c r="C14">
        <f>SUM(C10:C13)</f>
        <v>720</v>
      </c>
      <c r="D14">
        <f t="shared" ref="D14:H14" si="1">SUM(D10:D13)</f>
        <v>919</v>
      </c>
      <c r="E14">
        <f t="shared" si="1"/>
        <v>931</v>
      </c>
      <c r="F14">
        <f t="shared" si="1"/>
        <v>922</v>
      </c>
      <c r="G14">
        <f t="shared" si="1"/>
        <v>730</v>
      </c>
      <c r="H14">
        <f t="shared" si="1"/>
        <v>657</v>
      </c>
    </row>
    <row r="15" spans="1:29" x14ac:dyDescent="0.35">
      <c r="B15" s="1" t="s">
        <v>31</v>
      </c>
      <c r="C15">
        <v>720</v>
      </c>
      <c r="D15">
        <v>919</v>
      </c>
      <c r="E15">
        <v>931</v>
      </c>
      <c r="F15">
        <v>922</v>
      </c>
      <c r="G15">
        <v>730</v>
      </c>
      <c r="H15">
        <v>657</v>
      </c>
      <c r="U15" s="1"/>
    </row>
    <row r="16" spans="1:29" x14ac:dyDescent="0.35">
      <c r="I16" s="1" t="s">
        <v>47</v>
      </c>
      <c r="J16" s="8">
        <f>SUMPRODUCT(C4:H7,C10:H13)+SUMPRODUCT(C21:F21,C18:F18)</f>
        <v>79892.47</v>
      </c>
      <c r="AC16">
        <f>SUM(Y16:AB16)</f>
        <v>0</v>
      </c>
    </row>
    <row r="18" spans="2:14" x14ac:dyDescent="0.35">
      <c r="B18" s="1" t="s">
        <v>33</v>
      </c>
      <c r="C18" s="6">
        <v>1</v>
      </c>
      <c r="D18" s="6">
        <v>0</v>
      </c>
      <c r="E18" s="6">
        <v>0</v>
      </c>
      <c r="F18" s="6">
        <v>1</v>
      </c>
      <c r="G18">
        <f>SUM(C18:F18)</f>
        <v>2</v>
      </c>
    </row>
    <row r="19" spans="2:14" x14ac:dyDescent="0.35">
      <c r="B19" s="1" t="s">
        <v>32</v>
      </c>
      <c r="C19" s="7">
        <f>I10-(4879*C18)</f>
        <v>-1651</v>
      </c>
      <c r="D19" s="7">
        <f>I11-(4879*D18)</f>
        <v>0</v>
      </c>
      <c r="E19" s="7">
        <f>I12-(4879*E18)</f>
        <v>0</v>
      </c>
      <c r="F19" s="7">
        <f>I13-(4879*F18)</f>
        <v>-3228</v>
      </c>
    </row>
    <row r="21" spans="2:14" x14ac:dyDescent="0.35">
      <c r="B21" s="1" t="s">
        <v>21</v>
      </c>
      <c r="C21" s="2">
        <v>2708</v>
      </c>
      <c r="D21" s="2">
        <v>1665</v>
      </c>
      <c r="E21" s="2">
        <v>2255</v>
      </c>
      <c r="F21" s="2">
        <v>2774</v>
      </c>
      <c r="N21" s="1"/>
    </row>
    <row r="22" spans="2:14" x14ac:dyDescent="0.35">
      <c r="B22" s="1" t="s">
        <v>45</v>
      </c>
      <c r="C22" s="5">
        <f>C21*C18</f>
        <v>2708</v>
      </c>
      <c r="D22" s="5">
        <f>D21*D18</f>
        <v>0</v>
      </c>
      <c r="E22" s="5">
        <f t="shared" ref="D22:F22" si="2">E21*E18</f>
        <v>0</v>
      </c>
      <c r="F22" s="5">
        <f>F21*F18</f>
        <v>2774</v>
      </c>
    </row>
    <row r="24" spans="2:14" x14ac:dyDescent="0.35">
      <c r="C24" s="1" t="s">
        <v>46</v>
      </c>
      <c r="D24" s="1">
        <f>MIN(C28:H28)</f>
        <v>96</v>
      </c>
      <c r="E24" s="1">
        <f>MIN(C32:H32)</f>
        <v>91</v>
      </c>
      <c r="F24" s="1">
        <f>MIN(C36:H36)</f>
        <v>84</v>
      </c>
      <c r="G24" s="1">
        <f>MIN(C40:H40)</f>
        <v>100</v>
      </c>
    </row>
    <row r="26" spans="2:14" x14ac:dyDescent="0.35">
      <c r="B26" t="s">
        <v>39</v>
      </c>
      <c r="C26">
        <f>SUM($C$15:$H$15)</f>
        <v>4879</v>
      </c>
      <c r="D26">
        <f t="shared" ref="D26:H26" si="3">SUM($C$15:$H$15)</f>
        <v>4879</v>
      </c>
      <c r="E26">
        <f t="shared" si="3"/>
        <v>4879</v>
      </c>
      <c r="F26">
        <f t="shared" si="3"/>
        <v>4879</v>
      </c>
      <c r="G26">
        <f t="shared" si="3"/>
        <v>4879</v>
      </c>
      <c r="H26">
        <f t="shared" si="3"/>
        <v>4879</v>
      </c>
    </row>
    <row r="27" spans="2:14" x14ac:dyDescent="0.35">
      <c r="C27" cm="1">
        <f t="array" ref="C27:H27">C4:H4</f>
        <v>41.539999999999992</v>
      </c>
      <c r="D27">
        <v>17.21</v>
      </c>
      <c r="E27">
        <v>51.15</v>
      </c>
      <c r="F27">
        <v>15.9</v>
      </c>
      <c r="G27">
        <v>4.08</v>
      </c>
      <c r="H27">
        <v>11.61</v>
      </c>
    </row>
    <row r="28" spans="2:14" x14ac:dyDescent="0.35">
      <c r="C28">
        <f>ROUNDUP(C26/C27,0)</f>
        <v>118</v>
      </c>
      <c r="D28">
        <f t="shared" ref="D28:H28" si="4">ROUNDUP(D26/D27,0)</f>
        <v>284</v>
      </c>
      <c r="E28">
        <f t="shared" si="4"/>
        <v>96</v>
      </c>
      <c r="F28">
        <f t="shared" si="4"/>
        <v>307</v>
      </c>
      <c r="G28">
        <f t="shared" si="4"/>
        <v>1196</v>
      </c>
      <c r="H28">
        <f t="shared" si="4"/>
        <v>421</v>
      </c>
    </row>
    <row r="30" spans="2:14" x14ac:dyDescent="0.35">
      <c r="B30" t="s">
        <v>40</v>
      </c>
      <c r="C30">
        <f>SUM($C$15:$H$15)</f>
        <v>4879</v>
      </c>
      <c r="D30">
        <f t="shared" ref="D30:H30" si="5">SUM($C$15:$H$15)</f>
        <v>4879</v>
      </c>
      <c r="E30">
        <f t="shared" si="5"/>
        <v>4879</v>
      </c>
      <c r="F30">
        <f t="shared" si="5"/>
        <v>4879</v>
      </c>
      <c r="G30">
        <f t="shared" si="5"/>
        <v>4879</v>
      </c>
      <c r="H30">
        <f t="shared" si="5"/>
        <v>4879</v>
      </c>
    </row>
    <row r="31" spans="2:14" x14ac:dyDescent="0.35">
      <c r="C31" cm="1">
        <f t="array" ref="C31:H31">C5:H5</f>
        <v>54.1</v>
      </c>
      <c r="D31">
        <v>19.649999999999999</v>
      </c>
      <c r="E31">
        <v>50.25</v>
      </c>
      <c r="F31">
        <v>28.46</v>
      </c>
      <c r="G31">
        <v>18.28</v>
      </c>
      <c r="H31">
        <v>15.87</v>
      </c>
    </row>
    <row r="32" spans="2:14" x14ac:dyDescent="0.35">
      <c r="C32">
        <f>ROUNDUP(C30/C31,0)</f>
        <v>91</v>
      </c>
      <c r="D32">
        <f t="shared" ref="D32:H32" si="6">ROUNDUP(D30/D31,0)</f>
        <v>249</v>
      </c>
      <c r="E32">
        <f t="shared" si="6"/>
        <v>98</v>
      </c>
      <c r="F32">
        <f t="shared" si="6"/>
        <v>172</v>
      </c>
      <c r="G32">
        <f t="shared" si="6"/>
        <v>267</v>
      </c>
      <c r="H32">
        <f t="shared" si="6"/>
        <v>308</v>
      </c>
    </row>
    <row r="34" spans="2:8" x14ac:dyDescent="0.35">
      <c r="B34" t="s">
        <v>41</v>
      </c>
      <c r="C34">
        <f>SUM($C$15:$H$15)</f>
        <v>4879</v>
      </c>
      <c r="D34">
        <f t="shared" ref="D34:H34" si="7">SUM($C$15:$H$15)</f>
        <v>4879</v>
      </c>
      <c r="E34">
        <f t="shared" si="7"/>
        <v>4879</v>
      </c>
      <c r="F34">
        <f t="shared" si="7"/>
        <v>4879</v>
      </c>
      <c r="G34">
        <f t="shared" si="7"/>
        <v>4879</v>
      </c>
      <c r="H34">
        <f t="shared" si="7"/>
        <v>4879</v>
      </c>
    </row>
    <row r="35" spans="2:8" x14ac:dyDescent="0.35">
      <c r="C35" cm="1">
        <f t="array" ref="C35:H35">C6:H6</f>
        <v>44.42</v>
      </c>
      <c r="D35">
        <v>20.39</v>
      </c>
      <c r="E35">
        <v>58.69</v>
      </c>
      <c r="F35">
        <v>17.7</v>
      </c>
      <c r="G35">
        <v>3.46</v>
      </c>
      <c r="H35">
        <v>14.79</v>
      </c>
    </row>
    <row r="36" spans="2:8" x14ac:dyDescent="0.35">
      <c r="C36">
        <f>ROUNDUP(C34/C35,0)</f>
        <v>110</v>
      </c>
      <c r="D36">
        <f t="shared" ref="D36:H36" si="8">ROUNDUP(D34/D35,0)</f>
        <v>240</v>
      </c>
      <c r="E36">
        <f t="shared" si="8"/>
        <v>84</v>
      </c>
      <c r="F36">
        <f t="shared" si="8"/>
        <v>276</v>
      </c>
      <c r="G36">
        <f t="shared" si="8"/>
        <v>1411</v>
      </c>
      <c r="H36">
        <f t="shared" si="8"/>
        <v>330</v>
      </c>
    </row>
    <row r="38" spans="2:8" x14ac:dyDescent="0.35">
      <c r="B38" t="s">
        <v>42</v>
      </c>
      <c r="C38">
        <f>SUM($C$15:$H$15)</f>
        <v>4879</v>
      </c>
      <c r="D38">
        <f t="shared" ref="D38:H38" si="9">SUM($C$15:$H$15)</f>
        <v>4879</v>
      </c>
      <c r="E38">
        <f t="shared" si="9"/>
        <v>4879</v>
      </c>
      <c r="F38">
        <f t="shared" si="9"/>
        <v>4879</v>
      </c>
      <c r="G38">
        <f t="shared" si="9"/>
        <v>4879</v>
      </c>
      <c r="H38">
        <f t="shared" si="9"/>
        <v>4879</v>
      </c>
    </row>
    <row r="39" spans="2:8" x14ac:dyDescent="0.35">
      <c r="C39" cm="1">
        <f t="array" ref="C39:H39">C7:H7</f>
        <v>12.14</v>
      </c>
      <c r="D39">
        <v>49.19</v>
      </c>
      <c r="E39">
        <v>26.41</v>
      </c>
      <c r="F39">
        <v>16.079999999999998</v>
      </c>
      <c r="G39">
        <v>30.12</v>
      </c>
      <c r="H39">
        <v>43.59</v>
      </c>
    </row>
    <row r="40" spans="2:8" x14ac:dyDescent="0.35">
      <c r="C40">
        <f>ROUNDUP(C38/C39,0)</f>
        <v>402</v>
      </c>
      <c r="D40">
        <f t="shared" ref="D40:H40" si="10">ROUNDUP(D38/D39,0)</f>
        <v>100</v>
      </c>
      <c r="E40">
        <f t="shared" si="10"/>
        <v>185</v>
      </c>
      <c r="F40">
        <f t="shared" si="10"/>
        <v>304</v>
      </c>
      <c r="G40">
        <f t="shared" si="10"/>
        <v>162</v>
      </c>
      <c r="H40">
        <f t="shared" si="10"/>
        <v>112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9856-82B8-4F2A-BAAD-DF0FF2DAC60A}">
  <dimension ref="A3:AC40"/>
  <sheetViews>
    <sheetView zoomScale="90" zoomScaleNormal="90" workbookViewId="0">
      <selection activeCell="C4" sqref="C4:H7"/>
    </sheetView>
  </sheetViews>
  <sheetFormatPr defaultRowHeight="14.5" x14ac:dyDescent="0.35"/>
  <cols>
    <col min="1" max="1" width="9.6328125" customWidth="1"/>
    <col min="2" max="2" width="17.26953125" bestFit="1" customWidth="1"/>
    <col min="3" max="6" width="11.1796875" bestFit="1" customWidth="1"/>
    <col min="7" max="7" width="7.81640625" bestFit="1" customWidth="1"/>
    <col min="8" max="8" width="5.81640625" bestFit="1" customWidth="1"/>
    <col min="9" max="9" width="12.08984375" bestFit="1" customWidth="1"/>
    <col min="10" max="10" width="12.26953125" customWidth="1"/>
  </cols>
  <sheetData>
    <row r="3" spans="1:29" x14ac:dyDescent="0.35">
      <c r="B3" s="4" t="s">
        <v>29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</row>
    <row r="4" spans="1:29" x14ac:dyDescent="0.35">
      <c r="B4" s="4">
        <v>1</v>
      </c>
      <c r="C4" s="3">
        <f>41.54*30</f>
        <v>1246.2</v>
      </c>
      <c r="D4" s="3">
        <f>17.21*30</f>
        <v>516.30000000000007</v>
      </c>
      <c r="E4" s="3">
        <f>51.15*30</f>
        <v>1534.5</v>
      </c>
      <c r="F4" s="3">
        <f>15.9*30</f>
        <v>477</v>
      </c>
      <c r="G4" s="3">
        <f>4.08*30</f>
        <v>122.4</v>
      </c>
      <c r="H4" s="3">
        <f>11.61*30</f>
        <v>348.29999999999995</v>
      </c>
      <c r="L4" s="3">
        <f>41.54*30</f>
        <v>1246.2</v>
      </c>
      <c r="M4" s="3">
        <f>17.21*30</f>
        <v>516.30000000000007</v>
      </c>
      <c r="N4" s="3">
        <f>51.15*30</f>
        <v>1534.5</v>
      </c>
      <c r="O4" s="3">
        <f>15.9*30</f>
        <v>477</v>
      </c>
      <c r="P4" s="3">
        <f>4.08*30</f>
        <v>122.4</v>
      </c>
      <c r="Q4" s="3">
        <f>11.61*30</f>
        <v>348.29999999999995</v>
      </c>
    </row>
    <row r="5" spans="1:29" x14ac:dyDescent="0.35">
      <c r="B5" s="4">
        <v>2</v>
      </c>
      <c r="C5" s="3">
        <f>54.1*30</f>
        <v>1623</v>
      </c>
      <c r="D5" s="3">
        <f>19.65*30</f>
        <v>589.5</v>
      </c>
      <c r="E5" s="3">
        <f>50.25*30</f>
        <v>1507.5</v>
      </c>
      <c r="F5" s="3">
        <f>28.46*30</f>
        <v>853.80000000000007</v>
      </c>
      <c r="G5" s="3">
        <f>18.28*30</f>
        <v>548.40000000000009</v>
      </c>
      <c r="H5" s="3">
        <f>15.8783</f>
        <v>15.878299999999999</v>
      </c>
      <c r="L5" s="3">
        <f>54.1*30</f>
        <v>1623</v>
      </c>
      <c r="M5" s="3">
        <f>19.65*30</f>
        <v>589.5</v>
      </c>
      <c r="N5" s="3">
        <f>50.25*30</f>
        <v>1507.5</v>
      </c>
      <c r="O5" s="3">
        <f>28.46*30</f>
        <v>853.80000000000007</v>
      </c>
      <c r="P5" s="3">
        <f>18.28*30</f>
        <v>548.40000000000009</v>
      </c>
      <c r="Q5" s="3">
        <f>15.8783</f>
        <v>15.878299999999999</v>
      </c>
    </row>
    <row r="6" spans="1:29" x14ac:dyDescent="0.35">
      <c r="B6" s="4">
        <v>3</v>
      </c>
      <c r="C6" s="3">
        <f>44.42*30</f>
        <v>1332.6000000000001</v>
      </c>
      <c r="D6" s="3">
        <f>20.39*30</f>
        <v>611.70000000000005</v>
      </c>
      <c r="E6" s="3">
        <f>58.69*30</f>
        <v>1760.6999999999998</v>
      </c>
      <c r="F6" s="3">
        <f>17.7*30</f>
        <v>531</v>
      </c>
      <c r="G6" s="3">
        <f>3.46*30</f>
        <v>103.8</v>
      </c>
      <c r="H6" s="3">
        <f>14.79*30</f>
        <v>443.7</v>
      </c>
      <c r="L6" s="3">
        <f>44.42*30</f>
        <v>1332.6000000000001</v>
      </c>
      <c r="M6" s="3">
        <f>20.39*30</f>
        <v>611.70000000000005</v>
      </c>
      <c r="N6" s="3">
        <f>58.69*30</f>
        <v>1760.6999999999998</v>
      </c>
      <c r="O6" s="3">
        <f>17.7*30</f>
        <v>531</v>
      </c>
      <c r="P6" s="3">
        <f>3.46*30</f>
        <v>103.8</v>
      </c>
      <c r="Q6" s="3">
        <f>14.79*30</f>
        <v>443.7</v>
      </c>
    </row>
    <row r="7" spans="1:29" x14ac:dyDescent="0.35">
      <c r="A7" s="1"/>
      <c r="B7" s="4">
        <v>4</v>
      </c>
      <c r="C7" s="3">
        <f>12.14*30</f>
        <v>364.20000000000005</v>
      </c>
      <c r="D7" s="3">
        <f>49.19*30</f>
        <v>1475.6999999999998</v>
      </c>
      <c r="E7" s="3">
        <f>26.41*30</f>
        <v>792.3</v>
      </c>
      <c r="F7" s="3">
        <f>16.08*30</f>
        <v>482.4</v>
      </c>
      <c r="G7" s="3">
        <f>30.12*30</f>
        <v>903.6</v>
      </c>
      <c r="H7" s="3">
        <f>43.59*30</f>
        <v>1307.7</v>
      </c>
      <c r="L7" s="3">
        <f>12.14*30</f>
        <v>364.20000000000005</v>
      </c>
      <c r="M7" s="3">
        <f>49.19*30</f>
        <v>1475.6999999999998</v>
      </c>
      <c r="N7" s="3">
        <f>26.41*30</f>
        <v>792.3</v>
      </c>
      <c r="O7" s="3">
        <f>16.08*30</f>
        <v>482.4</v>
      </c>
      <c r="P7" s="3">
        <f>30.12*30</f>
        <v>903.6</v>
      </c>
      <c r="Q7" s="3">
        <f>43.59*30</f>
        <v>1307.7</v>
      </c>
    </row>
    <row r="9" spans="1:29" x14ac:dyDescent="0.35">
      <c r="B9" s="4" t="s">
        <v>29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1" t="s">
        <v>30</v>
      </c>
    </row>
    <row r="10" spans="1:29" x14ac:dyDescent="0.35">
      <c r="B10" s="4">
        <v>1</v>
      </c>
      <c r="C10" s="3">
        <v>0</v>
      </c>
      <c r="D10" s="3">
        <v>919</v>
      </c>
      <c r="E10" s="3">
        <v>0</v>
      </c>
      <c r="F10" s="3">
        <v>922</v>
      </c>
      <c r="G10" s="3">
        <v>730</v>
      </c>
      <c r="H10" s="3">
        <v>657</v>
      </c>
      <c r="I10">
        <f>SUM(C10:H10)</f>
        <v>3228</v>
      </c>
      <c r="J10" t="s">
        <v>35</v>
      </c>
    </row>
    <row r="11" spans="1:29" x14ac:dyDescent="0.35">
      <c r="B11" s="4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>
        <f t="shared" ref="I11:I13" si="0">SUM(C11:H11)</f>
        <v>0</v>
      </c>
      <c r="J11" t="s">
        <v>36</v>
      </c>
    </row>
    <row r="12" spans="1:29" x14ac:dyDescent="0.35">
      <c r="B12" s="4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>
        <f t="shared" si="0"/>
        <v>0</v>
      </c>
      <c r="J12" t="s">
        <v>37</v>
      </c>
    </row>
    <row r="13" spans="1:29" x14ac:dyDescent="0.35">
      <c r="B13" s="4">
        <v>4</v>
      </c>
      <c r="C13" s="3">
        <v>720</v>
      </c>
      <c r="D13" s="3">
        <v>0</v>
      </c>
      <c r="E13" s="3">
        <v>931</v>
      </c>
      <c r="F13" s="3">
        <v>0</v>
      </c>
      <c r="G13" s="3">
        <v>0</v>
      </c>
      <c r="H13" s="3">
        <v>0</v>
      </c>
      <c r="I13">
        <f t="shared" si="0"/>
        <v>1651</v>
      </c>
      <c r="J13" t="s">
        <v>38</v>
      </c>
    </row>
    <row r="14" spans="1:29" x14ac:dyDescent="0.35">
      <c r="B14" s="1" t="s">
        <v>44</v>
      </c>
      <c r="C14">
        <f>SUM(C10:C13)</f>
        <v>720</v>
      </c>
      <c r="D14">
        <f t="shared" ref="D14:H14" si="1">SUM(D10:D13)</f>
        <v>919</v>
      </c>
      <c r="E14">
        <f t="shared" si="1"/>
        <v>931</v>
      </c>
      <c r="F14">
        <f t="shared" si="1"/>
        <v>922</v>
      </c>
      <c r="G14">
        <f t="shared" si="1"/>
        <v>730</v>
      </c>
      <c r="H14">
        <f t="shared" si="1"/>
        <v>657</v>
      </c>
    </row>
    <row r="15" spans="1:29" x14ac:dyDescent="0.35">
      <c r="B15" s="1" t="s">
        <v>31</v>
      </c>
      <c r="C15">
        <v>720</v>
      </c>
      <c r="D15">
        <v>919</v>
      </c>
      <c r="E15">
        <v>931</v>
      </c>
      <c r="F15">
        <v>922</v>
      </c>
      <c r="G15">
        <v>730</v>
      </c>
      <c r="H15">
        <v>657</v>
      </c>
      <c r="U15" s="1"/>
    </row>
    <row r="16" spans="1:29" x14ac:dyDescent="0.35">
      <c r="I16" s="1" t="s">
        <v>47</v>
      </c>
      <c r="J16" s="8">
        <f>SUMPRODUCT(C4:H7,C10:H13)+SUMPRODUCT(C21:F21,C18:F18)</f>
        <v>2237796.1</v>
      </c>
      <c r="AC16">
        <f>SUM(Y16:AB16)</f>
        <v>0</v>
      </c>
    </row>
    <row r="18" spans="2:14" x14ac:dyDescent="0.35">
      <c r="B18" s="1" t="s">
        <v>33</v>
      </c>
      <c r="C18" s="6">
        <v>1</v>
      </c>
      <c r="D18" s="6">
        <v>0</v>
      </c>
      <c r="E18" s="6">
        <v>0</v>
      </c>
      <c r="F18" s="6">
        <v>1</v>
      </c>
      <c r="G18">
        <f>SUM(C18:F18)</f>
        <v>2</v>
      </c>
    </row>
    <row r="19" spans="2:14" x14ac:dyDescent="0.35">
      <c r="B19" s="1" t="s">
        <v>32</v>
      </c>
      <c r="C19" s="7">
        <f>I10-(4879*C18)</f>
        <v>-1651</v>
      </c>
      <c r="D19" s="7">
        <f>I11-(4879*D18)</f>
        <v>0</v>
      </c>
      <c r="E19" s="7">
        <f>I12-(4879*E18)</f>
        <v>0</v>
      </c>
      <c r="F19" s="7">
        <f>I13-(4879*F18)</f>
        <v>-3228</v>
      </c>
    </row>
    <row r="21" spans="2:14" x14ac:dyDescent="0.35">
      <c r="B21" s="1" t="s">
        <v>21</v>
      </c>
      <c r="C21" s="2">
        <v>2708</v>
      </c>
      <c r="D21" s="2">
        <v>1665</v>
      </c>
      <c r="E21" s="2">
        <v>2255</v>
      </c>
      <c r="F21" s="2">
        <v>2774</v>
      </c>
      <c r="N21" s="1"/>
    </row>
    <row r="22" spans="2:14" x14ac:dyDescent="0.35">
      <c r="B22" s="1" t="s">
        <v>45</v>
      </c>
      <c r="C22" s="5">
        <f>C21*C18</f>
        <v>2708</v>
      </c>
      <c r="D22" s="5">
        <f>D21*D18</f>
        <v>0</v>
      </c>
      <c r="E22" s="5">
        <f t="shared" ref="E22" si="2">E21*E18</f>
        <v>0</v>
      </c>
      <c r="F22" s="5">
        <f>F21*F18</f>
        <v>2774</v>
      </c>
    </row>
    <row r="24" spans="2:14" x14ac:dyDescent="0.35">
      <c r="C24" s="1" t="s">
        <v>46</v>
      </c>
      <c r="D24" s="1">
        <f>MIN(C28:H28)</f>
        <v>4</v>
      </c>
      <c r="E24" s="1">
        <f>MIN(C32:H32)</f>
        <v>4</v>
      </c>
      <c r="F24" s="1">
        <f>MIN(C36:H36)</f>
        <v>3</v>
      </c>
      <c r="G24" s="1">
        <f>MIN(C40:H40)</f>
        <v>4</v>
      </c>
    </row>
    <row r="26" spans="2:14" x14ac:dyDescent="0.35">
      <c r="B26" t="s">
        <v>39</v>
      </c>
      <c r="C26">
        <f>SUM($C$15:$H$15)</f>
        <v>4879</v>
      </c>
      <c r="D26">
        <f t="shared" ref="D26:H26" si="3">SUM($C$15:$H$15)</f>
        <v>4879</v>
      </c>
      <c r="E26">
        <f t="shared" si="3"/>
        <v>4879</v>
      </c>
      <c r="F26">
        <f t="shared" si="3"/>
        <v>4879</v>
      </c>
      <c r="G26">
        <f t="shared" si="3"/>
        <v>4879</v>
      </c>
      <c r="H26">
        <f t="shared" si="3"/>
        <v>4879</v>
      </c>
    </row>
    <row r="27" spans="2:14" x14ac:dyDescent="0.35">
      <c r="C27" cm="1">
        <f t="array" ref="C27:H27">C4:H4</f>
        <v>1246.2</v>
      </c>
      <c r="D27">
        <v>516.30000000000007</v>
      </c>
      <c r="E27">
        <v>1534.5</v>
      </c>
      <c r="F27">
        <v>477</v>
      </c>
      <c r="G27">
        <v>122.4</v>
      </c>
      <c r="H27">
        <v>348.29999999999995</v>
      </c>
    </row>
    <row r="28" spans="2:14" x14ac:dyDescent="0.35">
      <c r="C28">
        <f>ROUNDUP(C26/C27,0)</f>
        <v>4</v>
      </c>
      <c r="D28">
        <f t="shared" ref="D28:H28" si="4">ROUNDUP(D26/D27,0)</f>
        <v>10</v>
      </c>
      <c r="E28">
        <f t="shared" si="4"/>
        <v>4</v>
      </c>
      <c r="F28">
        <f t="shared" si="4"/>
        <v>11</v>
      </c>
      <c r="G28">
        <f t="shared" si="4"/>
        <v>40</v>
      </c>
      <c r="H28">
        <f t="shared" si="4"/>
        <v>15</v>
      </c>
    </row>
    <row r="30" spans="2:14" x14ac:dyDescent="0.35">
      <c r="B30" t="s">
        <v>40</v>
      </c>
      <c r="C30">
        <f>SUM($C$15:$H$15)</f>
        <v>4879</v>
      </c>
      <c r="D30">
        <f t="shared" ref="D30:H30" si="5">SUM($C$15:$H$15)</f>
        <v>4879</v>
      </c>
      <c r="E30">
        <f t="shared" si="5"/>
        <v>4879</v>
      </c>
      <c r="F30">
        <f t="shared" si="5"/>
        <v>4879</v>
      </c>
      <c r="G30">
        <f t="shared" si="5"/>
        <v>4879</v>
      </c>
      <c r="H30">
        <f t="shared" si="5"/>
        <v>4879</v>
      </c>
    </row>
    <row r="31" spans="2:14" x14ac:dyDescent="0.35">
      <c r="C31" cm="1">
        <f t="array" ref="C31:H31">C5:H5</f>
        <v>1623</v>
      </c>
      <c r="D31">
        <v>589.5</v>
      </c>
      <c r="E31">
        <v>1507.5</v>
      </c>
      <c r="F31">
        <v>853.80000000000007</v>
      </c>
      <c r="G31">
        <v>548.40000000000009</v>
      </c>
      <c r="H31">
        <v>15.878299999999999</v>
      </c>
    </row>
    <row r="32" spans="2:14" x14ac:dyDescent="0.35">
      <c r="C32">
        <f>ROUNDUP(C30/C31,0)</f>
        <v>4</v>
      </c>
      <c r="D32">
        <f t="shared" ref="D32:H32" si="6">ROUNDUP(D30/D31,0)</f>
        <v>9</v>
      </c>
      <c r="E32">
        <f t="shared" si="6"/>
        <v>4</v>
      </c>
      <c r="F32">
        <f t="shared" si="6"/>
        <v>6</v>
      </c>
      <c r="G32">
        <f t="shared" si="6"/>
        <v>9</v>
      </c>
      <c r="H32">
        <f t="shared" si="6"/>
        <v>308</v>
      </c>
    </row>
    <row r="34" spans="2:8" x14ac:dyDescent="0.35">
      <c r="B34" t="s">
        <v>41</v>
      </c>
      <c r="C34">
        <f>SUM($C$15:$H$15)</f>
        <v>4879</v>
      </c>
      <c r="D34">
        <f t="shared" ref="D34:H34" si="7">SUM($C$15:$H$15)</f>
        <v>4879</v>
      </c>
      <c r="E34">
        <f t="shared" si="7"/>
        <v>4879</v>
      </c>
      <c r="F34">
        <f t="shared" si="7"/>
        <v>4879</v>
      </c>
      <c r="G34">
        <f t="shared" si="7"/>
        <v>4879</v>
      </c>
      <c r="H34">
        <f t="shared" si="7"/>
        <v>4879</v>
      </c>
    </row>
    <row r="35" spans="2:8" x14ac:dyDescent="0.35">
      <c r="C35" cm="1">
        <f t="array" ref="C35:H35">C6:H6</f>
        <v>1332.6000000000001</v>
      </c>
      <c r="D35">
        <v>611.70000000000005</v>
      </c>
      <c r="E35">
        <v>1760.6999999999998</v>
      </c>
      <c r="F35">
        <v>531</v>
      </c>
      <c r="G35">
        <v>103.8</v>
      </c>
      <c r="H35">
        <v>443.7</v>
      </c>
    </row>
    <row r="36" spans="2:8" x14ac:dyDescent="0.35">
      <c r="C36">
        <f>ROUNDUP(C34/C35,0)</f>
        <v>4</v>
      </c>
      <c r="D36">
        <f t="shared" ref="D36:H36" si="8">ROUNDUP(D34/D35,0)</f>
        <v>8</v>
      </c>
      <c r="E36">
        <f t="shared" si="8"/>
        <v>3</v>
      </c>
      <c r="F36">
        <f t="shared" si="8"/>
        <v>10</v>
      </c>
      <c r="G36">
        <f t="shared" si="8"/>
        <v>48</v>
      </c>
      <c r="H36">
        <f t="shared" si="8"/>
        <v>11</v>
      </c>
    </row>
    <row r="38" spans="2:8" x14ac:dyDescent="0.35">
      <c r="B38" t="s">
        <v>42</v>
      </c>
      <c r="C38">
        <f>SUM($C$15:$H$15)</f>
        <v>4879</v>
      </c>
      <c r="D38">
        <f t="shared" ref="D38:H38" si="9">SUM($C$15:$H$15)</f>
        <v>4879</v>
      </c>
      <c r="E38">
        <f t="shared" si="9"/>
        <v>4879</v>
      </c>
      <c r="F38">
        <f t="shared" si="9"/>
        <v>4879</v>
      </c>
      <c r="G38">
        <f t="shared" si="9"/>
        <v>4879</v>
      </c>
      <c r="H38">
        <f t="shared" si="9"/>
        <v>4879</v>
      </c>
    </row>
    <row r="39" spans="2:8" x14ac:dyDescent="0.35">
      <c r="C39" cm="1">
        <f t="array" ref="C39:H39">C7:H7</f>
        <v>364.20000000000005</v>
      </c>
      <c r="D39">
        <v>1475.6999999999998</v>
      </c>
      <c r="E39">
        <v>792.3</v>
      </c>
      <c r="F39">
        <v>482.4</v>
      </c>
      <c r="G39">
        <v>903.6</v>
      </c>
      <c r="H39">
        <v>1307.7</v>
      </c>
    </row>
    <row r="40" spans="2:8" x14ac:dyDescent="0.35">
      <c r="C40">
        <f>ROUNDUP(C38/C39,0)</f>
        <v>14</v>
      </c>
      <c r="D40">
        <f t="shared" ref="D40:H40" si="10">ROUNDUP(D38/D39,0)</f>
        <v>4</v>
      </c>
      <c r="E40">
        <f t="shared" si="10"/>
        <v>7</v>
      </c>
      <c r="F40">
        <f t="shared" si="10"/>
        <v>11</v>
      </c>
      <c r="G40">
        <f t="shared" si="10"/>
        <v>6</v>
      </c>
      <c r="H40">
        <f t="shared" si="1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Warehouses</vt:lpstr>
      <vt:lpstr>Model Conditions</vt:lpstr>
      <vt:lpstr>Distribution Centers</vt:lpstr>
      <vt:lpstr>Model</vt:lpstr>
      <vt:lpstr>Model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Palladini</dc:creator>
  <cp:lastModifiedBy>Sean Palladini</cp:lastModifiedBy>
  <dcterms:created xsi:type="dcterms:W3CDTF">2025-04-09T21:00:19Z</dcterms:created>
  <dcterms:modified xsi:type="dcterms:W3CDTF">2025-04-16T21:03:08Z</dcterms:modified>
</cp:coreProperties>
</file>