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00" activeTab="1"/>
  </bookViews>
  <sheets>
    <sheet name="Estimación" sheetId="1" r:id="rId1"/>
    <sheet name="Plan_Financiero" sheetId="2" r:id="rId2"/>
    <sheet name="Indicadores" sheetId="3" r:id="rId3"/>
    <sheet name="Situación" sheetId="4" r:id="rId4"/>
    <sheet name="Evolución" sheetId="5" r:id="rId5"/>
    <sheet name="Cierre" sheetId="6" r:id="rId6"/>
  </sheets>
  <calcPr calcId="145621"/>
</workbook>
</file>

<file path=xl/calcChain.xml><?xml version="1.0" encoding="utf-8"?>
<calcChain xmlns="http://schemas.openxmlformats.org/spreadsheetml/2006/main">
  <c r="D36" i="2" l="1"/>
  <c r="E36" i="2"/>
  <c r="F36" i="2"/>
  <c r="G36" i="2"/>
  <c r="M49" i="1"/>
  <c r="C25" i="2"/>
  <c r="C26" i="2"/>
  <c r="C31" i="2"/>
  <c r="C30" i="2"/>
  <c r="C29" i="2"/>
  <c r="C27" i="2"/>
  <c r="C28" i="2"/>
  <c r="M36" i="1"/>
  <c r="F8" i="2"/>
  <c r="C10" i="2"/>
  <c r="D49" i="2" l="1"/>
  <c r="E29" i="1" l="1"/>
  <c r="G29" i="1" s="1"/>
  <c r="K29" i="1" l="1"/>
  <c r="I69" i="1"/>
  <c r="M69" i="1" s="1"/>
  <c r="I88" i="6"/>
  <c r="F88" i="6"/>
  <c r="I87" i="6"/>
  <c r="F87" i="6"/>
  <c r="I86" i="6"/>
  <c r="F86" i="6"/>
  <c r="M86" i="6" s="1"/>
  <c r="I85" i="6"/>
  <c r="F85" i="6"/>
  <c r="I84" i="6"/>
  <c r="F84" i="6"/>
  <c r="I83" i="6"/>
  <c r="I90" i="6" s="1"/>
  <c r="F83" i="6"/>
  <c r="M83" i="6" s="1"/>
  <c r="I79" i="6"/>
  <c r="I51" i="6"/>
  <c r="J50" i="6"/>
  <c r="J48" i="6"/>
  <c r="F47" i="6"/>
  <c r="N47" i="6" s="1"/>
  <c r="F46" i="6"/>
  <c r="J46" i="6" s="1"/>
  <c r="F45" i="6"/>
  <c r="J45" i="6" s="1"/>
  <c r="F44" i="6"/>
  <c r="J44" i="6" s="1"/>
  <c r="F43" i="6"/>
  <c r="J43" i="6" s="1"/>
  <c r="F42" i="6"/>
  <c r="J42" i="6" s="1"/>
  <c r="J41" i="6"/>
  <c r="J40" i="6"/>
  <c r="J39" i="6"/>
  <c r="I38" i="6"/>
  <c r="J37" i="6"/>
  <c r="F36" i="6"/>
  <c r="M36" i="6" s="1"/>
  <c r="F35" i="6"/>
  <c r="M35" i="6" s="1"/>
  <c r="H31" i="6"/>
  <c r="I29" i="6"/>
  <c r="F29" i="6"/>
  <c r="E29" i="6"/>
  <c r="L29" i="6" s="1"/>
  <c r="I28" i="6"/>
  <c r="F28" i="6"/>
  <c r="E28" i="6"/>
  <c r="L28" i="6" s="1"/>
  <c r="I27" i="6"/>
  <c r="F27" i="6"/>
  <c r="E27" i="6"/>
  <c r="L27" i="6" s="1"/>
  <c r="N27" i="6" s="1"/>
  <c r="I26" i="6"/>
  <c r="F26" i="6"/>
  <c r="E26" i="6"/>
  <c r="L26" i="6" s="1"/>
  <c r="I25" i="6"/>
  <c r="F25" i="6"/>
  <c r="E25" i="6"/>
  <c r="L25" i="6" s="1"/>
  <c r="I24" i="6"/>
  <c r="F24" i="6"/>
  <c r="E24" i="6"/>
  <c r="L24" i="6" s="1"/>
  <c r="L15" i="6"/>
  <c r="L14" i="6"/>
  <c r="M11" i="6"/>
  <c r="J8" i="6"/>
  <c r="C8" i="6"/>
  <c r="J7" i="6"/>
  <c r="C7" i="6"/>
  <c r="H50" i="5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F46" i="5"/>
  <c r="U46" i="5" s="1"/>
  <c r="F45" i="5"/>
  <c r="U45" i="5" s="1"/>
  <c r="V45" i="5" s="1"/>
  <c r="F44" i="5"/>
  <c r="U44" i="5" s="1"/>
  <c r="F43" i="5"/>
  <c r="F42" i="5"/>
  <c r="U42" i="5" s="1"/>
  <c r="V42" i="5" s="1"/>
  <c r="F41" i="5"/>
  <c r="U41" i="5" s="1"/>
  <c r="H37" i="5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F35" i="5"/>
  <c r="F34" i="5"/>
  <c r="U34" i="5" s="1"/>
  <c r="V34" i="5" s="1"/>
  <c r="H30" i="5"/>
  <c r="H53" i="5" s="1"/>
  <c r="F28" i="5"/>
  <c r="U28" i="5" s="1"/>
  <c r="E28" i="5"/>
  <c r="F27" i="5"/>
  <c r="U27" i="5" s="1"/>
  <c r="E27" i="5"/>
  <c r="F26" i="5"/>
  <c r="U26" i="5" s="1"/>
  <c r="E26" i="5"/>
  <c r="F25" i="5"/>
  <c r="U25" i="5" s="1"/>
  <c r="E25" i="5"/>
  <c r="F24" i="5"/>
  <c r="U24" i="5" s="1"/>
  <c r="E24" i="5"/>
  <c r="F23" i="5"/>
  <c r="E23" i="5"/>
  <c r="J10" i="5"/>
  <c r="D10" i="5"/>
  <c r="J8" i="5"/>
  <c r="C8" i="5"/>
  <c r="J7" i="5"/>
  <c r="C7" i="5"/>
  <c r="F46" i="4"/>
  <c r="F45" i="4"/>
  <c r="F44" i="4"/>
  <c r="F43" i="4"/>
  <c r="F42" i="4"/>
  <c r="F41" i="4"/>
  <c r="I37" i="4"/>
  <c r="F35" i="4"/>
  <c r="L35" i="4" s="1"/>
  <c r="F34" i="4"/>
  <c r="H30" i="4"/>
  <c r="I28" i="4"/>
  <c r="F28" i="4"/>
  <c r="E28" i="4"/>
  <c r="L28" i="4" s="1"/>
  <c r="M28" i="4" s="1"/>
  <c r="I27" i="4"/>
  <c r="F27" i="4"/>
  <c r="E27" i="4"/>
  <c r="J27" i="4" s="1"/>
  <c r="I26" i="4"/>
  <c r="F26" i="4"/>
  <c r="E26" i="4"/>
  <c r="L26" i="4" s="1"/>
  <c r="M26" i="4" s="1"/>
  <c r="I25" i="4"/>
  <c r="F25" i="4"/>
  <c r="E25" i="4"/>
  <c r="J25" i="4" s="1"/>
  <c r="I24" i="4"/>
  <c r="F24" i="4"/>
  <c r="E24" i="4"/>
  <c r="L24" i="4" s="1"/>
  <c r="M24" i="4" s="1"/>
  <c r="I23" i="4"/>
  <c r="F23" i="4"/>
  <c r="E23" i="4"/>
  <c r="J23" i="4" s="1"/>
  <c r="J10" i="4"/>
  <c r="C10" i="4"/>
  <c r="J8" i="4"/>
  <c r="C8" i="4"/>
  <c r="J7" i="4"/>
  <c r="C7" i="4"/>
  <c r="E51" i="3"/>
  <c r="E50" i="3"/>
  <c r="E49" i="3"/>
  <c r="E48" i="3"/>
  <c r="E47" i="3"/>
  <c r="E46" i="3"/>
  <c r="R19" i="3"/>
  <c r="J10" i="3"/>
  <c r="C10" i="3"/>
  <c r="J8" i="3"/>
  <c r="C8" i="3"/>
  <c r="J7" i="3"/>
  <c r="C7" i="3"/>
  <c r="H42" i="2"/>
  <c r="H41" i="2"/>
  <c r="H40" i="2"/>
  <c r="H39" i="2"/>
  <c r="H37" i="2"/>
  <c r="G44" i="2"/>
  <c r="F44" i="2"/>
  <c r="E44" i="2"/>
  <c r="G33" i="2"/>
  <c r="F33" i="2"/>
  <c r="E33" i="2"/>
  <c r="D33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F10" i="2"/>
  <c r="C8" i="2"/>
  <c r="F7" i="2"/>
  <c r="C7" i="2"/>
  <c r="M56" i="1"/>
  <c r="I71" i="1" s="1"/>
  <c r="M71" i="1" s="1"/>
  <c r="G49" i="1"/>
  <c r="M47" i="1"/>
  <c r="I42" i="2" s="1"/>
  <c r="M46" i="1"/>
  <c r="I41" i="2" s="1"/>
  <c r="M45" i="1"/>
  <c r="I40" i="2" s="1"/>
  <c r="M44" i="1"/>
  <c r="I39" i="2" s="1"/>
  <c r="M28" i="1"/>
  <c r="D44" i="2" s="1"/>
  <c r="M27" i="1"/>
  <c r="M26" i="1"/>
  <c r="M25" i="1"/>
  <c r="M24" i="1"/>
  <c r="M23" i="1"/>
  <c r="M22" i="1"/>
  <c r="H44" i="2" l="1"/>
  <c r="I36" i="2"/>
  <c r="F45" i="2"/>
  <c r="D45" i="2"/>
  <c r="G45" i="2"/>
  <c r="E45" i="2"/>
  <c r="H38" i="2"/>
  <c r="F37" i="4"/>
  <c r="F48" i="4" s="1"/>
  <c r="J48" i="4" s="1"/>
  <c r="F30" i="5"/>
  <c r="M88" i="6"/>
  <c r="M29" i="1"/>
  <c r="J36" i="6"/>
  <c r="J35" i="4"/>
  <c r="M35" i="4" s="1"/>
  <c r="I30" i="4"/>
  <c r="J28" i="4"/>
  <c r="M26" i="6"/>
  <c r="M27" i="6"/>
  <c r="I37" i="2"/>
  <c r="L34" i="4"/>
  <c r="J37" i="4"/>
  <c r="M37" i="4" s="1"/>
  <c r="F37" i="5"/>
  <c r="F48" i="5" s="1"/>
  <c r="U48" i="5" s="1"/>
  <c r="V41" i="5"/>
  <c r="N35" i="6"/>
  <c r="I70" i="1"/>
  <c r="M70" i="1" s="1"/>
  <c r="V46" i="5"/>
  <c r="J35" i="6"/>
  <c r="J34" i="4"/>
  <c r="M34" i="4" s="1"/>
  <c r="V44" i="5"/>
  <c r="N26" i="6"/>
  <c r="J27" i="6"/>
  <c r="F38" i="6"/>
  <c r="F94" i="6" s="1"/>
  <c r="J47" i="6"/>
  <c r="M29" i="6"/>
  <c r="V28" i="5"/>
  <c r="V24" i="5"/>
  <c r="M25" i="6"/>
  <c r="I33" i="2"/>
  <c r="V26" i="5"/>
  <c r="V27" i="5"/>
  <c r="V25" i="5"/>
  <c r="M24" i="6"/>
  <c r="M28" i="6"/>
  <c r="E54" i="2"/>
  <c r="E58" i="2" s="1"/>
  <c r="M87" i="6"/>
  <c r="M85" i="6"/>
  <c r="L23" i="4"/>
  <c r="M23" i="4" s="1"/>
  <c r="J24" i="4"/>
  <c r="L25" i="4"/>
  <c r="M25" i="4" s="1"/>
  <c r="J26" i="4"/>
  <c r="U23" i="5"/>
  <c r="V23" i="5" s="1"/>
  <c r="F31" i="6"/>
  <c r="F77" i="6" s="1"/>
  <c r="H33" i="2"/>
  <c r="F54" i="2"/>
  <c r="D54" i="2"/>
  <c r="D56" i="2" s="1"/>
  <c r="G54" i="2"/>
  <c r="I31" i="6"/>
  <c r="I78" i="6"/>
  <c r="I94" i="6"/>
  <c r="L42" i="4"/>
  <c r="M42" i="4" s="1"/>
  <c r="J42" i="4"/>
  <c r="L46" i="4"/>
  <c r="J46" i="4"/>
  <c r="I38" i="2"/>
  <c r="F30" i="4"/>
  <c r="L37" i="4"/>
  <c r="M46" i="4"/>
  <c r="I30" i="5"/>
  <c r="J24" i="6"/>
  <c r="N24" i="6"/>
  <c r="J28" i="6"/>
  <c r="N28" i="6"/>
  <c r="M12" i="6"/>
  <c r="I71" i="6"/>
  <c r="H36" i="2"/>
  <c r="L44" i="4"/>
  <c r="M44" i="4" s="1"/>
  <c r="J44" i="4"/>
  <c r="F50" i="4"/>
  <c r="F50" i="5"/>
  <c r="U43" i="5"/>
  <c r="V43" i="5" s="1"/>
  <c r="L27" i="4"/>
  <c r="M27" i="4" s="1"/>
  <c r="L43" i="4"/>
  <c r="M43" i="4" s="1"/>
  <c r="J43" i="4"/>
  <c r="L45" i="4"/>
  <c r="M45" i="4" s="1"/>
  <c r="J45" i="4"/>
  <c r="U35" i="5"/>
  <c r="V35" i="5" s="1"/>
  <c r="N36" i="6"/>
  <c r="F90" i="6"/>
  <c r="M90" i="6" s="1"/>
  <c r="M84" i="6"/>
  <c r="N25" i="6"/>
  <c r="J26" i="6"/>
  <c r="N29" i="6"/>
  <c r="M42" i="6"/>
  <c r="N42" i="6" s="1"/>
  <c r="M43" i="6"/>
  <c r="N43" i="6" s="1"/>
  <c r="M44" i="6"/>
  <c r="N44" i="6" s="1"/>
  <c r="M45" i="6"/>
  <c r="N45" i="6" s="1"/>
  <c r="M46" i="6"/>
  <c r="N46" i="6" s="1"/>
  <c r="M47" i="6"/>
  <c r="F51" i="6"/>
  <c r="F79" i="6"/>
  <c r="J25" i="6"/>
  <c r="J29" i="6"/>
  <c r="I44" i="2" l="1"/>
  <c r="M38" i="6"/>
  <c r="N38" i="6" s="1"/>
  <c r="F49" i="6"/>
  <c r="M49" i="6" s="1"/>
  <c r="F78" i="6"/>
  <c r="J38" i="6"/>
  <c r="M94" i="6"/>
  <c r="U37" i="5"/>
  <c r="V37" i="5" s="1"/>
  <c r="V48" i="5"/>
  <c r="L48" i="4"/>
  <c r="F53" i="4"/>
  <c r="M53" i="4" s="1"/>
  <c r="E49" i="2"/>
  <c r="F49" i="2" s="1"/>
  <c r="G49" i="2" s="1"/>
  <c r="M48" i="4"/>
  <c r="H48" i="2"/>
  <c r="J51" i="6"/>
  <c r="N51" i="6"/>
  <c r="M51" i="6"/>
  <c r="V50" i="5"/>
  <c r="U50" i="5"/>
  <c r="F53" i="5"/>
  <c r="I77" i="6"/>
  <c r="I54" i="6"/>
  <c r="M31" i="6"/>
  <c r="J50" i="4"/>
  <c r="M50" i="4"/>
  <c r="J30" i="5"/>
  <c r="I53" i="5"/>
  <c r="G58" i="2"/>
  <c r="D58" i="2"/>
  <c r="D60" i="2" s="1"/>
  <c r="F54" i="6"/>
  <c r="F58" i="2"/>
  <c r="H54" i="2"/>
  <c r="J49" i="6" l="1"/>
  <c r="N49" i="6"/>
  <c r="J77" i="6"/>
  <c r="G61" i="4"/>
  <c r="J53" i="4"/>
  <c r="G92" i="6"/>
  <c r="F92" i="6"/>
  <c r="G79" i="6"/>
  <c r="G78" i="6"/>
  <c r="G77" i="6"/>
  <c r="N54" i="6"/>
  <c r="G94" i="6"/>
  <c r="G62" i="6"/>
  <c r="J54" i="6"/>
  <c r="P62" i="5"/>
  <c r="L62" i="5"/>
  <c r="H62" i="5"/>
  <c r="V62" i="5" s="1"/>
  <c r="S62" i="5"/>
  <c r="O62" i="5"/>
  <c r="K62" i="5"/>
  <c r="F62" i="5"/>
  <c r="R62" i="5"/>
  <c r="N62" i="5"/>
  <c r="J62" i="5"/>
  <c r="M62" i="5"/>
  <c r="V53" i="5"/>
  <c r="I62" i="5"/>
  <c r="Q62" i="5"/>
  <c r="E60" i="2"/>
  <c r="F60" i="2" s="1"/>
  <c r="G60" i="2" s="1"/>
  <c r="K30" i="5"/>
  <c r="J53" i="5"/>
  <c r="J94" i="6"/>
  <c r="J62" i="6"/>
  <c r="J92" i="6"/>
  <c r="I62" i="6"/>
  <c r="M54" i="6"/>
  <c r="I92" i="6"/>
  <c r="J78" i="6"/>
  <c r="J79" i="6"/>
  <c r="M92" i="6" l="1"/>
  <c r="M13" i="6"/>
  <c r="I73" i="6"/>
  <c r="K53" i="5"/>
  <c r="L30" i="5"/>
  <c r="I75" i="6" l="1"/>
  <c r="L53" i="5"/>
  <c r="M30" i="5"/>
  <c r="D62" i="2" l="1"/>
  <c r="D64" i="2" s="1"/>
  <c r="E56" i="2"/>
  <c r="N30" i="5"/>
  <c r="M53" i="5"/>
  <c r="E62" i="2" l="1"/>
  <c r="E64" i="2" s="1"/>
  <c r="F56" i="2"/>
  <c r="O30" i="5"/>
  <c r="N53" i="5"/>
  <c r="O53" i="5" l="1"/>
  <c r="P30" i="5"/>
  <c r="F62" i="2"/>
  <c r="F64" i="2" s="1"/>
  <c r="G56" i="2"/>
  <c r="H56" i="2" s="1"/>
  <c r="G62" i="2" l="1"/>
  <c r="G64" i="2" s="1"/>
  <c r="P53" i="5"/>
  <c r="Q30" i="5"/>
  <c r="R30" i="5" l="1"/>
  <c r="Q53" i="5"/>
  <c r="S30" i="5" l="1"/>
  <c r="R53" i="5"/>
  <c r="S53" i="5" l="1"/>
  <c r="U30" i="5"/>
  <c r="V30" i="5" s="1"/>
  <c r="U53" i="5" l="1"/>
  <c r="N46" i="3"/>
  <c r="L13" i="1"/>
  <c r="Q13" i="3" s="1"/>
  <c r="E30" i="5"/>
  <c r="E31" i="6"/>
  <c r="J31" i="6" s="1"/>
  <c r="E30" i="4"/>
  <c r="U13" i="5" l="1"/>
  <c r="F71" i="6"/>
  <c r="M71" i="6" s="1"/>
  <c r="L31" i="6"/>
  <c r="N31" i="6" s="1"/>
  <c r="L13" i="4"/>
  <c r="J30" i="4"/>
  <c r="I41" i="4" s="1"/>
  <c r="L30" i="4"/>
  <c r="M30" i="4" s="1"/>
  <c r="H13" i="2"/>
  <c r="L12" i="6"/>
  <c r="L41" i="4" l="1"/>
  <c r="M41" i="4" s="1"/>
  <c r="J41" i="4"/>
  <c r="I50" i="4"/>
  <c r="L50" i="4" l="1"/>
  <c r="I53" i="4"/>
  <c r="L53" i="4" s="1"/>
  <c r="I68" i="1" l="1"/>
  <c r="M68" i="1" s="1"/>
  <c r="M73" i="1" s="1"/>
  <c r="M59" i="1"/>
  <c r="I73" i="1" s="1"/>
  <c r="I76" i="1" s="1"/>
  <c r="M76" i="1" s="1"/>
  <c r="M81" i="1" l="1"/>
  <c r="I48" i="2" s="1"/>
  <c r="G73" i="1"/>
  <c r="L14" i="1" s="1"/>
  <c r="F59" i="5" l="1"/>
  <c r="S61" i="5" s="1"/>
  <c r="M83" i="1"/>
  <c r="F60" i="6"/>
  <c r="F62" i="6" s="1"/>
  <c r="I54" i="2"/>
  <c r="I56" i="2" s="1"/>
  <c r="F59" i="4"/>
  <c r="J59" i="4" s="1"/>
  <c r="M59" i="4" s="1"/>
  <c r="L12" i="1"/>
  <c r="U12" i="5" s="1"/>
  <c r="L13" i="6"/>
  <c r="U14" i="5"/>
  <c r="Q14" i="3"/>
  <c r="L14" i="4"/>
  <c r="H14" i="2"/>
  <c r="U59" i="5" l="1"/>
  <c r="V59" i="5" s="1"/>
  <c r="R61" i="5"/>
  <c r="I61" i="5"/>
  <c r="P61" i="5"/>
  <c r="O61" i="5"/>
  <c r="L61" i="5"/>
  <c r="J61" i="5"/>
  <c r="Q61" i="5"/>
  <c r="F61" i="5"/>
  <c r="H61" i="5"/>
  <c r="K61" i="5"/>
  <c r="M61" i="5"/>
  <c r="N61" i="5"/>
  <c r="M60" i="6"/>
  <c r="N60" i="6" s="1"/>
  <c r="L12" i="4"/>
  <c r="F73" i="6"/>
  <c r="F75" i="6" s="1"/>
  <c r="J60" i="6"/>
  <c r="F61" i="4"/>
  <c r="L11" i="6"/>
  <c r="L59" i="4"/>
  <c r="H12" i="2"/>
  <c r="Q12" i="3"/>
  <c r="N62" i="6"/>
  <c r="M62" i="6"/>
  <c r="U61" i="5" l="1"/>
  <c r="M73" i="6"/>
</calcChain>
</file>

<file path=xl/sharedStrings.xml><?xml version="1.0" encoding="utf-8"?>
<sst xmlns="http://schemas.openxmlformats.org/spreadsheetml/2006/main" count="364" uniqueCount="207">
  <si>
    <t xml:space="preserve"> b809vgyu0 r1tntr 3</t>
  </si>
  <si>
    <t>HOJA DE ESTIMACION ECONOMICA DE PROYECTO</t>
  </si>
  <si>
    <t>PLAN FINANCIERO DEL PROYECTO</t>
  </si>
  <si>
    <t>TITULO :</t>
  </si>
  <si>
    <t>REFERENCIA :</t>
  </si>
  <si>
    <t>CLIENTE :</t>
  </si>
  <si>
    <t>DIRECTOR :</t>
  </si>
  <si>
    <t>FECHA INICIO :</t>
  </si>
  <si>
    <t>Externo</t>
  </si>
  <si>
    <t>FECHA FIN :</t>
  </si>
  <si>
    <t>FECHA INFORME :</t>
  </si>
  <si>
    <t>PRECIO VENTA :</t>
  </si>
  <si>
    <t>PRECIO VENTA (SIN IVA):</t>
  </si>
  <si>
    <t>Pesos</t>
  </si>
  <si>
    <t>ESFUERZO :</t>
  </si>
  <si>
    <t>Horas</t>
  </si>
  <si>
    <t>MARGEN :</t>
  </si>
  <si>
    <t>%</t>
  </si>
  <si>
    <t>TIPO INTERES ANUAL :</t>
  </si>
  <si>
    <t>1. ESTIMACION DE COSTES Y GASTOS :</t>
  </si>
  <si>
    <t>COSTE DE OPORTUNIDAD ANUAL :</t>
  </si>
  <si>
    <t>1. PROYECCION TEMPORAL DE COSTES Y GASTOS :</t>
  </si>
  <si>
    <t>CONCEPTO</t>
  </si>
  <si>
    <t>TOTAL PREVISTO</t>
  </si>
  <si>
    <t>Agosto</t>
  </si>
  <si>
    <t>Septiembre</t>
  </si>
  <si>
    <t>Octubre</t>
  </si>
  <si>
    <t>Noviembre</t>
  </si>
  <si>
    <t>1.A  COSTES DE PERSONAL</t>
  </si>
  <si>
    <t>PLAN_F</t>
  </si>
  <si>
    <t>CATEG.</t>
  </si>
  <si>
    <t>HORAS</t>
  </si>
  <si>
    <t>APERT.</t>
  </si>
  <si>
    <t>COSTE/HR</t>
  </si>
  <si>
    <t>COEFIC.</t>
  </si>
  <si>
    <t>CONTING.</t>
  </si>
  <si>
    <t>COSTE</t>
  </si>
  <si>
    <t>SUBTOTAL</t>
  </si>
  <si>
    <t>1.B  SUBCONTRATACIONES</t>
  </si>
  <si>
    <t>Internet</t>
  </si>
  <si>
    <t>Electricidad</t>
  </si>
  <si>
    <t>1.C  COSTES VARIOS</t>
  </si>
  <si>
    <t>Notebook</t>
  </si>
  <si>
    <t>Capacitacion en Programacion</t>
  </si>
  <si>
    <t>Transporte</t>
  </si>
  <si>
    <t>Smartphones</t>
  </si>
  <si>
    <t>TOTAL_HORAS</t>
  </si>
  <si>
    <t>1.D  OTROS GASTOS</t>
  </si>
  <si>
    <t>MATERIAL / EQUIPO :</t>
  </si>
  <si>
    <t>COSTE HORAS</t>
  </si>
  <si>
    <t>COMIDA</t>
  </si>
  <si>
    <t>TOTAL COSTES Y GASTOS</t>
  </si>
  <si>
    <t>INDICADORES ECONOMICOS Y FINANCIEROS DEL PROYECTO</t>
  </si>
  <si>
    <t>2. PRECIO DE VENTA :</t>
  </si>
  <si>
    <t>2.A  MARGEN</t>
  </si>
  <si>
    <t>PORCENTAJE SOBRE</t>
  </si>
  <si>
    <t>MARGEN</t>
  </si>
  <si>
    <t>SOBRE</t>
  </si>
  <si>
    <t>VALOR</t>
  </si>
  <si>
    <t>PERSONAL</t>
  </si>
  <si>
    <t>SUBCONTRATACIONES</t>
  </si>
  <si>
    <t>COSTES VARIOS</t>
  </si>
  <si>
    <t>Euros</t>
  </si>
  <si>
    <t>OTROS GASTOS</t>
  </si>
  <si>
    <t>TOTAL</t>
  </si>
  <si>
    <t>DURACION (MESES) :</t>
  </si>
  <si>
    <t xml:space="preserve"> esto es lo que ganaria invirtiendo en el proyecto</t>
  </si>
  <si>
    <t>PORCENTAJE FIJO</t>
  </si>
  <si>
    <t>1. PREVISION DE CARGA DE TRABAJO</t>
  </si>
  <si>
    <t>2. PREVISION DE LA EVOLUCION DE DATOS ECONOMICO-FINACIEROS</t>
  </si>
  <si>
    <t xml:space="preserve">cuanto mas le quier ganar </t>
  </si>
  <si>
    <t>2.B  PRECIO DE VENTA</t>
  </si>
  <si>
    <t>PRECIO DE VENTA, Pesos, SIN ESCALACION INTERANUAL</t>
  </si>
  <si>
    <t>precio que cubre los costos</t>
  </si>
  <si>
    <t>PRECIO DE VENTA, Pesos, CON IVA al ...</t>
  </si>
  <si>
    <t>CAT_DI</t>
  </si>
  <si>
    <t>1 persona al</t>
  </si>
  <si>
    <t>precio + iva</t>
  </si>
  <si>
    <t>Máximo endeudamiento (Euros) :</t>
  </si>
  <si>
    <t>CAT_CO</t>
  </si>
  <si>
    <t>CAT_IS</t>
  </si>
  <si>
    <t>CAT_IJ</t>
  </si>
  <si>
    <t>CAT_TE</t>
  </si>
  <si>
    <t>CAT_PA</t>
  </si>
  <si>
    <t>SUBCONTRATOS</t>
  </si>
  <si>
    <t>TOTAL COSTES</t>
  </si>
  <si>
    <t>TOTAL ACUM.</t>
  </si>
  <si>
    <t>INGRESOS</t>
  </si>
  <si>
    <t>ACUMULADO</t>
  </si>
  <si>
    <t>2. RESULTADOS</t>
  </si>
  <si>
    <t>MARGEN BRUTO</t>
  </si>
  <si>
    <t>M. ACUMULADO</t>
  </si>
  <si>
    <t>VAN(valor actual neto)</t>
  </si>
  <si>
    <t>VAN ACUMULADO</t>
  </si>
  <si>
    <t>TIR</t>
  </si>
  <si>
    <t>BENEFICIO</t>
  </si>
  <si>
    <t>HOJA DE SITUACION ECONOMICA DE PROYECTO</t>
  </si>
  <si>
    <t>CONSUMIDO</t>
  </si>
  <si>
    <t>REMANENTE</t>
  </si>
  <si>
    <t>CAT_1 (DI)</t>
  </si>
  <si>
    <t>CAT_2 (CO)</t>
  </si>
  <si>
    <t>CAT_3 (IS)</t>
  </si>
  <si>
    <t>CAT_4 (IJ)</t>
  </si>
  <si>
    <t>CAT_5 (TE)</t>
  </si>
  <si>
    <t>CAT_6 (PA)</t>
  </si>
  <si>
    <t>SUBC_1</t>
  </si>
  <si>
    <t>SUBC_2</t>
  </si>
  <si>
    <t>1.C  COSTES Y GASTOS VARIOS</t>
  </si>
  <si>
    <t>COSTES INFORMATICOS :</t>
  </si>
  <si>
    <t xml:space="preserve">CONSUMIBLES: </t>
  </si>
  <si>
    <t>OTROS :</t>
  </si>
  <si>
    <t>VIAJES / ESTANCIAS :</t>
  </si>
  <si>
    <t>VARIOS :</t>
  </si>
  <si>
    <t>HOJA DE CIERRE ECONOMICO DEL PROYECTO</t>
  </si>
  <si>
    <t>CONTINGENCIAS:</t>
  </si>
  <si>
    <t>PREVISTO</t>
  </si>
  <si>
    <t>REAL</t>
  </si>
  <si>
    <t>02/00</t>
  </si>
  <si>
    <t>mes/año</t>
  </si>
  <si>
    <t>02/01</t>
  </si>
  <si>
    <t>2. PRECIO DE VENTA Y MARGEN :</t>
  </si>
  <si>
    <t>TOTAL FINAL</t>
  </si>
  <si>
    <t>DESVIACION</t>
  </si>
  <si>
    <t>CANT.</t>
  </si>
  <si>
    <t>FACTURACION TOTAL</t>
  </si>
  <si>
    <t>3. RESUMEN</t>
  </si>
  <si>
    <t>3.1 HORAS CONSUMIDAS Y REMANENTES</t>
  </si>
  <si>
    <t>SEGÚN CATEGORIA</t>
  </si>
  <si>
    <t>3.2 CONSUMO Y REMANENTE DE RECURSOS</t>
  </si>
  <si>
    <t>SEGÚN TIPO</t>
  </si>
  <si>
    <t>CONSUMIBLES :</t>
  </si>
  <si>
    <t>3. INDICADORES ECONOMICOS, FINANCIEROS Y DE OCUPACION</t>
  </si>
  <si>
    <t>DURACION DEL PROYECTO</t>
  </si>
  <si>
    <t>Meses</t>
  </si>
  <si>
    <t>COSTE POR HORA</t>
  </si>
  <si>
    <t>PRECIO DE VENTA POR HORA</t>
  </si>
  <si>
    <t>MARGEN POR HORA TRABAJADA</t>
  </si>
  <si>
    <t>PORCENTAJE DE</t>
  </si>
  <si>
    <t>HORAS PROPIAS</t>
  </si>
  <si>
    <t>SUBCONTRATAS</t>
  </si>
  <si>
    <t>SUMINISTROS</t>
  </si>
  <si>
    <t>CARGA DE TRABAJO (Hombres durante el proyecto)</t>
  </si>
  <si>
    <t>HOJA DE EVOLUCION ECONOMICA DE PROYECTO</t>
  </si>
  <si>
    <t>GLOBAL</t>
  </si>
  <si>
    <t>ENDEUDAMIENTO INTERNO</t>
  </si>
  <si>
    <t>ENDEUDAMIENTO EXTERNO</t>
  </si>
  <si>
    <t>04/00</t>
  </si>
  <si>
    <t>CONSUMIDO (Kpts)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</si>
  <si>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</si>
  <si>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</si>
  <si>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</si>
  <si>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</si>
  <si>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</si>
  <si>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</si>
  <si>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</si>
  <si>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</si>
  <si>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</si>
  <si>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</si>
  <si>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</si>
  <si>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</si>
  <si>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Kpts</t>
  </si>
  <si>
    <t>MES 0</t>
  </si>
  <si>
    <t>MARGEN PROVISIONAL</t>
  </si>
  <si>
    <t>Sistema Unificado de Reclamos ACV Sistemas</t>
  </si>
  <si>
    <t>Palomino Nieva, Cynthia Salome</t>
  </si>
  <si>
    <t>Lider de proyecto - SPN</t>
  </si>
  <si>
    <t>Analista funcional - SPN</t>
  </si>
  <si>
    <t>Desarrollador - GO</t>
  </si>
  <si>
    <t>Diseñador de software - SPN</t>
  </si>
  <si>
    <t>Diseñador de Base de datos - GO</t>
  </si>
  <si>
    <t>Testing - GO</t>
  </si>
  <si>
    <t>Documentador - SPN</t>
  </si>
  <si>
    <t>hoja de rec</t>
  </si>
  <si>
    <t>uso de rec</t>
  </si>
  <si>
    <t>siempre en1</t>
  </si>
  <si>
    <t>valor si faltara algun rol</t>
  </si>
  <si>
    <t>700 por mes</t>
  </si>
  <si>
    <t>al total lo multiplico por 8% porque si falla algun servicio tengo capital de reserva</t>
  </si>
  <si>
    <t>total horas uso</t>
  </si>
  <si>
    <t>costo en 2 lapiceras y 2 cuadernos</t>
  </si>
  <si>
    <t>contingencia a otros gastos</t>
  </si>
  <si>
    <t>valores precargados</t>
  </si>
  <si>
    <t>los gastos de capacit y transporte se calculan aquí, viaje de 20 min a $10</t>
  </si>
  <si>
    <t>smartphones y note basado en el tiempo de deterioro de recursos, transporte ver regla de 3</t>
  </si>
  <si>
    <t>subtotales</t>
  </si>
  <si>
    <t>total de hr de cara rol</t>
  </si>
  <si>
    <t>toales a pagar por mes, suma de todos los gastos pero dividido en los 4 meses</t>
  </si>
  <si>
    <t>total de gastos dividido por total de meses</t>
  </si>
  <si>
    <t>1600 por mes, en 4 meses que dura el proyecto</t>
  </si>
  <si>
    <t>Se tomo el total de las horas de las 2 notebooks</t>
  </si>
  <si>
    <t>Se tomo el total de las horas de los 2 smartphones</t>
  </si>
  <si>
    <t>$57412,53 (monto total depositando en plazo fijo)</t>
  </si>
  <si>
    <t>55000 (total costos del proyecto redondeado)</t>
  </si>
  <si>
    <t>57412,53-55000 = $2415,53(esto es lo que ganaria depositando los 75 dias que dura el proyecto en un plazo fijo)</t>
  </si>
  <si>
    <t>tasa nominal anual banco 21,34%</t>
  </si>
  <si>
    <t>con el proyecto solo ganaria $18568 / con el banco ganaria $2415,53</t>
  </si>
  <si>
    <r>
      <rPr>
        <b/>
        <sz val="10"/>
        <rFont val="Arial"/>
        <family val="2"/>
      </rPr>
      <t>Costo de oportunidad</t>
    </r>
    <r>
      <rPr>
        <sz val="10"/>
        <rFont val="Arial"/>
      </rPr>
      <t xml:space="preserve"> =  diferencia entre lo que gano con el proyecto y lo que ganaría con el banco</t>
    </r>
  </si>
  <si>
    <t xml:space="preserve"> lo que vamos obteniendo de GANACIA POR MES</t>
  </si>
  <si>
    <r>
      <rPr>
        <b/>
        <sz val="10"/>
        <rFont val="Arial"/>
        <family val="2"/>
      </rPr>
      <t>Costo de oportunidad</t>
    </r>
    <r>
      <rPr>
        <sz val="10"/>
        <rFont val="Arial"/>
      </rPr>
      <t xml:space="preserve"> = 18568 - 2415,53 = 16152,47</t>
    </r>
  </si>
  <si>
    <t>$18568 = 100% entonces $16152,47 = 86,99%</t>
  </si>
  <si>
    <t xml:space="preserve">con el proyecto ganaria 87% y con el banco 13% </t>
  </si>
  <si>
    <r>
      <rPr>
        <b/>
        <sz val="10"/>
        <rFont val="Arial"/>
        <family val="2"/>
      </rPr>
      <t>Conclusion</t>
    </r>
    <r>
      <rPr>
        <sz val="10"/>
        <rFont val="Arial"/>
        <family val="2"/>
      </rPr>
      <t>:  conviene invertir la plata en el proyecto directamente porque ganaría más</t>
    </r>
  </si>
  <si>
    <t>coincidir con solapa estimacion- horas uso de recursos</t>
  </si>
  <si>
    <t>prestamo bancario de $55000 en un plaza de 4 meses</t>
  </si>
  <si>
    <r>
      <rPr>
        <b/>
        <sz val="10"/>
        <rFont val="Arial"/>
        <family val="2"/>
      </rPr>
      <t>TIPO INTERES ANUAL</t>
    </r>
    <r>
      <rPr>
        <sz val="10"/>
        <rFont val="Arial"/>
      </rPr>
      <t>:</t>
    </r>
  </si>
  <si>
    <t>COSTO DE OPORTUNIDAD ANUAL:</t>
  </si>
  <si>
    <t>Todas las tasas calculadas sobre las dadas por el Banco Nación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</si>
</sst>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"/>
    <numFmt numFmtId="165" formatCode="0.0%"/>
    <numFmt numFmtId="166" formatCode="#,##0.0"/>
    <numFmt numFmtId="167" formatCode="#,##0.000"/>
    <numFmt numFmtId="168" formatCode="0.000"/>
    <numFmt numFmtId="169" formatCode="0.0"/>
    <numFmt numFmtId="170" formatCode="#,##0_ ;\-#,##0\ "/>
  </numFmts>
  <fonts count="12" x14ac:knownFonts="1">
    <font>
      <sz val="10"/>
      <color rgb="FF000000"/>
      <name val="Arial"/>
    </font>
    <font>
      <sz val="10"/>
      <name val="Arial"/>
    </font>
    <font>
      <b/>
      <sz val="14"/>
      <color rgb="FFFFFFFF"/>
      <name val="Arial"/>
    </font>
    <font>
      <b/>
      <sz val="16"/>
      <color rgb="FFFFFFFF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1" fillId="3" borderId="0" xfId="0" applyNumberFormat="1" applyFont="1" applyFill="1" applyBorder="1"/>
    <xf numFmtId="0" fontId="5" fillId="0" borderId="0" xfId="0" applyFont="1"/>
    <xf numFmtId="165" fontId="5" fillId="4" borderId="5" xfId="0" applyNumberFormat="1" applyFont="1" applyFill="1" applyBorder="1" applyAlignment="1"/>
    <xf numFmtId="0" fontId="5" fillId="3" borderId="0" xfId="0" applyFont="1" applyFill="1" applyBorder="1" applyAlignment="1">
      <alignment horizontal="left"/>
    </xf>
    <xf numFmtId="0" fontId="6" fillId="2" borderId="0" xfId="0" applyFont="1" applyFill="1" applyBorder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1" fillId="4" borderId="5" xfId="0" applyFont="1" applyFill="1" applyBorder="1" applyAlignment="1"/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horizontal="right"/>
    </xf>
    <xf numFmtId="4" fontId="1" fillId="4" borderId="5" xfId="0" applyNumberFormat="1" applyFont="1" applyFill="1" applyBorder="1"/>
    <xf numFmtId="4" fontId="1" fillId="4" borderId="5" xfId="0" applyNumberFormat="1" applyFont="1" applyFill="1" applyBorder="1" applyAlignment="1"/>
    <xf numFmtId="4" fontId="1" fillId="0" borderId="0" xfId="0" applyNumberFormat="1" applyFont="1"/>
    <xf numFmtId="3" fontId="1" fillId="0" borderId="0" xfId="0" applyNumberFormat="1" applyFont="1"/>
    <xf numFmtId="0" fontId="1" fillId="4" borderId="5" xfId="0" applyFont="1" applyFill="1" applyBorder="1"/>
    <xf numFmtId="2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4" fontId="5" fillId="3" borderId="0" xfId="0" applyNumberFormat="1" applyFont="1" applyFill="1" applyBorder="1"/>
    <xf numFmtId="3" fontId="1" fillId="4" borderId="5" xfId="0" applyNumberFormat="1" applyFont="1" applyFill="1" applyBorder="1" applyAlignment="1"/>
    <xf numFmtId="10" fontId="1" fillId="0" borderId="0" xfId="0" applyNumberFormat="1" applyFont="1"/>
    <xf numFmtId="3" fontId="5" fillId="3" borderId="0" xfId="0" applyNumberFormat="1" applyFont="1" applyFill="1" applyBorder="1"/>
    <xf numFmtId="10" fontId="1" fillId="0" borderId="0" xfId="0" applyNumberFormat="1" applyFont="1" applyAlignment="1"/>
    <xf numFmtId="4" fontId="1" fillId="5" borderId="6" xfId="0" applyNumberFormat="1" applyFont="1" applyFill="1" applyBorder="1" applyAlignment="1"/>
    <xf numFmtId="4" fontId="1" fillId="0" borderId="0" xfId="0" applyNumberFormat="1" applyFont="1" applyAlignment="1"/>
    <xf numFmtId="2" fontId="1" fillId="0" borderId="0" xfId="0" applyNumberFormat="1" applyFont="1" applyAlignment="1"/>
    <xf numFmtId="10" fontId="1" fillId="0" borderId="0" xfId="0" applyNumberFormat="1" applyFont="1" applyAlignment="1"/>
    <xf numFmtId="0" fontId="1" fillId="0" borderId="0" xfId="0" applyFont="1" applyAlignment="1"/>
    <xf numFmtId="3" fontId="6" fillId="2" borderId="0" xfId="0" applyNumberFormat="1" applyFont="1" applyFill="1" applyBorder="1"/>
    <xf numFmtId="0" fontId="7" fillId="0" borderId="0" xfId="0" applyFont="1"/>
    <xf numFmtId="0" fontId="1" fillId="0" borderId="0" xfId="0" applyFont="1" applyAlignment="1">
      <alignment horizontal="left"/>
    </xf>
    <xf numFmtId="10" fontId="1" fillId="4" borderId="5" xfId="0" applyNumberFormat="1" applyFont="1" applyFill="1" applyBorder="1" applyAlignment="1"/>
    <xf numFmtId="10" fontId="1" fillId="4" borderId="5" xfId="0" applyNumberFormat="1" applyFont="1" applyFill="1" applyBorder="1"/>
    <xf numFmtId="165" fontId="5" fillId="4" borderId="5" xfId="0" applyNumberFormat="1" applyFont="1" applyFill="1" applyBorder="1"/>
    <xf numFmtId="10" fontId="5" fillId="3" borderId="0" xfId="0" applyNumberFormat="1" applyFont="1" applyFill="1" applyBorder="1" applyAlignment="1">
      <alignment horizontal="right"/>
    </xf>
    <xf numFmtId="166" fontId="1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167" fontId="1" fillId="0" borderId="0" xfId="0" applyNumberFormat="1" applyFont="1"/>
    <xf numFmtId="3" fontId="1" fillId="4" borderId="5" xfId="0" applyNumberFormat="1" applyFont="1" applyFill="1" applyBorder="1"/>
    <xf numFmtId="0" fontId="1" fillId="3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1" fillId="0" borderId="0" xfId="0" applyNumberFormat="1" applyFont="1"/>
    <xf numFmtId="169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5" fontId="1" fillId="3" borderId="0" xfId="0" applyNumberFormat="1" applyFont="1" applyFill="1" applyBorder="1"/>
    <xf numFmtId="3" fontId="1" fillId="3" borderId="0" xfId="0" applyNumberFormat="1" applyFont="1" applyFill="1" applyBorder="1" applyAlignment="1">
      <alignment horizontal="right"/>
    </xf>
    <xf numFmtId="3" fontId="6" fillId="5" borderId="0" xfId="0" applyNumberFormat="1" applyFont="1" applyFill="1" applyBorder="1"/>
    <xf numFmtId="170" fontId="1" fillId="4" borderId="5" xfId="0" applyNumberFormat="1" applyFont="1" applyFill="1" applyBorder="1"/>
    <xf numFmtId="0" fontId="5" fillId="5" borderId="0" xfId="0" applyFont="1" applyFill="1" applyBorder="1" applyAlignment="1">
      <alignment horizontal="left"/>
    </xf>
    <xf numFmtId="165" fontId="1" fillId="0" borderId="0" xfId="0" applyNumberFormat="1" applyFont="1" applyAlignment="1">
      <alignment horizontal="right"/>
    </xf>
    <xf numFmtId="2" fontId="5" fillId="5" borderId="0" xfId="0" applyNumberFormat="1" applyFont="1" applyFill="1" applyBorder="1"/>
    <xf numFmtId="3" fontId="5" fillId="5" borderId="0" xfId="0" applyNumberFormat="1" applyFont="1" applyFill="1" applyBorder="1"/>
    <xf numFmtId="3" fontId="6" fillId="0" borderId="0" xfId="0" applyNumberFormat="1" applyFont="1"/>
    <xf numFmtId="165" fontId="5" fillId="0" borderId="0" xfId="0" applyNumberFormat="1" applyFont="1" applyAlignment="1">
      <alignment horizontal="left"/>
    </xf>
    <xf numFmtId="170" fontId="1" fillId="0" borderId="0" xfId="0" applyNumberFormat="1" applyFont="1"/>
    <xf numFmtId="9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6" fillId="2" borderId="0" xfId="0" applyFont="1" applyFill="1" applyBorder="1" applyAlignment="1">
      <alignment horizontal="center"/>
    </xf>
    <xf numFmtId="166" fontId="1" fillId="4" borderId="5" xfId="0" applyNumberFormat="1" applyFont="1" applyFill="1" applyBorder="1"/>
    <xf numFmtId="3" fontId="5" fillId="0" borderId="0" xfId="0" applyNumberFormat="1" applyFont="1"/>
    <xf numFmtId="166" fontId="5" fillId="0" borderId="0" xfId="0" applyNumberFormat="1" applyFont="1"/>
    <xf numFmtId="165" fontId="5" fillId="0" borderId="0" xfId="0" applyNumberFormat="1" applyFont="1" applyAlignment="1">
      <alignment horizontal="right"/>
    </xf>
    <xf numFmtId="2" fontId="5" fillId="0" borderId="0" xfId="0" applyNumberFormat="1" applyFont="1"/>
    <xf numFmtId="0" fontId="1" fillId="4" borderId="5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46" fontId="1" fillId="0" borderId="0" xfId="0" applyNumberFormat="1" applyFont="1"/>
    <xf numFmtId="0" fontId="8" fillId="0" borderId="0" xfId="0" applyFont="1" applyFill="1" applyBorder="1"/>
    <xf numFmtId="3" fontId="1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 applyFill="1" applyBorder="1" applyAlignment="1"/>
    <xf numFmtId="0" fontId="9" fillId="0" borderId="0" xfId="0" applyFont="1" applyAlignment="1"/>
    <xf numFmtId="3" fontId="9" fillId="4" borderId="5" xfId="0" applyNumberFormat="1" applyFont="1" applyFill="1" applyBorder="1" applyAlignment="1"/>
    <xf numFmtId="0" fontId="5" fillId="3" borderId="0" xfId="0" applyFont="1" applyFill="1" applyBorder="1" applyAlignment="1">
      <alignment horizontal="left"/>
    </xf>
    <xf numFmtId="0" fontId="4" fillId="0" borderId="0" xfId="0" applyFont="1" applyBorder="1"/>
    <xf numFmtId="0" fontId="1" fillId="4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5" fillId="0" borderId="0" xfId="0" applyFont="1" applyAlignment="1">
      <alignment horizontal="left"/>
    </xf>
    <xf numFmtId="0" fontId="4" fillId="0" borderId="4" xfId="0" applyFont="1" applyBorder="1"/>
    <xf numFmtId="14" fontId="1" fillId="4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5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 vertical="center"/>
    </xf>
    <xf numFmtId="17" fontId="1" fillId="4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/>
    <xf numFmtId="3" fontId="9" fillId="0" borderId="0" xfId="0" applyNumberFormat="1" applyFont="1"/>
    <xf numFmtId="0" fontId="11" fillId="0" borderId="0" xfId="0" applyFont="1" applyAlignment="1"/>
    <xf numFmtId="10" fontId="1" fillId="6" borderId="0" xfId="0" applyNumberFormat="1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</c:spPr>
          <c:invertIfNegative val="1"/>
          <c:cat>
            <c:strRef>
              <c:f>Plan_Financiero!$D$23:$G$23</c:f>
              <c:strCache>
                <c:ptCount val="4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</c:strCache>
            </c:strRef>
          </c:cat>
          <c:val>
            <c:numRef>
              <c:f>Plan_Financiero!$D$30:$G$30</c:f>
              <c:numCache>
                <c:formatCode>#,##0.00</c:formatCode>
                <c:ptCount val="4"/>
                <c:pt idx="3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5C-44A3-9740-DCD32A5C55B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993366"/>
            </a:solidFill>
          </c:spPr>
          <c:invertIfNegative val="1"/>
          <c:cat>
            <c:strRef>
              <c:f>Plan_Financiero!$D$23:$G$23</c:f>
              <c:strCache>
                <c:ptCount val="4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</c:strCache>
            </c:strRef>
          </c:cat>
          <c:val>
            <c:numRef>
              <c:f>Plan_Financiero!$D$29:$G$29</c:f>
              <c:numCache>
                <c:formatCode>#,##0.00</c:formatCode>
                <c:ptCount val="4"/>
                <c:pt idx="2">
                  <c:v>24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5C-44A3-9740-DCD32A5C55B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FFFFCC"/>
            </a:solidFill>
          </c:spPr>
          <c:invertIfNegative val="1"/>
          <c:cat>
            <c:strRef>
              <c:f>Plan_Financiero!$D$23:$G$23</c:f>
              <c:strCache>
                <c:ptCount val="4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</c:strCache>
            </c:strRef>
          </c:cat>
          <c:val>
            <c:numRef>
              <c:f>Plan_Financiero!$D$28:$G$28</c:f>
              <c:numCache>
                <c:formatCode>#,##0.00</c:formatCode>
                <c:ptCount val="4"/>
                <c:pt idx="2">
                  <c:v>44</c:v>
                </c:pt>
                <c:pt idx="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E5C-44A3-9740-DCD32A5C55B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spPr>
            <a:solidFill>
              <a:srgbClr val="CCFFFF"/>
            </a:solidFill>
          </c:spPr>
          <c:invertIfNegative val="1"/>
          <c:cat>
            <c:strRef>
              <c:f>Plan_Financiero!$D$23:$G$23</c:f>
              <c:strCache>
                <c:ptCount val="4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</c:strCache>
            </c:strRef>
          </c:cat>
          <c:val>
            <c:numRef>
              <c:f>Plan_Financiero!$D$27:$G$27</c:f>
              <c:numCache>
                <c:formatCode>#,##0.00</c:formatCode>
                <c:ptCount val="4"/>
                <c:pt idx="2">
                  <c:v>62</c:v>
                </c:pt>
                <c:pt idx="3">
                  <c:v>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E5C-44A3-9740-DCD32A5C55B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spPr>
            <a:solidFill>
              <a:srgbClr val="FF8080"/>
            </a:solidFill>
          </c:spPr>
          <c:invertIfNegative val="1"/>
          <c:cat>
            <c:strRef>
              <c:f>Plan_Financiero!$D$23:$G$23</c:f>
              <c:strCache>
                <c:ptCount val="4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</c:strCache>
            </c:strRef>
          </c:cat>
          <c:val>
            <c:numRef>
              <c:f>Plan_Financiero!$D$26:$G$26</c:f>
              <c:numCache>
                <c:formatCode>#,##0.00</c:formatCode>
                <c:ptCount val="4"/>
                <c:pt idx="0">
                  <c:v>64</c:v>
                </c:pt>
                <c:pt idx="1">
                  <c:v>104</c:v>
                </c:pt>
                <c:pt idx="2">
                  <c:v>48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E5C-44A3-9740-DCD32A5C55B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spPr>
            <a:solidFill>
              <a:srgbClr val="660066"/>
            </a:solidFill>
          </c:spPr>
          <c:invertIfNegative val="1"/>
          <c:cat>
            <c:strRef>
              <c:f>Plan_Financiero!$D$23:$G$23</c:f>
              <c:strCache>
                <c:ptCount val="4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</c:strCache>
            </c:strRef>
          </c:cat>
          <c:val>
            <c:numRef>
              <c:f>Plan_Financiero!$D$25:$G$25</c:f>
              <c:numCache>
                <c:formatCode>#,##0.00</c:formatCode>
                <c:ptCount val="4"/>
                <c:pt idx="0">
                  <c:v>32.5</c:v>
                </c:pt>
                <c:pt idx="1">
                  <c:v>40</c:v>
                </c:pt>
                <c:pt idx="2">
                  <c:v>40</c:v>
                </c:pt>
                <c:pt idx="3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E5C-44A3-9740-DCD32A5C55B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20416"/>
        <c:axId val="87530816"/>
      </c:barChart>
      <c:catAx>
        <c:axId val="10502041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7530816"/>
        <c:crosses val="autoZero"/>
        <c:auto val="1"/>
        <c:lblAlgn val="ctr"/>
        <c:lblOffset val="100"/>
        <c:noMultiLvlLbl val="1"/>
      </c:catAx>
      <c:valAx>
        <c:axId val="875308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0502041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50800" cmpd="sng">
              <a:solidFill>
                <a:srgbClr val="000080"/>
              </a:solidFill>
            </a:ln>
          </c:spPr>
          <c:marker>
            <c:symbol val="none"/>
          </c:marker>
          <c:cat>
            <c:strRef>
              <c:f>Plan_Financiero!$D$23:$G$23</c:f>
              <c:strCache>
                <c:ptCount val="4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</c:strCache>
            </c:strRef>
          </c:cat>
          <c:val>
            <c:numRef>
              <c:f>Plan_Financiero!$D$45:$G$45</c:f>
              <c:numCache>
                <c:formatCode>#,##0</c:formatCode>
                <c:ptCount val="4"/>
                <c:pt idx="0">
                  <c:v>10067.209999999999</c:v>
                </c:pt>
                <c:pt idx="1">
                  <c:v>23287.42</c:v>
                </c:pt>
                <c:pt idx="2">
                  <c:v>39587.629999999997</c:v>
                </c:pt>
                <c:pt idx="3">
                  <c:v>53307.839999999997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A9-48CC-BDFC-35D572CF5C1F}"/>
            </c:ext>
          </c:extLst>
        </c:ser>
        <c:ser>
          <c:idx val="1"/>
          <c:order val="1"/>
          <c:spPr>
            <a:ln w="50800"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Plan_Financiero!$D$23:$G$23</c:f>
              <c:strCache>
                <c:ptCount val="4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</c:strCache>
            </c:strRef>
          </c:cat>
          <c:val>
            <c:numRef>
              <c:f>Plan_Financiero!$D$49:$G$49</c:f>
              <c:numCache>
                <c:formatCode>#,##0</c:formatCode>
                <c:ptCount val="4"/>
                <c:pt idx="0">
                  <c:v>18703.5</c:v>
                </c:pt>
                <c:pt idx="1">
                  <c:v>37407</c:v>
                </c:pt>
                <c:pt idx="2">
                  <c:v>56110.5</c:v>
                </c:pt>
                <c:pt idx="3">
                  <c:v>74814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A9-48CC-BDFC-35D572CF5C1F}"/>
            </c:ext>
          </c:extLst>
        </c:ser>
        <c:ser>
          <c:idx val="2"/>
          <c:order val="2"/>
          <c:spPr>
            <a:ln w="50800"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Plan_Financiero!$D$23:$G$23</c:f>
              <c:strCache>
                <c:ptCount val="4"/>
                <c:pt idx="0">
                  <c:v>Agosto</c:v>
                </c:pt>
                <c:pt idx="1">
                  <c:v>Septiembre</c:v>
                </c:pt>
                <c:pt idx="2">
                  <c:v>Octubre</c:v>
                </c:pt>
                <c:pt idx="3">
                  <c:v>Noviembre</c:v>
                </c:pt>
              </c:strCache>
            </c:strRef>
          </c:cat>
          <c:val>
            <c:numRef>
              <c:f>Plan_Financiero!$D$56:$G$56</c:f>
              <c:numCache>
                <c:formatCode>#,##0</c:formatCode>
                <c:ptCount val="4"/>
                <c:pt idx="0">
                  <c:v>8636.2900000000009</c:v>
                </c:pt>
                <c:pt idx="1">
                  <c:v>14119.580000000002</c:v>
                </c:pt>
                <c:pt idx="2">
                  <c:v>16522.870000000003</c:v>
                </c:pt>
                <c:pt idx="3">
                  <c:v>21506.160000000003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A9-48CC-BDFC-35D572CF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3152"/>
        <c:axId val="104736448"/>
      </c:lineChart>
      <c:catAx>
        <c:axId val="123953152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04736448"/>
        <c:crosses val="autoZero"/>
        <c:auto val="1"/>
        <c:lblAlgn val="ctr"/>
        <c:lblOffset val="100"/>
        <c:noMultiLvlLbl val="1"/>
      </c:catAx>
      <c:valAx>
        <c:axId val="10473644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239531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9999FF"/>
            </a:solidFill>
          </c:spPr>
          <c:invertIfNegative val="1"/>
          <c:cat>
            <c:strRef>
              <c:f>Situación!$C$23:$C$28</c:f>
              <c:strCache>
                <c:ptCount val="6"/>
                <c:pt idx="0">
                  <c:v>CAT_1 (DI)</c:v>
                </c:pt>
                <c:pt idx="1">
                  <c:v>CAT_2 (CO)</c:v>
                </c:pt>
                <c:pt idx="2">
                  <c:v>CAT_3 (IS)</c:v>
                </c:pt>
                <c:pt idx="3">
                  <c:v>CAT_4 (IJ)</c:v>
                </c:pt>
                <c:pt idx="4">
                  <c:v>CAT_5 (TE)</c:v>
                </c:pt>
                <c:pt idx="5">
                  <c:v>CAT_6 (PA)</c:v>
                </c:pt>
              </c:strCache>
            </c:strRef>
          </c:cat>
          <c:val>
            <c:numRef>
              <c:f>Situación!$H$23:$H$28</c:f>
              <c:numCache>
                <c:formatCode>#,##0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CE-4C72-B275-9C5CA14CB15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993366"/>
            </a:solidFill>
          </c:spPr>
          <c:invertIfNegative val="1"/>
          <c:cat>
            <c:strRef>
              <c:f>Situación!$C$23:$C$28</c:f>
              <c:strCache>
                <c:ptCount val="6"/>
                <c:pt idx="0">
                  <c:v>CAT_1 (DI)</c:v>
                </c:pt>
                <c:pt idx="1">
                  <c:v>CAT_2 (CO)</c:v>
                </c:pt>
                <c:pt idx="2">
                  <c:v>CAT_3 (IS)</c:v>
                </c:pt>
                <c:pt idx="3">
                  <c:v>CAT_4 (IJ)</c:v>
                </c:pt>
                <c:pt idx="4">
                  <c:v>CAT_5 (TE)</c:v>
                </c:pt>
                <c:pt idx="5">
                  <c:v>CAT_6 (PA)</c:v>
                </c:pt>
              </c:strCache>
            </c:strRef>
          </c:cat>
          <c:val>
            <c:numRef>
              <c:f>Situación!$L$23:$L$28</c:f>
              <c:numCache>
                <c:formatCode>#,##0</c:formatCode>
                <c:ptCount val="6"/>
                <c:pt idx="0">
                  <c:v>156.5</c:v>
                </c:pt>
                <c:pt idx="1">
                  <c:v>228</c:v>
                </c:pt>
                <c:pt idx="2">
                  <c:v>114</c:v>
                </c:pt>
                <c:pt idx="3">
                  <c:v>64</c:v>
                </c:pt>
                <c:pt idx="4">
                  <c:v>28</c:v>
                </c:pt>
                <c:pt idx="5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CE-4C72-B275-9C5CA14CB15E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55200"/>
        <c:axId val="104739328"/>
      </c:barChart>
      <c:catAx>
        <c:axId val="123955200"/>
        <c:scaling>
          <c:orientation val="maxMin"/>
        </c:scaling>
        <c:delete val="0"/>
        <c:axPos val="l"/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04739328"/>
        <c:crosses val="autoZero"/>
        <c:auto val="1"/>
        <c:lblAlgn val="ctr"/>
        <c:lblOffset val="100"/>
        <c:noMultiLvlLbl val="1"/>
      </c:catAx>
      <c:valAx>
        <c:axId val="104739328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23955200"/>
        <c:crosses val="max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9999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9999FF"/>
            </a:solidFill>
          </c:spPr>
          <c:invertIfNegative val="1"/>
          <c:val>
            <c:numRef>
              <c:f>Evolución!$H$23:$J$23</c:f>
              <c:numCache>
                <c:formatCode>#,##0.0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49-4561-A64A-CD37673D83E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660066"/>
            </a:solidFill>
          </c:spPr>
          <c:invertIfNegative val="1"/>
          <c:val>
            <c:numRef>
              <c:f>Evolución!$H$24:$J$24</c:f>
              <c:numCache>
                <c:formatCode>#,##0.0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49-4561-A64A-CD37673D83E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993366"/>
            </a:solidFill>
          </c:spPr>
          <c:invertIfNegative val="1"/>
          <c:val>
            <c:numRef>
              <c:f>Evolución!$H$25:$J$25</c:f>
              <c:numCache>
                <c:formatCode>#,##0.0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49-4561-A64A-CD37673D83E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spPr>
            <a:solidFill>
              <a:srgbClr val="FFFFCC"/>
            </a:solidFill>
          </c:spPr>
          <c:invertIfNegative val="1"/>
          <c:val>
            <c:numRef>
              <c:f>Evolución!$H$26:$J$26</c:f>
              <c:numCache>
                <c:formatCode>#,##0.0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49-4561-A64A-CD37673D83E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spPr>
            <a:solidFill>
              <a:srgbClr val="CCFFFF"/>
            </a:solidFill>
          </c:spPr>
          <c:invertIfNegative val="1"/>
          <c:val>
            <c:numRef>
              <c:f>Evolución!$H$27:$J$27</c:f>
              <c:numCache>
                <c:formatCode>#,##0.0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249-4561-A64A-CD37673D83E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spPr>
            <a:solidFill>
              <a:srgbClr val="FF8080"/>
            </a:solidFill>
          </c:spPr>
          <c:invertIfNegative val="1"/>
          <c:val>
            <c:numRef>
              <c:f>Evolución!$H$28:$J$28</c:f>
              <c:numCache>
                <c:formatCode>#,##0.0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249-4561-A64A-CD37673D83E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03840"/>
        <c:axId val="104741632"/>
      </c:barChart>
      <c:catAx>
        <c:axId val="12400384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04741632"/>
        <c:crosses val="autoZero"/>
        <c:auto val="1"/>
        <c:lblAlgn val="ctr"/>
        <c:lblOffset val="100"/>
        <c:noMultiLvlLbl val="1"/>
      </c:catAx>
      <c:valAx>
        <c:axId val="1047416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12400384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spPr>
            <a:solidFill>
              <a:srgbClr val="9999FF">
                <a:alpha val="80000"/>
              </a:srgbClr>
            </a:solidFill>
            <a:ln w="25400" cmpd="sng">
              <a:solidFill>
                <a:srgbClr val="9999FF"/>
              </a:solidFill>
            </a:ln>
          </c:spPr>
          <c:val>
            <c:numRef>
              <c:f>Evolución!$G$30:$J$30</c:f>
              <c:numCache>
                <c:formatCode>#,##0.0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5A-47AB-ACCA-D51694492878}"/>
            </c:ext>
          </c:extLst>
        </c:ser>
        <c:ser>
          <c:idx val="1"/>
          <c:order val="1"/>
          <c:spPr>
            <a:solidFill>
              <a:srgbClr val="993366">
                <a:alpha val="80000"/>
              </a:srgbClr>
            </a:solidFill>
            <a:ln w="25400" cmpd="sng">
              <a:solidFill>
                <a:srgbClr val="993366"/>
              </a:solidFill>
            </a:ln>
          </c:spPr>
          <c:val>
            <c:numRef>
              <c:f>Evolución!$G$37:$J$37</c:f>
              <c:numCache>
                <c:formatCode>#,##0.0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5A-47AB-ACCA-D51694492878}"/>
            </c:ext>
          </c:extLst>
        </c:ser>
        <c:ser>
          <c:idx val="2"/>
          <c:order val="2"/>
          <c:spPr>
            <a:solidFill>
              <a:srgbClr val="FFFFCC">
                <a:alpha val="80000"/>
              </a:srgbClr>
            </a:solidFill>
            <a:ln w="25400" cmpd="sng">
              <a:solidFill>
                <a:srgbClr val="FFFFCC"/>
              </a:solidFill>
            </a:ln>
          </c:spPr>
          <c:val>
            <c:numRef>
              <c:f>Evolución!$G$50:$J$50</c:f>
              <c:numCache>
                <c:formatCode>#,##0.0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5A-47AB-ACCA-D51694492878}"/>
            </c:ext>
          </c:extLst>
        </c:ser>
        <c:ser>
          <c:idx val="3"/>
          <c:order val="3"/>
          <c:spPr>
            <a:solidFill>
              <a:srgbClr val="CCFFFF">
                <a:alpha val="80000"/>
              </a:srgbClr>
            </a:solidFill>
            <a:ln w="25400" cmpd="sng">
              <a:solidFill>
                <a:srgbClr val="CCFFFF"/>
              </a:solidFill>
            </a:ln>
          </c:spPr>
          <c:val>
            <c:numRef>
              <c:f>Evolución!$G$48:$J$48</c:f>
              <c:numCache>
                <c:formatCode>#,##0.0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5A-47AB-ACCA-D5169449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10432"/>
        <c:axId val="105235584"/>
      </c:areaChart>
      <c:catAx>
        <c:axId val="9461043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105235584"/>
        <c:crosses val="autoZero"/>
        <c:auto val="1"/>
        <c:lblAlgn val="ctr"/>
        <c:lblOffset val="100"/>
        <c:noMultiLvlLbl val="1"/>
      </c:catAx>
      <c:valAx>
        <c:axId val="1052355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94610432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514350</xdr:colOff>
      <xdr:row>2</xdr:row>
      <xdr:rowOff>66675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33475" cy="3714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19050</xdr:rowOff>
    </xdr:from>
    <xdr:to>
      <xdr:col>1</xdr:col>
      <xdr:colOff>638175</xdr:colOff>
      <xdr:row>1</xdr:row>
      <xdr:rowOff>142875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33475" cy="3810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24</xdr:row>
      <xdr:rowOff>0</xdr:rowOff>
    </xdr:from>
    <xdr:to>
      <xdr:col>9</xdr:col>
      <xdr:colOff>171450</xdr:colOff>
      <xdr:row>43</xdr:row>
      <xdr:rowOff>123825</xdr:rowOff>
    </xdr:to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38100</xdr:colOff>
      <xdr:row>24</xdr:row>
      <xdr:rowOff>0</xdr:rowOff>
    </xdr:from>
    <xdr:to>
      <xdr:col>18</xdr:col>
      <xdr:colOff>0</xdr:colOff>
      <xdr:row>43</xdr:row>
      <xdr:rowOff>114300</xdr:rowOff>
    </xdr:to>
    <xdr:graphicFrame macro="">
      <xdr:nvGraphicFramePr>
        <xdr:cNvPr id="3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38100</xdr:colOff>
      <xdr:row>0</xdr:row>
      <xdr:rowOff>114300</xdr:rowOff>
    </xdr:from>
    <xdr:to>
      <xdr:col>1</xdr:col>
      <xdr:colOff>400050</xdr:colOff>
      <xdr:row>3</xdr:row>
      <xdr:rowOff>0</xdr:rowOff>
    </xdr:to>
    <xdr:pic>
      <xdr:nvPicPr>
        <xdr:cNvPr id="4" name="image1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123950" cy="37147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64</xdr:row>
      <xdr:rowOff>133350</xdr:rowOff>
    </xdr:from>
    <xdr:to>
      <xdr:col>13</xdr:col>
      <xdr:colOff>209550</xdr:colOff>
      <xdr:row>86</xdr:row>
      <xdr:rowOff>19050</xdr:rowOff>
    </xdr:to>
    <xdr:graphicFrame macro="">
      <xdr:nvGraphicFramePr>
        <xdr:cNvPr id="3" name="Chart 3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57150</xdr:colOff>
      <xdr:row>0</xdr:row>
      <xdr:rowOff>38100</xdr:rowOff>
    </xdr:from>
    <xdr:to>
      <xdr:col>2</xdr:col>
      <xdr:colOff>19050</xdr:colOff>
      <xdr:row>2</xdr:row>
      <xdr:rowOff>85725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62050" cy="37147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3</xdr:row>
      <xdr:rowOff>19050</xdr:rowOff>
    </xdr:from>
    <xdr:to>
      <xdr:col>34</xdr:col>
      <xdr:colOff>85725</xdr:colOff>
      <xdr:row>34</xdr:row>
      <xdr:rowOff>114300</xdr:rowOff>
    </xdr:to>
    <xdr:graphicFrame macro="">
      <xdr:nvGraphicFramePr>
        <xdr:cNvPr id="4" name="Chart 4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22</xdr:col>
      <xdr:colOff>514350</xdr:colOff>
      <xdr:row>38</xdr:row>
      <xdr:rowOff>38100</xdr:rowOff>
    </xdr:from>
    <xdr:to>
      <xdr:col>33</xdr:col>
      <xdr:colOff>723900</xdr:colOff>
      <xdr:row>70</xdr:row>
      <xdr:rowOff>0</xdr:rowOff>
    </xdr:to>
    <xdr:graphicFrame macro="">
      <xdr:nvGraphicFramePr>
        <xdr:cNvPr id="5" name="Chart 5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2</xdr:col>
      <xdr:colOff>114300</xdr:colOff>
      <xdr:row>1</xdr:row>
      <xdr:rowOff>152400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133475" cy="371475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38100</xdr:colOff>
      <xdr:row>2</xdr:row>
      <xdr:rowOff>38100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43000" cy="3619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opLeftCell="A13" workbookViewId="0">
      <selection activeCell="Q18" sqref="Q18"/>
    </sheetView>
  </sheetViews>
  <sheetFormatPr baseColWidth="10" defaultColWidth="14.42578125" defaultRowHeight="15" customHeight="1" x14ac:dyDescent="0.2"/>
  <cols>
    <col min="1" max="1" width="9.28515625" customWidth="1"/>
    <col min="2" max="2" width="8.28515625" customWidth="1"/>
    <col min="3" max="3" width="11.42578125" customWidth="1"/>
    <col min="4" max="4" width="20" customWidth="1"/>
    <col min="5" max="5" width="9.5703125" customWidth="1"/>
    <col min="6" max="6" width="5" customWidth="1"/>
    <col min="7" max="7" width="10.7109375" customWidth="1"/>
    <col min="8" max="8" width="5" customWidth="1"/>
    <col min="9" max="9" width="10.42578125" customWidth="1"/>
    <col min="10" max="10" width="5" customWidth="1"/>
    <col min="11" max="11" width="10.7109375" customWidth="1"/>
    <col min="12" max="12" width="7.7109375" customWidth="1"/>
    <col min="13" max="13" width="10.42578125" customWidth="1"/>
    <col min="14" max="24" width="11.42578125" customWidth="1"/>
    <col min="25" max="26" width="10" customWidth="1"/>
  </cols>
  <sheetData>
    <row r="1" spans="1:26" ht="12.75" customHeight="1" x14ac:dyDescent="0.2">
      <c r="A1" s="1"/>
      <c r="B1" s="2"/>
      <c r="C1" s="102" t="s">
        <v>1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/>
      <c r="B4" s="2"/>
      <c r="C4" s="103"/>
      <c r="D4" s="93"/>
      <c r="E4" s="93"/>
      <c r="F4" s="93"/>
      <c r="G4" s="93"/>
      <c r="H4" s="93"/>
      <c r="I4" s="93"/>
      <c r="J4" s="93"/>
      <c r="K4" s="93"/>
      <c r="L4" s="93"/>
      <c r="M4" s="9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/>
      <c r="B5" s="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99" t="s">
        <v>3</v>
      </c>
      <c r="B7" s="98"/>
      <c r="C7" s="94" t="s">
        <v>163</v>
      </c>
      <c r="D7" s="95"/>
      <c r="E7" s="95"/>
      <c r="F7" s="96"/>
      <c r="G7" s="2"/>
      <c r="H7" s="99" t="s">
        <v>4</v>
      </c>
      <c r="I7" s="98"/>
      <c r="J7" s="100"/>
      <c r="K7" s="94">
        <v>1</v>
      </c>
      <c r="L7" s="95"/>
      <c r="M7" s="9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99" t="s">
        <v>5</v>
      </c>
      <c r="B8" s="98"/>
      <c r="C8" s="94" t="s">
        <v>8</v>
      </c>
      <c r="D8" s="95"/>
      <c r="E8" s="95"/>
      <c r="F8" s="96"/>
      <c r="G8" s="2"/>
      <c r="H8" s="99" t="s">
        <v>6</v>
      </c>
      <c r="I8" s="98"/>
      <c r="J8" s="10"/>
      <c r="K8" s="94" t="s">
        <v>164</v>
      </c>
      <c r="L8" s="95"/>
      <c r="M8" s="9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8"/>
      <c r="I9" s="8"/>
      <c r="J9" s="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99" t="s">
        <v>7</v>
      </c>
      <c r="B10" s="98"/>
      <c r="C10" s="101">
        <v>42962</v>
      </c>
      <c r="D10" s="95"/>
      <c r="E10" s="95"/>
      <c r="F10" s="96"/>
      <c r="G10" s="2"/>
      <c r="H10" s="99" t="s">
        <v>9</v>
      </c>
      <c r="I10" s="98"/>
      <c r="J10" s="10"/>
      <c r="K10" s="101">
        <v>43063</v>
      </c>
      <c r="L10" s="95"/>
      <c r="M10" s="9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2"/>
      <c r="C11" s="2"/>
      <c r="D11" s="2"/>
      <c r="E11" s="2"/>
      <c r="F11" s="2"/>
      <c r="G11" s="2"/>
      <c r="H11" s="8"/>
      <c r="I11" s="8"/>
      <c r="J11" s="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"/>
      <c r="B12" s="2"/>
      <c r="C12" s="2"/>
      <c r="D12" s="2"/>
      <c r="E12" s="2"/>
      <c r="F12" s="2"/>
      <c r="G12" s="2"/>
      <c r="H12" s="99" t="s">
        <v>12</v>
      </c>
      <c r="I12" s="98"/>
      <c r="J12" s="98"/>
      <c r="K12" s="98"/>
      <c r="L12" s="11">
        <f>M81</f>
        <v>74814.461900000009</v>
      </c>
      <c r="M12" s="7" t="s">
        <v>13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2"/>
      <c r="D13" s="2"/>
      <c r="E13" s="2"/>
      <c r="F13" s="2"/>
      <c r="G13" s="2"/>
      <c r="H13" s="99" t="s">
        <v>14</v>
      </c>
      <c r="I13" s="98"/>
      <c r="J13" s="2"/>
      <c r="K13" s="2"/>
      <c r="L13" s="11">
        <f>E29</f>
        <v>682.5</v>
      </c>
      <c r="M13" s="7" t="s">
        <v>15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99" t="s">
        <v>16</v>
      </c>
      <c r="I14" s="98"/>
      <c r="J14" s="2"/>
      <c r="K14" s="2"/>
      <c r="L14" s="11">
        <f>G73*100</f>
        <v>33.012877940236464</v>
      </c>
      <c r="M14" s="7" t="s">
        <v>17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92" t="s">
        <v>19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12" t="s">
        <v>28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 t="s">
        <v>173</v>
      </c>
      <c r="F19" s="2"/>
      <c r="G19" s="2" t="s">
        <v>172</v>
      </c>
      <c r="H19" s="2"/>
      <c r="I19" s="2" t="s">
        <v>174</v>
      </c>
      <c r="J19" s="2"/>
      <c r="K19" s="2" t="s">
        <v>175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15" t="s">
        <v>30</v>
      </c>
      <c r="D20" s="2"/>
      <c r="E20" s="18" t="s">
        <v>31</v>
      </c>
      <c r="F20" s="19"/>
      <c r="G20" s="18" t="s">
        <v>33</v>
      </c>
      <c r="H20" s="19"/>
      <c r="I20" s="18" t="s">
        <v>34</v>
      </c>
      <c r="J20" s="19"/>
      <c r="K20" s="18" t="s">
        <v>35</v>
      </c>
      <c r="L20" s="2"/>
      <c r="M20" s="18" t="s">
        <v>36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0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 t="s">
        <v>165</v>
      </c>
      <c r="D22" s="2"/>
      <c r="E22" s="82">
        <v>156.5</v>
      </c>
      <c r="F22" s="2"/>
      <c r="G22" s="22">
        <v>70</v>
      </c>
      <c r="H22" s="2"/>
      <c r="I22" s="23">
        <v>1</v>
      </c>
      <c r="J22" s="2"/>
      <c r="K22" s="25">
        <v>0.06</v>
      </c>
      <c r="L22" s="2"/>
      <c r="M22" s="28">
        <f t="shared" ref="M22:M28" si="0">E22*G22*I22*(1+K22)</f>
        <v>11612.300000000001</v>
      </c>
      <c r="N22" s="2"/>
      <c r="O22" s="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 t="s">
        <v>166</v>
      </c>
      <c r="D23" s="2"/>
      <c r="E23" s="30">
        <v>228</v>
      </c>
      <c r="F23" s="2"/>
      <c r="G23" s="22">
        <v>60</v>
      </c>
      <c r="H23" s="2"/>
      <c r="I23" s="23">
        <v>1</v>
      </c>
      <c r="J23" s="2"/>
      <c r="K23" s="25">
        <v>0.05</v>
      </c>
      <c r="L23" s="2"/>
      <c r="M23" s="28">
        <f t="shared" si="0"/>
        <v>14364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 t="s">
        <v>167</v>
      </c>
      <c r="D24" s="2"/>
      <c r="E24" s="30">
        <v>114</v>
      </c>
      <c r="F24" s="2"/>
      <c r="G24" s="22">
        <v>50</v>
      </c>
      <c r="H24" s="2"/>
      <c r="I24" s="23">
        <v>1</v>
      </c>
      <c r="J24" s="2"/>
      <c r="K24" s="25">
        <v>7.0000000000000007E-2</v>
      </c>
      <c r="L24" s="2"/>
      <c r="M24" s="28">
        <f t="shared" si="0"/>
        <v>6099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 t="s">
        <v>168</v>
      </c>
      <c r="D25" s="2"/>
      <c r="E25" s="30">
        <v>64</v>
      </c>
      <c r="F25" s="2"/>
      <c r="G25" s="22">
        <v>65</v>
      </c>
      <c r="H25" s="2"/>
      <c r="I25" s="23">
        <v>1</v>
      </c>
      <c r="J25" s="2"/>
      <c r="K25" s="25">
        <v>0.04</v>
      </c>
      <c r="L25" s="2"/>
      <c r="M25" s="28">
        <f t="shared" si="0"/>
        <v>4326.4000000000005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 t="s">
        <v>169</v>
      </c>
      <c r="D26" s="2"/>
      <c r="E26" s="21">
        <v>28</v>
      </c>
      <c r="F26" s="2"/>
      <c r="G26" s="22">
        <v>55</v>
      </c>
      <c r="H26" s="2"/>
      <c r="I26" s="23">
        <v>1</v>
      </c>
      <c r="J26" s="2"/>
      <c r="K26" s="25">
        <v>0.03</v>
      </c>
      <c r="L26" s="2"/>
      <c r="M26" s="28">
        <f t="shared" si="0"/>
        <v>1586.2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 t="s">
        <v>170</v>
      </c>
      <c r="D27" s="2"/>
      <c r="E27" s="21">
        <v>40</v>
      </c>
      <c r="F27" s="2"/>
      <c r="G27" s="22">
        <v>40</v>
      </c>
      <c r="H27" s="2"/>
      <c r="I27" s="23">
        <v>1</v>
      </c>
      <c r="J27" s="2"/>
      <c r="K27" s="25">
        <v>0.04</v>
      </c>
      <c r="L27" s="2"/>
      <c r="M27" s="28">
        <f t="shared" si="0"/>
        <v>1664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 t="s">
        <v>171</v>
      </c>
      <c r="D28" s="2"/>
      <c r="E28" s="21">
        <v>52</v>
      </c>
      <c r="F28" s="2"/>
      <c r="G28" s="22">
        <v>35</v>
      </c>
      <c r="H28" s="2"/>
      <c r="I28" s="23">
        <v>1</v>
      </c>
      <c r="J28" s="2"/>
      <c r="K28" s="25">
        <v>0.01</v>
      </c>
      <c r="L28" s="2"/>
      <c r="M28" s="28">
        <f t="shared" si="0"/>
        <v>1838.2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12" t="s">
        <v>37</v>
      </c>
      <c r="D29" s="2"/>
      <c r="E29" s="19">
        <f>SUM(E22:E28)</f>
        <v>682.5</v>
      </c>
      <c r="F29" s="2"/>
      <c r="G29" s="31">
        <f>IF(E29=0,"N/A",(G22*E22+G23*E23+G24*E24+G25*E25+G26*E26+G27*E27+G28*E28)/E29)</f>
        <v>57.80952380952381</v>
      </c>
      <c r="H29" s="2"/>
      <c r="I29" s="31">
        <v>1</v>
      </c>
      <c r="J29" s="19"/>
      <c r="K29" s="32">
        <f>IF(E29=0,"N/A",(K22*E22+K23*E23+K24*E24+K25+K26*E26+K27*E27+K28*E28)/E29)</f>
        <v>4.6549450549450547E-2</v>
      </c>
      <c r="L29" s="2"/>
      <c r="M29" s="33">
        <f>SUM(M22:M28)</f>
        <v>41490.1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89"/>
      <c r="F30" s="2"/>
      <c r="G30" s="22"/>
      <c r="H30" s="2"/>
      <c r="I30" s="23"/>
      <c r="J30" s="2"/>
      <c r="K30" s="25"/>
      <c r="L30" s="2"/>
      <c r="M30" s="2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12" t="s">
        <v>38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 t="s">
        <v>39</v>
      </c>
      <c r="D34" s="2"/>
      <c r="E34" s="2"/>
      <c r="F34" s="2"/>
      <c r="G34" s="2"/>
      <c r="H34" s="2"/>
      <c r="I34" s="2"/>
      <c r="J34" s="2"/>
      <c r="K34" s="2"/>
      <c r="L34" s="2"/>
      <c r="M34" s="21">
        <v>2800</v>
      </c>
      <c r="N34" s="3" t="s">
        <v>176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 t="s">
        <v>40</v>
      </c>
      <c r="D35" s="2"/>
      <c r="E35" s="2"/>
      <c r="F35" s="2"/>
      <c r="G35" s="2"/>
      <c r="H35" s="2"/>
      <c r="I35" s="2"/>
      <c r="J35" s="2"/>
      <c r="K35" s="2"/>
      <c r="L35" s="2"/>
      <c r="M35" s="21">
        <v>6400</v>
      </c>
      <c r="N35" s="90" t="s">
        <v>188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12" t="s">
        <v>37</v>
      </c>
      <c r="D36" s="2"/>
      <c r="E36" s="2"/>
      <c r="F36" s="2"/>
      <c r="G36" s="2"/>
      <c r="H36" s="2"/>
      <c r="I36" s="2"/>
      <c r="J36" s="2"/>
      <c r="K36" s="35">
        <v>0.08</v>
      </c>
      <c r="L36" s="2"/>
      <c r="M36" s="36">
        <f>SUM(M34:M35)*(1+K36)</f>
        <v>9936</v>
      </c>
      <c r="N36" s="2" t="s">
        <v>177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4"/>
      <c r="N37" s="3"/>
      <c r="O37" s="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12" t="s">
        <v>41</v>
      </c>
      <c r="C41" s="2"/>
      <c r="D41" s="2"/>
      <c r="E41" s="2" t="s">
        <v>182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">
      <c r="E43" t="s">
        <v>178</v>
      </c>
      <c r="G43" s="8" t="s">
        <v>183</v>
      </c>
      <c r="H43" s="8"/>
      <c r="I43" s="8"/>
      <c r="J43" s="8"/>
      <c r="K43" s="8"/>
      <c r="L43" s="8"/>
    </row>
    <row r="44" spans="1:26" ht="12.75" customHeight="1" x14ac:dyDescent="0.2">
      <c r="A44" s="2"/>
      <c r="B44" s="2"/>
      <c r="C44" s="2" t="s">
        <v>42</v>
      </c>
      <c r="D44" s="2"/>
      <c r="E44" s="3">
        <v>77</v>
      </c>
      <c r="F44" s="2"/>
      <c r="G44" s="28">
        <v>0.38</v>
      </c>
      <c r="H44" s="2"/>
      <c r="I44" s="23">
        <v>1</v>
      </c>
      <c r="J44" s="23"/>
      <c r="K44" s="35">
        <v>0.05</v>
      </c>
      <c r="L44" s="2"/>
      <c r="M44" s="29">
        <f>E44*G44*I44*(1+K44)</f>
        <v>30.723000000000003</v>
      </c>
      <c r="N44" s="2"/>
      <c r="O44" s="3" t="s">
        <v>189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 t="s">
        <v>43</v>
      </c>
      <c r="D45" s="2"/>
      <c r="E45" s="2">
        <v>6</v>
      </c>
      <c r="F45" s="2"/>
      <c r="G45" s="28">
        <v>50</v>
      </c>
      <c r="H45" s="2"/>
      <c r="I45" s="23">
        <v>1</v>
      </c>
      <c r="J45" s="23"/>
      <c r="K45" s="37">
        <v>0.03</v>
      </c>
      <c r="L45" s="2"/>
      <c r="M45" s="29">
        <f t="shared" ref="M45:M47" si="1">E45*G45*I45*(1+K45)</f>
        <v>309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 t="s">
        <v>44</v>
      </c>
      <c r="D46" s="2"/>
      <c r="E46" s="3">
        <v>19</v>
      </c>
      <c r="F46" s="2"/>
      <c r="G46" s="38">
        <v>10</v>
      </c>
      <c r="H46" s="2"/>
      <c r="I46" s="23">
        <v>1</v>
      </c>
      <c r="J46" s="23"/>
      <c r="K46" s="35">
        <v>0.05</v>
      </c>
      <c r="L46" s="2"/>
      <c r="M46" s="29">
        <f t="shared" si="1"/>
        <v>199.5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3" t="s">
        <v>45</v>
      </c>
      <c r="D47" s="2"/>
      <c r="E47" s="3">
        <v>78</v>
      </c>
      <c r="F47" s="2"/>
      <c r="G47" s="39">
        <v>4.37</v>
      </c>
      <c r="H47" s="2"/>
      <c r="I47" s="40">
        <v>1</v>
      </c>
      <c r="J47" s="23"/>
      <c r="K47" s="41">
        <v>0.1</v>
      </c>
      <c r="L47" s="2"/>
      <c r="M47" s="87">
        <f t="shared" si="1"/>
        <v>374.94600000000003</v>
      </c>
      <c r="N47" s="2"/>
      <c r="O47" s="3" t="s">
        <v>190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42"/>
      <c r="D48" s="2"/>
      <c r="E48" s="2"/>
      <c r="F48" s="2"/>
      <c r="G48" s="28"/>
      <c r="H48" s="2"/>
      <c r="I48" s="23"/>
      <c r="J48" s="23"/>
      <c r="K48" s="23"/>
      <c r="L48" s="2"/>
      <c r="M48" s="8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12" t="s">
        <v>37</v>
      </c>
      <c r="E49" s="2"/>
      <c r="F49" s="2"/>
      <c r="G49" s="28">
        <f>SUM(G44:G47)</f>
        <v>64.75</v>
      </c>
      <c r="H49" s="2"/>
      <c r="I49" s="23"/>
      <c r="J49" s="23"/>
      <c r="K49" s="23"/>
      <c r="L49" s="2"/>
      <c r="M49" s="36">
        <f>SUM(M44:M47)</f>
        <v>914.16899999999998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12" t="s">
        <v>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 t="s">
        <v>48</v>
      </c>
      <c r="D53" s="2"/>
      <c r="E53" s="2"/>
      <c r="F53" s="2"/>
      <c r="G53" s="2"/>
      <c r="H53" s="2"/>
      <c r="I53" s="2"/>
      <c r="J53" s="2"/>
      <c r="K53" s="2"/>
      <c r="L53" s="2"/>
      <c r="M53" s="34">
        <v>192</v>
      </c>
      <c r="N53" s="3" t="s">
        <v>179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3" t="s">
        <v>50</v>
      </c>
      <c r="D54" s="2"/>
      <c r="E54" s="2"/>
      <c r="F54" s="2"/>
      <c r="G54" s="2"/>
      <c r="H54" s="2"/>
      <c r="I54" s="2"/>
      <c r="J54" s="2"/>
      <c r="K54" s="2"/>
      <c r="L54" s="2"/>
      <c r="M54" s="34">
        <v>3600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9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12" t="s">
        <v>37</v>
      </c>
      <c r="D56" s="2"/>
      <c r="E56" s="2"/>
      <c r="F56" s="2"/>
      <c r="G56" s="2"/>
      <c r="H56" s="2"/>
      <c r="I56" s="2"/>
      <c r="J56" s="2"/>
      <c r="K56" s="35">
        <v>0.03</v>
      </c>
      <c r="L56" s="2"/>
      <c r="M56" s="36">
        <f>SUM(M53:M54)*(1+K56)</f>
        <v>3905.76</v>
      </c>
      <c r="N56" s="2" t="s">
        <v>180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12" t="s">
        <v>51</v>
      </c>
      <c r="C59" s="12"/>
      <c r="D59" s="12"/>
      <c r="E59" s="12"/>
      <c r="F59" s="12"/>
      <c r="G59" s="12"/>
      <c r="H59" s="12"/>
      <c r="I59" s="12"/>
      <c r="J59" s="12"/>
      <c r="K59" s="12"/>
      <c r="L59" s="2"/>
      <c r="M59" s="43">
        <f>M29+M36+M49+M56</f>
        <v>56246.029000000002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92" t="s">
        <v>53</v>
      </c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12" t="s">
        <v>54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44"/>
      <c r="B65" s="2"/>
      <c r="C65" s="2"/>
      <c r="D65" s="2"/>
      <c r="E65" s="2"/>
      <c r="F65" s="2"/>
      <c r="G65" s="2" t="s">
        <v>181</v>
      </c>
      <c r="H65" s="2"/>
      <c r="I65" s="2"/>
      <c r="J65" s="2" t="s">
        <v>184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104" t="s">
        <v>55</v>
      </c>
      <c r="D66" s="93"/>
      <c r="E66" s="2"/>
      <c r="F66" s="2"/>
      <c r="G66" s="18" t="s">
        <v>56</v>
      </c>
      <c r="H66" s="2"/>
      <c r="I66" s="18" t="s">
        <v>57</v>
      </c>
      <c r="J66" s="2"/>
      <c r="K66" s="2"/>
      <c r="L66" s="105" t="s">
        <v>58</v>
      </c>
      <c r="M66" s="9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45"/>
      <c r="D67" s="4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97" t="s">
        <v>59</v>
      </c>
      <c r="D68" s="98"/>
      <c r="E68" s="2"/>
      <c r="F68" s="2"/>
      <c r="G68" s="46">
        <v>0.4</v>
      </c>
      <c r="H68" s="2"/>
      <c r="I68" s="29">
        <f>M29</f>
        <v>41490.1</v>
      </c>
      <c r="J68" s="2"/>
      <c r="K68" s="2"/>
      <c r="L68" s="2"/>
      <c r="M68" s="29">
        <f t="shared" ref="M68:M71" si="2">I68*G68</f>
        <v>16596.04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97" t="s">
        <v>60</v>
      </c>
      <c r="D69" s="98"/>
      <c r="E69" s="2"/>
      <c r="F69" s="2"/>
      <c r="G69" s="47">
        <v>0.15</v>
      </c>
      <c r="H69" s="2"/>
      <c r="I69" s="29">
        <f>M36</f>
        <v>9936</v>
      </c>
      <c r="J69" s="2"/>
      <c r="K69" s="2"/>
      <c r="L69" s="2"/>
      <c r="M69" s="29">
        <f t="shared" si="2"/>
        <v>1490.3999999999999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97" t="s">
        <v>61</v>
      </c>
      <c r="D70" s="98"/>
      <c r="E70" s="2"/>
      <c r="F70" s="2"/>
      <c r="G70" s="47">
        <v>0.1</v>
      </c>
      <c r="H70" s="2"/>
      <c r="I70" s="29">
        <f>M49</f>
        <v>914.16899999999998</v>
      </c>
      <c r="J70" s="2"/>
      <c r="K70" s="2"/>
      <c r="L70" s="2"/>
      <c r="M70" s="29">
        <f t="shared" si="2"/>
        <v>91.416899999999998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97" t="s">
        <v>63</v>
      </c>
      <c r="D71" s="98"/>
      <c r="E71" s="2"/>
      <c r="F71" s="2"/>
      <c r="G71" s="47">
        <v>0.1</v>
      </c>
      <c r="H71" s="2"/>
      <c r="I71" s="29">
        <f>M56</f>
        <v>3905.76</v>
      </c>
      <c r="J71" s="2"/>
      <c r="K71" s="2"/>
      <c r="L71" s="2"/>
      <c r="M71" s="29">
        <f t="shared" si="2"/>
        <v>390.57600000000002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45"/>
      <c r="D72" s="45"/>
      <c r="E72" s="2"/>
      <c r="F72" s="2"/>
      <c r="G72" s="3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97" t="s">
        <v>64</v>
      </c>
      <c r="D73" s="98"/>
      <c r="E73" s="2"/>
      <c r="F73" s="2"/>
      <c r="G73" s="49">
        <f>IF(I73=0,"N/A",M73/I73)</f>
        <v>0.33012877940236462</v>
      </c>
      <c r="H73" s="2"/>
      <c r="I73" s="29">
        <f>M59</f>
        <v>56246.029000000002</v>
      </c>
      <c r="J73" s="2"/>
      <c r="K73" s="2"/>
      <c r="L73" s="2"/>
      <c r="M73" s="36">
        <f>SUM(M68:M71)</f>
        <v>18568.432900000003</v>
      </c>
      <c r="N73" s="3" t="s">
        <v>66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3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3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104" t="s">
        <v>67</v>
      </c>
      <c r="D76" s="93"/>
      <c r="E76" s="2"/>
      <c r="F76" s="2"/>
      <c r="G76" s="47">
        <v>0.2</v>
      </c>
      <c r="H76" s="2"/>
      <c r="I76" s="29">
        <f>I73</f>
        <v>56246.029000000002</v>
      </c>
      <c r="J76" s="2"/>
      <c r="K76" s="2"/>
      <c r="L76" s="2"/>
      <c r="M76" s="36">
        <f>G76*I76</f>
        <v>11249.205800000002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 t="s">
        <v>70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12" t="s">
        <v>71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12" t="s">
        <v>72</v>
      </c>
      <c r="D81" s="2"/>
      <c r="E81" s="2"/>
      <c r="F81" s="2"/>
      <c r="G81" s="2"/>
      <c r="H81" s="2"/>
      <c r="I81" s="2"/>
      <c r="J81" s="2"/>
      <c r="K81" s="2"/>
      <c r="L81" s="2"/>
      <c r="M81" s="43">
        <f>M59+M73</f>
        <v>74814.461900000009</v>
      </c>
      <c r="N81" s="2" t="s">
        <v>73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12" t="s">
        <v>74</v>
      </c>
      <c r="D83" s="2"/>
      <c r="E83" s="2"/>
      <c r="F83" s="2"/>
      <c r="G83" s="47">
        <v>0.21</v>
      </c>
      <c r="H83" s="2"/>
      <c r="I83" s="2"/>
      <c r="J83" s="2"/>
      <c r="K83" s="2"/>
      <c r="L83" s="2"/>
      <c r="M83" s="43">
        <f>M81*(1+G83)</f>
        <v>90525.498899000013</v>
      </c>
      <c r="N83" s="2" t="s">
        <v>77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27">
    <mergeCell ref="C73:D73"/>
    <mergeCell ref="C76:D76"/>
    <mergeCell ref="L66:M66"/>
    <mergeCell ref="A62:M62"/>
    <mergeCell ref="C66:D66"/>
    <mergeCell ref="C68:D68"/>
    <mergeCell ref="C69:D69"/>
    <mergeCell ref="C1:M2"/>
    <mergeCell ref="C4:M5"/>
    <mergeCell ref="K7:M7"/>
    <mergeCell ref="K8:M8"/>
    <mergeCell ref="K10:M10"/>
    <mergeCell ref="A16:M16"/>
    <mergeCell ref="C7:F7"/>
    <mergeCell ref="C8:F8"/>
    <mergeCell ref="C70:D70"/>
    <mergeCell ref="C71:D71"/>
    <mergeCell ref="A8:B8"/>
    <mergeCell ref="A7:B7"/>
    <mergeCell ref="H7:J7"/>
    <mergeCell ref="H8:I8"/>
    <mergeCell ref="H14:I14"/>
    <mergeCell ref="A10:B10"/>
    <mergeCell ref="C10:F10"/>
    <mergeCell ref="H10:I10"/>
    <mergeCell ref="H13:I13"/>
    <mergeCell ref="H12:K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2"/>
  <sheetViews>
    <sheetView tabSelected="1" topLeftCell="D11" zoomScale="89" workbookViewId="0">
      <selection activeCell="K18" sqref="K18"/>
    </sheetView>
  </sheetViews>
  <sheetFormatPr baseColWidth="10" defaultColWidth="14.42578125" defaultRowHeight="15" customHeight="1" x14ac:dyDescent="0.2"/>
  <cols>
    <col min="1" max="1" width="8.140625" customWidth="1"/>
    <col min="2" max="2" width="14.7109375" customWidth="1"/>
    <col min="3" max="3" width="54.7109375" customWidth="1"/>
    <col min="4" max="4" width="19.85546875" customWidth="1"/>
    <col min="5" max="5" width="19.7109375" customWidth="1"/>
    <col min="6" max="6" width="19.85546875" customWidth="1"/>
    <col min="7" max="7" width="19.7109375" customWidth="1"/>
    <col min="8" max="9" width="10.7109375" customWidth="1"/>
    <col min="10" max="17" width="11.42578125" customWidth="1"/>
  </cols>
  <sheetData>
    <row r="1" spans="1:17" ht="20.25" customHeight="1" x14ac:dyDescent="0.2">
      <c r="A1" s="3" t="s">
        <v>0</v>
      </c>
      <c r="B1" s="2"/>
      <c r="C1" s="4"/>
      <c r="D1" s="6" t="s">
        <v>2</v>
      </c>
      <c r="E1" s="5"/>
      <c r="F1" s="5"/>
      <c r="G1" s="5"/>
      <c r="H1" s="5"/>
      <c r="I1" s="5"/>
      <c r="J1" s="2"/>
      <c r="K1" s="2"/>
      <c r="L1" s="2"/>
      <c r="M1" s="2"/>
      <c r="N1" s="2"/>
      <c r="O1" s="2"/>
      <c r="P1" s="2"/>
      <c r="Q1" s="2"/>
    </row>
    <row r="2" spans="1:17" ht="17.25" customHeight="1" x14ac:dyDescent="0.2">
      <c r="A2" s="2"/>
      <c r="B2" s="2"/>
      <c r="C2" s="5"/>
      <c r="D2" s="5"/>
      <c r="E2" s="5"/>
      <c r="F2" s="5"/>
      <c r="G2" s="5"/>
      <c r="H2" s="5"/>
      <c r="I2" s="5"/>
      <c r="J2" s="2"/>
      <c r="K2" s="2"/>
      <c r="L2" s="2"/>
      <c r="M2" s="2"/>
      <c r="N2" s="2"/>
      <c r="O2" s="2"/>
      <c r="P2" s="2"/>
      <c r="Q2" s="2"/>
    </row>
    <row r="3" spans="1:17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2.75" customHeight="1" x14ac:dyDescent="0.2">
      <c r="A4" s="2"/>
      <c r="B4" s="2"/>
      <c r="C4" s="7"/>
      <c r="D4" s="7"/>
      <c r="E4" s="7"/>
      <c r="F4" s="7"/>
      <c r="G4" s="7"/>
      <c r="H4" s="7"/>
      <c r="I4" s="7"/>
      <c r="J4" s="2"/>
      <c r="K4" s="2"/>
      <c r="L4" s="2"/>
      <c r="M4" s="2"/>
      <c r="N4" s="2"/>
      <c r="O4" s="2"/>
      <c r="P4" s="2"/>
      <c r="Q4" s="2"/>
    </row>
    <row r="5" spans="1:17" ht="12.75" customHeight="1" x14ac:dyDescent="0.2">
      <c r="A5" s="2"/>
      <c r="B5" s="2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  <c r="P5" s="2"/>
      <c r="Q5" s="2"/>
    </row>
    <row r="6" spans="1:17" ht="12.75" customHeight="1" x14ac:dyDescent="0.2">
      <c r="A6" s="2"/>
      <c r="B6" s="2"/>
      <c r="C6" s="2"/>
      <c r="D6" s="2"/>
      <c r="E6" s="2"/>
      <c r="F6" s="8"/>
      <c r="G6" s="8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2.75" customHeight="1" x14ac:dyDescent="0.2">
      <c r="A7" s="99" t="s">
        <v>3</v>
      </c>
      <c r="B7" s="98"/>
      <c r="C7" s="83" t="str">
        <f>Estimación!C7</f>
        <v>Sistema Unificado de Reclamos ACV Sistemas</v>
      </c>
      <c r="D7" s="99" t="s">
        <v>4</v>
      </c>
      <c r="E7" s="98"/>
      <c r="F7" s="108">
        <f>Estimación!K7</f>
        <v>1</v>
      </c>
      <c r="G7" s="98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2.75" customHeight="1" x14ac:dyDescent="0.2">
      <c r="A8" s="99" t="s">
        <v>5</v>
      </c>
      <c r="B8" s="98"/>
      <c r="C8" s="83" t="str">
        <f>Estimación!C8</f>
        <v>Externo</v>
      </c>
      <c r="D8" s="99" t="s">
        <v>6</v>
      </c>
      <c r="E8" s="98"/>
      <c r="F8" s="108" t="str">
        <f>Estimación!K8</f>
        <v>Palomino Nieva, Cynthia Salome</v>
      </c>
      <c r="G8" s="98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2.75" customHeight="1" x14ac:dyDescent="0.2">
      <c r="A9" s="2"/>
      <c r="B9" s="2"/>
      <c r="C9" s="2"/>
      <c r="D9" s="2"/>
      <c r="E9" s="2"/>
      <c r="F9" s="8"/>
      <c r="G9" s="8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2.75" customHeight="1" x14ac:dyDescent="0.2">
      <c r="A10" s="99" t="s">
        <v>7</v>
      </c>
      <c r="B10" s="98"/>
      <c r="C10" s="84">
        <f>Estimación!C10</f>
        <v>42962</v>
      </c>
      <c r="D10" s="99" t="s">
        <v>9</v>
      </c>
      <c r="E10" s="98"/>
      <c r="F10" s="107">
        <f>Estimación!K10</f>
        <v>43063</v>
      </c>
      <c r="G10" s="98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2.75" customHeight="1" x14ac:dyDescent="0.2">
      <c r="A11" s="2"/>
      <c r="B11" s="2"/>
      <c r="C11" s="2"/>
      <c r="D11" s="2"/>
      <c r="E11" s="2"/>
      <c r="F11" s="8"/>
      <c r="G11" s="8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2.75" customHeight="1" x14ac:dyDescent="0.2">
      <c r="A12" s="99" t="s">
        <v>10</v>
      </c>
      <c r="B12" s="98"/>
      <c r="C12" s="10"/>
      <c r="D12" s="2"/>
      <c r="E12" s="2"/>
      <c r="F12" s="2"/>
      <c r="G12" s="2"/>
      <c r="H12" s="11">
        <f>Estimación!L12</f>
        <v>74814.461900000009</v>
      </c>
      <c r="I12" s="7" t="s">
        <v>13</v>
      </c>
      <c r="J12" s="2"/>
      <c r="K12" s="2"/>
      <c r="L12" s="2"/>
      <c r="M12" s="2"/>
      <c r="N12" s="2"/>
      <c r="O12" s="2"/>
      <c r="P12" s="2"/>
      <c r="Q12" s="2"/>
    </row>
    <row r="13" spans="1:17" ht="12.75" customHeight="1" x14ac:dyDescent="0.2">
      <c r="A13" s="2"/>
      <c r="B13" s="2"/>
      <c r="C13" s="2"/>
      <c r="D13" s="2"/>
      <c r="E13" s="2"/>
      <c r="F13" s="2"/>
      <c r="G13" s="2"/>
      <c r="H13" s="11">
        <f>Estimación!L13</f>
        <v>682.5</v>
      </c>
      <c r="I13" s="7" t="s">
        <v>15</v>
      </c>
      <c r="J13" s="2"/>
      <c r="K13" s="2"/>
      <c r="L13" s="2"/>
      <c r="M13" s="2"/>
      <c r="N13" s="2"/>
      <c r="O13" s="2"/>
      <c r="P13" s="2"/>
      <c r="Q13" s="2"/>
    </row>
    <row r="14" spans="1:17" ht="12.75" customHeight="1" x14ac:dyDescent="0.2">
      <c r="A14" s="2"/>
      <c r="B14" s="2"/>
      <c r="C14" s="2"/>
      <c r="D14" s="2"/>
      <c r="E14" s="2"/>
      <c r="F14" s="2"/>
      <c r="G14" s="2"/>
      <c r="H14" s="11">
        <f>Estimación!L14</f>
        <v>33.012877940236464</v>
      </c>
      <c r="I14" s="7" t="s">
        <v>17</v>
      </c>
      <c r="J14" s="2"/>
    </row>
    <row r="15" spans="1:17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7" ht="12.75" customHeight="1" x14ac:dyDescent="0.2">
      <c r="A16" s="2"/>
      <c r="B16" s="2"/>
      <c r="C16" s="2"/>
      <c r="D16" s="2"/>
      <c r="E16" s="2"/>
      <c r="F16" s="113" t="s">
        <v>204</v>
      </c>
      <c r="I16" s="116">
        <v>0.43709999999999999</v>
      </c>
      <c r="J16" s="8" t="s">
        <v>203</v>
      </c>
    </row>
    <row r="17" spans="1:17" ht="12.75" customHeight="1" x14ac:dyDescent="0.2">
      <c r="A17" s="2"/>
      <c r="B17" s="2"/>
      <c r="C17" s="2"/>
      <c r="D17" s="2"/>
      <c r="E17" s="2"/>
      <c r="F17" s="117" t="s">
        <v>205</v>
      </c>
      <c r="H17" s="2"/>
      <c r="I17" s="13">
        <v>0.87</v>
      </c>
      <c r="J17" s="113"/>
    </row>
    <row r="18" spans="1:17" ht="12.75" customHeight="1" x14ac:dyDescent="0.2">
      <c r="A18" s="2"/>
      <c r="B18" s="2"/>
      <c r="C18" s="2"/>
      <c r="D18" s="2"/>
      <c r="E18" s="113"/>
      <c r="F18" s="2"/>
      <c r="G18" s="2"/>
      <c r="H18" s="2"/>
      <c r="K18" s="115" t="s">
        <v>206</v>
      </c>
    </row>
    <row r="19" spans="1:17" ht="12.75" customHeight="1" x14ac:dyDescent="0.2">
      <c r="A19" s="14" t="s">
        <v>21</v>
      </c>
      <c r="B19" s="14"/>
      <c r="C19" s="14"/>
      <c r="D19" s="14"/>
      <c r="E19" s="14"/>
      <c r="F19" s="14"/>
      <c r="G19" s="14"/>
      <c r="H19" s="14"/>
      <c r="I19" s="14"/>
      <c r="J19" s="2"/>
    </row>
    <row r="20" spans="1:17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7" ht="12.75" customHeight="1" x14ac:dyDescent="0.2">
      <c r="A21" s="2"/>
      <c r="B21" s="2"/>
      <c r="C21" s="2"/>
      <c r="D21" s="2" t="s">
        <v>185</v>
      </c>
      <c r="E21" s="2"/>
      <c r="F21" s="2"/>
      <c r="G21" s="8" t="s">
        <v>202</v>
      </c>
      <c r="H21" s="113"/>
      <c r="I21" s="2"/>
      <c r="J21" s="2"/>
    </row>
    <row r="22" spans="1:17" ht="12.75" customHeight="1" x14ac:dyDescent="0.2">
      <c r="A22" s="2"/>
      <c r="B22" s="86"/>
      <c r="C22" s="15" t="s">
        <v>22</v>
      </c>
      <c r="D22" s="93"/>
      <c r="E22" s="93"/>
      <c r="F22" s="93"/>
      <c r="G22" s="93"/>
      <c r="H22" s="106" t="s">
        <v>23</v>
      </c>
      <c r="I22" s="93"/>
      <c r="J22" s="2"/>
    </row>
    <row r="23" spans="1:17" ht="12.75" customHeight="1" x14ac:dyDescent="0.2">
      <c r="A23" s="2"/>
      <c r="B23" s="2"/>
      <c r="C23" s="2"/>
      <c r="D23" s="16" t="s">
        <v>24</v>
      </c>
      <c r="E23" s="16" t="s">
        <v>25</v>
      </c>
      <c r="F23" s="16" t="s">
        <v>26</v>
      </c>
      <c r="G23" s="16" t="s">
        <v>27</v>
      </c>
      <c r="H23" s="17" t="s">
        <v>29</v>
      </c>
      <c r="I23" s="17" t="s">
        <v>32</v>
      </c>
      <c r="J23" s="2"/>
    </row>
    <row r="24" spans="1:17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17" ht="12.75" customHeight="1" x14ac:dyDescent="0.2">
      <c r="A25" s="2"/>
      <c r="B25" s="24"/>
      <c r="C25" s="24" t="str">
        <f>Estimación!C22</f>
        <v>Lider de proyecto - SPN</v>
      </c>
      <c r="D25" s="26">
        <v>32.5</v>
      </c>
      <c r="E25" s="26">
        <v>40</v>
      </c>
      <c r="F25" s="26">
        <v>40</v>
      </c>
      <c r="G25" s="27">
        <v>44</v>
      </c>
      <c r="H25" s="29">
        <f t="shared" ref="H25:H31" si="0">SUM(D25:G25)</f>
        <v>156.5</v>
      </c>
      <c r="I25" s="29">
        <f>Estimación!E22</f>
        <v>156.5</v>
      </c>
    </row>
    <row r="26" spans="1:17" ht="12.75" customHeight="1" x14ac:dyDescent="0.2">
      <c r="A26" s="2"/>
      <c r="B26" s="24"/>
      <c r="C26" s="24" t="str">
        <f>Estimación!C23</f>
        <v>Analista funcional - SPN</v>
      </c>
      <c r="D26" s="26">
        <v>64</v>
      </c>
      <c r="E26" s="26">
        <v>104</v>
      </c>
      <c r="F26" s="26">
        <v>48</v>
      </c>
      <c r="G26" s="26">
        <v>12</v>
      </c>
      <c r="H26" s="29">
        <f t="shared" si="0"/>
        <v>228</v>
      </c>
      <c r="I26" s="29">
        <f>Estimación!E23</f>
        <v>228</v>
      </c>
    </row>
    <row r="27" spans="1:17" ht="12.75" customHeight="1" x14ac:dyDescent="0.2">
      <c r="A27" s="2"/>
      <c r="B27" s="24"/>
      <c r="C27" s="2" t="str">
        <f>Estimación!C24</f>
        <v>Desarrollador - GO</v>
      </c>
      <c r="D27" s="26"/>
      <c r="E27" s="26"/>
      <c r="F27" s="26">
        <v>62</v>
      </c>
      <c r="G27" s="26">
        <v>52</v>
      </c>
      <c r="H27" s="29">
        <f t="shared" si="0"/>
        <v>114</v>
      </c>
      <c r="I27" s="29">
        <f>Estimación!E24</f>
        <v>114</v>
      </c>
      <c r="L27" s="2"/>
      <c r="M27" s="2"/>
      <c r="N27" s="2"/>
      <c r="O27" s="2"/>
      <c r="P27" s="2"/>
      <c r="Q27" s="2"/>
    </row>
    <row r="28" spans="1:17" ht="12.75" customHeight="1" x14ac:dyDescent="0.2">
      <c r="A28" s="2"/>
      <c r="B28" s="24"/>
      <c r="C28" s="2" t="str">
        <f>Estimación!C25</f>
        <v>Diseñador de software - SPN</v>
      </c>
      <c r="D28" s="26"/>
      <c r="E28" s="26"/>
      <c r="F28" s="26">
        <v>44</v>
      </c>
      <c r="G28" s="26">
        <v>20</v>
      </c>
      <c r="H28" s="29">
        <f t="shared" si="0"/>
        <v>64</v>
      </c>
      <c r="I28" s="29">
        <f>Estimación!E25</f>
        <v>64</v>
      </c>
      <c r="K28" s="2" t="s">
        <v>191</v>
      </c>
      <c r="L28" s="2"/>
      <c r="M28" s="2"/>
      <c r="N28" s="2"/>
      <c r="O28" s="2"/>
      <c r="P28" s="2"/>
      <c r="Q28" s="2"/>
    </row>
    <row r="29" spans="1:17" ht="12.75" customHeight="1" x14ac:dyDescent="0.2">
      <c r="A29" s="2"/>
      <c r="B29" s="24"/>
      <c r="C29" s="2" t="str">
        <f>Estimación!C26</f>
        <v>Diseñador de Base de datos - GO</v>
      </c>
      <c r="D29" s="26"/>
      <c r="E29" s="26"/>
      <c r="F29" s="26">
        <v>24</v>
      </c>
      <c r="G29" s="27">
        <v>4</v>
      </c>
      <c r="H29" s="29">
        <f t="shared" si="0"/>
        <v>28</v>
      </c>
      <c r="I29" s="29">
        <f>Estimación!E26</f>
        <v>28</v>
      </c>
      <c r="K29" s="2" t="s">
        <v>192</v>
      </c>
      <c r="L29" s="2"/>
      <c r="M29" s="2"/>
      <c r="N29" s="2"/>
      <c r="O29" s="2"/>
      <c r="P29" s="2"/>
      <c r="Q29" s="2"/>
    </row>
    <row r="30" spans="1:17" ht="12.75" customHeight="1" x14ac:dyDescent="0.2">
      <c r="A30" s="2"/>
      <c r="B30" s="24"/>
      <c r="C30" s="2" t="str">
        <f>Estimación!C27</f>
        <v>Testing - GO</v>
      </c>
      <c r="D30" s="26"/>
      <c r="E30" s="27"/>
      <c r="F30" s="27"/>
      <c r="G30" s="27">
        <v>40</v>
      </c>
      <c r="H30" s="29">
        <f t="shared" si="0"/>
        <v>40</v>
      </c>
      <c r="I30" s="29">
        <f>Estimación!E27</f>
        <v>40</v>
      </c>
      <c r="K30" s="2" t="s">
        <v>193</v>
      </c>
      <c r="L30" s="2"/>
      <c r="M30" s="2"/>
      <c r="N30" s="2"/>
      <c r="O30" s="2"/>
      <c r="P30" s="2"/>
      <c r="Q30" s="2"/>
    </row>
    <row r="31" spans="1:17" ht="12.75" customHeight="1" x14ac:dyDescent="0.2">
      <c r="A31" s="2"/>
      <c r="B31" s="24"/>
      <c r="C31" s="8" t="str">
        <f>Estimación!C28</f>
        <v>Documentador - SPN</v>
      </c>
      <c r="D31" s="26">
        <v>12</v>
      </c>
      <c r="E31" s="26">
        <v>24</v>
      </c>
      <c r="F31" s="27"/>
      <c r="G31" s="27">
        <v>16</v>
      </c>
      <c r="H31" s="29">
        <f t="shared" si="0"/>
        <v>52</v>
      </c>
      <c r="I31" s="29">
        <f>Estimación!E28</f>
        <v>52</v>
      </c>
      <c r="K31" s="42" t="s">
        <v>194</v>
      </c>
      <c r="L31" s="2"/>
      <c r="M31" s="2"/>
      <c r="N31" s="2"/>
      <c r="O31" s="2"/>
      <c r="P31" s="2"/>
      <c r="Q31" s="2"/>
    </row>
    <row r="32" spans="1:17" ht="12.75" customHeight="1" x14ac:dyDescent="0.2">
      <c r="A32" s="2"/>
      <c r="B32" s="2"/>
      <c r="C32" s="2"/>
      <c r="D32" s="28"/>
      <c r="E32" s="28"/>
      <c r="F32" s="28"/>
      <c r="G32" s="28"/>
      <c r="H32" s="29"/>
      <c r="I32" s="29"/>
      <c r="J32" s="2"/>
      <c r="K32" s="2"/>
      <c r="L32" s="2"/>
      <c r="M32" s="2"/>
      <c r="N32" s="2"/>
      <c r="O32" s="2"/>
      <c r="P32" s="2"/>
      <c r="Q32" s="2"/>
    </row>
    <row r="33" spans="1:17" ht="12.75" customHeight="1" x14ac:dyDescent="0.2">
      <c r="A33" s="2"/>
      <c r="B33" s="12"/>
      <c r="C33" s="12" t="s">
        <v>46</v>
      </c>
      <c r="D33" s="28">
        <f t="shared" ref="D33:I33" si="1">SUM(D25:D31)</f>
        <v>108.5</v>
      </c>
      <c r="E33" s="28">
        <f t="shared" si="1"/>
        <v>168</v>
      </c>
      <c r="F33" s="28">
        <f t="shared" si="1"/>
        <v>218</v>
      </c>
      <c r="G33" s="28">
        <f t="shared" si="1"/>
        <v>188</v>
      </c>
      <c r="H33" s="28">
        <f t="shared" si="1"/>
        <v>682.5</v>
      </c>
      <c r="I33" s="28">
        <f t="shared" si="1"/>
        <v>682.5</v>
      </c>
      <c r="J33" s="2"/>
      <c r="K33" s="2" t="s">
        <v>195</v>
      </c>
      <c r="L33" s="2"/>
      <c r="M33" s="2"/>
      <c r="N33" s="2"/>
      <c r="O33" s="2"/>
      <c r="P33" s="2"/>
      <c r="Q33" s="2"/>
    </row>
    <row r="34" spans="1:17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2.75" customHeight="1" x14ac:dyDescent="0.2">
      <c r="A35" s="2"/>
      <c r="B35" s="2"/>
      <c r="C35" s="2"/>
      <c r="D35" s="85" t="s">
        <v>186</v>
      </c>
      <c r="E35" s="2"/>
      <c r="F35" s="2"/>
      <c r="G35" s="2"/>
      <c r="H35" s="2"/>
      <c r="I35" s="2"/>
      <c r="J35" s="2"/>
      <c r="K35" s="113" t="s">
        <v>196</v>
      </c>
      <c r="L35" s="2"/>
      <c r="M35" s="2"/>
      <c r="N35" s="2"/>
      <c r="O35" s="2"/>
      <c r="P35" s="2"/>
      <c r="Q35" s="2"/>
    </row>
    <row r="36" spans="1:17" ht="12.75" customHeight="1" x14ac:dyDescent="0.2">
      <c r="A36" s="2"/>
      <c r="B36" s="2"/>
      <c r="C36" s="8" t="s">
        <v>49</v>
      </c>
      <c r="D36" s="28">
        <f>D25*Estimación!$G$22*Estimación!$I$22+D26*Estimación!$G$23*Estimación!$I$23+D27*Estimación!$G$24*Estimación!$I$24+D28*Estimación!$G$25*Estimación!$I$25+D29*Estimación!$G$26*Estimación!$I$26+D30*Estimación!$G$27*Estimación!$I$27+D31*Estimación!$G$28*Estimación!$I$28</f>
        <v>6535</v>
      </c>
      <c r="E36" s="28">
        <f>E25*Estimación!$G$22*Estimación!$I$22+E26*Estimación!$G$23*Estimación!$I$23+E27*Estimación!$G$24*Estimación!$I$24+E28*Estimación!$G$25*Estimación!$I$25+E29*Estimación!$G$26*Estimación!$I$26+E30*Estimación!$G$27*Estimación!$I$27+E31*Estimación!$G$28*Estimación!$I$28</f>
        <v>9880</v>
      </c>
      <c r="F36" s="28">
        <f>F25*Estimación!$G$22*Estimación!$I$22+F26*Estimación!$G$23*Estimación!$I$23+F27*Estimación!$G$24*Estimación!$I$24+F28*Estimación!$G$25*Estimación!$I$25+F29*Estimación!$G$26*Estimación!$I$26+F30*Estimación!$G$27*Estimación!$I$27+F31*Estimación!$G$28*Estimación!$I$28</f>
        <v>12960</v>
      </c>
      <c r="G36" s="28">
        <f>G25*Estimación!$G$22*Estimación!$I$22+G26*Estimación!$G$23*Estimación!$I$23+G27*Estimación!$G$24*Estimación!$I$24+G28*Estimación!$G$25*Estimación!$I$25+G29*Estimación!$G$26*Estimación!$I$26+G30*Estimación!$G$27*Estimación!$I$27+G31*Estimación!$G$28*Estimación!$I$28</f>
        <v>10080</v>
      </c>
      <c r="H36" s="28">
        <f t="shared" ref="H36:H42" si="2">SUM(D36:G36)</f>
        <v>39455</v>
      </c>
      <c r="I36" s="28">
        <f>Estimación!M22/(1+Estimación!K22)+Estimación!M23/(1+Estimación!K23)+Estimación!M24/(1+Estimación!K24)+Estimación!M25/(1+Estimación!K25)+Estimación!M26/(1+Estimación!K26)+Estimación!M27/(1+Estimación!K27)+Estimación!M28/(1+Estimación!K28)</f>
        <v>39455</v>
      </c>
      <c r="J36" s="2"/>
      <c r="K36" s="113" t="s">
        <v>198</v>
      </c>
      <c r="L36" s="2"/>
      <c r="M36" s="2"/>
      <c r="N36" s="2"/>
      <c r="O36" s="2"/>
      <c r="P36" s="2"/>
      <c r="Q36" s="2"/>
    </row>
    <row r="37" spans="1:17" ht="12.75" customHeight="1" x14ac:dyDescent="0.2">
      <c r="A37" s="2"/>
      <c r="B37" s="2"/>
      <c r="C37" s="8" t="s">
        <v>84</v>
      </c>
      <c r="D37" s="91">
        <v>2300</v>
      </c>
      <c r="E37" s="91">
        <v>2300</v>
      </c>
      <c r="F37" s="91">
        <v>2300</v>
      </c>
      <c r="G37" s="91">
        <v>2300</v>
      </c>
      <c r="H37" s="28">
        <f t="shared" si="2"/>
        <v>9200</v>
      </c>
      <c r="I37" s="28">
        <f>Estimación!M36/(1+Estimación!K36)</f>
        <v>9200</v>
      </c>
      <c r="J37" s="2"/>
      <c r="K37" s="2"/>
      <c r="L37" s="2"/>
      <c r="M37" s="2"/>
      <c r="N37" s="2"/>
      <c r="O37" s="2"/>
      <c r="P37" s="2"/>
      <c r="Q37" s="2"/>
    </row>
    <row r="38" spans="1:17" ht="12.75" customHeight="1" x14ac:dyDescent="0.2">
      <c r="A38" s="2"/>
      <c r="B38" s="3"/>
      <c r="C38" s="42" t="s">
        <v>63</v>
      </c>
      <c r="D38" s="34">
        <v>1092</v>
      </c>
      <c r="E38" s="34">
        <v>900</v>
      </c>
      <c r="F38" s="34">
        <v>900</v>
      </c>
      <c r="G38" s="34">
        <v>900</v>
      </c>
      <c r="H38" s="28">
        <f t="shared" si="2"/>
        <v>3792</v>
      </c>
      <c r="I38" s="28">
        <f>Estimación!M56/(1+Estimación!K56)</f>
        <v>3792</v>
      </c>
      <c r="J38" s="2"/>
      <c r="K38" s="113" t="s">
        <v>199</v>
      </c>
      <c r="L38" s="2"/>
      <c r="M38" s="2"/>
      <c r="N38" s="2"/>
      <c r="O38" s="2"/>
      <c r="P38" s="2"/>
      <c r="Q38" s="2"/>
    </row>
    <row r="39" spans="1:17" ht="12.75" customHeight="1" x14ac:dyDescent="0.2">
      <c r="A39" s="2"/>
      <c r="B39" s="2"/>
      <c r="C39" s="8" t="s">
        <v>42</v>
      </c>
      <c r="D39" s="27">
        <v>7.38</v>
      </c>
      <c r="E39" s="27">
        <v>7.38</v>
      </c>
      <c r="F39" s="27">
        <v>7.38</v>
      </c>
      <c r="G39" s="27">
        <v>7.38</v>
      </c>
      <c r="H39" s="28">
        <f t="shared" si="2"/>
        <v>29.52</v>
      </c>
      <c r="I39" s="28">
        <f>Estimación!M44/(1+Estimación!K44)</f>
        <v>29.26</v>
      </c>
      <c r="J39" s="2"/>
      <c r="K39" s="90" t="s">
        <v>200</v>
      </c>
      <c r="L39" s="2"/>
      <c r="M39" s="2"/>
      <c r="N39" s="2"/>
      <c r="O39" s="2"/>
      <c r="P39" s="2"/>
      <c r="Q39" s="2"/>
    </row>
    <row r="40" spans="1:17" ht="12.75" customHeight="1" x14ac:dyDescent="0.2">
      <c r="A40" s="2"/>
      <c r="B40" s="24"/>
      <c r="C40" s="24" t="s">
        <v>43</v>
      </c>
      <c r="D40" s="54">
        <v>0</v>
      </c>
      <c r="E40" s="54">
        <v>0</v>
      </c>
      <c r="F40" s="34">
        <v>0</v>
      </c>
      <c r="G40" s="54">
        <v>300</v>
      </c>
      <c r="H40" s="28">
        <f t="shared" si="2"/>
        <v>300</v>
      </c>
      <c r="I40" s="28">
        <f>Estimación!M45/(1+Estimación!K45)</f>
        <v>300</v>
      </c>
      <c r="J40" s="2"/>
      <c r="K40" s="90" t="s">
        <v>201</v>
      </c>
      <c r="L40" s="2"/>
      <c r="M40" s="2"/>
      <c r="N40" s="2"/>
      <c r="O40" s="2"/>
      <c r="P40" s="2"/>
      <c r="Q40" s="2"/>
    </row>
    <row r="41" spans="1:17" ht="12.75" customHeight="1" x14ac:dyDescent="0.2">
      <c r="A41" s="2"/>
      <c r="B41" s="2"/>
      <c r="C41" s="8" t="s">
        <v>44</v>
      </c>
      <c r="D41" s="27">
        <v>47.61</v>
      </c>
      <c r="E41" s="27">
        <v>47.61</v>
      </c>
      <c r="F41" s="27">
        <v>47.61</v>
      </c>
      <c r="G41" s="27">
        <v>47.61</v>
      </c>
      <c r="H41" s="28">
        <f t="shared" si="2"/>
        <v>190.44</v>
      </c>
      <c r="I41" s="28">
        <f>Estimación!M46/(1+Estimación!K46)</f>
        <v>190</v>
      </c>
      <c r="J41" s="2"/>
      <c r="K41" s="2"/>
      <c r="L41" s="2"/>
      <c r="M41" s="2"/>
      <c r="N41" s="2"/>
      <c r="O41" s="2"/>
      <c r="P41" s="2"/>
      <c r="Q41" s="2"/>
    </row>
    <row r="42" spans="1:17" ht="12.75" customHeight="1" x14ac:dyDescent="0.2">
      <c r="A42" s="2"/>
      <c r="B42" s="3"/>
      <c r="C42" s="42" t="s">
        <v>45</v>
      </c>
      <c r="D42" s="27">
        <v>85.22</v>
      </c>
      <c r="E42" s="27">
        <v>85.22</v>
      </c>
      <c r="F42" s="27">
        <v>85.22</v>
      </c>
      <c r="G42" s="27">
        <v>85.22</v>
      </c>
      <c r="H42" s="28">
        <f t="shared" si="2"/>
        <v>340.88</v>
      </c>
      <c r="I42" s="28">
        <f>Estimación!M47/(1+Estimación!K47)</f>
        <v>340.86</v>
      </c>
      <c r="J42" s="2"/>
      <c r="K42" s="2"/>
      <c r="L42" s="2"/>
      <c r="M42" s="2"/>
      <c r="N42" s="2"/>
      <c r="O42" s="2"/>
      <c r="P42" s="2"/>
      <c r="Q42" s="2"/>
    </row>
    <row r="43" spans="1:17" ht="12.75" customHeight="1" x14ac:dyDescent="0.2">
      <c r="A43" s="2"/>
      <c r="B43" s="12"/>
      <c r="C43" s="12"/>
      <c r="D43" s="29"/>
      <c r="E43" s="29"/>
      <c r="F43" s="29"/>
      <c r="G43" s="29"/>
      <c r="H43" s="29"/>
      <c r="I43" s="29"/>
      <c r="J43" s="2"/>
      <c r="K43" s="2"/>
      <c r="L43" s="2"/>
      <c r="M43" s="2"/>
      <c r="N43" s="2"/>
      <c r="O43" s="2"/>
      <c r="P43" s="2"/>
      <c r="Q43" s="2"/>
    </row>
    <row r="44" spans="1:17" ht="12.75" customHeight="1" x14ac:dyDescent="0.2">
      <c r="A44" s="2"/>
      <c r="B44" s="12"/>
      <c r="C44" s="12" t="s">
        <v>85</v>
      </c>
      <c r="D44" s="29">
        <f>SUM(D36:D42)</f>
        <v>10067.209999999999</v>
      </c>
      <c r="E44" s="29">
        <f>SUM(E36:E42)</f>
        <v>13220.21</v>
      </c>
      <c r="F44" s="29">
        <f>SUM(F36:F42)</f>
        <v>16300.21</v>
      </c>
      <c r="G44" s="29">
        <f>SUM(G36:G42)</f>
        <v>13720.21</v>
      </c>
      <c r="H44" s="29">
        <f>SUM(D44:G44)</f>
        <v>53307.839999999997</v>
      </c>
      <c r="I44" s="29">
        <f>SUM(I36:I42)</f>
        <v>53307.12</v>
      </c>
      <c r="J44" s="2"/>
      <c r="K44" s="2"/>
      <c r="L44" s="2"/>
      <c r="M44" s="2"/>
      <c r="N44" s="2"/>
      <c r="O44" s="2"/>
      <c r="P44" s="2"/>
      <c r="Q44" s="2"/>
    </row>
    <row r="45" spans="1:17" ht="12.75" customHeight="1" x14ac:dyDescent="0.2">
      <c r="A45" s="2"/>
      <c r="B45" s="12"/>
      <c r="C45" s="12" t="s">
        <v>86</v>
      </c>
      <c r="D45" s="29">
        <f>D44</f>
        <v>10067.209999999999</v>
      </c>
      <c r="E45" s="29">
        <f>D44+E44</f>
        <v>23287.42</v>
      </c>
      <c r="F45" s="29">
        <f>D44+E44+F44</f>
        <v>39587.629999999997</v>
      </c>
      <c r="G45" s="29">
        <f>D44+E44+F44+G44</f>
        <v>53307.839999999997</v>
      </c>
      <c r="H45" s="29"/>
      <c r="I45" s="29"/>
      <c r="J45" s="2"/>
      <c r="K45" s="2"/>
      <c r="L45" s="2"/>
      <c r="M45" s="2"/>
      <c r="N45" s="2"/>
      <c r="O45" s="2"/>
      <c r="P45" s="2"/>
      <c r="Q45" s="2"/>
    </row>
    <row r="46" spans="1:17" ht="12.75" customHeight="1" x14ac:dyDescent="0.2">
      <c r="A46" s="2"/>
      <c r="B46" s="2"/>
      <c r="C46" s="8"/>
      <c r="D46" s="29"/>
      <c r="E46" s="29"/>
      <c r="F46" s="29"/>
      <c r="G46" s="29"/>
      <c r="H46" s="29"/>
      <c r="I46" s="29"/>
      <c r="J46" s="2"/>
      <c r="K46" s="2"/>
      <c r="L46" s="2"/>
      <c r="M46" s="2"/>
      <c r="N46" s="2"/>
      <c r="O46" s="2"/>
      <c r="P46" s="2"/>
      <c r="Q46" s="2"/>
    </row>
    <row r="47" spans="1:17" ht="12.75" customHeight="1" x14ac:dyDescent="0.2">
      <c r="A47" s="2"/>
      <c r="B47" s="2"/>
      <c r="C47" s="8"/>
      <c r="D47" s="29" t="s">
        <v>187</v>
      </c>
      <c r="E47" s="29"/>
      <c r="F47" s="29"/>
      <c r="G47" s="29"/>
      <c r="H47" s="29"/>
      <c r="I47" s="29"/>
      <c r="J47" s="2"/>
      <c r="K47" s="2"/>
      <c r="L47" s="2"/>
      <c r="M47" s="2"/>
      <c r="N47" s="2"/>
      <c r="O47" s="2"/>
      <c r="P47" s="2"/>
      <c r="Q47" s="2"/>
    </row>
    <row r="48" spans="1:17" ht="12.75" customHeight="1" x14ac:dyDescent="0.2">
      <c r="A48" s="2"/>
      <c r="B48" s="12"/>
      <c r="C48" s="12" t="s">
        <v>87</v>
      </c>
      <c r="D48" s="34">
        <v>18703.5</v>
      </c>
      <c r="E48" s="34">
        <v>18703.5</v>
      </c>
      <c r="F48" s="34">
        <v>18703.5</v>
      </c>
      <c r="G48" s="34">
        <v>18703.5</v>
      </c>
      <c r="H48" s="29">
        <f>SUM(D48:G48)</f>
        <v>74814</v>
      </c>
      <c r="I48" s="29">
        <f>Estimación!M81</f>
        <v>74814.461900000009</v>
      </c>
      <c r="J48" s="3"/>
      <c r="K48" s="2"/>
      <c r="L48" s="2"/>
      <c r="M48" s="2"/>
      <c r="N48" s="2"/>
      <c r="O48" s="2"/>
      <c r="P48" s="2"/>
      <c r="Q48" s="2"/>
    </row>
    <row r="49" spans="1:17" ht="12.75" customHeight="1" x14ac:dyDescent="0.2">
      <c r="A49" s="2"/>
      <c r="B49" s="12"/>
      <c r="C49" s="12" t="s">
        <v>88</v>
      </c>
      <c r="D49" s="29">
        <f>D48</f>
        <v>18703.5</v>
      </c>
      <c r="E49" s="29">
        <f t="shared" ref="E49:G49" si="3">D49+E48</f>
        <v>37407</v>
      </c>
      <c r="F49" s="29">
        <f t="shared" si="3"/>
        <v>56110.5</v>
      </c>
      <c r="G49" s="29">
        <f t="shared" si="3"/>
        <v>74814</v>
      </c>
      <c r="H49" s="29"/>
      <c r="I49" s="29"/>
      <c r="J49" s="3"/>
      <c r="K49" s="3"/>
      <c r="L49" s="2"/>
      <c r="M49" s="2"/>
      <c r="N49" s="2"/>
      <c r="O49" s="2"/>
      <c r="P49" s="2"/>
      <c r="Q49" s="2"/>
    </row>
    <row r="50" spans="1:17" ht="12.75" customHeight="1" x14ac:dyDescent="0.2">
      <c r="A50" s="2"/>
      <c r="B50" s="2"/>
      <c r="C50" s="2"/>
      <c r="D50" s="29"/>
      <c r="E50" s="29"/>
      <c r="F50" s="29"/>
      <c r="G50" s="29"/>
      <c r="H50" s="29"/>
      <c r="I50" s="29"/>
      <c r="J50" s="20"/>
      <c r="K50" s="2"/>
      <c r="L50" s="2"/>
      <c r="M50" s="2"/>
      <c r="N50" s="2"/>
      <c r="O50" s="2"/>
      <c r="P50" s="2"/>
      <c r="Q50" s="2"/>
    </row>
    <row r="51" spans="1:17" ht="12.75" customHeight="1" x14ac:dyDescent="0.2">
      <c r="A51" s="2"/>
      <c r="B51" s="2"/>
      <c r="C51" s="2"/>
      <c r="D51" s="29"/>
      <c r="E51" s="29"/>
      <c r="F51" s="29"/>
      <c r="G51" s="29"/>
      <c r="H51" s="29"/>
      <c r="I51" s="29"/>
      <c r="J51" s="2"/>
      <c r="K51" s="2"/>
      <c r="L51" s="2"/>
      <c r="M51" s="2"/>
      <c r="N51" s="2"/>
      <c r="O51" s="2"/>
      <c r="P51" s="2"/>
      <c r="Q51" s="2"/>
    </row>
    <row r="52" spans="1:17" ht="12.75" customHeight="1" x14ac:dyDescent="0.2">
      <c r="A52" s="14" t="s">
        <v>89</v>
      </c>
      <c r="B52" s="55"/>
      <c r="C52" s="55"/>
      <c r="D52" s="55"/>
      <c r="E52" s="55"/>
      <c r="F52" s="55"/>
      <c r="G52" s="55"/>
      <c r="H52" s="55"/>
      <c r="I52" s="55"/>
      <c r="J52" s="2"/>
      <c r="K52" s="2"/>
      <c r="L52" s="2"/>
      <c r="M52" s="2"/>
      <c r="N52" s="2"/>
      <c r="O52" s="2"/>
      <c r="P52" s="2"/>
      <c r="Q52" s="2"/>
    </row>
    <row r="53" spans="1:17" ht="12.75" customHeight="1" x14ac:dyDescent="0.2">
      <c r="A53" s="2"/>
      <c r="B53" s="2"/>
      <c r="C53" s="2"/>
      <c r="D53" s="29"/>
      <c r="E53" s="29"/>
      <c r="F53" s="29"/>
      <c r="G53" s="29"/>
      <c r="H53" s="29"/>
      <c r="I53" s="29"/>
      <c r="J53" s="3"/>
      <c r="K53" s="3"/>
      <c r="L53" s="2"/>
      <c r="M53" s="2"/>
      <c r="N53" s="2"/>
      <c r="O53" s="2"/>
      <c r="P53" s="2"/>
      <c r="Q53" s="2"/>
    </row>
    <row r="54" spans="1:17" ht="12.75" customHeight="1" x14ac:dyDescent="0.2">
      <c r="A54" s="2"/>
      <c r="B54" s="12"/>
      <c r="C54" s="12" t="s">
        <v>90</v>
      </c>
      <c r="D54" s="29">
        <f t="shared" ref="D54:G54" si="4">D48-D44</f>
        <v>8636.2900000000009</v>
      </c>
      <c r="E54" s="29">
        <f t="shared" si="4"/>
        <v>5483.2900000000009</v>
      </c>
      <c r="F54" s="29">
        <f t="shared" si="4"/>
        <v>2403.2900000000009</v>
      </c>
      <c r="G54" s="29">
        <f t="shared" si="4"/>
        <v>4983.2900000000009</v>
      </c>
      <c r="H54" s="29">
        <f>SUM(D54:G54)</f>
        <v>21506.160000000003</v>
      </c>
      <c r="I54" s="29">
        <f>Estimación!M81-Estimación!M59</f>
        <v>18568.432900000007</v>
      </c>
      <c r="J54" s="114" t="s">
        <v>197</v>
      </c>
      <c r="K54" s="2"/>
      <c r="L54" s="3"/>
      <c r="M54" s="2"/>
      <c r="N54" s="2"/>
      <c r="O54" s="2"/>
      <c r="P54" s="2"/>
      <c r="Q54" s="2"/>
    </row>
    <row r="55" spans="1:17" ht="12.75" customHeight="1" x14ac:dyDescent="0.2">
      <c r="A55" s="2"/>
      <c r="B55" s="2"/>
      <c r="C55" s="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2.75" customHeight="1" x14ac:dyDescent="0.2">
      <c r="A56" s="2"/>
      <c r="B56" s="12"/>
      <c r="C56" s="12" t="s">
        <v>91</v>
      </c>
      <c r="D56" s="29">
        <f>D54</f>
        <v>8636.2900000000009</v>
      </c>
      <c r="E56" s="29">
        <f t="shared" ref="E56:G56" si="5">E54+D56</f>
        <v>14119.580000000002</v>
      </c>
      <c r="F56" s="29">
        <f t="shared" si="5"/>
        <v>16522.870000000003</v>
      </c>
      <c r="G56" s="29">
        <f t="shared" si="5"/>
        <v>21506.160000000003</v>
      </c>
      <c r="H56" s="29">
        <f>G56</f>
        <v>21506.160000000003</v>
      </c>
      <c r="I56" s="29">
        <f>I54</f>
        <v>18568.432900000007</v>
      </c>
      <c r="J56" s="2"/>
      <c r="K56" s="2"/>
      <c r="L56" s="2"/>
      <c r="M56" s="2"/>
      <c r="N56" s="2"/>
      <c r="O56" s="2"/>
      <c r="P56" s="2"/>
      <c r="Q56" s="2"/>
    </row>
    <row r="57" spans="1:17" ht="12.75" customHeight="1" x14ac:dyDescent="0.2">
      <c r="A57" s="2"/>
      <c r="B57" s="2"/>
      <c r="C57" s="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2.75" customHeight="1" x14ac:dyDescent="0.2">
      <c r="A58" s="2"/>
      <c r="B58" s="12"/>
      <c r="C58" s="12" t="s">
        <v>92</v>
      </c>
      <c r="D58" s="29" t="e">
        <f>D54/(1+#REF!/12)^5</f>
        <v>#REF!</v>
      </c>
      <c r="E58" s="29" t="e">
        <f>E54/(1+#REF!/12)^6</f>
        <v>#REF!</v>
      </c>
      <c r="F58" s="29" t="e">
        <f>F54/(1+#REF!/12)^7</f>
        <v>#REF!</v>
      </c>
      <c r="G58" s="29" t="e">
        <f>G54/(1+#REF!/12)^8</f>
        <v>#REF!</v>
      </c>
      <c r="H58" s="29"/>
      <c r="I58" s="29"/>
      <c r="J58" s="2"/>
      <c r="K58" s="2"/>
      <c r="L58" s="2"/>
      <c r="M58" s="2"/>
      <c r="N58" s="2"/>
      <c r="O58" s="2"/>
      <c r="P58" s="2"/>
      <c r="Q58" s="2"/>
    </row>
    <row r="59" spans="1:17" ht="12.75" customHeight="1" x14ac:dyDescent="0.2">
      <c r="A59" s="2"/>
      <c r="B59" s="12"/>
      <c r="C59" s="12"/>
      <c r="D59" s="29"/>
      <c r="E59" s="29"/>
      <c r="F59" s="29"/>
      <c r="G59" s="29"/>
      <c r="H59" s="29"/>
      <c r="I59" s="29"/>
      <c r="J59" s="2"/>
      <c r="K59" s="2"/>
      <c r="L59" s="2"/>
      <c r="M59" s="2"/>
      <c r="N59" s="2"/>
      <c r="O59" s="2"/>
      <c r="P59" s="2"/>
      <c r="Q59" s="2"/>
    </row>
    <row r="60" spans="1:17" ht="12.75" customHeight="1" x14ac:dyDescent="0.2">
      <c r="A60" s="2"/>
      <c r="B60" s="12"/>
      <c r="C60" s="12" t="s">
        <v>93</v>
      </c>
      <c r="D60" s="29" t="e">
        <f>D58</f>
        <v>#REF!</v>
      </c>
      <c r="E60" s="29" t="e">
        <f t="shared" ref="E60:G60" si="6">E58+D60</f>
        <v>#REF!</v>
      </c>
      <c r="F60" s="29" t="e">
        <f t="shared" si="6"/>
        <v>#REF!</v>
      </c>
      <c r="G60" s="29" t="e">
        <f t="shared" si="6"/>
        <v>#REF!</v>
      </c>
      <c r="H60" s="29"/>
      <c r="I60" s="29"/>
      <c r="J60" s="2"/>
      <c r="K60" s="2"/>
      <c r="L60" s="2"/>
      <c r="M60" s="2"/>
      <c r="N60" s="2"/>
      <c r="O60" s="2"/>
      <c r="P60" s="2"/>
      <c r="Q60" s="2"/>
    </row>
    <row r="61" spans="1:17" ht="12.75" customHeight="1" x14ac:dyDescent="0.2">
      <c r="A61" s="2"/>
      <c r="B61" s="12"/>
      <c r="C61" s="1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2.75" customHeight="1" x14ac:dyDescent="0.2">
      <c r="A62" s="2"/>
      <c r="B62" s="12"/>
      <c r="C62" s="12" t="s">
        <v>94</v>
      </c>
      <c r="D62" s="51">
        <f t="shared" ref="D62:G62" si="7">IF(D44=0,0,(D56/D44)*(12/1))</f>
        <v>10.29435960906746</v>
      </c>
      <c r="E62" s="51">
        <f t="shared" si="7"/>
        <v>12.816359195504461</v>
      </c>
      <c r="F62" s="51">
        <f t="shared" si="7"/>
        <v>12.163919360548119</v>
      </c>
      <c r="G62" s="51">
        <f t="shared" si="7"/>
        <v>18.809764573574316</v>
      </c>
      <c r="H62" s="51"/>
      <c r="I62" s="2"/>
      <c r="J62" s="2"/>
      <c r="K62" s="2"/>
      <c r="L62" s="2"/>
      <c r="M62" s="2"/>
      <c r="N62" s="2"/>
      <c r="O62" s="2"/>
      <c r="P62" s="2"/>
      <c r="Q62" s="2"/>
    </row>
    <row r="63" spans="1:17" ht="12.75" customHeight="1" x14ac:dyDescent="0.2">
      <c r="A63" s="2"/>
      <c r="B63" s="2"/>
      <c r="C63" s="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2.75" customHeight="1" x14ac:dyDescent="0.2">
      <c r="A64" s="2"/>
      <c r="B64" s="12"/>
      <c r="C64" s="12" t="s">
        <v>95</v>
      </c>
      <c r="D64" s="51">
        <f>D62-$I$17*(5/12)</f>
        <v>9.9318596090674589</v>
      </c>
      <c r="E64" s="51">
        <f>E62-$I$17*(6/12)</f>
        <v>12.38135919550446</v>
      </c>
      <c r="F64" s="51">
        <f>F62-$I$17*(7/12)</f>
        <v>11.656419360548119</v>
      </c>
      <c r="G64" s="51">
        <f>G62-$I$17*(8/12)</f>
        <v>18.229764573574318</v>
      </c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</sheetData>
  <mergeCells count="12">
    <mergeCell ref="A8:B8"/>
    <mergeCell ref="A12:B12"/>
    <mergeCell ref="A10:B10"/>
    <mergeCell ref="A7:B7"/>
    <mergeCell ref="D7:E7"/>
    <mergeCell ref="D8:E8"/>
    <mergeCell ref="H22:I22"/>
    <mergeCell ref="D22:G22"/>
    <mergeCell ref="F10:G10"/>
    <mergeCell ref="F7:G7"/>
    <mergeCell ref="F8:G8"/>
    <mergeCell ref="D10:E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A20" workbookViewId="0"/>
  </sheetViews>
  <sheetFormatPr baseColWidth="10" defaultColWidth="14.42578125" defaultRowHeight="15" customHeight="1" x14ac:dyDescent="0.2"/>
  <cols>
    <col min="1" max="28" width="11.42578125" customWidth="1"/>
  </cols>
  <sheetData>
    <row r="1" spans="1:28" ht="12.75" customHeight="1" x14ac:dyDescent="0.2">
      <c r="A1" s="2"/>
      <c r="B1" s="2"/>
      <c r="C1" s="102" t="s">
        <v>52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.75" customHeight="1" x14ac:dyDescent="0.2">
      <c r="A2" s="2"/>
      <c r="B2" s="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2.75" customHeight="1" x14ac:dyDescent="0.2">
      <c r="A4" s="2"/>
      <c r="B4" s="2"/>
      <c r="C4" s="10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.75" customHeight="1" x14ac:dyDescent="0.2">
      <c r="A5" s="2"/>
      <c r="B5" s="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 customHeight="1" x14ac:dyDescent="0.2">
      <c r="A7" s="99" t="s">
        <v>3</v>
      </c>
      <c r="B7" s="98"/>
      <c r="C7" s="108" t="str">
        <f>Estimación!C7</f>
        <v>Sistema Unificado de Reclamos ACV Sistemas</v>
      </c>
      <c r="D7" s="98"/>
      <c r="E7" s="98"/>
      <c r="F7" s="98"/>
      <c r="G7" s="2"/>
      <c r="H7" s="99" t="s">
        <v>4</v>
      </c>
      <c r="I7" s="98"/>
      <c r="J7" s="108">
        <f>Estimación!K7</f>
        <v>1</v>
      </c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.75" customHeight="1" x14ac:dyDescent="0.2">
      <c r="A8" s="99" t="s">
        <v>5</v>
      </c>
      <c r="B8" s="98"/>
      <c r="C8" s="108" t="str">
        <f>Estimación!C8</f>
        <v>Externo</v>
      </c>
      <c r="D8" s="98"/>
      <c r="E8" s="98"/>
      <c r="F8" s="98"/>
      <c r="G8" s="2"/>
      <c r="H8" s="99" t="s">
        <v>6</v>
      </c>
      <c r="I8" s="98"/>
      <c r="J8" s="108" t="str">
        <f>Estimación!K8</f>
        <v>Palomino Nieva, Cynthia Salome</v>
      </c>
      <c r="K8" s="98"/>
      <c r="L8" s="98"/>
      <c r="M8" s="9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2.75" customHeight="1" x14ac:dyDescent="0.2">
      <c r="A10" s="99" t="s">
        <v>7</v>
      </c>
      <c r="B10" s="98"/>
      <c r="C10" s="107">
        <f>Estimación!C10</f>
        <v>42962</v>
      </c>
      <c r="D10" s="98"/>
      <c r="E10" s="98"/>
      <c r="F10" s="98"/>
      <c r="G10" s="2"/>
      <c r="H10" s="99" t="s">
        <v>9</v>
      </c>
      <c r="I10" s="98"/>
      <c r="J10" s="107">
        <f>Estimación!K10</f>
        <v>43063</v>
      </c>
      <c r="K10" s="98"/>
      <c r="L10" s="98"/>
      <c r="M10" s="9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.75" customHeight="1" x14ac:dyDescent="0.2">
      <c r="A12" s="99" t="s">
        <v>10</v>
      </c>
      <c r="B12" s="98"/>
      <c r="C12" s="108"/>
      <c r="D12" s="98"/>
      <c r="E12" s="98"/>
      <c r="F12" s="98"/>
      <c r="G12" s="2"/>
      <c r="H12" s="2"/>
      <c r="I12" s="2"/>
      <c r="J12" s="2"/>
      <c r="K12" s="2"/>
      <c r="L12" s="2"/>
      <c r="M12" s="99" t="s">
        <v>11</v>
      </c>
      <c r="N12" s="98"/>
      <c r="O12" s="2"/>
      <c r="P12" s="2"/>
      <c r="Q12" s="11">
        <f>Estimación!L12</f>
        <v>74814.461900000009</v>
      </c>
      <c r="R12" s="7" t="s">
        <v>62</v>
      </c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99" t="s">
        <v>14</v>
      </c>
      <c r="N13" s="98"/>
      <c r="O13" s="2"/>
      <c r="P13" s="2"/>
      <c r="Q13" s="11">
        <f>Estimación!L13</f>
        <v>682.5</v>
      </c>
      <c r="R13" s="7" t="s">
        <v>15</v>
      </c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99" t="s">
        <v>16</v>
      </c>
      <c r="N14" s="98"/>
      <c r="O14" s="2"/>
      <c r="P14" s="2"/>
      <c r="Q14" s="11">
        <f>Estimación!L14</f>
        <v>33.012877940236464</v>
      </c>
      <c r="R14" s="7" t="s">
        <v>17</v>
      </c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2" t="s">
        <v>18</v>
      </c>
      <c r="N16" s="2"/>
      <c r="O16" s="2"/>
      <c r="P16" s="2"/>
      <c r="Q16" s="2"/>
      <c r="R16" s="48">
        <v>0.03</v>
      </c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2" t="s">
        <v>20</v>
      </c>
      <c r="N17" s="2"/>
      <c r="O17" s="2"/>
      <c r="P17" s="2"/>
      <c r="Q17" s="2"/>
      <c r="R17" s="48">
        <v>8.5000000000000006E-2</v>
      </c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2" t="s">
        <v>65</v>
      </c>
      <c r="N19" s="2"/>
      <c r="O19" s="2"/>
      <c r="P19" s="2"/>
      <c r="Q19" s="2"/>
      <c r="R19" s="12">
        <f>Cierre!F68</f>
        <v>0</v>
      </c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customHeight="1" x14ac:dyDescent="0.2">
      <c r="A21" s="10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customHeight="1" x14ac:dyDescent="0.2">
      <c r="A23" s="2"/>
      <c r="B23" s="12" t="s">
        <v>68</v>
      </c>
      <c r="C23" s="2"/>
      <c r="D23" s="2"/>
      <c r="E23" s="2"/>
      <c r="F23" s="2"/>
      <c r="G23" s="2"/>
      <c r="H23" s="2"/>
      <c r="I23" s="2"/>
      <c r="J23" s="12" t="s">
        <v>69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2"/>
      <c r="B46" s="2"/>
      <c r="C46" s="12" t="s">
        <v>75</v>
      </c>
      <c r="D46" s="2" t="s">
        <v>76</v>
      </c>
      <c r="E46" s="32" t="str">
        <f>IF(R19=0,"N/A",Estimación!E22/(Indicadores!$R$19*160))</f>
        <v>N/A</v>
      </c>
      <c r="F46" s="2"/>
      <c r="G46" s="2"/>
      <c r="H46" s="2"/>
      <c r="I46" s="2"/>
      <c r="J46" s="2"/>
      <c r="K46" s="12" t="s">
        <v>78</v>
      </c>
      <c r="L46" s="2"/>
      <c r="M46" s="2"/>
      <c r="N46" s="29">
        <f>-1*MIN(Plan_Financiero!D56:G56)</f>
        <v>-8636.2900000000009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2"/>
      <c r="B47" s="2"/>
      <c r="C47" s="12" t="s">
        <v>79</v>
      </c>
      <c r="D47" s="2"/>
      <c r="E47" s="32" t="str">
        <f>IF(R20=0,"N/A",Estimación!E23/(Indicadores!$R$19*160))</f>
        <v>N/A</v>
      </c>
      <c r="F47" s="2"/>
      <c r="G47" s="2"/>
      <c r="H47" s="2"/>
      <c r="I47" s="2"/>
      <c r="J47" s="2"/>
      <c r="K47" s="12"/>
      <c r="L47" s="2"/>
      <c r="M47" s="2"/>
      <c r="N47" s="29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2"/>
      <c r="B48" s="2"/>
      <c r="C48" s="12" t="s">
        <v>80</v>
      </c>
      <c r="D48" s="2"/>
      <c r="E48" s="32" t="str">
        <f>IF(R21=0,"N/A",Estimación!E24/(Indicadores!$R$19*160))</f>
        <v>N/A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2"/>
      <c r="B49" s="2"/>
      <c r="C49" s="12" t="s">
        <v>81</v>
      </c>
      <c r="D49" s="2"/>
      <c r="E49" s="32" t="str">
        <f>IF(R22=0,"N/A",Estimación!E25/(Indicadores!$R$19*160))</f>
        <v>N/A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2"/>
      <c r="B50" s="12"/>
      <c r="C50" s="12" t="s">
        <v>82</v>
      </c>
      <c r="D50" s="2"/>
      <c r="E50" s="32" t="str">
        <f>IF(R23=0,"N/A",Estimación!E26/(Indicadores!$R$19*160))</f>
        <v>N/A</v>
      </c>
      <c r="F50" s="50"/>
      <c r="G50" s="2"/>
      <c r="H50" s="2"/>
      <c r="I50" s="50"/>
      <c r="J50" s="2"/>
      <c r="K50" s="2"/>
      <c r="L50" s="2"/>
      <c r="M50" s="50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2"/>
      <c r="B51" s="2"/>
      <c r="C51" s="12" t="s">
        <v>83</v>
      </c>
      <c r="D51" s="2"/>
      <c r="E51" s="32" t="str">
        <f>IF(R24=0,"N/A",Estimación!E27/(Indicadores!$R$19*160))</f>
        <v>N/A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2"/>
      <c r="B52" s="12"/>
      <c r="C52" s="2"/>
      <c r="D52" s="2"/>
      <c r="E52" s="2"/>
      <c r="F52" s="50"/>
      <c r="G52" s="2"/>
      <c r="H52" s="2"/>
      <c r="I52" s="50"/>
      <c r="J52" s="2"/>
      <c r="K52" s="2"/>
      <c r="L52" s="2"/>
      <c r="M52" s="50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2"/>
      <c r="B53" s="1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2"/>
      <c r="B54" s="12"/>
      <c r="C54" s="2"/>
      <c r="D54" s="2"/>
      <c r="E54" s="2"/>
      <c r="F54" s="50"/>
      <c r="G54" s="51"/>
      <c r="H54" s="2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2"/>
      <c r="B56" s="12"/>
      <c r="C56" s="12"/>
      <c r="D56" s="12"/>
      <c r="E56" s="2"/>
      <c r="F56" s="29"/>
      <c r="G56" s="52"/>
      <c r="H56" s="2"/>
      <c r="I56" s="29"/>
      <c r="J56" s="5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2"/>
      <c r="B57" s="12"/>
      <c r="C57" s="12"/>
      <c r="D57" s="12"/>
      <c r="E57" s="2"/>
      <c r="F57" s="29"/>
      <c r="G57" s="52"/>
      <c r="H57" s="2"/>
      <c r="I57" s="29"/>
      <c r="J57" s="5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2"/>
      <c r="B58" s="12"/>
      <c r="C58" s="12"/>
      <c r="D58" s="12"/>
      <c r="E58" s="2"/>
      <c r="F58" s="29"/>
      <c r="G58" s="52"/>
      <c r="H58" s="2"/>
      <c r="I58" s="29"/>
      <c r="J58" s="5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2"/>
      <c r="B60" s="1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2"/>
      <c r="B62" s="2"/>
      <c r="C62" s="2"/>
      <c r="D62" s="2"/>
      <c r="E62" s="2"/>
      <c r="F62" s="53"/>
      <c r="G62" s="53"/>
      <c r="H62" s="53"/>
      <c r="I62" s="53"/>
      <c r="J62" s="53"/>
      <c r="K62" s="53"/>
      <c r="L62" s="53"/>
      <c r="M62" s="5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2"/>
      <c r="B63" s="2"/>
      <c r="C63" s="2"/>
      <c r="D63" s="2"/>
      <c r="E63" s="2"/>
      <c r="F63" s="53"/>
      <c r="G63" s="53"/>
      <c r="H63" s="53"/>
      <c r="I63" s="53"/>
      <c r="J63" s="53"/>
      <c r="K63" s="53"/>
      <c r="L63" s="53"/>
      <c r="M63" s="5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2"/>
      <c r="B64" s="2"/>
      <c r="C64" s="2"/>
      <c r="D64" s="2"/>
      <c r="E64" s="2"/>
      <c r="F64" s="53"/>
      <c r="G64" s="53"/>
      <c r="H64" s="53"/>
      <c r="I64" s="53"/>
      <c r="J64" s="53"/>
      <c r="K64" s="53"/>
      <c r="L64" s="53"/>
      <c r="M64" s="5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2"/>
      <c r="B65" s="2"/>
      <c r="C65" s="2"/>
      <c r="D65" s="2"/>
      <c r="E65" s="2"/>
      <c r="F65" s="53"/>
      <c r="G65" s="53"/>
      <c r="H65" s="53"/>
      <c r="I65" s="53"/>
      <c r="J65" s="53"/>
      <c r="K65" s="53"/>
      <c r="L65" s="53"/>
      <c r="M65" s="5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2"/>
      <c r="B66" s="2"/>
      <c r="C66" s="2"/>
      <c r="D66" s="2"/>
      <c r="E66" s="2"/>
      <c r="F66" s="53"/>
      <c r="G66" s="53"/>
      <c r="H66" s="53"/>
      <c r="I66" s="53"/>
      <c r="J66" s="53"/>
      <c r="K66" s="53"/>
      <c r="L66" s="53"/>
      <c r="M66" s="5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2"/>
      <c r="B67" s="2"/>
      <c r="C67" s="2"/>
      <c r="D67" s="2"/>
      <c r="E67" s="2"/>
      <c r="F67" s="53"/>
      <c r="G67" s="53"/>
      <c r="H67" s="53"/>
      <c r="I67" s="53"/>
      <c r="J67" s="53"/>
      <c r="K67" s="53"/>
      <c r="L67" s="53"/>
      <c r="M67" s="5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2"/>
      <c r="B68" s="2"/>
      <c r="C68" s="12"/>
      <c r="D68" s="2"/>
      <c r="E68" s="2"/>
      <c r="F68" s="53"/>
      <c r="G68" s="53"/>
      <c r="H68" s="53"/>
      <c r="I68" s="53"/>
      <c r="J68" s="53"/>
      <c r="K68" s="53"/>
      <c r="L68" s="53"/>
      <c r="M68" s="5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2"/>
      <c r="B70" s="12"/>
      <c r="C70" s="2"/>
      <c r="D70" s="2"/>
      <c r="E70" s="2"/>
      <c r="F70" s="29"/>
      <c r="G70" s="51"/>
      <c r="H70" s="2"/>
      <c r="I70" s="29"/>
      <c r="J70" s="51"/>
      <c r="K70" s="2"/>
      <c r="L70" s="2"/>
      <c r="M70" s="29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2"/>
      <c r="B72" s="12"/>
      <c r="C72" s="2"/>
      <c r="D72" s="2"/>
      <c r="E72" s="2"/>
      <c r="F72" s="29"/>
      <c r="G72" s="51"/>
      <c r="H72" s="2"/>
      <c r="I72" s="29"/>
      <c r="J72" s="51"/>
      <c r="K72" s="2"/>
      <c r="L72" s="2"/>
      <c r="M72" s="29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20">
    <mergeCell ref="M12:N12"/>
    <mergeCell ref="M13:N13"/>
    <mergeCell ref="C12:F12"/>
    <mergeCell ref="C10:F10"/>
    <mergeCell ref="J10:M10"/>
    <mergeCell ref="H10:I10"/>
    <mergeCell ref="A21:R21"/>
    <mergeCell ref="A10:B10"/>
    <mergeCell ref="C1:R2"/>
    <mergeCell ref="C4:R5"/>
    <mergeCell ref="C8:F8"/>
    <mergeCell ref="A12:B12"/>
    <mergeCell ref="M14:N14"/>
    <mergeCell ref="A8:B8"/>
    <mergeCell ref="A7:B7"/>
    <mergeCell ref="C7:F7"/>
    <mergeCell ref="J7:M7"/>
    <mergeCell ref="H7:I7"/>
    <mergeCell ref="H8:I8"/>
    <mergeCell ref="J8:M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2" workbookViewId="0"/>
  </sheetViews>
  <sheetFormatPr baseColWidth="10" defaultColWidth="14.42578125" defaultRowHeight="15" customHeight="1" x14ac:dyDescent="0.2"/>
  <cols>
    <col min="1" max="1" width="9.5703125" customWidth="1"/>
    <col min="2" max="2" width="8.42578125" customWidth="1"/>
    <col min="3" max="6" width="11.42578125" customWidth="1"/>
    <col min="7" max="7" width="8.85546875" customWidth="1"/>
    <col min="8" max="10" width="11.42578125" customWidth="1"/>
    <col min="11" max="11" width="9.140625" customWidth="1"/>
    <col min="12" max="23" width="11.42578125" customWidth="1"/>
    <col min="24" max="26" width="10" customWidth="1"/>
  </cols>
  <sheetData>
    <row r="1" spans="1:26" ht="12.75" customHeight="1" x14ac:dyDescent="0.2">
      <c r="A1" s="2"/>
      <c r="B1" s="2"/>
      <c r="C1" s="102" t="s">
        <v>96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/>
      <c r="B4" s="2"/>
      <c r="C4" s="103"/>
      <c r="D4" s="93"/>
      <c r="E4" s="93"/>
      <c r="F4" s="93"/>
      <c r="G4" s="93"/>
      <c r="H4" s="93"/>
      <c r="I4" s="93"/>
      <c r="J4" s="93"/>
      <c r="K4" s="93"/>
      <c r="L4" s="93"/>
      <c r="M4" s="9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/>
      <c r="B5" s="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99" t="s">
        <v>3</v>
      </c>
      <c r="B7" s="98"/>
      <c r="C7" s="108" t="str">
        <f>Estimación!C7</f>
        <v>Sistema Unificado de Reclamos ACV Sistemas</v>
      </c>
      <c r="D7" s="98"/>
      <c r="E7" s="98"/>
      <c r="F7" s="98"/>
      <c r="G7" s="2"/>
      <c r="H7" s="99" t="s">
        <v>4</v>
      </c>
      <c r="I7" s="98"/>
      <c r="J7" s="108">
        <f>Estimación!K7</f>
        <v>1</v>
      </c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99" t="s">
        <v>5</v>
      </c>
      <c r="B8" s="98"/>
      <c r="C8" s="108" t="str">
        <f>Estimación!C8</f>
        <v>Externo</v>
      </c>
      <c r="D8" s="98"/>
      <c r="E8" s="98"/>
      <c r="F8" s="98"/>
      <c r="G8" s="2"/>
      <c r="H8" s="99" t="s">
        <v>6</v>
      </c>
      <c r="I8" s="98"/>
      <c r="J8" s="108" t="str">
        <f>Estimación!K8</f>
        <v>Palomino Nieva, Cynthia Salome</v>
      </c>
      <c r="K8" s="98"/>
      <c r="L8" s="98"/>
      <c r="M8" s="9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99" t="s">
        <v>7</v>
      </c>
      <c r="B10" s="98"/>
      <c r="C10" s="107">
        <f>Estimación!C10</f>
        <v>42962</v>
      </c>
      <c r="D10" s="98"/>
      <c r="E10" s="98"/>
      <c r="F10" s="98"/>
      <c r="G10" s="2"/>
      <c r="H10" s="99" t="s">
        <v>9</v>
      </c>
      <c r="I10" s="98"/>
      <c r="J10" s="107">
        <f>Estimación!K10</f>
        <v>43063</v>
      </c>
      <c r="K10" s="98"/>
      <c r="L10" s="98"/>
      <c r="M10" s="9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99" t="s">
        <v>10</v>
      </c>
      <c r="B12" s="98"/>
      <c r="C12" s="10"/>
      <c r="D12" s="94"/>
      <c r="E12" s="96"/>
      <c r="F12" s="10"/>
      <c r="G12" s="2"/>
      <c r="H12" s="99" t="s">
        <v>11</v>
      </c>
      <c r="I12" s="98"/>
      <c r="J12" s="2"/>
      <c r="K12" s="2"/>
      <c r="L12" s="11">
        <f>Estimación!L12</f>
        <v>74814.461900000009</v>
      </c>
      <c r="M12" s="7" t="s">
        <v>62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2"/>
      <c r="D13" s="2"/>
      <c r="E13" s="2"/>
      <c r="F13" s="2"/>
      <c r="G13" s="2"/>
      <c r="H13" s="99" t="s">
        <v>14</v>
      </c>
      <c r="I13" s="98"/>
      <c r="J13" s="2"/>
      <c r="K13" s="2"/>
      <c r="L13" s="11">
        <f>Estimación!L13</f>
        <v>682.5</v>
      </c>
      <c r="M13" s="7" t="s">
        <v>15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99" t="s">
        <v>16</v>
      </c>
      <c r="I14" s="98"/>
      <c r="J14" s="2"/>
      <c r="K14" s="2"/>
      <c r="L14" s="11">
        <f>Estimación!L14</f>
        <v>33.012877940236464</v>
      </c>
      <c r="M14" s="7" t="s">
        <v>17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92" t="s">
        <v>19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12" t="s">
        <v>28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15" t="s">
        <v>30</v>
      </c>
      <c r="D20" s="2"/>
      <c r="E20" s="106" t="s">
        <v>23</v>
      </c>
      <c r="F20" s="93"/>
      <c r="G20" s="56"/>
      <c r="H20" s="106" t="s">
        <v>97</v>
      </c>
      <c r="I20" s="93"/>
      <c r="J20" s="93"/>
      <c r="K20" s="56"/>
      <c r="L20" s="106" t="s">
        <v>98</v>
      </c>
      <c r="M20" s="9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17" t="s">
        <v>31</v>
      </c>
      <c r="F21" s="17" t="s">
        <v>36</v>
      </c>
      <c r="G21" s="57"/>
      <c r="H21" s="17" t="s">
        <v>31</v>
      </c>
      <c r="I21" s="17" t="s">
        <v>36</v>
      </c>
      <c r="J21" s="17" t="s">
        <v>17</v>
      </c>
      <c r="K21" s="57"/>
      <c r="L21" s="17"/>
      <c r="M21" s="17" t="s">
        <v>17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 t="s">
        <v>99</v>
      </c>
      <c r="D23" s="2"/>
      <c r="E23" s="2">
        <f>Estimación!E22</f>
        <v>156.5</v>
      </c>
      <c r="F23" s="29">
        <f>Estimación!E22*Estimación!G22*Estimación!I22</f>
        <v>10955</v>
      </c>
      <c r="G23" s="58"/>
      <c r="H23" s="54"/>
      <c r="I23" s="29">
        <f>H23*Estimación!G22*Estimación!I22</f>
        <v>0</v>
      </c>
      <c r="J23" s="59">
        <f t="shared" ref="J23:J28" si="0">IF(E23=0,"N/A",100*H23/E23)</f>
        <v>0</v>
      </c>
      <c r="K23" s="23"/>
      <c r="L23" s="29">
        <f t="shared" ref="L23:L28" si="1">E23-H23</f>
        <v>156.5</v>
      </c>
      <c r="M23" s="60">
        <f t="shared" ref="M23:M28" si="2">IF(E23=0,"N/A",100*L23/E23)</f>
        <v>100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 t="s">
        <v>100</v>
      </c>
      <c r="D24" s="2"/>
      <c r="E24" s="2">
        <f>Estimación!E23</f>
        <v>228</v>
      </c>
      <c r="F24" s="29">
        <f>Estimación!E23*Estimación!G23*Estimación!I23</f>
        <v>13680</v>
      </c>
      <c r="G24" s="58"/>
      <c r="H24" s="54"/>
      <c r="I24" s="29">
        <f>H24*Estimación!G23*Estimación!I23</f>
        <v>0</v>
      </c>
      <c r="J24" s="59">
        <f t="shared" si="0"/>
        <v>0</v>
      </c>
      <c r="K24" s="23"/>
      <c r="L24" s="29">
        <f t="shared" si="1"/>
        <v>228</v>
      </c>
      <c r="M24" s="60">
        <f t="shared" si="2"/>
        <v>100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 t="s">
        <v>101</v>
      </c>
      <c r="D25" s="2"/>
      <c r="E25" s="2">
        <f>Estimación!E24</f>
        <v>114</v>
      </c>
      <c r="F25" s="29">
        <f>Estimación!E24*Estimación!G24*Estimación!I24</f>
        <v>5700</v>
      </c>
      <c r="G25" s="58"/>
      <c r="H25" s="54"/>
      <c r="I25" s="29">
        <f>H25*Estimación!G24*Estimación!I24</f>
        <v>0</v>
      </c>
      <c r="J25" s="59">
        <f t="shared" si="0"/>
        <v>0</v>
      </c>
      <c r="K25" s="23"/>
      <c r="L25" s="29">
        <f t="shared" si="1"/>
        <v>114</v>
      </c>
      <c r="M25" s="60">
        <f t="shared" si="2"/>
        <v>100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 t="s">
        <v>102</v>
      </c>
      <c r="D26" s="2"/>
      <c r="E26" s="2">
        <f>Estimación!E25</f>
        <v>64</v>
      </c>
      <c r="F26" s="29">
        <f>Estimación!E25*Estimación!G25*Estimación!I25</f>
        <v>4160</v>
      </c>
      <c r="G26" s="58"/>
      <c r="H26" s="54"/>
      <c r="I26" s="29">
        <f>H26*Estimación!G25*Estimación!I25</f>
        <v>0</v>
      </c>
      <c r="J26" s="59">
        <f t="shared" si="0"/>
        <v>0</v>
      </c>
      <c r="K26" s="23"/>
      <c r="L26" s="29">
        <f t="shared" si="1"/>
        <v>64</v>
      </c>
      <c r="M26" s="60">
        <f t="shared" si="2"/>
        <v>100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 t="s">
        <v>103</v>
      </c>
      <c r="D27" s="2"/>
      <c r="E27" s="2">
        <f>Estimación!E26</f>
        <v>28</v>
      </c>
      <c r="F27" s="29">
        <f>Estimación!E26*Estimación!G26*Estimación!I26</f>
        <v>1540</v>
      </c>
      <c r="G27" s="58"/>
      <c r="H27" s="54"/>
      <c r="I27" s="29">
        <f>H27*Estimación!G26*Estimación!I26</f>
        <v>0</v>
      </c>
      <c r="J27" s="59">
        <f t="shared" si="0"/>
        <v>0</v>
      </c>
      <c r="K27" s="23"/>
      <c r="L27" s="29">
        <f t="shared" si="1"/>
        <v>28</v>
      </c>
      <c r="M27" s="60">
        <f t="shared" si="2"/>
        <v>100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 t="s">
        <v>104</v>
      </c>
      <c r="D28" s="2"/>
      <c r="E28" s="2">
        <f>Estimación!E27</f>
        <v>40</v>
      </c>
      <c r="F28" s="29">
        <f>Estimación!E27*Estimación!G27*Estimación!I27</f>
        <v>1600</v>
      </c>
      <c r="G28" s="58"/>
      <c r="H28" s="54"/>
      <c r="I28" s="29">
        <f>H28*Estimación!G27*Estimación!I27</f>
        <v>0</v>
      </c>
      <c r="J28" s="59">
        <f t="shared" si="0"/>
        <v>0</v>
      </c>
      <c r="K28" s="23"/>
      <c r="L28" s="29">
        <f t="shared" si="1"/>
        <v>40</v>
      </c>
      <c r="M28" s="60">
        <f t="shared" si="2"/>
        <v>100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9"/>
      <c r="G29" s="58"/>
      <c r="H29" s="29"/>
      <c r="I29" s="29"/>
      <c r="J29" s="59"/>
      <c r="K29" s="23"/>
      <c r="L29" s="29"/>
      <c r="M29" s="60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12" t="s">
        <v>37</v>
      </c>
      <c r="D30" s="2"/>
      <c r="E30" s="2">
        <f>Estimación!E29</f>
        <v>682.5</v>
      </c>
      <c r="F30" s="29">
        <f>SUM(F23:F28)</f>
        <v>37635</v>
      </c>
      <c r="G30" s="58"/>
      <c r="H30" s="29">
        <f t="shared" ref="H30:I30" si="3">SUM(H23:H28)</f>
        <v>0</v>
      </c>
      <c r="I30" s="29">
        <f t="shared" si="3"/>
        <v>0</v>
      </c>
      <c r="J30" s="59">
        <f>IF(E30=0,"N/A",100*H30/E30)</f>
        <v>0</v>
      </c>
      <c r="K30" s="23"/>
      <c r="L30" s="29">
        <f>E30-H30</f>
        <v>682.5</v>
      </c>
      <c r="M30" s="60">
        <f>IF(E30=0,"N/A",100*L30/E30)</f>
        <v>100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12" t="s">
        <v>38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 t="s">
        <v>105</v>
      </c>
      <c r="D34" s="2"/>
      <c r="E34" s="2"/>
      <c r="F34" s="29" t="e">
        <f>Estimación!#REF!</f>
        <v>#REF!</v>
      </c>
      <c r="G34" s="2"/>
      <c r="H34" s="2"/>
      <c r="I34" s="30"/>
      <c r="J34" s="59" t="e">
        <f t="shared" ref="J34:J35" si="4">IF(F34=0,"N/A",100*I34/F34)</f>
        <v>#REF!</v>
      </c>
      <c r="K34" s="2"/>
      <c r="L34" s="29" t="e">
        <f t="shared" ref="L34:L35" si="5">F34-I34</f>
        <v>#REF!</v>
      </c>
      <c r="M34" s="59" t="e">
        <f t="shared" ref="M34:M35" si="6">IF(J34="N/A","N/A",100-J34)</f>
        <v>#REF!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 t="s">
        <v>106</v>
      </c>
      <c r="D35" s="2"/>
      <c r="E35" s="2"/>
      <c r="F35" s="29" t="e">
        <f>Estimación!#REF!</f>
        <v>#REF!</v>
      </c>
      <c r="G35" s="2"/>
      <c r="H35" s="2"/>
      <c r="I35" s="30"/>
      <c r="J35" s="59" t="e">
        <f t="shared" si="4"/>
        <v>#REF!</v>
      </c>
      <c r="K35" s="2"/>
      <c r="L35" s="29" t="e">
        <f t="shared" si="5"/>
        <v>#REF!</v>
      </c>
      <c r="M35" s="59" t="e">
        <f t="shared" si="6"/>
        <v>#REF!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9"/>
      <c r="G36" s="2"/>
      <c r="H36" s="2"/>
      <c r="I36" s="2"/>
      <c r="J36" s="59"/>
      <c r="K36" s="2"/>
      <c r="L36" s="29"/>
      <c r="M36" s="5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12" t="s">
        <v>37</v>
      </c>
      <c r="D37" s="2"/>
      <c r="E37" s="2"/>
      <c r="F37" s="29" t="e">
        <f>SUM(F34:F35)</f>
        <v>#REF!</v>
      </c>
      <c r="G37" s="2"/>
      <c r="H37" s="2"/>
      <c r="I37" s="2">
        <f>SUM(I34:I35)</f>
        <v>0</v>
      </c>
      <c r="J37" s="59" t="e">
        <f>IF(F37=0,"N/A",100*I37/F37)</f>
        <v>#REF!</v>
      </c>
      <c r="K37" s="23"/>
      <c r="L37" s="29" t="e">
        <f>F37-I37</f>
        <v>#REF!</v>
      </c>
      <c r="M37" s="59" t="e">
        <f>IF(J37="N/A","N/A",100-J37)</f>
        <v>#REF!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12" t="s">
        <v>107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 t="s">
        <v>108</v>
      </c>
      <c r="D41" s="2"/>
      <c r="E41" s="2"/>
      <c r="F41" s="29">
        <f>Estimación!E44*Estimación!G44*Estimación!I44</f>
        <v>29.26</v>
      </c>
      <c r="G41" s="53"/>
      <c r="H41" s="2"/>
      <c r="I41" s="54">
        <f>IF(J30="N/A",0,F41*J30/100)</f>
        <v>0</v>
      </c>
      <c r="J41" s="59">
        <f t="shared" ref="J41:J46" si="7">IF(F41=0,"N/A",100*I41/F41)</f>
        <v>0</v>
      </c>
      <c r="K41" s="23"/>
      <c r="L41" s="29">
        <f t="shared" ref="L41:L46" si="8">F41-I41</f>
        <v>29.26</v>
      </c>
      <c r="M41" s="60">
        <f t="shared" ref="M41:M46" si="9">IF(F41=0,"N/A",100*L41/F41)</f>
        <v>100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 t="s">
        <v>109</v>
      </c>
      <c r="D42" s="2"/>
      <c r="E42" s="2"/>
      <c r="F42" s="29" t="e">
        <f>Estimación!#REF!*Estimación!#REF!*Estimación!#REF!</f>
        <v>#REF!</v>
      </c>
      <c r="G42" s="53"/>
      <c r="H42" s="2"/>
      <c r="I42" s="54"/>
      <c r="J42" s="59" t="e">
        <f t="shared" si="7"/>
        <v>#REF!</v>
      </c>
      <c r="K42" s="23"/>
      <c r="L42" s="29" t="e">
        <f t="shared" si="8"/>
        <v>#REF!</v>
      </c>
      <c r="M42" s="60" t="e">
        <f t="shared" si="9"/>
        <v>#REF!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 t="s">
        <v>110</v>
      </c>
      <c r="D43" s="2"/>
      <c r="E43" s="2"/>
      <c r="F43" s="29">
        <f>Estimación!E46*Estimación!G46*Estimación!I46</f>
        <v>190</v>
      </c>
      <c r="G43" s="53"/>
      <c r="H43" s="2"/>
      <c r="I43" s="54"/>
      <c r="J43" s="59">
        <f t="shared" si="7"/>
        <v>0</v>
      </c>
      <c r="K43" s="23"/>
      <c r="L43" s="29">
        <f t="shared" si="8"/>
        <v>190</v>
      </c>
      <c r="M43" s="60">
        <f t="shared" si="9"/>
        <v>100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 t="s">
        <v>48</v>
      </c>
      <c r="D44" s="2"/>
      <c r="E44" s="2"/>
      <c r="F44" s="29">
        <f>Estimación!M53</f>
        <v>192</v>
      </c>
      <c r="G44" s="53"/>
      <c r="H44" s="2"/>
      <c r="I44" s="54"/>
      <c r="J44" s="59">
        <f t="shared" si="7"/>
        <v>0</v>
      </c>
      <c r="K44" s="23"/>
      <c r="L44" s="29">
        <f t="shared" si="8"/>
        <v>192</v>
      </c>
      <c r="M44" s="60">
        <f t="shared" si="9"/>
        <v>100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 t="s">
        <v>111</v>
      </c>
      <c r="D45" s="2"/>
      <c r="E45" s="2"/>
      <c r="F45" s="29">
        <f>Estimación!M54</f>
        <v>3600</v>
      </c>
      <c r="G45" s="53"/>
      <c r="H45" s="2"/>
      <c r="I45" s="54"/>
      <c r="J45" s="59">
        <f t="shared" si="7"/>
        <v>0</v>
      </c>
      <c r="K45" s="23"/>
      <c r="L45" s="29">
        <f t="shared" si="8"/>
        <v>3600</v>
      </c>
      <c r="M45" s="60">
        <f t="shared" si="9"/>
        <v>100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 t="s">
        <v>112</v>
      </c>
      <c r="D46" s="2"/>
      <c r="E46" s="2"/>
      <c r="F46" s="29" t="e">
        <f>#REF!</f>
        <v>#REF!</v>
      </c>
      <c r="G46" s="2"/>
      <c r="H46" s="2"/>
      <c r="I46" s="54"/>
      <c r="J46" s="59" t="e">
        <f t="shared" si="7"/>
        <v>#REF!</v>
      </c>
      <c r="K46" s="2"/>
      <c r="L46" s="29" t="e">
        <f t="shared" si="8"/>
        <v>#REF!</v>
      </c>
      <c r="M46" s="60" t="e">
        <f t="shared" si="9"/>
        <v>#REF!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12"/>
      <c r="C47" s="2"/>
      <c r="D47" s="2"/>
      <c r="E47" s="2"/>
      <c r="F47" s="29"/>
      <c r="G47" s="2"/>
      <c r="H47" s="2"/>
      <c r="I47" s="2"/>
      <c r="J47" s="59"/>
      <c r="K47" s="2"/>
      <c r="L47" s="29"/>
      <c r="M47" s="60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 t="s">
        <v>114</v>
      </c>
      <c r="D48" s="2"/>
      <c r="E48" s="2"/>
      <c r="F48" s="29" t="e">
        <f>F23*Estimación!K22+F24*Estimación!K23+Situación!F25*Estimación!K24+Situación!F26*Estimación!K25+Situación!F27*Estimación!K26+Situación!F28*Estimación!K27+F37*Estimación!K36+F41*Estimación!K44+Situación!F42*Estimación!#REF!+Situación!F43*Estimación!K46+SUM(F44:F46)*Estimación!K56</f>
        <v>#REF!</v>
      </c>
      <c r="G48" s="2"/>
      <c r="H48" s="2"/>
      <c r="I48" s="30">
        <v>0</v>
      </c>
      <c r="J48" s="59" t="e">
        <f>IF(F48=0,"N/A",100*I48/F48)</f>
        <v>#REF!</v>
      </c>
      <c r="K48" s="2"/>
      <c r="L48" s="29" t="e">
        <f>F48-I48</f>
        <v>#REF!</v>
      </c>
      <c r="M48" s="60" t="e">
        <f>IF(F48=0,"N/A",100*L48/F48)</f>
        <v>#REF!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9"/>
      <c r="M49" s="60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12" t="s">
        <v>37</v>
      </c>
      <c r="D50" s="2"/>
      <c r="E50" s="2"/>
      <c r="F50" s="29" t="e">
        <f>SUM(F41:F48)</f>
        <v>#REF!</v>
      </c>
      <c r="G50" s="2"/>
      <c r="H50" s="2"/>
      <c r="I50" s="29">
        <f>SUM(I41:I48)</f>
        <v>0</v>
      </c>
      <c r="J50" s="59" t="e">
        <f>IF(F50=0,"N/A",100*I50/F50)</f>
        <v>#REF!</v>
      </c>
      <c r="K50" s="2"/>
      <c r="L50" s="29" t="e">
        <f>F50-I50</f>
        <v>#REF!</v>
      </c>
      <c r="M50" s="60" t="e">
        <f>IF(F50=0,"N/A",100*L50/F50)</f>
        <v>#REF!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9"/>
      <c r="M51" s="50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9"/>
      <c r="M52" s="50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12" t="s">
        <v>51</v>
      </c>
      <c r="C53" s="12"/>
      <c r="D53" s="2"/>
      <c r="E53" s="2"/>
      <c r="F53" s="29" t="e">
        <f>F30+F37+F50</f>
        <v>#REF!</v>
      </c>
      <c r="G53" s="2"/>
      <c r="H53" s="2"/>
      <c r="I53" s="29">
        <f>I30+I37+I50</f>
        <v>0</v>
      </c>
      <c r="J53" s="59" t="e">
        <f>IF(F53=0,"N/A",100*I53/F53)</f>
        <v>#REF!</v>
      </c>
      <c r="K53" s="23"/>
      <c r="L53" s="29" t="e">
        <f>F53-I53</f>
        <v>#REF!</v>
      </c>
      <c r="M53" s="60" t="e">
        <f>IF(F53=0,"N/A",100*L53/F53)</f>
        <v>#REF!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92" t="s">
        <v>120</v>
      </c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2"/>
      <c r="M57" s="6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 t="s">
        <v>124</v>
      </c>
      <c r="C59" s="2"/>
      <c r="D59" s="2"/>
      <c r="E59" s="2"/>
      <c r="F59" s="29">
        <f>Estimación!M81</f>
        <v>74814.461900000009</v>
      </c>
      <c r="G59" s="2"/>
      <c r="H59" s="2"/>
      <c r="I59" s="64"/>
      <c r="J59" s="59">
        <f>IF(F59=0,"N/A",100*I59/F59)</f>
        <v>0</v>
      </c>
      <c r="K59" s="8"/>
      <c r="L59" s="29">
        <f>F59-I59</f>
        <v>74814.461900000009</v>
      </c>
      <c r="M59" s="59">
        <f>IF(J59="N/A","N/A",100-J59)</f>
        <v>100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 t="s">
        <v>56</v>
      </c>
      <c r="C61" s="2"/>
      <c r="D61" s="2"/>
      <c r="E61" s="2"/>
      <c r="F61" s="29" t="e">
        <f>F59-F53</f>
        <v>#REF!</v>
      </c>
      <c r="G61" s="66" t="e">
        <f>IF(F53=0,"N/A",(F59/F53)-1)</f>
        <v>#REF!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1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92" t="s">
        <v>125</v>
      </c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9" t="s">
        <v>126</v>
      </c>
      <c r="C66" s="9"/>
      <c r="D66" s="9"/>
      <c r="E66" s="9"/>
      <c r="F66" s="23"/>
      <c r="G66" s="2"/>
      <c r="H66" s="29"/>
      <c r="I66" s="2"/>
      <c r="J66" s="2"/>
      <c r="K66" s="2"/>
      <c r="L66" s="2"/>
      <c r="M66" s="2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12"/>
      <c r="C67" s="99" t="s">
        <v>127</v>
      </c>
      <c r="D67" s="98"/>
      <c r="E67" s="12"/>
      <c r="F67" s="23"/>
      <c r="G67" s="2"/>
      <c r="H67" s="29"/>
      <c r="I67" s="2"/>
      <c r="J67" s="2"/>
      <c r="K67" s="2"/>
      <c r="L67" s="2"/>
      <c r="M67" s="2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97"/>
      <c r="D68" s="98"/>
      <c r="E68" s="2"/>
      <c r="F68" s="23"/>
      <c r="G68" s="2"/>
      <c r="H68" s="29"/>
      <c r="I68" s="2"/>
      <c r="J68" s="2"/>
      <c r="K68" s="2"/>
      <c r="L68" s="2"/>
      <c r="M68" s="29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97"/>
      <c r="D69" s="98"/>
      <c r="E69" s="2"/>
      <c r="F69" s="23"/>
      <c r="G69" s="2"/>
      <c r="H69" s="29"/>
      <c r="I69" s="2"/>
      <c r="J69" s="2"/>
      <c r="K69" s="2"/>
      <c r="L69" s="2"/>
      <c r="M69" s="29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45"/>
      <c r="D70" s="45"/>
      <c r="E70" s="2"/>
      <c r="F70" s="2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97"/>
      <c r="D71" s="98"/>
      <c r="E71" s="2"/>
      <c r="F71" s="67"/>
      <c r="G71" s="2"/>
      <c r="H71" s="29"/>
      <c r="I71" s="2"/>
      <c r="J71" s="2"/>
      <c r="K71" s="2"/>
      <c r="L71" s="2"/>
      <c r="M71" s="6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109"/>
      <c r="D74" s="93"/>
      <c r="E74" s="2"/>
      <c r="F74" s="23"/>
      <c r="G74" s="2"/>
      <c r="H74" s="29"/>
      <c r="I74" s="2"/>
      <c r="J74" s="2"/>
      <c r="K74" s="2"/>
      <c r="L74" s="2"/>
      <c r="M74" s="6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1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12"/>
      <c r="D79" s="2"/>
      <c r="E79" s="2"/>
      <c r="F79" s="2"/>
      <c r="G79" s="2"/>
      <c r="H79" s="2"/>
      <c r="I79" s="2"/>
      <c r="J79" s="2"/>
      <c r="K79" s="2"/>
      <c r="L79" s="2"/>
      <c r="M79" s="6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9" t="s">
        <v>128</v>
      </c>
      <c r="C88" s="9"/>
      <c r="D88" s="9"/>
      <c r="E88" s="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12"/>
      <c r="C89" s="99" t="s">
        <v>129</v>
      </c>
      <c r="D89" s="98"/>
      <c r="E89" s="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1">
    <mergeCell ref="C10:F10"/>
    <mergeCell ref="D12:E12"/>
    <mergeCell ref="A10:B10"/>
    <mergeCell ref="A12:B12"/>
    <mergeCell ref="H10:I10"/>
    <mergeCell ref="J8:M8"/>
    <mergeCell ref="C7:F7"/>
    <mergeCell ref="C8:F8"/>
    <mergeCell ref="A8:B8"/>
    <mergeCell ref="A7:B7"/>
    <mergeCell ref="C69:D69"/>
    <mergeCell ref="C71:D71"/>
    <mergeCell ref="C89:D89"/>
    <mergeCell ref="C74:D74"/>
    <mergeCell ref="C68:D68"/>
    <mergeCell ref="C1:M2"/>
    <mergeCell ref="C4:M5"/>
    <mergeCell ref="A56:M56"/>
    <mergeCell ref="C67:D67"/>
    <mergeCell ref="H13:I13"/>
    <mergeCell ref="H14:I14"/>
    <mergeCell ref="H20:J20"/>
    <mergeCell ref="E20:F20"/>
    <mergeCell ref="A64:M64"/>
    <mergeCell ref="L20:M20"/>
    <mergeCell ref="A16:M16"/>
    <mergeCell ref="H7:I7"/>
    <mergeCell ref="H8:I8"/>
    <mergeCell ref="J10:M10"/>
    <mergeCell ref="H12:I12"/>
    <mergeCell ref="J7:M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topLeftCell="A38" workbookViewId="0"/>
  </sheetViews>
  <sheetFormatPr baseColWidth="10" defaultColWidth="14.42578125" defaultRowHeight="15" customHeight="1" x14ac:dyDescent="0.2"/>
  <cols>
    <col min="1" max="1" width="9.5703125" customWidth="1"/>
    <col min="2" max="2" width="5.7109375" customWidth="1"/>
    <col min="3" max="4" width="11.42578125" customWidth="1"/>
    <col min="5" max="5" width="9.28515625" customWidth="1"/>
    <col min="6" max="6" width="11.140625" customWidth="1"/>
    <col min="7" max="7" width="2.140625" customWidth="1"/>
    <col min="8" max="19" width="9.7109375" customWidth="1"/>
    <col min="20" max="20" width="2.28515625" customWidth="1"/>
    <col min="21" max="21" width="10.140625" customWidth="1"/>
    <col min="22" max="22" width="9.5703125" customWidth="1"/>
    <col min="23" max="34" width="11.42578125" customWidth="1"/>
    <col min="35" max="35" width="10" customWidth="1"/>
  </cols>
  <sheetData>
    <row r="1" spans="1:35" ht="17.25" customHeight="1" x14ac:dyDescent="0.2">
      <c r="A1" s="2"/>
      <c r="B1" s="2"/>
      <c r="C1" s="110" t="s">
        <v>142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74"/>
      <c r="P1" s="74"/>
      <c r="Q1" s="74"/>
      <c r="R1" s="74"/>
      <c r="S1" s="74"/>
      <c r="T1" s="5"/>
      <c r="U1" s="5"/>
      <c r="V1" s="5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7.25" customHeight="1" x14ac:dyDescent="0.2">
      <c r="A2" s="2"/>
      <c r="B2" s="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74"/>
      <c r="P2" s="74"/>
      <c r="Q2" s="74"/>
      <c r="R2" s="74"/>
      <c r="S2" s="74"/>
      <c r="T2" s="5"/>
      <c r="U2" s="5"/>
      <c r="V2" s="5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2.75" customHeight="1" x14ac:dyDescent="0.2">
      <c r="A4" s="2"/>
      <c r="B4" s="2"/>
      <c r="C4" s="103"/>
      <c r="D4" s="93"/>
      <c r="E4" s="93"/>
      <c r="F4" s="93"/>
      <c r="G4" s="93"/>
      <c r="H4" s="93"/>
      <c r="I4" s="93"/>
      <c r="J4" s="93"/>
      <c r="K4" s="93"/>
      <c r="L4" s="93"/>
      <c r="M4" s="93"/>
      <c r="N4" s="7"/>
      <c r="O4" s="7"/>
      <c r="P4" s="7"/>
      <c r="Q4" s="7"/>
      <c r="R4" s="7"/>
      <c r="S4" s="7"/>
      <c r="T4" s="75"/>
      <c r="U4" s="75"/>
      <c r="V4" s="75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2.75" customHeight="1" x14ac:dyDescent="0.2">
      <c r="A5" s="2"/>
      <c r="B5" s="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7"/>
      <c r="O5" s="7"/>
      <c r="P5" s="7"/>
      <c r="Q5" s="7"/>
      <c r="R5" s="7"/>
      <c r="S5" s="7"/>
      <c r="T5" s="75"/>
      <c r="U5" s="75"/>
      <c r="V5" s="7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2.75" customHeight="1" x14ac:dyDescent="0.2">
      <c r="A7" s="99" t="s">
        <v>3</v>
      </c>
      <c r="B7" s="98"/>
      <c r="C7" s="108" t="str">
        <f>Estimación!C7</f>
        <v>Sistema Unificado de Reclamos ACV Sistemas</v>
      </c>
      <c r="D7" s="98"/>
      <c r="E7" s="98"/>
      <c r="F7" s="98"/>
      <c r="G7" s="2"/>
      <c r="H7" s="99" t="s">
        <v>4</v>
      </c>
      <c r="I7" s="98"/>
      <c r="J7" s="108">
        <f>Estimación!K7</f>
        <v>1</v>
      </c>
      <c r="K7" s="98"/>
      <c r="L7" s="98"/>
      <c r="M7" s="98"/>
      <c r="N7" s="10"/>
      <c r="O7" s="10"/>
      <c r="P7" s="10"/>
      <c r="Q7" s="10"/>
      <c r="R7" s="10"/>
      <c r="S7" s="10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2.75" customHeight="1" x14ac:dyDescent="0.2">
      <c r="A8" s="99" t="s">
        <v>5</v>
      </c>
      <c r="B8" s="98"/>
      <c r="C8" s="108" t="str">
        <f>Estimación!C8</f>
        <v>Externo</v>
      </c>
      <c r="D8" s="98"/>
      <c r="E8" s="98"/>
      <c r="F8" s="98"/>
      <c r="G8" s="2"/>
      <c r="H8" s="99" t="s">
        <v>6</v>
      </c>
      <c r="I8" s="98"/>
      <c r="J8" s="108" t="str">
        <f>Estimación!K8</f>
        <v>Palomino Nieva, Cynthia Salome</v>
      </c>
      <c r="K8" s="98"/>
      <c r="L8" s="98"/>
      <c r="M8" s="98"/>
      <c r="N8" s="10"/>
      <c r="O8" s="10"/>
      <c r="P8" s="10"/>
      <c r="Q8" s="10"/>
      <c r="R8" s="10"/>
      <c r="S8" s="10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2.75" customHeight="1" x14ac:dyDescent="0.2">
      <c r="A10" s="99" t="s">
        <v>7</v>
      </c>
      <c r="B10" s="98"/>
      <c r="C10" s="10"/>
      <c r="D10" s="107">
        <f>Estimación!C10</f>
        <v>42962</v>
      </c>
      <c r="E10" s="98"/>
      <c r="F10" s="10"/>
      <c r="G10" s="2"/>
      <c r="H10" s="99" t="s">
        <v>9</v>
      </c>
      <c r="I10" s="98"/>
      <c r="J10" s="107">
        <f>Estimación!K10</f>
        <v>43063</v>
      </c>
      <c r="K10" s="98"/>
      <c r="L10" s="98"/>
      <c r="M10" s="98"/>
      <c r="N10" s="10"/>
      <c r="O10" s="10"/>
      <c r="P10" s="10"/>
      <c r="Q10" s="10"/>
      <c r="R10" s="10"/>
      <c r="S10" s="10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8"/>
      <c r="N11" s="8"/>
      <c r="O11" s="8"/>
      <c r="P11" s="8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2.75" customHeight="1" x14ac:dyDescent="0.2">
      <c r="A12" s="99" t="s">
        <v>10</v>
      </c>
      <c r="B12" s="98"/>
      <c r="C12" s="98"/>
      <c r="D12" s="111" t="s">
        <v>146</v>
      </c>
      <c r="E12" s="96"/>
      <c r="F12" s="10"/>
      <c r="G12" s="2"/>
      <c r="H12" s="2"/>
      <c r="I12" s="2"/>
      <c r="J12" s="2"/>
      <c r="K12" s="2"/>
      <c r="L12" s="2"/>
      <c r="M12" s="8"/>
      <c r="N12" s="10"/>
      <c r="O12" s="10"/>
      <c r="P12" s="10"/>
      <c r="Q12" s="99" t="s">
        <v>11</v>
      </c>
      <c r="R12" s="98"/>
      <c r="S12" s="2"/>
      <c r="T12" s="2"/>
      <c r="U12" s="11">
        <f>Estimación!L12</f>
        <v>74814.461900000009</v>
      </c>
      <c r="V12" s="7" t="s">
        <v>62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8"/>
      <c r="N13" s="10"/>
      <c r="O13" s="10"/>
      <c r="P13" s="10"/>
      <c r="Q13" s="99" t="s">
        <v>14</v>
      </c>
      <c r="R13" s="98"/>
      <c r="S13" s="2"/>
      <c r="T13" s="2"/>
      <c r="U13" s="11">
        <f>Estimación!L13</f>
        <v>682.5</v>
      </c>
      <c r="V13" s="7" t="s">
        <v>15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8"/>
      <c r="N14" s="10"/>
      <c r="O14" s="10"/>
      <c r="P14" s="10"/>
      <c r="Q14" s="99" t="s">
        <v>16</v>
      </c>
      <c r="R14" s="98"/>
      <c r="S14" s="2"/>
      <c r="T14" s="2"/>
      <c r="U14" s="11">
        <f>Estimación!L14</f>
        <v>33.012877940236464</v>
      </c>
      <c r="V14" s="7" t="s">
        <v>17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8"/>
      <c r="N15" s="8"/>
      <c r="O15" s="8"/>
      <c r="P15" s="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2.75" customHeight="1" x14ac:dyDescent="0.2">
      <c r="A16" s="14" t="s">
        <v>19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2.75" customHeight="1" x14ac:dyDescent="0.2">
      <c r="A18" s="2"/>
      <c r="B18" s="12" t="s">
        <v>28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2.75" customHeight="1" x14ac:dyDescent="0.2">
      <c r="A20" s="2"/>
      <c r="B20" s="2"/>
      <c r="C20" s="15" t="s">
        <v>30</v>
      </c>
      <c r="D20" s="2"/>
      <c r="E20" s="106" t="s">
        <v>23</v>
      </c>
      <c r="F20" s="93"/>
      <c r="G20" s="56"/>
      <c r="H20" s="105" t="s">
        <v>147</v>
      </c>
      <c r="I20" s="93"/>
      <c r="J20" s="93"/>
      <c r="K20" s="93"/>
      <c r="L20" s="93"/>
      <c r="M20" s="93"/>
      <c r="N20" s="93"/>
      <c r="O20" s="76"/>
      <c r="P20" s="76"/>
      <c r="Q20" s="76"/>
      <c r="R20" s="76"/>
      <c r="S20" s="76"/>
      <c r="T20" s="2"/>
      <c r="U20" s="106" t="s">
        <v>98</v>
      </c>
      <c r="V20" s="9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2.75" customHeight="1" x14ac:dyDescent="0.2">
      <c r="A21" s="2"/>
      <c r="B21" s="2"/>
      <c r="C21" s="2"/>
      <c r="D21" s="2"/>
      <c r="E21" s="17" t="s">
        <v>31</v>
      </c>
      <c r="F21" s="17" t="s">
        <v>36</v>
      </c>
      <c r="G21" s="57"/>
      <c r="H21" s="17" t="s">
        <v>148</v>
      </c>
      <c r="I21" s="17" t="s">
        <v>149</v>
      </c>
      <c r="J21" s="17" t="s">
        <v>150</v>
      </c>
      <c r="K21" s="17" t="s">
        <v>151</v>
      </c>
      <c r="L21" s="17" t="s">
        <v>152</v>
      </c>
      <c r="M21" s="17" t="s">
        <v>153</v>
      </c>
      <c r="N21" s="17" t="s">
        <v>154</v>
      </c>
      <c r="O21" s="17" t="s">
        <v>155</v>
      </c>
      <c r="P21" s="17" t="s">
        <v>156</v>
      </c>
      <c r="Q21" s="17" t="s">
        <v>157</v>
      </c>
      <c r="R21" s="17" t="s">
        <v>158</v>
      </c>
      <c r="S21" s="17" t="s">
        <v>159</v>
      </c>
      <c r="T21" s="2"/>
      <c r="U21" s="17" t="s">
        <v>160</v>
      </c>
      <c r="V21" s="17" t="s">
        <v>17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2.75" customHeight="1" x14ac:dyDescent="0.2">
      <c r="A23" s="2"/>
      <c r="B23" s="2"/>
      <c r="C23" s="2" t="s">
        <v>99</v>
      </c>
      <c r="D23" s="2"/>
      <c r="E23" s="2">
        <f>Estimación!E22</f>
        <v>156.5</v>
      </c>
      <c r="F23" s="29">
        <f>Estimación!E22*Estimación!G22*Estimación!I22</f>
        <v>10955</v>
      </c>
      <c r="G23" s="58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2"/>
      <c r="U23" s="50">
        <f t="shared" ref="U23:U28" si="0">F23-MAX(H23:S23)</f>
        <v>10955</v>
      </c>
      <c r="V23" s="66">
        <f t="shared" ref="V23:V28" si="1">IF(F23=0,"N/A",U23/F23)</f>
        <v>1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2.75" customHeight="1" x14ac:dyDescent="0.2">
      <c r="A24" s="2"/>
      <c r="B24" s="2"/>
      <c r="C24" s="2" t="s">
        <v>100</v>
      </c>
      <c r="D24" s="2"/>
      <c r="E24" s="2">
        <f>Estimación!E23</f>
        <v>228</v>
      </c>
      <c r="F24" s="29">
        <f>Estimación!E23*Estimación!G23*Estimación!I23</f>
        <v>13680</v>
      </c>
      <c r="G24" s="58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2"/>
      <c r="U24" s="50">
        <f t="shared" si="0"/>
        <v>13680</v>
      </c>
      <c r="V24" s="66">
        <f t="shared" si="1"/>
        <v>1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2.75" customHeight="1" x14ac:dyDescent="0.2">
      <c r="A25" s="2"/>
      <c r="B25" s="2"/>
      <c r="C25" s="2" t="s">
        <v>101</v>
      </c>
      <c r="D25" s="2"/>
      <c r="E25" s="2">
        <f>Estimación!E24</f>
        <v>114</v>
      </c>
      <c r="F25" s="29">
        <f>Estimación!E24*Estimación!G24*Estimación!I24</f>
        <v>5700</v>
      </c>
      <c r="G25" s="58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2"/>
      <c r="U25" s="50">
        <f t="shared" si="0"/>
        <v>5700</v>
      </c>
      <c r="V25" s="66">
        <f t="shared" si="1"/>
        <v>1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2.75" customHeight="1" x14ac:dyDescent="0.2">
      <c r="A26" s="2"/>
      <c r="B26" s="2"/>
      <c r="C26" s="2" t="s">
        <v>102</v>
      </c>
      <c r="D26" s="2"/>
      <c r="E26" s="2">
        <f>Estimación!E25</f>
        <v>64</v>
      </c>
      <c r="F26" s="29">
        <f>Estimación!E25*Estimación!G25*Estimación!I25</f>
        <v>4160</v>
      </c>
      <c r="G26" s="58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2"/>
      <c r="U26" s="50">
        <f t="shared" si="0"/>
        <v>4160</v>
      </c>
      <c r="V26" s="66">
        <f t="shared" si="1"/>
        <v>1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2.75" customHeight="1" x14ac:dyDescent="0.2">
      <c r="A27" s="2"/>
      <c r="B27" s="2"/>
      <c r="C27" s="2" t="s">
        <v>103</v>
      </c>
      <c r="D27" s="2"/>
      <c r="E27" s="2">
        <f>Estimación!E26</f>
        <v>28</v>
      </c>
      <c r="F27" s="29">
        <f>Estimación!E26*Estimación!G26*Estimación!I26</f>
        <v>1540</v>
      </c>
      <c r="G27" s="58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2"/>
      <c r="U27" s="50">
        <f t="shared" si="0"/>
        <v>1540</v>
      </c>
      <c r="V27" s="66">
        <f t="shared" si="1"/>
        <v>1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2.75" customHeight="1" x14ac:dyDescent="0.2">
      <c r="A28" s="2"/>
      <c r="B28" s="2"/>
      <c r="C28" s="2" t="s">
        <v>104</v>
      </c>
      <c r="D28" s="2"/>
      <c r="E28" s="2">
        <f>Estimación!E27</f>
        <v>40</v>
      </c>
      <c r="F28" s="29">
        <f>Estimación!E27*Estimación!G27*Estimación!I27</f>
        <v>1600</v>
      </c>
      <c r="G28" s="58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2"/>
      <c r="U28" s="50">
        <f t="shared" si="0"/>
        <v>1600</v>
      </c>
      <c r="V28" s="66">
        <f t="shared" si="1"/>
        <v>1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2.75" customHeight="1" x14ac:dyDescent="0.2">
      <c r="A29" s="2"/>
      <c r="B29" s="2"/>
      <c r="C29" s="2"/>
      <c r="D29" s="2"/>
      <c r="E29" s="2"/>
      <c r="F29" s="29"/>
      <c r="G29" s="58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2"/>
      <c r="U29" s="50"/>
      <c r="V29" s="66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2.75" customHeight="1" x14ac:dyDescent="0.2">
      <c r="A30" s="2"/>
      <c r="B30" s="2"/>
      <c r="C30" s="12" t="s">
        <v>37</v>
      </c>
      <c r="D30" s="2"/>
      <c r="E30" s="2">
        <f>Estimación!E29</f>
        <v>682.5</v>
      </c>
      <c r="F30" s="29">
        <f>SUM(F23:F28)</f>
        <v>37635</v>
      </c>
      <c r="G30" s="58"/>
      <c r="H30" s="50">
        <f>SUM(H23:H28)</f>
        <v>0</v>
      </c>
      <c r="I30" s="50">
        <f t="shared" ref="I30:S30" si="2">MAX(SUM(I23:I28),H30)</f>
        <v>0</v>
      </c>
      <c r="J30" s="50">
        <f t="shared" si="2"/>
        <v>0</v>
      </c>
      <c r="K30" s="50">
        <f t="shared" si="2"/>
        <v>0</v>
      </c>
      <c r="L30" s="50">
        <f t="shared" si="2"/>
        <v>0</v>
      </c>
      <c r="M30" s="50">
        <f t="shared" si="2"/>
        <v>0</v>
      </c>
      <c r="N30" s="50">
        <f t="shared" si="2"/>
        <v>0</v>
      </c>
      <c r="O30" s="50">
        <f t="shared" si="2"/>
        <v>0</v>
      </c>
      <c r="P30" s="50">
        <f t="shared" si="2"/>
        <v>0</v>
      </c>
      <c r="Q30" s="50">
        <f t="shared" si="2"/>
        <v>0</v>
      </c>
      <c r="R30" s="50">
        <f t="shared" si="2"/>
        <v>0</v>
      </c>
      <c r="S30" s="50">
        <f t="shared" si="2"/>
        <v>0</v>
      </c>
      <c r="T30" s="2"/>
      <c r="U30" s="50">
        <f>F30-MAX(H30:S30)</f>
        <v>37635</v>
      </c>
      <c r="V30" s="66">
        <f>IF(F30=0,"N/A",U30/F30)</f>
        <v>1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2.75" customHeight="1" x14ac:dyDescent="0.2">
      <c r="A31" s="2"/>
      <c r="B31" s="2"/>
      <c r="C31" s="2"/>
      <c r="D31" s="2"/>
      <c r="E31" s="2"/>
      <c r="F31" s="2"/>
      <c r="G31" s="2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2"/>
      <c r="U31" s="50"/>
      <c r="V31" s="66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2.75" customHeight="1" x14ac:dyDescent="0.2">
      <c r="A32" s="2"/>
      <c r="B32" s="12" t="s">
        <v>38</v>
      </c>
      <c r="C32" s="2"/>
      <c r="D32" s="2"/>
      <c r="E32" s="2"/>
      <c r="F32" s="2"/>
      <c r="G32" s="2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2"/>
      <c r="U32" s="50"/>
      <c r="V32" s="66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2.75" customHeight="1" x14ac:dyDescent="0.2">
      <c r="A33" s="2"/>
      <c r="B33" s="2"/>
      <c r="C33" s="2"/>
      <c r="D33" s="2"/>
      <c r="E33" s="2"/>
      <c r="F33" s="2"/>
      <c r="G33" s="2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2"/>
      <c r="U33" s="50"/>
      <c r="V33" s="66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2.75" customHeight="1" x14ac:dyDescent="0.2">
      <c r="A34" s="2"/>
      <c r="B34" s="2"/>
      <c r="C34" s="2" t="s">
        <v>105</v>
      </c>
      <c r="D34" s="2"/>
      <c r="E34" s="2"/>
      <c r="F34" s="29" t="e">
        <f>Estimación!#REF!</f>
        <v>#REF!</v>
      </c>
      <c r="G34" s="2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2"/>
      <c r="U34" s="50" t="e">
        <f t="shared" ref="U34:U35" si="3">F34-MAX(H34:S34)</f>
        <v>#REF!</v>
      </c>
      <c r="V34" s="66" t="e">
        <f t="shared" ref="V34:V35" si="4">IF(F34=0,"N/A",U34/F34)</f>
        <v>#REF!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2.75" customHeight="1" x14ac:dyDescent="0.2">
      <c r="A35" s="2"/>
      <c r="B35" s="2"/>
      <c r="C35" s="2" t="s">
        <v>106</v>
      </c>
      <c r="D35" s="2"/>
      <c r="E35" s="2"/>
      <c r="F35" s="29" t="e">
        <f>Estimación!#REF!</f>
        <v>#REF!</v>
      </c>
      <c r="G35" s="2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2"/>
      <c r="U35" s="50" t="e">
        <f t="shared" si="3"/>
        <v>#REF!</v>
      </c>
      <c r="V35" s="66" t="e">
        <f t="shared" si="4"/>
        <v>#REF!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2.75" customHeight="1" x14ac:dyDescent="0.2">
      <c r="A36" s="2"/>
      <c r="B36" s="2"/>
      <c r="C36" s="2"/>
      <c r="D36" s="2"/>
      <c r="E36" s="2"/>
      <c r="F36" s="29"/>
      <c r="G36" s="2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2"/>
      <c r="U36" s="50"/>
      <c r="V36" s="66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2.75" customHeight="1" x14ac:dyDescent="0.2">
      <c r="A37" s="2"/>
      <c r="B37" s="2"/>
      <c r="C37" s="12" t="s">
        <v>37</v>
      </c>
      <c r="D37" s="2"/>
      <c r="E37" s="2"/>
      <c r="F37" s="29" t="e">
        <f>SUM(F34:F35)</f>
        <v>#REF!</v>
      </c>
      <c r="G37" s="2"/>
      <c r="H37" s="50">
        <f>SUM(H34:H35)</f>
        <v>0</v>
      </c>
      <c r="I37" s="50">
        <f t="shared" ref="I37:S37" si="5">MAX(SUM(I34:I35),H37)</f>
        <v>0</v>
      </c>
      <c r="J37" s="50">
        <f t="shared" si="5"/>
        <v>0</v>
      </c>
      <c r="K37" s="50">
        <f t="shared" si="5"/>
        <v>0</v>
      </c>
      <c r="L37" s="50">
        <f t="shared" si="5"/>
        <v>0</v>
      </c>
      <c r="M37" s="50">
        <f t="shared" si="5"/>
        <v>0</v>
      </c>
      <c r="N37" s="50">
        <f t="shared" si="5"/>
        <v>0</v>
      </c>
      <c r="O37" s="50">
        <f t="shared" si="5"/>
        <v>0</v>
      </c>
      <c r="P37" s="50">
        <f t="shared" si="5"/>
        <v>0</v>
      </c>
      <c r="Q37" s="50">
        <f t="shared" si="5"/>
        <v>0</v>
      </c>
      <c r="R37" s="50">
        <f t="shared" si="5"/>
        <v>0</v>
      </c>
      <c r="S37" s="50">
        <f t="shared" si="5"/>
        <v>0</v>
      </c>
      <c r="T37" s="2"/>
      <c r="U37" s="50" t="e">
        <f>F37-MAX(H37:S37)</f>
        <v>#REF!</v>
      </c>
      <c r="V37" s="66" t="e">
        <f>IF(F37=0,"N/A",U37/F37)</f>
        <v>#REF!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2.75" customHeight="1" x14ac:dyDescent="0.2">
      <c r="A38" s="2"/>
      <c r="B38" s="2"/>
      <c r="C38" s="2"/>
      <c r="D38" s="2"/>
      <c r="E38" s="2"/>
      <c r="F38" s="2"/>
      <c r="G38" s="2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2"/>
      <c r="U38" s="50"/>
      <c r="V38" s="66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2.75" customHeight="1" x14ac:dyDescent="0.2">
      <c r="A39" s="2"/>
      <c r="B39" s="12" t="s">
        <v>107</v>
      </c>
      <c r="C39" s="2"/>
      <c r="D39" s="2"/>
      <c r="E39" s="2"/>
      <c r="F39" s="2"/>
      <c r="G39" s="2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2"/>
      <c r="U39" s="50"/>
      <c r="V39" s="66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.75" customHeight="1" x14ac:dyDescent="0.2">
      <c r="A40" s="2"/>
      <c r="B40" s="2"/>
      <c r="C40" s="2"/>
      <c r="D40" s="2"/>
      <c r="E40" s="2"/>
      <c r="F40" s="2"/>
      <c r="G40" s="2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2"/>
      <c r="U40" s="50"/>
      <c r="V40" s="66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.75" customHeight="1" x14ac:dyDescent="0.2">
      <c r="A41" s="2"/>
      <c r="B41" s="2"/>
      <c r="C41" s="2" t="s">
        <v>108</v>
      </c>
      <c r="D41" s="2"/>
      <c r="E41" s="2"/>
      <c r="F41" s="29">
        <f>Estimación!E44*Estimación!G44*Estimación!I44</f>
        <v>29.26</v>
      </c>
      <c r="G41" s="53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2"/>
      <c r="U41" s="50">
        <f t="shared" ref="U41:U46" si="6">F41-MAX(H41:S41)</f>
        <v>29.26</v>
      </c>
      <c r="V41" s="66">
        <f t="shared" ref="V41:V46" si="7">IF(F41=0,"N/A",U41/F41)</f>
        <v>1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2.75" customHeight="1" x14ac:dyDescent="0.2">
      <c r="A42" s="2"/>
      <c r="B42" s="2"/>
      <c r="C42" s="2" t="s">
        <v>130</v>
      </c>
      <c r="D42" s="2"/>
      <c r="E42" s="2"/>
      <c r="F42" s="29" t="e">
        <f>Estimación!#REF!*Estimación!#REF!*Estimación!#REF!</f>
        <v>#REF!</v>
      </c>
      <c r="G42" s="53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2"/>
      <c r="U42" s="50" t="e">
        <f t="shared" si="6"/>
        <v>#REF!</v>
      </c>
      <c r="V42" s="66" t="e">
        <f t="shared" si="7"/>
        <v>#REF!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2.75" customHeight="1" x14ac:dyDescent="0.2">
      <c r="A43" s="2"/>
      <c r="B43" s="2"/>
      <c r="C43" s="2" t="s">
        <v>110</v>
      </c>
      <c r="D43" s="2"/>
      <c r="E43" s="2"/>
      <c r="F43" s="29">
        <f>Estimación!E46*Estimación!G46*Estimación!I46</f>
        <v>190</v>
      </c>
      <c r="G43" s="53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2"/>
      <c r="U43" s="50">
        <f t="shared" si="6"/>
        <v>190</v>
      </c>
      <c r="V43" s="66">
        <f t="shared" si="7"/>
        <v>1</v>
      </c>
      <c r="W43" s="2"/>
      <c r="X43" s="2" t="s">
        <v>161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2.75" customHeight="1" x14ac:dyDescent="0.2">
      <c r="A44" s="2"/>
      <c r="B44" s="2"/>
      <c r="C44" s="2" t="s">
        <v>48</v>
      </c>
      <c r="D44" s="2"/>
      <c r="E44" s="2"/>
      <c r="F44" s="29">
        <f>Estimación!M53</f>
        <v>192</v>
      </c>
      <c r="G44" s="53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2"/>
      <c r="U44" s="50">
        <f t="shared" si="6"/>
        <v>192</v>
      </c>
      <c r="V44" s="66">
        <f t="shared" si="7"/>
        <v>1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2.75" customHeight="1" x14ac:dyDescent="0.2">
      <c r="A45" s="2"/>
      <c r="B45" s="2"/>
      <c r="C45" s="2" t="s">
        <v>111</v>
      </c>
      <c r="D45" s="2"/>
      <c r="E45" s="2"/>
      <c r="F45" s="29">
        <f>Estimación!M54</f>
        <v>3600</v>
      </c>
      <c r="G45" s="53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2"/>
      <c r="U45" s="50">
        <f t="shared" si="6"/>
        <v>3600</v>
      </c>
      <c r="V45" s="66">
        <f t="shared" si="7"/>
        <v>1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2.75" customHeight="1" x14ac:dyDescent="0.2">
      <c r="A46" s="2"/>
      <c r="B46" s="2"/>
      <c r="C46" s="2" t="s">
        <v>112</v>
      </c>
      <c r="D46" s="2"/>
      <c r="E46" s="2"/>
      <c r="F46" s="29" t="e">
        <f>#REF!</f>
        <v>#REF!</v>
      </c>
      <c r="G46" s="2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2"/>
      <c r="U46" s="50" t="e">
        <f t="shared" si="6"/>
        <v>#REF!</v>
      </c>
      <c r="V46" s="66" t="e">
        <f t="shared" si="7"/>
        <v>#REF!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2.75" customHeight="1" x14ac:dyDescent="0.2">
      <c r="A47" s="2"/>
      <c r="B47" s="12"/>
      <c r="C47" s="2"/>
      <c r="D47" s="2"/>
      <c r="E47" s="2"/>
      <c r="F47" s="29"/>
      <c r="G47" s="2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2"/>
      <c r="U47" s="50"/>
      <c r="V47" s="6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2.75" customHeight="1" x14ac:dyDescent="0.2">
      <c r="A48" s="2"/>
      <c r="B48" s="2"/>
      <c r="C48" s="2" t="s">
        <v>114</v>
      </c>
      <c r="D48" s="2"/>
      <c r="E48" s="2"/>
      <c r="F48" s="29" t="e">
        <f>F23*Estimación!K22+F24*Estimación!K23+Evolución!F25*Estimación!K24+Evolución!F26*Estimación!K25+Evolución!F27*Estimación!K26+Evolución!F28*Estimación!K27+F37*Estimación!K36+F41*Estimación!K44+Evolución!F42*Estimación!#REF!+Evolución!F43*Estimación!K46+SUM(F44:F46)*Estimación!K56</f>
        <v>#REF!</v>
      </c>
      <c r="G48" s="2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2"/>
      <c r="U48" s="50" t="e">
        <f>F48-MAX(H48:S48)</f>
        <v>#REF!</v>
      </c>
      <c r="V48" s="66" t="e">
        <f>IF(F48=0,"N/A",U48/F48)</f>
        <v>#REF!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2.75" customHeight="1" x14ac:dyDescent="0.2">
      <c r="A49" s="2"/>
      <c r="B49" s="2"/>
      <c r="C49" s="2"/>
      <c r="D49" s="2"/>
      <c r="E49" s="2"/>
      <c r="F49" s="2"/>
      <c r="G49" s="2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2"/>
      <c r="U49" s="50"/>
      <c r="V49" s="66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2.75" customHeight="1" x14ac:dyDescent="0.2">
      <c r="A50" s="2"/>
      <c r="B50" s="2"/>
      <c r="C50" s="12" t="s">
        <v>37</v>
      </c>
      <c r="D50" s="2"/>
      <c r="E50" s="2"/>
      <c r="F50" s="29" t="e">
        <f>SUM(F41:F48)</f>
        <v>#REF!</v>
      </c>
      <c r="G50" s="2"/>
      <c r="H50" s="50">
        <f>SUM(H41:H48)</f>
        <v>0</v>
      </c>
      <c r="I50" s="50">
        <f t="shared" ref="I50:S50" si="8">MAX(SUM(I41:I48),H50)</f>
        <v>0</v>
      </c>
      <c r="J50" s="50">
        <f t="shared" si="8"/>
        <v>0</v>
      </c>
      <c r="K50" s="50">
        <f t="shared" si="8"/>
        <v>0</v>
      </c>
      <c r="L50" s="50">
        <f t="shared" si="8"/>
        <v>0</v>
      </c>
      <c r="M50" s="50">
        <f t="shared" si="8"/>
        <v>0</v>
      </c>
      <c r="N50" s="50">
        <f t="shared" si="8"/>
        <v>0</v>
      </c>
      <c r="O50" s="50">
        <f t="shared" si="8"/>
        <v>0</v>
      </c>
      <c r="P50" s="50">
        <f t="shared" si="8"/>
        <v>0</v>
      </c>
      <c r="Q50" s="50">
        <f t="shared" si="8"/>
        <v>0</v>
      </c>
      <c r="R50" s="50">
        <f t="shared" si="8"/>
        <v>0</v>
      </c>
      <c r="S50" s="50">
        <f t="shared" si="8"/>
        <v>0</v>
      </c>
      <c r="T50" s="2"/>
      <c r="U50" s="50" t="e">
        <f>F50-MAX(H50:S50)</f>
        <v>#REF!</v>
      </c>
      <c r="V50" s="66" t="e">
        <f>IF(F50=0,"N/A",U50/F50)</f>
        <v>#REF!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2.75" customHeight="1" x14ac:dyDescent="0.2">
      <c r="A51" s="2"/>
      <c r="B51" s="2"/>
      <c r="C51" s="2"/>
      <c r="D51" s="2"/>
      <c r="E51" s="2"/>
      <c r="F51" s="2"/>
      <c r="G51" s="2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2"/>
      <c r="U51" s="50"/>
      <c r="V51" s="66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2.75" customHeight="1" x14ac:dyDescent="0.2">
      <c r="A52" s="2"/>
      <c r="B52" s="2"/>
      <c r="C52" s="2"/>
      <c r="D52" s="2"/>
      <c r="E52" s="2"/>
      <c r="F52" s="2"/>
      <c r="G52" s="2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2"/>
      <c r="U52" s="50"/>
      <c r="V52" s="66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2.75" customHeight="1" x14ac:dyDescent="0.2">
      <c r="A53" s="2"/>
      <c r="B53" s="12" t="s">
        <v>51</v>
      </c>
      <c r="C53" s="12"/>
      <c r="D53" s="2"/>
      <c r="E53" s="2"/>
      <c r="F53" s="78" t="e">
        <f>F30+F37+F50</f>
        <v>#REF!</v>
      </c>
      <c r="G53" s="12"/>
      <c r="H53" s="79">
        <f t="shared" ref="H53:S53" si="9">H30+H37+H50</f>
        <v>0</v>
      </c>
      <c r="I53" s="79">
        <f t="shared" si="9"/>
        <v>0</v>
      </c>
      <c r="J53" s="79">
        <f t="shared" si="9"/>
        <v>0</v>
      </c>
      <c r="K53" s="79">
        <f t="shared" si="9"/>
        <v>0</v>
      </c>
      <c r="L53" s="79">
        <f t="shared" si="9"/>
        <v>0</v>
      </c>
      <c r="M53" s="79">
        <f t="shared" si="9"/>
        <v>0</v>
      </c>
      <c r="N53" s="79">
        <f t="shared" si="9"/>
        <v>0</v>
      </c>
      <c r="O53" s="79">
        <f t="shared" si="9"/>
        <v>0</v>
      </c>
      <c r="P53" s="79">
        <f t="shared" si="9"/>
        <v>0</v>
      </c>
      <c r="Q53" s="79">
        <f t="shared" si="9"/>
        <v>0</v>
      </c>
      <c r="R53" s="79">
        <f t="shared" si="9"/>
        <v>0</v>
      </c>
      <c r="S53" s="79">
        <f t="shared" si="9"/>
        <v>0</v>
      </c>
      <c r="T53" s="2"/>
      <c r="U53" s="79" t="e">
        <f>F53-MAX(H53:S53)</f>
        <v>#REF!</v>
      </c>
      <c r="V53" s="80" t="e">
        <f>IF(F53=0,"N/A",U53/F53)</f>
        <v>#REF!</v>
      </c>
      <c r="W53" s="2"/>
      <c r="X53" s="2" t="s">
        <v>64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9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9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2.75" customHeight="1" x14ac:dyDescent="0.2">
      <c r="A56" s="14" t="s">
        <v>120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7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2.75" customHeight="1" x14ac:dyDescent="0.2">
      <c r="A57" s="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8"/>
      <c r="M57" s="69"/>
      <c r="N57" s="69"/>
      <c r="O57" s="69"/>
      <c r="P57" s="69"/>
      <c r="Q57" s="69"/>
      <c r="R57" s="69"/>
      <c r="S57" s="69"/>
      <c r="T57" s="8"/>
      <c r="U57" s="2"/>
      <c r="V57" s="19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2.75" customHeight="1" x14ac:dyDescent="0.2">
      <c r="A58" s="8"/>
      <c r="B58" s="8"/>
      <c r="C58" s="8"/>
      <c r="D58" s="8"/>
      <c r="E58" s="8"/>
      <c r="F58" s="8"/>
      <c r="G58" s="2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2"/>
      <c r="V58" s="19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2.75" customHeight="1" x14ac:dyDescent="0.2">
      <c r="A59" s="8"/>
      <c r="B59" s="8" t="s">
        <v>124</v>
      </c>
      <c r="C59" s="8"/>
      <c r="D59" s="8"/>
      <c r="E59" s="8"/>
      <c r="F59" s="29">
        <f>Estimación!M81</f>
        <v>74814.461900000009</v>
      </c>
      <c r="G59" s="2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2"/>
      <c r="U59" s="50">
        <f>F59-MAX(H59:S59)</f>
        <v>74814.461900000009</v>
      </c>
      <c r="V59" s="66">
        <f>IF(F59=0,"N/A",U59/F59)</f>
        <v>1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2.7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8"/>
      <c r="U60" s="8"/>
      <c r="V60" s="19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2.75" customHeight="1" x14ac:dyDescent="0.2">
      <c r="A61" s="8"/>
      <c r="B61" s="8" t="s">
        <v>162</v>
      </c>
      <c r="C61" s="8"/>
      <c r="D61" s="8"/>
      <c r="E61" s="8"/>
      <c r="F61" s="29" t="e">
        <f>F59-F53</f>
        <v>#REF!</v>
      </c>
      <c r="G61" s="51"/>
      <c r="H61" s="50">
        <f t="shared" ref="H61:S61" si="10">$F$59-H53</f>
        <v>74814.461900000009</v>
      </c>
      <c r="I61" s="50">
        <f t="shared" si="10"/>
        <v>74814.461900000009</v>
      </c>
      <c r="J61" s="50">
        <f t="shared" si="10"/>
        <v>74814.461900000009</v>
      </c>
      <c r="K61" s="50">
        <f t="shared" si="10"/>
        <v>74814.461900000009</v>
      </c>
      <c r="L61" s="50">
        <f t="shared" si="10"/>
        <v>74814.461900000009</v>
      </c>
      <c r="M61" s="50">
        <f t="shared" si="10"/>
        <v>74814.461900000009</v>
      </c>
      <c r="N61" s="50">
        <f t="shared" si="10"/>
        <v>74814.461900000009</v>
      </c>
      <c r="O61" s="50">
        <f t="shared" si="10"/>
        <v>74814.461900000009</v>
      </c>
      <c r="P61" s="50">
        <f t="shared" si="10"/>
        <v>74814.461900000009</v>
      </c>
      <c r="Q61" s="50">
        <f t="shared" si="10"/>
        <v>74814.461900000009</v>
      </c>
      <c r="R61" s="50">
        <f t="shared" si="10"/>
        <v>74814.461900000009</v>
      </c>
      <c r="S61" s="50">
        <f t="shared" si="10"/>
        <v>74814.461900000009</v>
      </c>
      <c r="T61" s="8"/>
      <c r="U61" s="50">
        <f>MIN(H61:S61)</f>
        <v>74814.461900000009</v>
      </c>
      <c r="V61" s="66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2.75" customHeight="1" x14ac:dyDescent="0.2">
      <c r="A62" s="8"/>
      <c r="B62" s="12"/>
      <c r="C62" s="8"/>
      <c r="D62" s="8"/>
      <c r="E62" s="8"/>
      <c r="F62" s="66" t="e">
        <f>IF($F$53=0,"N/A",F61/$F$53)</f>
        <v>#REF!</v>
      </c>
      <c r="G62" s="66"/>
      <c r="H62" s="66" t="e">
        <f t="shared" ref="H62:S62" si="11">IF($F$53=0,"N/A",H61/$F$53)</f>
        <v>#REF!</v>
      </c>
      <c r="I62" s="66" t="e">
        <f t="shared" si="11"/>
        <v>#REF!</v>
      </c>
      <c r="J62" s="66" t="e">
        <f t="shared" si="11"/>
        <v>#REF!</v>
      </c>
      <c r="K62" s="66" t="e">
        <f t="shared" si="11"/>
        <v>#REF!</v>
      </c>
      <c r="L62" s="66" t="e">
        <f t="shared" si="11"/>
        <v>#REF!</v>
      </c>
      <c r="M62" s="66" t="e">
        <f t="shared" si="11"/>
        <v>#REF!</v>
      </c>
      <c r="N62" s="66" t="e">
        <f t="shared" si="11"/>
        <v>#REF!</v>
      </c>
      <c r="O62" s="66" t="e">
        <f t="shared" si="11"/>
        <v>#REF!</v>
      </c>
      <c r="P62" s="66" t="e">
        <f t="shared" si="11"/>
        <v>#REF!</v>
      </c>
      <c r="Q62" s="66" t="e">
        <f t="shared" si="11"/>
        <v>#REF!</v>
      </c>
      <c r="R62" s="66" t="e">
        <f t="shared" si="11"/>
        <v>#REF!</v>
      </c>
      <c r="S62" s="66" t="e">
        <f t="shared" si="11"/>
        <v>#REF!</v>
      </c>
      <c r="T62" s="8"/>
      <c r="U62" s="50"/>
      <c r="V62" s="66" t="e">
        <f>MIN(H62:M62)</f>
        <v>#REF!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2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2.75" customHeight="1" x14ac:dyDescent="0.2">
      <c r="A64" s="99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"/>
      <c r="O64" s="9"/>
      <c r="P64" s="9"/>
      <c r="Q64" s="9"/>
      <c r="R64" s="9"/>
      <c r="S64" s="9"/>
      <c r="T64" s="8"/>
      <c r="U64" s="8"/>
      <c r="V64" s="8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2.75" customHeight="1" x14ac:dyDescent="0.2">
      <c r="A65" s="8"/>
      <c r="B65" s="8"/>
      <c r="C65" s="45"/>
      <c r="D65" s="45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2.75" customHeight="1" x14ac:dyDescent="0.2">
      <c r="A66" s="8"/>
      <c r="B66" s="9"/>
      <c r="C66" s="9"/>
      <c r="D66" s="9"/>
      <c r="E66" s="9"/>
      <c r="F66" s="23"/>
      <c r="G66" s="8"/>
      <c r="H66" s="29"/>
      <c r="I66" s="8"/>
      <c r="J66" s="8"/>
      <c r="K66" s="8"/>
      <c r="L66" s="8"/>
      <c r="M66" s="29"/>
      <c r="N66" s="29"/>
      <c r="O66" s="29"/>
      <c r="P66" s="29"/>
      <c r="Q66" s="29"/>
      <c r="R66" s="29"/>
      <c r="S66" s="29"/>
      <c r="T66" s="8"/>
      <c r="U66" s="8"/>
      <c r="V66" s="8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2.75" customHeight="1" x14ac:dyDescent="0.2">
      <c r="A67" s="8"/>
      <c r="B67" s="12"/>
      <c r="C67" s="99"/>
      <c r="D67" s="98"/>
      <c r="E67" s="12"/>
      <c r="F67" s="23"/>
      <c r="G67" s="8"/>
      <c r="H67" s="29"/>
      <c r="I67" s="8"/>
      <c r="J67" s="8"/>
      <c r="K67" s="8"/>
      <c r="L67" s="8"/>
      <c r="M67" s="29"/>
      <c r="N67" s="29"/>
      <c r="O67" s="29"/>
      <c r="P67" s="29"/>
      <c r="Q67" s="29"/>
      <c r="R67" s="29"/>
      <c r="S67" s="29"/>
      <c r="T67" s="8"/>
      <c r="U67" s="8"/>
      <c r="V67" s="8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2.75" customHeight="1" x14ac:dyDescent="0.2">
      <c r="A68" s="8"/>
      <c r="B68" s="8"/>
      <c r="C68" s="97"/>
      <c r="D68" s="98"/>
      <c r="E68" s="8"/>
      <c r="F68" s="23"/>
      <c r="G68" s="8"/>
      <c r="H68" s="29"/>
      <c r="I68" s="8"/>
      <c r="J68" s="8"/>
      <c r="K68" s="8"/>
      <c r="L68" s="8"/>
      <c r="M68" s="29"/>
      <c r="N68" s="29"/>
      <c r="O68" s="29"/>
      <c r="P68" s="29"/>
      <c r="Q68" s="29"/>
      <c r="R68" s="29"/>
      <c r="S68" s="29"/>
      <c r="T68" s="8"/>
      <c r="U68" s="8"/>
      <c r="V68" s="8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2.75" customHeight="1" x14ac:dyDescent="0.2">
      <c r="A69" s="8"/>
      <c r="B69" s="8"/>
      <c r="C69" s="97"/>
      <c r="D69" s="98"/>
      <c r="E69" s="8"/>
      <c r="F69" s="23"/>
      <c r="G69" s="8"/>
      <c r="H69" s="29"/>
      <c r="I69" s="8"/>
      <c r="J69" s="8"/>
      <c r="K69" s="8"/>
      <c r="L69" s="8"/>
      <c r="M69" s="29"/>
      <c r="N69" s="29"/>
      <c r="O69" s="29"/>
      <c r="P69" s="29"/>
      <c r="Q69" s="29"/>
      <c r="R69" s="29"/>
      <c r="S69" s="29"/>
      <c r="T69" s="8"/>
      <c r="U69" s="8"/>
      <c r="V69" s="8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2.75" customHeight="1" x14ac:dyDescent="0.2">
      <c r="A70" s="8"/>
      <c r="B70" s="8"/>
      <c r="C70" s="45"/>
      <c r="D70" s="45"/>
      <c r="E70" s="8"/>
      <c r="F70" s="2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.75" customHeight="1" x14ac:dyDescent="0.2">
      <c r="A71" s="8"/>
      <c r="B71" s="8"/>
      <c r="C71" s="97"/>
      <c r="D71" s="98"/>
      <c r="E71" s="8"/>
      <c r="F71" s="81"/>
      <c r="G71" s="8"/>
      <c r="H71" s="29"/>
      <c r="I71" s="8"/>
      <c r="J71" s="8"/>
      <c r="K71" s="8"/>
      <c r="L71" s="8"/>
      <c r="M71" s="78"/>
      <c r="N71" s="78"/>
      <c r="O71" s="78"/>
      <c r="P71" s="78"/>
      <c r="Q71" s="78"/>
      <c r="R71" s="78"/>
      <c r="S71" s="78"/>
      <c r="T71" s="8"/>
      <c r="U71" s="8"/>
      <c r="V71" s="8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.75" customHeight="1" x14ac:dyDescent="0.2">
      <c r="A74" s="8"/>
      <c r="B74" s="8"/>
      <c r="C74" s="112"/>
      <c r="D74" s="98"/>
      <c r="E74" s="8"/>
      <c r="F74" s="23"/>
      <c r="G74" s="8"/>
      <c r="H74" s="29"/>
      <c r="I74" s="8"/>
      <c r="J74" s="8"/>
      <c r="K74" s="8"/>
      <c r="L74" s="8"/>
      <c r="M74" s="78"/>
      <c r="N74" s="78"/>
      <c r="O74" s="78"/>
      <c r="P74" s="78"/>
      <c r="Q74" s="78"/>
      <c r="R74" s="78"/>
      <c r="S74" s="78"/>
      <c r="T74" s="8"/>
      <c r="U74" s="8"/>
      <c r="V74" s="8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.75" customHeight="1" x14ac:dyDescent="0.2">
      <c r="A77" s="8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 customHeight="1" x14ac:dyDescent="0.2">
      <c r="A79" s="8"/>
      <c r="B79" s="8"/>
      <c r="C79" s="12"/>
      <c r="D79" s="8"/>
      <c r="E79" s="8"/>
      <c r="F79" s="8"/>
      <c r="G79" s="8"/>
      <c r="H79" s="8"/>
      <c r="I79" s="8"/>
      <c r="J79" s="8"/>
      <c r="K79" s="8"/>
      <c r="L79" s="8"/>
      <c r="M79" s="69"/>
      <c r="N79" s="69"/>
      <c r="O79" s="69"/>
      <c r="P79" s="69"/>
      <c r="Q79" s="69"/>
      <c r="R79" s="69"/>
      <c r="S79" s="69"/>
      <c r="T79" s="8"/>
      <c r="U79" s="8"/>
      <c r="V79" s="8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8"/>
      <c r="M81" s="8"/>
      <c r="N81" s="8"/>
      <c r="O81" s="8"/>
      <c r="P81" s="8"/>
      <c r="Q81" s="8"/>
      <c r="R81" s="8"/>
      <c r="S81" s="8"/>
      <c r="T81" s="8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8"/>
      <c r="M82" s="8"/>
      <c r="N82" s="8"/>
      <c r="O82" s="8"/>
      <c r="P82" s="8"/>
      <c r="Q82" s="8"/>
      <c r="R82" s="8"/>
      <c r="S82" s="8"/>
      <c r="T82" s="8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8"/>
      <c r="M83" s="8"/>
      <c r="N83" s="8"/>
      <c r="O83" s="8"/>
      <c r="P83" s="8"/>
      <c r="Q83" s="8"/>
      <c r="R83" s="8"/>
      <c r="S83" s="8"/>
      <c r="T83" s="8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8"/>
      <c r="M84" s="8"/>
      <c r="N84" s="8"/>
      <c r="O84" s="8"/>
      <c r="P84" s="8"/>
      <c r="Q84" s="8"/>
      <c r="R84" s="8"/>
      <c r="S84" s="8"/>
      <c r="T84" s="8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.75" customHeight="1" x14ac:dyDescent="0.2">
      <c r="A88" s="2"/>
      <c r="B88" s="9"/>
      <c r="C88" s="9"/>
      <c r="D88" s="9"/>
      <c r="E88" s="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.75" customHeight="1" x14ac:dyDescent="0.2">
      <c r="A89" s="2"/>
      <c r="B89" s="12"/>
      <c r="C89" s="99"/>
      <c r="D89" s="98"/>
      <c r="E89" s="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29">
    <mergeCell ref="C68:D68"/>
    <mergeCell ref="C69:D69"/>
    <mergeCell ref="C71:D71"/>
    <mergeCell ref="C89:D89"/>
    <mergeCell ref="C74:D74"/>
    <mergeCell ref="A10:B10"/>
    <mergeCell ref="A8:B8"/>
    <mergeCell ref="A7:B7"/>
    <mergeCell ref="C7:F7"/>
    <mergeCell ref="C67:D67"/>
    <mergeCell ref="A64:M64"/>
    <mergeCell ref="H10:I10"/>
    <mergeCell ref="J10:M10"/>
    <mergeCell ref="A12:C12"/>
    <mergeCell ref="D12:E12"/>
    <mergeCell ref="H7:I7"/>
    <mergeCell ref="J7:M7"/>
    <mergeCell ref="E20:F20"/>
    <mergeCell ref="C1:N2"/>
    <mergeCell ref="C4:M5"/>
    <mergeCell ref="H20:N20"/>
    <mergeCell ref="C8:F8"/>
    <mergeCell ref="H8:I8"/>
    <mergeCell ref="U20:V20"/>
    <mergeCell ref="Q13:R13"/>
    <mergeCell ref="Q14:R14"/>
    <mergeCell ref="D10:E10"/>
    <mergeCell ref="J8:M8"/>
    <mergeCell ref="Q12:R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8" workbookViewId="0"/>
  </sheetViews>
  <sheetFormatPr baseColWidth="10" defaultColWidth="14.42578125" defaultRowHeight="15" customHeight="1" x14ac:dyDescent="0.2"/>
  <cols>
    <col min="1" max="1" width="9" customWidth="1"/>
    <col min="2" max="2" width="7.5703125" customWidth="1"/>
    <col min="3" max="4" width="11.42578125" customWidth="1"/>
    <col min="5" max="5" width="9.85546875" customWidth="1"/>
    <col min="6" max="6" width="11.42578125" customWidth="1"/>
    <col min="7" max="7" width="7.28515625" customWidth="1"/>
    <col min="8" max="8" width="9.85546875" customWidth="1"/>
    <col min="9" max="10" width="11.42578125" customWidth="1"/>
    <col min="11" max="11" width="6.7109375" customWidth="1"/>
    <col min="12" max="12" width="12.7109375" customWidth="1"/>
    <col min="13" max="13" width="12.85546875" customWidth="1"/>
    <col min="14" max="24" width="11.42578125" customWidth="1"/>
    <col min="25" max="26" width="10" customWidth="1"/>
  </cols>
  <sheetData>
    <row r="1" spans="1:26" ht="12.75" customHeight="1" x14ac:dyDescent="0.2">
      <c r="A1" s="2"/>
      <c r="B1" s="2"/>
      <c r="C1" s="102" t="s">
        <v>113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/>
      <c r="B4" s="2"/>
      <c r="C4" s="10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/>
      <c r="B5" s="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99" t="s">
        <v>3</v>
      </c>
      <c r="B7" s="98"/>
      <c r="C7" s="108" t="str">
        <f>Estimación!C7</f>
        <v>Sistema Unificado de Reclamos ACV Sistemas</v>
      </c>
      <c r="D7" s="98"/>
      <c r="E7" s="98"/>
      <c r="F7" s="98"/>
      <c r="G7" s="2"/>
      <c r="H7" s="99" t="s">
        <v>4</v>
      </c>
      <c r="I7" s="98"/>
      <c r="J7" s="108">
        <f>Estimación!K7</f>
        <v>1</v>
      </c>
      <c r="K7" s="98"/>
      <c r="L7" s="98"/>
      <c r="M7" s="98"/>
      <c r="N7" s="9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99" t="s">
        <v>5</v>
      </c>
      <c r="B8" s="98"/>
      <c r="C8" s="108" t="str">
        <f>Estimación!C8</f>
        <v>Externo</v>
      </c>
      <c r="D8" s="98"/>
      <c r="E8" s="98"/>
      <c r="F8" s="98"/>
      <c r="G8" s="2"/>
      <c r="H8" s="99" t="s">
        <v>6</v>
      </c>
      <c r="I8" s="98"/>
      <c r="J8" s="108" t="str">
        <f>Estimación!K8</f>
        <v>Palomino Nieva, Cynthia Salome</v>
      </c>
      <c r="K8" s="98"/>
      <c r="L8" s="98"/>
      <c r="M8" s="98"/>
      <c r="N8" s="9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8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"/>
      <c r="B10" s="2"/>
      <c r="C10" s="2"/>
      <c r="D10" s="2"/>
      <c r="E10" s="2"/>
      <c r="F10" s="8"/>
      <c r="G10" s="8"/>
      <c r="H10" s="2"/>
      <c r="I10" s="2"/>
      <c r="J10" s="2"/>
      <c r="K10" s="2"/>
      <c r="L10" s="18" t="s">
        <v>115</v>
      </c>
      <c r="M10" s="18" t="s">
        <v>116</v>
      </c>
      <c r="N10" s="1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99" t="s">
        <v>10</v>
      </c>
      <c r="B11" s="98"/>
      <c r="C11" s="100"/>
      <c r="D11" s="94"/>
      <c r="E11" s="96"/>
      <c r="F11" s="10"/>
      <c r="G11" s="8"/>
      <c r="H11" s="99" t="s">
        <v>11</v>
      </c>
      <c r="I11" s="98"/>
      <c r="J11" s="2"/>
      <c r="K11" s="2"/>
      <c r="L11" s="11">
        <f>Estimación!L12</f>
        <v>74814.461900000009</v>
      </c>
      <c r="M11" s="11">
        <f>I60</f>
        <v>0</v>
      </c>
      <c r="N11" s="7" t="s">
        <v>62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"/>
      <c r="B12" s="2"/>
      <c r="C12" s="2"/>
      <c r="D12" s="2"/>
      <c r="E12" s="2"/>
      <c r="F12" s="8"/>
      <c r="G12" s="8"/>
      <c r="H12" s="99" t="s">
        <v>14</v>
      </c>
      <c r="I12" s="98"/>
      <c r="J12" s="2"/>
      <c r="K12" s="2"/>
      <c r="L12" s="11">
        <f>Estimación!L13</f>
        <v>682.5</v>
      </c>
      <c r="M12" s="11">
        <f>H31</f>
        <v>0</v>
      </c>
      <c r="N12" s="7" t="s">
        <v>15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2"/>
      <c r="D13" s="2"/>
      <c r="E13" s="2"/>
      <c r="F13" s="8"/>
      <c r="G13" s="8"/>
      <c r="H13" s="99" t="s">
        <v>16</v>
      </c>
      <c r="I13" s="98"/>
      <c r="J13" s="2"/>
      <c r="K13" s="2"/>
      <c r="L13" s="61">
        <f>Estimación!L14/100</f>
        <v>0.33012877940236462</v>
      </c>
      <c r="M13" s="61" t="str">
        <f>J62</f>
        <v>N/A</v>
      </c>
      <c r="N13" s="7" t="s">
        <v>17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8"/>
      <c r="G14" s="8"/>
      <c r="H14" s="9" t="s">
        <v>7</v>
      </c>
      <c r="I14" s="9"/>
      <c r="J14" s="2"/>
      <c r="K14" s="2"/>
      <c r="L14" s="62">
        <f>Estimación!C10</f>
        <v>42962</v>
      </c>
      <c r="M14" s="62" t="s">
        <v>117</v>
      </c>
      <c r="N14" s="7" t="s">
        <v>118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9" t="s">
        <v>9</v>
      </c>
      <c r="I15" s="9"/>
      <c r="J15" s="2"/>
      <c r="K15" s="2"/>
      <c r="L15" s="62">
        <f>Estimación!J10</f>
        <v>0</v>
      </c>
      <c r="M15" s="62" t="s">
        <v>119</v>
      </c>
      <c r="N15" s="7" t="s">
        <v>118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92" t="s">
        <v>19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12" t="s">
        <v>28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15" t="s">
        <v>30</v>
      </c>
      <c r="D21" s="2"/>
      <c r="E21" s="106" t="s">
        <v>23</v>
      </c>
      <c r="F21" s="93"/>
      <c r="G21" s="56"/>
      <c r="H21" s="106" t="s">
        <v>121</v>
      </c>
      <c r="I21" s="93"/>
      <c r="J21" s="93"/>
      <c r="K21" s="56"/>
      <c r="L21" s="106" t="s">
        <v>122</v>
      </c>
      <c r="M21" s="93"/>
      <c r="N21" s="9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17" t="s">
        <v>31</v>
      </c>
      <c r="F22" s="17" t="s">
        <v>36</v>
      </c>
      <c r="G22" s="57"/>
      <c r="H22" s="17" t="s">
        <v>31</v>
      </c>
      <c r="I22" s="17" t="s">
        <v>36</v>
      </c>
      <c r="J22" s="17" t="s">
        <v>17</v>
      </c>
      <c r="K22" s="57"/>
      <c r="L22" s="17" t="s">
        <v>123</v>
      </c>
      <c r="M22" s="17" t="s">
        <v>36</v>
      </c>
      <c r="N22" s="17" t="s">
        <v>17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 t="s">
        <v>99</v>
      </c>
      <c r="D24" s="2"/>
      <c r="E24" s="2">
        <f>Estimación!E22</f>
        <v>156.5</v>
      </c>
      <c r="F24" s="29">
        <f>Estimación!E22*Estimación!G22*Estimación!I22</f>
        <v>10955</v>
      </c>
      <c r="G24" s="58"/>
      <c r="H24" s="54"/>
      <c r="I24" s="29">
        <f>H24*Estimación!G22*Estimación!I22</f>
        <v>0</v>
      </c>
      <c r="J24" s="59">
        <f t="shared" ref="J24:J29" si="0">IF(E24=0,"N/A",100*H24/E24)</f>
        <v>0</v>
      </c>
      <c r="K24" s="23"/>
      <c r="L24" s="29">
        <f t="shared" ref="L24:M24" si="1">H24-E24</f>
        <v>-156.5</v>
      </c>
      <c r="M24" s="29">
        <f t="shared" si="1"/>
        <v>-10955</v>
      </c>
      <c r="N24" s="66">
        <f t="shared" ref="N24:N29" si="2">IF(E24=0,"N/A",L24/E24)</f>
        <v>-1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 t="s">
        <v>100</v>
      </c>
      <c r="D25" s="2"/>
      <c r="E25" s="2">
        <f>Estimación!E23</f>
        <v>228</v>
      </c>
      <c r="F25" s="29">
        <f>Estimación!E23*Estimación!G23*Estimación!I23</f>
        <v>13680</v>
      </c>
      <c r="G25" s="58"/>
      <c r="H25" s="54"/>
      <c r="I25" s="29">
        <f>H25*Estimación!G23*Estimación!I23</f>
        <v>0</v>
      </c>
      <c r="J25" s="59">
        <f t="shared" si="0"/>
        <v>0</v>
      </c>
      <c r="K25" s="23"/>
      <c r="L25" s="29">
        <f t="shared" ref="L25:M25" si="3">H25-E25</f>
        <v>-228</v>
      </c>
      <c r="M25" s="29">
        <f t="shared" si="3"/>
        <v>-13680</v>
      </c>
      <c r="N25" s="66">
        <f t="shared" si="2"/>
        <v>-1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 t="s">
        <v>101</v>
      </c>
      <c r="D26" s="2"/>
      <c r="E26" s="2">
        <f>Estimación!E24</f>
        <v>114</v>
      </c>
      <c r="F26" s="29">
        <f>Estimación!E24*Estimación!G24*Estimación!I24</f>
        <v>5700</v>
      </c>
      <c r="G26" s="58"/>
      <c r="H26" s="54"/>
      <c r="I26" s="29">
        <f>H26*Estimación!G24*Estimación!I24</f>
        <v>0</v>
      </c>
      <c r="J26" s="59">
        <f t="shared" si="0"/>
        <v>0</v>
      </c>
      <c r="K26" s="23"/>
      <c r="L26" s="29">
        <f t="shared" ref="L26:M26" si="4">H26-E26</f>
        <v>-114</v>
      </c>
      <c r="M26" s="29">
        <f t="shared" si="4"/>
        <v>-5700</v>
      </c>
      <c r="N26" s="66">
        <f t="shared" si="2"/>
        <v>-1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 t="s">
        <v>102</v>
      </c>
      <c r="D27" s="2"/>
      <c r="E27" s="2">
        <f>Estimación!E25</f>
        <v>64</v>
      </c>
      <c r="F27" s="29">
        <f>Estimación!E25*Estimación!G25*Estimación!I25</f>
        <v>4160</v>
      </c>
      <c r="G27" s="58"/>
      <c r="H27" s="54"/>
      <c r="I27" s="29">
        <f>H27*Estimación!G25*Estimación!I25</f>
        <v>0</v>
      </c>
      <c r="J27" s="59">
        <f t="shared" si="0"/>
        <v>0</v>
      </c>
      <c r="K27" s="23"/>
      <c r="L27" s="29">
        <f t="shared" ref="L27:M27" si="5">H27-E27</f>
        <v>-64</v>
      </c>
      <c r="M27" s="29">
        <f t="shared" si="5"/>
        <v>-4160</v>
      </c>
      <c r="N27" s="66">
        <f t="shared" si="2"/>
        <v>-1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 t="s">
        <v>103</v>
      </c>
      <c r="D28" s="2"/>
      <c r="E28" s="2">
        <f>Estimación!E26</f>
        <v>28</v>
      </c>
      <c r="F28" s="29">
        <f>Estimación!E26*Estimación!G26*Estimación!I26</f>
        <v>1540</v>
      </c>
      <c r="G28" s="58"/>
      <c r="H28" s="54"/>
      <c r="I28" s="29">
        <f>H28*Estimación!G26*Estimación!I26</f>
        <v>0</v>
      </c>
      <c r="J28" s="59">
        <f t="shared" si="0"/>
        <v>0</v>
      </c>
      <c r="K28" s="23"/>
      <c r="L28" s="29">
        <f t="shared" ref="L28:M28" si="6">H28-E28</f>
        <v>-28</v>
      </c>
      <c r="M28" s="29">
        <f t="shared" si="6"/>
        <v>-1540</v>
      </c>
      <c r="N28" s="66">
        <f t="shared" si="2"/>
        <v>-1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 t="s">
        <v>104</v>
      </c>
      <c r="D29" s="2"/>
      <c r="E29" s="2">
        <f>Estimación!E27</f>
        <v>40</v>
      </c>
      <c r="F29" s="29">
        <f>Estimación!E27*Estimación!G27*Estimación!I27</f>
        <v>1600</v>
      </c>
      <c r="G29" s="58"/>
      <c r="H29" s="54"/>
      <c r="I29" s="29">
        <f>H29*Estimación!G27*Estimación!I27</f>
        <v>0</v>
      </c>
      <c r="J29" s="59">
        <f t="shared" si="0"/>
        <v>0</v>
      </c>
      <c r="K29" s="23"/>
      <c r="L29" s="29">
        <f t="shared" ref="L29:M29" si="7">H29-E29</f>
        <v>-40</v>
      </c>
      <c r="M29" s="29">
        <f t="shared" si="7"/>
        <v>-1600</v>
      </c>
      <c r="N29" s="66">
        <f t="shared" si="2"/>
        <v>-1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9"/>
      <c r="G30" s="58"/>
      <c r="H30" s="29"/>
      <c r="I30" s="29"/>
      <c r="J30" s="59"/>
      <c r="K30" s="23"/>
      <c r="L30" s="29"/>
      <c r="M30" s="29"/>
      <c r="N30" s="6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12" t="s">
        <v>37</v>
      </c>
      <c r="D31" s="2"/>
      <c r="E31" s="2">
        <f>Estimación!E29</f>
        <v>682.5</v>
      </c>
      <c r="F31" s="29">
        <f>SUM(F24:F29)</f>
        <v>37635</v>
      </c>
      <c r="G31" s="58"/>
      <c r="H31" s="29">
        <f t="shared" ref="H31:I31" si="8">SUM(H24:H29)</f>
        <v>0</v>
      </c>
      <c r="I31" s="29">
        <f t="shared" si="8"/>
        <v>0</v>
      </c>
      <c r="J31" s="59">
        <f>IF(E31=0,"N/A",100*H31/E31)</f>
        <v>0</v>
      </c>
      <c r="K31" s="23"/>
      <c r="L31" s="29">
        <f t="shared" ref="L31:M31" si="9">H31-E31</f>
        <v>-682.5</v>
      </c>
      <c r="M31" s="29">
        <f t="shared" si="9"/>
        <v>-37635</v>
      </c>
      <c r="N31" s="66">
        <f>IF(E31=0,"N/A",L31/E31)</f>
        <v>-1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12" t="s">
        <v>38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 t="s">
        <v>105</v>
      </c>
      <c r="D35" s="2"/>
      <c r="E35" s="2"/>
      <c r="F35" s="29" t="e">
        <f>Estimación!#REF!</f>
        <v>#REF!</v>
      </c>
      <c r="G35" s="2"/>
      <c r="H35" s="2"/>
      <c r="I35" s="54"/>
      <c r="J35" s="59" t="e">
        <f t="shared" ref="J35:J51" si="10">IF(F35=0,"N/A",100*I35/F35)</f>
        <v>#REF!</v>
      </c>
      <c r="K35" s="2"/>
      <c r="L35" s="29"/>
      <c r="M35" s="29" t="e">
        <f t="shared" ref="M35:M36" si="11">I35-F35</f>
        <v>#REF!</v>
      </c>
      <c r="N35" s="66" t="e">
        <f t="shared" ref="N35:N36" si="12">IF(F35=0,"N/A",M35/F35)</f>
        <v>#REF!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 t="s">
        <v>106</v>
      </c>
      <c r="D36" s="2"/>
      <c r="E36" s="2"/>
      <c r="F36" s="29" t="e">
        <f>Estimación!#REF!</f>
        <v>#REF!</v>
      </c>
      <c r="G36" s="2"/>
      <c r="H36" s="2"/>
      <c r="I36" s="54"/>
      <c r="J36" s="59" t="e">
        <f t="shared" si="10"/>
        <v>#REF!</v>
      </c>
      <c r="K36" s="2"/>
      <c r="L36" s="29"/>
      <c r="M36" s="29" t="e">
        <f t="shared" si="11"/>
        <v>#REF!</v>
      </c>
      <c r="N36" s="66" t="e">
        <f t="shared" si="12"/>
        <v>#REF!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9"/>
      <c r="G37" s="2"/>
      <c r="H37" s="2"/>
      <c r="I37" s="2"/>
      <c r="J37" s="59" t="str">
        <f t="shared" si="10"/>
        <v>N/A</v>
      </c>
      <c r="K37" s="2"/>
      <c r="L37" s="29"/>
      <c r="M37" s="29"/>
      <c r="N37" s="6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12" t="s">
        <v>37</v>
      </c>
      <c r="D38" s="2"/>
      <c r="E38" s="2"/>
      <c r="F38" s="29" t="e">
        <f>SUM(F35:F36)</f>
        <v>#REF!</v>
      </c>
      <c r="G38" s="2"/>
      <c r="H38" s="2"/>
      <c r="I38" s="29">
        <f>SUM(I35:I36)</f>
        <v>0</v>
      </c>
      <c r="J38" s="59" t="e">
        <f t="shared" si="10"/>
        <v>#REF!</v>
      </c>
      <c r="K38" s="23"/>
      <c r="L38" s="29"/>
      <c r="M38" s="29" t="e">
        <f>I38-F38</f>
        <v>#REF!</v>
      </c>
      <c r="N38" s="66" t="e">
        <f>IF(F38=0,"N/A",M38/F38)</f>
        <v>#REF!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59" t="str">
        <f t="shared" si="10"/>
        <v>N/A</v>
      </c>
      <c r="K39" s="2"/>
      <c r="L39" s="2"/>
      <c r="M39" s="2"/>
      <c r="N39" s="6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12" t="s">
        <v>107</v>
      </c>
      <c r="C40" s="2"/>
      <c r="D40" s="2"/>
      <c r="E40" s="2"/>
      <c r="F40" s="2"/>
      <c r="G40" s="2"/>
      <c r="H40" s="2"/>
      <c r="I40" s="2"/>
      <c r="J40" s="59" t="str">
        <f t="shared" si="10"/>
        <v>N/A</v>
      </c>
      <c r="K40" s="2"/>
      <c r="L40" s="2"/>
      <c r="M40" s="2"/>
      <c r="N40" s="6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59" t="str">
        <f t="shared" si="10"/>
        <v>N/A</v>
      </c>
      <c r="K41" s="2"/>
      <c r="L41" s="2"/>
      <c r="M41" s="2"/>
      <c r="N41" s="6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 t="s">
        <v>108</v>
      </c>
      <c r="D42" s="2"/>
      <c r="E42" s="2"/>
      <c r="F42" s="29">
        <f>Estimación!E44*Estimación!G44*Estimación!I44</f>
        <v>29.26</v>
      </c>
      <c r="G42" s="53"/>
      <c r="H42" s="2"/>
      <c r="I42" s="54"/>
      <c r="J42" s="59">
        <f t="shared" si="10"/>
        <v>0</v>
      </c>
      <c r="K42" s="23"/>
      <c r="L42" s="29"/>
      <c r="M42" s="29">
        <f t="shared" ref="M42:M47" si="13">I42-F42</f>
        <v>-29.26</v>
      </c>
      <c r="N42" s="66">
        <f t="shared" ref="N42:N47" si="14">IF(F42=0,"N/A",M42/F42)</f>
        <v>-1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 t="s">
        <v>130</v>
      </c>
      <c r="D43" s="2"/>
      <c r="E43" s="2"/>
      <c r="F43" s="29" t="e">
        <f>Estimación!#REF!*Estimación!#REF!*Estimación!#REF!</f>
        <v>#REF!</v>
      </c>
      <c r="G43" s="53"/>
      <c r="H43" s="2"/>
      <c r="I43" s="54"/>
      <c r="J43" s="59" t="e">
        <f t="shared" si="10"/>
        <v>#REF!</v>
      </c>
      <c r="K43" s="23"/>
      <c r="L43" s="29"/>
      <c r="M43" s="29" t="e">
        <f t="shared" si="13"/>
        <v>#REF!</v>
      </c>
      <c r="N43" s="66" t="e">
        <f t="shared" si="14"/>
        <v>#REF!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 t="s">
        <v>110</v>
      </c>
      <c r="D44" s="2"/>
      <c r="E44" s="2"/>
      <c r="F44" s="29">
        <f>Estimación!E46*Estimación!G46*Estimación!I46</f>
        <v>190</v>
      </c>
      <c r="G44" s="53"/>
      <c r="H44" s="2"/>
      <c r="I44" s="54"/>
      <c r="J44" s="59">
        <f t="shared" si="10"/>
        <v>0</v>
      </c>
      <c r="K44" s="23"/>
      <c r="L44" s="29"/>
      <c r="M44" s="29">
        <f t="shared" si="13"/>
        <v>-190</v>
      </c>
      <c r="N44" s="66">
        <f t="shared" si="14"/>
        <v>-1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 t="s">
        <v>48</v>
      </c>
      <c r="D45" s="2"/>
      <c r="E45" s="2"/>
      <c r="F45" s="29">
        <f>Estimación!M53</f>
        <v>192</v>
      </c>
      <c r="G45" s="53"/>
      <c r="H45" s="2"/>
      <c r="I45" s="54"/>
      <c r="J45" s="59">
        <f t="shared" si="10"/>
        <v>0</v>
      </c>
      <c r="K45" s="23"/>
      <c r="L45" s="29"/>
      <c r="M45" s="29">
        <f t="shared" si="13"/>
        <v>-192</v>
      </c>
      <c r="N45" s="66">
        <f t="shared" si="14"/>
        <v>-1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 t="s">
        <v>111</v>
      </c>
      <c r="D46" s="2"/>
      <c r="E46" s="2"/>
      <c r="F46" s="29">
        <f>Estimación!M54</f>
        <v>3600</v>
      </c>
      <c r="G46" s="53"/>
      <c r="H46" s="2"/>
      <c r="I46" s="54"/>
      <c r="J46" s="59">
        <f t="shared" si="10"/>
        <v>0</v>
      </c>
      <c r="K46" s="23"/>
      <c r="L46" s="29"/>
      <c r="M46" s="29">
        <f t="shared" si="13"/>
        <v>-3600</v>
      </c>
      <c r="N46" s="66">
        <f t="shared" si="14"/>
        <v>-1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 t="s">
        <v>112</v>
      </c>
      <c r="D47" s="2"/>
      <c r="E47" s="2"/>
      <c r="F47" s="29" t="e">
        <f>#REF!</f>
        <v>#REF!</v>
      </c>
      <c r="G47" s="2"/>
      <c r="H47" s="2"/>
      <c r="I47" s="54"/>
      <c r="J47" s="59" t="e">
        <f t="shared" si="10"/>
        <v>#REF!</v>
      </c>
      <c r="K47" s="2"/>
      <c r="L47" s="29"/>
      <c r="M47" s="29" t="e">
        <f t="shared" si="13"/>
        <v>#REF!</v>
      </c>
      <c r="N47" s="66" t="e">
        <f t="shared" si="14"/>
        <v>#REF!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12"/>
      <c r="C48" s="2"/>
      <c r="D48" s="2"/>
      <c r="E48" s="2"/>
      <c r="F48" s="29"/>
      <c r="G48" s="2"/>
      <c r="H48" s="2"/>
      <c r="I48" s="2"/>
      <c r="J48" s="59" t="str">
        <f t="shared" si="10"/>
        <v>N/A</v>
      </c>
      <c r="K48" s="2"/>
      <c r="L48" s="29"/>
      <c r="M48" s="29"/>
      <c r="N48" s="6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 t="s">
        <v>114</v>
      </c>
      <c r="D49" s="2"/>
      <c r="E49" s="2"/>
      <c r="F49" s="29" t="e">
        <f>F24*Estimación!K22+Situación!F25*Estimación!K24+Situación!F26*Estimación!K25+Situación!F27*Estimación!K26+Situación!F28*Estimación!K27+F38*Estimación!K36+F42*Estimación!K44+Situación!F42*Estimación!#REF!+Situación!F43*Estimación!K46+SUM(F45:F47)*Estimación!K56</f>
        <v>#REF!</v>
      </c>
      <c r="G49" s="2"/>
      <c r="H49" s="2"/>
      <c r="I49" s="30"/>
      <c r="J49" s="59" t="e">
        <f t="shared" si="10"/>
        <v>#REF!</v>
      </c>
      <c r="K49" s="2"/>
      <c r="L49" s="29"/>
      <c r="M49" s="29" t="e">
        <f>I49-F49</f>
        <v>#REF!</v>
      </c>
      <c r="N49" s="66" t="e">
        <f>IF(F49=0,"N/A",M49/F49)</f>
        <v>#REF!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59" t="str">
        <f t="shared" si="10"/>
        <v>N/A</v>
      </c>
      <c r="K50" s="2"/>
      <c r="L50" s="29"/>
      <c r="M50" s="29"/>
      <c r="N50" s="6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12" t="s">
        <v>37</v>
      </c>
      <c r="D51" s="2"/>
      <c r="E51" s="2"/>
      <c r="F51" s="29" t="e">
        <f>SUM(F42:F49)</f>
        <v>#REF!</v>
      </c>
      <c r="G51" s="2"/>
      <c r="H51" s="2"/>
      <c r="I51" s="29">
        <f>SUM(I42:I49)</f>
        <v>0</v>
      </c>
      <c r="J51" s="59" t="e">
        <f t="shared" si="10"/>
        <v>#REF!</v>
      </c>
      <c r="K51" s="2"/>
      <c r="L51" s="29"/>
      <c r="M51" s="29" t="e">
        <f>I51-F51</f>
        <v>#REF!</v>
      </c>
      <c r="N51" s="66" t="e">
        <f>IF(F51=0,"N/A",M51/F51)</f>
        <v>#REF!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9"/>
      <c r="M52" s="29"/>
      <c r="N52" s="6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9"/>
      <c r="M53" s="29"/>
      <c r="N53" s="6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12" t="s">
        <v>51</v>
      </c>
      <c r="C54" s="12"/>
      <c r="D54" s="2"/>
      <c r="E54" s="2"/>
      <c r="F54" s="29" t="e">
        <f>F31+F38+F51</f>
        <v>#REF!</v>
      </c>
      <c r="G54" s="2"/>
      <c r="H54" s="2"/>
      <c r="I54" s="29">
        <f>I31+I38+I51</f>
        <v>0</v>
      </c>
      <c r="J54" s="60" t="e">
        <f>IF(F54=0,"N/A",100*I54/F54)</f>
        <v>#REF!</v>
      </c>
      <c r="K54" s="23"/>
      <c r="L54" s="29"/>
      <c r="M54" s="29" t="e">
        <f>I54-F54</f>
        <v>#REF!</v>
      </c>
      <c r="N54" s="66" t="e">
        <f>IF(F54=0,"N/A",M54/F54)</f>
        <v>#REF!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92" t="s">
        <v>120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8"/>
      <c r="M58" s="8"/>
      <c r="N58" s="69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8"/>
      <c r="B59" s="8"/>
      <c r="C59" s="8"/>
      <c r="D59" s="8"/>
      <c r="E59" s="8"/>
      <c r="F59" s="8"/>
      <c r="G59" s="8"/>
      <c r="H59" s="8"/>
      <c r="I59" s="2"/>
      <c r="J59" s="8"/>
      <c r="K59" s="8"/>
      <c r="L59" s="8"/>
      <c r="M59" s="8"/>
      <c r="N59" s="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8"/>
      <c r="B60" s="12" t="s">
        <v>124</v>
      </c>
      <c r="C60" s="8"/>
      <c r="D60" s="8"/>
      <c r="E60" s="8"/>
      <c r="F60" s="29">
        <f>Estimación!M81</f>
        <v>74814.461900000009</v>
      </c>
      <c r="G60" s="8"/>
      <c r="H60" s="8"/>
      <c r="I60" s="64"/>
      <c r="J60" s="59">
        <f>IF(F60=0,"N/A",100*I60/F60)</f>
        <v>0</v>
      </c>
      <c r="K60" s="8"/>
      <c r="L60" s="29"/>
      <c r="M60" s="29">
        <f>I60-F60</f>
        <v>-74814.461900000009</v>
      </c>
      <c r="N60" s="66">
        <f>IF(F60=0,"N/A",M60/F60)</f>
        <v>-1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70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8"/>
      <c r="B62" s="12" t="s">
        <v>56</v>
      </c>
      <c r="C62" s="8"/>
      <c r="D62" s="8"/>
      <c r="E62" s="8"/>
      <c r="F62" s="29" t="e">
        <f>F60-F54</f>
        <v>#REF!</v>
      </c>
      <c r="G62" s="66" t="e">
        <f>IF(F54=0,"N/A",F62/F54)</f>
        <v>#REF!</v>
      </c>
      <c r="H62" s="8"/>
      <c r="I62" s="71">
        <f>I60-I54</f>
        <v>0</v>
      </c>
      <c r="J62" s="66" t="str">
        <f>IF(I54=0,"N/A",I62/I54)</f>
        <v>N/A</v>
      </c>
      <c r="K62" s="8"/>
      <c r="L62" s="71"/>
      <c r="M62" s="29" t="e">
        <f>I62-F62</f>
        <v>#REF!</v>
      </c>
      <c r="N62" s="66" t="e">
        <f>IF(F62=0,"N/A",M62/F62)</f>
        <v>#REF!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8"/>
      <c r="B63" s="8"/>
      <c r="C63" s="8"/>
      <c r="D63" s="8"/>
      <c r="E63" s="8"/>
      <c r="F63" s="8"/>
      <c r="G63" s="8"/>
      <c r="H63" s="8"/>
      <c r="I63" s="2"/>
      <c r="J63" s="8"/>
      <c r="K63" s="8"/>
      <c r="L63" s="8"/>
      <c r="M63" s="8"/>
      <c r="N63" s="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8"/>
      <c r="B64" s="8"/>
      <c r="C64" s="8"/>
      <c r="D64" s="8"/>
      <c r="E64" s="8"/>
      <c r="F64" s="8"/>
      <c r="G64" s="8"/>
      <c r="H64" s="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92" t="s">
        <v>131</v>
      </c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12" t="s">
        <v>132</v>
      </c>
      <c r="C68" s="2"/>
      <c r="D68" s="2"/>
      <c r="E68" s="2"/>
      <c r="F68" s="30"/>
      <c r="G68" s="19" t="s">
        <v>133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12" t="s">
        <v>134</v>
      </c>
      <c r="C71" s="12"/>
      <c r="D71" s="2"/>
      <c r="E71" s="2"/>
      <c r="F71" s="60" t="e">
        <f>IF(Cierre!E31=0,"N/A",(F54-Cierre!F38-Cierre!F45-Cierre!F38*Estimación!K36-Cierre!F45*Estimación!K56)/Cierre!E31)</f>
        <v>#REF!</v>
      </c>
      <c r="G71" s="2"/>
      <c r="H71" s="2"/>
      <c r="I71" s="60" t="str">
        <f>IF(Cierre!H31=0,"N/A",(I54-I38-I38*Estimación!K36-Cierre!I45-Cierre!I45*Estimación!K56)/Cierre!H31)</f>
        <v>N/A</v>
      </c>
      <c r="J71" s="2"/>
      <c r="K71" s="2"/>
      <c r="L71" s="2"/>
      <c r="M71" s="50" t="e">
        <f>I71-F71</f>
        <v>#VALUE!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12" t="s">
        <v>135</v>
      </c>
      <c r="C73" s="2"/>
      <c r="D73" s="2"/>
      <c r="E73" s="2"/>
      <c r="F73" s="50" t="e">
        <f>(F60-(F38*(1+Estimación!K36)-Cierre!F45*(1+Estimación!K56))*(1+Cierre!G62))/Cierre!E31</f>
        <v>#REF!</v>
      </c>
      <c r="G73" s="2"/>
      <c r="H73" s="2"/>
      <c r="I73" s="50" t="e">
        <f>(I60-(I38*(1+Estimación!K36)-Cierre!I45*(1+Estimación!K56))*(1+Cierre!J62))/Cierre!H31</f>
        <v>#VALUE!</v>
      </c>
      <c r="J73" s="2"/>
      <c r="K73" s="2"/>
      <c r="L73" s="2"/>
      <c r="M73" s="50" t="e">
        <f>I73-F73</f>
        <v>#VALUE!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1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12" t="s">
        <v>136</v>
      </c>
      <c r="C75" s="2"/>
      <c r="D75" s="2"/>
      <c r="E75" s="2"/>
      <c r="F75" s="50" t="e">
        <f>F73-F71</f>
        <v>#REF!</v>
      </c>
      <c r="G75" s="51"/>
      <c r="H75" s="2"/>
      <c r="I75" s="50" t="e">
        <f>I73-I71</f>
        <v>#VALUE!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12" t="s">
        <v>137</v>
      </c>
      <c r="C77" s="12"/>
      <c r="D77" s="12" t="s">
        <v>138</v>
      </c>
      <c r="E77" s="2"/>
      <c r="F77" s="29">
        <f>F31*(1+Estimación!K29)</f>
        <v>39386.888571428572</v>
      </c>
      <c r="G77" s="72" t="e">
        <f>IF(F54=0,"N/A",F77/F54)</f>
        <v>#REF!</v>
      </c>
      <c r="H77" s="2"/>
      <c r="I77" s="29">
        <f>I31*(1+Estimación!K29)</f>
        <v>0</v>
      </c>
      <c r="J77" s="52" t="e">
        <f>I77/$I$54</f>
        <v>#DIV/0!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12"/>
      <c r="C78" s="12"/>
      <c r="D78" s="12" t="s">
        <v>139</v>
      </c>
      <c r="E78" s="2"/>
      <c r="F78" s="29" t="e">
        <f>F38*(1+Estimación!K36)</f>
        <v>#REF!</v>
      </c>
      <c r="G78" s="72" t="e">
        <f>IF(F54=0,"N/A",F78/F54)</f>
        <v>#REF!</v>
      </c>
      <c r="H78" s="2"/>
      <c r="I78" s="29">
        <f>I38*(1+Estimación!K36)</f>
        <v>0</v>
      </c>
      <c r="J78" s="72" t="str">
        <f t="shared" ref="J78:J79" si="15">IF($I$54=0,"N/A",I78/$I$54)</f>
        <v>N/A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12"/>
      <c r="C79" s="12"/>
      <c r="D79" s="12" t="s">
        <v>140</v>
      </c>
      <c r="E79" s="2"/>
      <c r="F79" s="29">
        <f>F45*(1+Estimación!K56)</f>
        <v>197.76</v>
      </c>
      <c r="G79" s="72" t="e">
        <f>IF(F54=0,"N/A",F79/F54)</f>
        <v>#REF!</v>
      </c>
      <c r="H79" s="2"/>
      <c r="I79" s="29">
        <f>I45*(1+Estimación!K56)</f>
        <v>0</v>
      </c>
      <c r="J79" s="72" t="str">
        <f t="shared" si="15"/>
        <v>N/A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12" t="s">
        <v>141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 t="s">
        <v>99</v>
      </c>
      <c r="D83" s="2"/>
      <c r="E83" s="2"/>
      <c r="F83" s="73" t="str">
        <f t="shared" ref="F83:F88" si="16">IF($F$68=0,"N/A",E24/(160*$F$68))</f>
        <v>N/A</v>
      </c>
      <c r="G83" s="53"/>
      <c r="H83" s="53"/>
      <c r="I83" s="73" t="str">
        <f t="shared" ref="I83:I88" si="17">IF($F$68=0,"N/A",H24/(160*$F$68))</f>
        <v>N/A</v>
      </c>
      <c r="J83" s="53"/>
      <c r="K83" s="53"/>
      <c r="L83" s="53"/>
      <c r="M83" s="53" t="e">
        <f t="shared" ref="M83:M88" si="18">I83-F83</f>
        <v>#VALUE!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 t="s">
        <v>100</v>
      </c>
      <c r="D84" s="2"/>
      <c r="E84" s="2"/>
      <c r="F84" s="73" t="str">
        <f t="shared" si="16"/>
        <v>N/A</v>
      </c>
      <c r="G84" s="53"/>
      <c r="H84" s="53"/>
      <c r="I84" s="73" t="str">
        <f t="shared" si="17"/>
        <v>N/A</v>
      </c>
      <c r="J84" s="53"/>
      <c r="K84" s="53"/>
      <c r="L84" s="53"/>
      <c r="M84" s="53" t="e">
        <f t="shared" si="18"/>
        <v>#VALUE!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 t="s">
        <v>101</v>
      </c>
      <c r="D85" s="2"/>
      <c r="E85" s="2"/>
      <c r="F85" s="73" t="str">
        <f t="shared" si="16"/>
        <v>N/A</v>
      </c>
      <c r="G85" s="53"/>
      <c r="H85" s="53"/>
      <c r="I85" s="73" t="str">
        <f t="shared" si="17"/>
        <v>N/A</v>
      </c>
      <c r="J85" s="53"/>
      <c r="K85" s="53"/>
      <c r="L85" s="53"/>
      <c r="M85" s="53" t="e">
        <f t="shared" si="18"/>
        <v>#VALUE!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 t="s">
        <v>102</v>
      </c>
      <c r="D86" s="2"/>
      <c r="E86" s="2"/>
      <c r="F86" s="73" t="str">
        <f t="shared" si="16"/>
        <v>N/A</v>
      </c>
      <c r="G86" s="53"/>
      <c r="H86" s="53"/>
      <c r="I86" s="73" t="str">
        <f t="shared" si="17"/>
        <v>N/A</v>
      </c>
      <c r="J86" s="53"/>
      <c r="K86" s="53"/>
      <c r="L86" s="53"/>
      <c r="M86" s="53" t="e">
        <f t="shared" si="18"/>
        <v>#VALUE!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 t="s">
        <v>103</v>
      </c>
      <c r="D87" s="2"/>
      <c r="E87" s="2"/>
      <c r="F87" s="73" t="str">
        <f t="shared" si="16"/>
        <v>N/A</v>
      </c>
      <c r="G87" s="53"/>
      <c r="H87" s="53"/>
      <c r="I87" s="73" t="str">
        <f t="shared" si="17"/>
        <v>N/A</v>
      </c>
      <c r="J87" s="53"/>
      <c r="K87" s="53"/>
      <c r="L87" s="53"/>
      <c r="M87" s="53" t="e">
        <f t="shared" si="18"/>
        <v>#VALUE!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 t="s">
        <v>104</v>
      </c>
      <c r="D88" s="2"/>
      <c r="E88" s="2"/>
      <c r="F88" s="73" t="str">
        <f t="shared" si="16"/>
        <v>N/A</v>
      </c>
      <c r="G88" s="53"/>
      <c r="H88" s="53"/>
      <c r="I88" s="73" t="str">
        <f t="shared" si="17"/>
        <v>N/A</v>
      </c>
      <c r="J88" s="53"/>
      <c r="K88" s="53"/>
      <c r="L88" s="53"/>
      <c r="M88" s="53" t="e">
        <f t="shared" si="18"/>
        <v>#VALUE!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53"/>
      <c r="G89" s="53"/>
      <c r="H89" s="53"/>
      <c r="I89" s="53"/>
      <c r="J89" s="53"/>
      <c r="K89" s="53"/>
      <c r="L89" s="53"/>
      <c r="M89" s="5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12" t="s">
        <v>143</v>
      </c>
      <c r="D90" s="2"/>
      <c r="E90" s="2"/>
      <c r="F90" s="53">
        <f>SUM(F83:F88)</f>
        <v>0</v>
      </c>
      <c r="G90" s="53"/>
      <c r="H90" s="53"/>
      <c r="I90" s="53">
        <f>SUM(I83:I88)</f>
        <v>0</v>
      </c>
      <c r="J90" s="53"/>
      <c r="K90" s="53"/>
      <c r="L90" s="53"/>
      <c r="M90" s="53">
        <f>I90-F90</f>
        <v>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12" t="s">
        <v>144</v>
      </c>
      <c r="C92" s="2"/>
      <c r="D92" s="2"/>
      <c r="E92" s="2"/>
      <c r="F92" s="29" t="e">
        <f>F54-F94</f>
        <v>#REF!</v>
      </c>
      <c r="G92" s="66" t="e">
        <f>IF(F54=0,"N/A",F92/F54)</f>
        <v>#REF!</v>
      </c>
      <c r="H92" s="2"/>
      <c r="I92" s="29">
        <f>I54-I94</f>
        <v>0</v>
      </c>
      <c r="J92" s="66" t="str">
        <f>IF(I54=0,"N/A",I92/I54)</f>
        <v>N/A</v>
      </c>
      <c r="K92" s="2"/>
      <c r="L92" s="2"/>
      <c r="M92" s="29" t="e">
        <f>I92-F92</f>
        <v>#REF!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12" t="s">
        <v>145</v>
      </c>
      <c r="C94" s="2"/>
      <c r="D94" s="2"/>
      <c r="E94" s="2"/>
      <c r="F94" s="29" t="e">
        <f>F38+F45+F46+F47</f>
        <v>#REF!</v>
      </c>
      <c r="G94" s="66" t="e">
        <f>IF(F54=0,"N/A",F94/F54)</f>
        <v>#REF!</v>
      </c>
      <c r="H94" s="2"/>
      <c r="I94" s="29">
        <f>I38+I45+I46+I47</f>
        <v>0</v>
      </c>
      <c r="J94" s="66" t="str">
        <f>IF(I54=0,"N/A",I94/I54)</f>
        <v>N/A</v>
      </c>
      <c r="K94" s="2"/>
      <c r="L94" s="2"/>
      <c r="M94" s="29" t="e">
        <f>I94-F94</f>
        <v>#REF!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1">
    <mergeCell ref="A7:B7"/>
    <mergeCell ref="A8:B8"/>
    <mergeCell ref="A66:N66"/>
    <mergeCell ref="A57:N57"/>
    <mergeCell ref="A17:N17"/>
    <mergeCell ref="H11:I11"/>
    <mergeCell ref="D11:E11"/>
    <mergeCell ref="A11:C11"/>
    <mergeCell ref="H21:J21"/>
    <mergeCell ref="E21:F21"/>
    <mergeCell ref="H12:I12"/>
    <mergeCell ref="H13:I13"/>
    <mergeCell ref="L21:N21"/>
    <mergeCell ref="C1:N2"/>
    <mergeCell ref="C4:N5"/>
    <mergeCell ref="C8:F8"/>
    <mergeCell ref="H7:I7"/>
    <mergeCell ref="H8:I8"/>
    <mergeCell ref="J7:N7"/>
    <mergeCell ref="J8:N8"/>
    <mergeCell ref="C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Estimación</vt:lpstr>
      <vt:lpstr>Plan_Financiero</vt:lpstr>
      <vt:lpstr>Indicadores</vt:lpstr>
      <vt:lpstr>Situación</vt:lpstr>
      <vt:lpstr>Evolución</vt:lpstr>
      <vt:lpstr>Cierre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Salo</cp:lastModifiedBy>
  <dcterms:modified xsi:type="dcterms:W3CDTF">2017-10-24T05:29:51Z</dcterms:modified>
</cp:coreProperties>
</file>