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Questa_cartella_di_lavoro" defaultThemeVersion="153222"/>
  <mc:AlternateContent xmlns:mc="http://schemas.openxmlformats.org/markup-compatibility/2006">
    <mc:Choice Requires="x15">
      <x15ac:absPath xmlns:x15ac="http://schemas.microsoft.com/office/spreadsheetml/2010/11/ac" url="C:\Users\Brain ADM\Devel\WEBANK-t3\"/>
    </mc:Choice>
  </mc:AlternateContent>
  <bookViews>
    <workbookView xWindow="0" yWindow="0" windowWidth="20808" windowHeight="11208"/>
  </bookViews>
  <sheets>
    <sheet name="Foglio1" sheetId="1" r:id="rId1"/>
  </sheets>
  <externalReferences>
    <externalReference r:id="rId2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" i="1" l="1"/>
  <c r="B2" i="1"/>
  <c r="C2" i="1"/>
  <c r="D2" i="1"/>
  <c r="E2" i="1"/>
  <c r="F2" i="1"/>
  <c r="G2" i="1"/>
  <c r="H2" i="1"/>
  <c r="I2" i="1"/>
  <c r="J2" i="1"/>
  <c r="K2" i="1"/>
  <c r="L2" i="1"/>
  <c r="M2" i="1"/>
  <c r="N2" i="1"/>
  <c r="A3" i="1"/>
  <c r="B3" i="1"/>
  <c r="C3" i="1"/>
  <c r="D3" i="1"/>
  <c r="E3" i="1"/>
  <c r="F3" i="1"/>
  <c r="G3" i="1"/>
  <c r="H3" i="1"/>
  <c r="I3" i="1"/>
  <c r="J3" i="1"/>
  <c r="K3" i="1"/>
  <c r="L3" i="1"/>
  <c r="M3" i="1"/>
  <c r="N3" i="1"/>
  <c r="A4" i="1"/>
  <c r="B4" i="1"/>
  <c r="C4" i="1"/>
  <c r="D4" i="1"/>
  <c r="E4" i="1"/>
  <c r="F4" i="1"/>
  <c r="G4" i="1"/>
  <c r="H4" i="1"/>
  <c r="I4" i="1"/>
  <c r="J4" i="1"/>
  <c r="K4" i="1"/>
  <c r="L4" i="1"/>
  <c r="M4" i="1"/>
  <c r="N4" i="1"/>
  <c r="A5" i="1"/>
  <c r="B5" i="1"/>
  <c r="C5" i="1"/>
  <c r="D5" i="1"/>
  <c r="E5" i="1"/>
  <c r="F5" i="1"/>
  <c r="G5" i="1"/>
  <c r="H5" i="1"/>
  <c r="I5" i="1"/>
  <c r="J5" i="1"/>
  <c r="K5" i="1"/>
  <c r="L5" i="1"/>
  <c r="M5" i="1"/>
  <c r="N5" i="1"/>
  <c r="A6" i="1"/>
  <c r="B6" i="1"/>
  <c r="C6" i="1"/>
  <c r="D6" i="1"/>
  <c r="E6" i="1"/>
  <c r="F6" i="1"/>
  <c r="G6" i="1"/>
  <c r="H6" i="1"/>
  <c r="I6" i="1"/>
  <c r="J6" i="1"/>
  <c r="K6" i="1"/>
  <c r="L6" i="1"/>
  <c r="M6" i="1"/>
  <c r="N6" i="1"/>
  <c r="A7" i="1"/>
  <c r="B7" i="1"/>
  <c r="C7" i="1"/>
  <c r="D7" i="1"/>
  <c r="E7" i="1"/>
  <c r="F7" i="1"/>
  <c r="G7" i="1"/>
  <c r="H7" i="1"/>
  <c r="I7" i="1"/>
  <c r="J7" i="1"/>
  <c r="K7" i="1"/>
  <c r="L7" i="1"/>
  <c r="M7" i="1"/>
  <c r="N7" i="1"/>
  <c r="A8" i="1"/>
  <c r="B8" i="1"/>
  <c r="C8" i="1"/>
  <c r="D8" i="1"/>
  <c r="E8" i="1"/>
  <c r="F8" i="1"/>
  <c r="G8" i="1"/>
  <c r="H8" i="1"/>
  <c r="I8" i="1"/>
  <c r="J8" i="1"/>
  <c r="K8" i="1"/>
  <c r="L8" i="1"/>
  <c r="M8" i="1"/>
  <c r="N8" i="1"/>
  <c r="A9" i="1"/>
  <c r="B9" i="1"/>
  <c r="C9" i="1"/>
  <c r="D9" i="1"/>
  <c r="E9" i="1"/>
  <c r="F9" i="1"/>
  <c r="G9" i="1"/>
  <c r="H9" i="1"/>
  <c r="I9" i="1"/>
  <c r="J9" i="1"/>
  <c r="K9" i="1"/>
  <c r="L9" i="1"/>
  <c r="M9" i="1"/>
  <c r="N9" i="1"/>
  <c r="A10" i="1"/>
  <c r="B10" i="1"/>
  <c r="C10" i="1"/>
  <c r="D10" i="1"/>
  <c r="E10" i="1"/>
  <c r="F10" i="1"/>
  <c r="G10" i="1"/>
  <c r="H10" i="1"/>
  <c r="I10" i="1"/>
  <c r="J10" i="1"/>
  <c r="K10" i="1"/>
  <c r="L10" i="1"/>
  <c r="M10" i="1"/>
  <c r="N10" i="1"/>
  <c r="A11" i="1"/>
  <c r="B11" i="1"/>
  <c r="C11" i="1"/>
  <c r="D11" i="1"/>
  <c r="E11" i="1"/>
  <c r="F11" i="1"/>
  <c r="G11" i="1"/>
  <c r="H11" i="1"/>
  <c r="I11" i="1"/>
  <c r="J11" i="1"/>
  <c r="K11" i="1"/>
  <c r="L11" i="1"/>
  <c r="M11" i="1"/>
  <c r="N11" i="1"/>
  <c r="A12" i="1"/>
  <c r="B12" i="1"/>
  <c r="C12" i="1"/>
  <c r="D12" i="1"/>
  <c r="E12" i="1"/>
  <c r="F12" i="1"/>
  <c r="G12" i="1"/>
  <c r="H12" i="1"/>
  <c r="I12" i="1"/>
  <c r="J12" i="1"/>
  <c r="K12" i="1"/>
  <c r="L12" i="1"/>
  <c r="M12" i="1"/>
  <c r="N12" i="1"/>
  <c r="A13" i="1"/>
  <c r="B13" i="1"/>
  <c r="C13" i="1"/>
  <c r="D13" i="1"/>
  <c r="E13" i="1"/>
  <c r="F13" i="1"/>
  <c r="G13" i="1"/>
  <c r="H13" i="1"/>
  <c r="I13" i="1"/>
  <c r="J13" i="1"/>
  <c r="K13" i="1"/>
  <c r="L13" i="1"/>
  <c r="M13" i="1"/>
  <c r="N13" i="1"/>
  <c r="A14" i="1"/>
  <c r="B14" i="1"/>
  <c r="C14" i="1"/>
  <c r="D14" i="1"/>
  <c r="E14" i="1"/>
  <c r="F14" i="1"/>
  <c r="G14" i="1"/>
  <c r="H14" i="1"/>
  <c r="I14" i="1"/>
  <c r="J14" i="1"/>
  <c r="K14" i="1"/>
  <c r="L14" i="1"/>
  <c r="M14" i="1"/>
  <c r="N14" i="1"/>
  <c r="A15" i="1"/>
  <c r="B15" i="1"/>
  <c r="C15" i="1"/>
  <c r="D15" i="1"/>
  <c r="E15" i="1"/>
  <c r="F15" i="1"/>
  <c r="G15" i="1"/>
  <c r="H15" i="1"/>
  <c r="I15" i="1"/>
  <c r="J15" i="1"/>
  <c r="K15" i="1"/>
  <c r="L15" i="1"/>
  <c r="M15" i="1"/>
  <c r="N15" i="1"/>
  <c r="A16" i="1"/>
  <c r="B16" i="1"/>
  <c r="C16" i="1"/>
  <c r="D16" i="1"/>
  <c r="E16" i="1"/>
  <c r="F16" i="1"/>
  <c r="G16" i="1"/>
  <c r="H16" i="1"/>
  <c r="I16" i="1"/>
  <c r="J16" i="1"/>
  <c r="K16" i="1"/>
  <c r="L16" i="1"/>
  <c r="M16" i="1"/>
  <c r="N16" i="1"/>
  <c r="A17" i="1"/>
  <c r="B17" i="1"/>
  <c r="C17" i="1"/>
  <c r="D17" i="1"/>
  <c r="E17" i="1"/>
  <c r="F17" i="1"/>
  <c r="G17" i="1"/>
  <c r="H17" i="1"/>
  <c r="I17" i="1"/>
  <c r="J17" i="1"/>
  <c r="K17" i="1"/>
  <c r="L17" i="1"/>
  <c r="M17" i="1"/>
  <c r="N17" i="1"/>
  <c r="A18" i="1"/>
  <c r="B18" i="1"/>
  <c r="C18" i="1"/>
  <c r="D18" i="1"/>
  <c r="E18" i="1"/>
  <c r="F18" i="1"/>
  <c r="G18" i="1"/>
  <c r="H18" i="1"/>
  <c r="I18" i="1"/>
  <c r="J18" i="1"/>
  <c r="K18" i="1"/>
  <c r="L18" i="1"/>
  <c r="M18" i="1"/>
  <c r="N18" i="1"/>
  <c r="A19" i="1"/>
  <c r="B19" i="1"/>
  <c r="C19" i="1"/>
  <c r="D19" i="1"/>
  <c r="E19" i="1"/>
  <c r="F19" i="1"/>
  <c r="G19" i="1"/>
  <c r="H19" i="1"/>
  <c r="I19" i="1"/>
  <c r="J19" i="1"/>
  <c r="K19" i="1"/>
  <c r="L19" i="1"/>
  <c r="M19" i="1"/>
  <c r="N19" i="1"/>
  <c r="A20" i="1"/>
  <c r="B20" i="1"/>
  <c r="C20" i="1"/>
  <c r="D20" i="1"/>
  <c r="E20" i="1"/>
  <c r="F20" i="1"/>
  <c r="G20" i="1"/>
  <c r="H20" i="1"/>
  <c r="I20" i="1"/>
  <c r="J20" i="1"/>
  <c r="K20" i="1"/>
  <c r="L20" i="1"/>
  <c r="M20" i="1"/>
  <c r="N20" i="1"/>
  <c r="A21" i="1"/>
  <c r="B21" i="1"/>
  <c r="C21" i="1"/>
  <c r="D21" i="1"/>
  <c r="E21" i="1"/>
  <c r="F21" i="1"/>
  <c r="G21" i="1"/>
  <c r="H21" i="1"/>
  <c r="I21" i="1"/>
  <c r="J21" i="1"/>
  <c r="K21" i="1"/>
  <c r="L21" i="1"/>
  <c r="M21" i="1"/>
  <c r="N21" i="1"/>
  <c r="A22" i="1"/>
  <c r="B22" i="1"/>
  <c r="C22" i="1"/>
  <c r="D22" i="1"/>
  <c r="E22" i="1"/>
  <c r="F22" i="1"/>
  <c r="G22" i="1"/>
  <c r="H22" i="1"/>
  <c r="I22" i="1"/>
  <c r="J22" i="1"/>
  <c r="K22" i="1"/>
  <c r="L22" i="1"/>
  <c r="M22" i="1"/>
  <c r="N22" i="1"/>
  <c r="A23" i="1"/>
  <c r="B23" i="1"/>
  <c r="C23" i="1"/>
  <c r="D23" i="1"/>
  <c r="E23" i="1"/>
  <c r="F23" i="1"/>
  <c r="G23" i="1"/>
  <c r="H23" i="1"/>
  <c r="I23" i="1"/>
  <c r="J23" i="1"/>
  <c r="K23" i="1"/>
  <c r="L23" i="1"/>
  <c r="M23" i="1"/>
  <c r="N23" i="1"/>
  <c r="A24" i="1"/>
  <c r="B24" i="1"/>
  <c r="C24" i="1"/>
  <c r="D24" i="1"/>
  <c r="E24" i="1"/>
  <c r="F24" i="1"/>
  <c r="G24" i="1"/>
  <c r="H24" i="1"/>
  <c r="I24" i="1"/>
  <c r="J24" i="1"/>
  <c r="K24" i="1"/>
  <c r="L24" i="1"/>
  <c r="M24" i="1"/>
  <c r="N24" i="1"/>
  <c r="A25" i="1"/>
  <c r="B25" i="1"/>
  <c r="C25" i="1"/>
  <c r="D25" i="1"/>
  <c r="E25" i="1"/>
  <c r="F25" i="1"/>
  <c r="G25" i="1"/>
  <c r="H25" i="1"/>
  <c r="I25" i="1"/>
  <c r="J25" i="1"/>
  <c r="K25" i="1"/>
  <c r="L25" i="1"/>
  <c r="M25" i="1"/>
  <c r="N25" i="1"/>
  <c r="A26" i="1"/>
  <c r="B26" i="1"/>
  <c r="C26" i="1"/>
  <c r="D26" i="1"/>
  <c r="E26" i="1"/>
  <c r="F26" i="1"/>
  <c r="G26" i="1"/>
  <c r="H26" i="1"/>
  <c r="I26" i="1"/>
  <c r="J26" i="1"/>
  <c r="K26" i="1"/>
  <c r="L26" i="1"/>
  <c r="M26" i="1"/>
  <c r="N26" i="1"/>
  <c r="A27" i="1"/>
  <c r="B27" i="1"/>
  <c r="C27" i="1"/>
  <c r="D27" i="1"/>
  <c r="E27" i="1"/>
  <c r="F27" i="1"/>
  <c r="G27" i="1"/>
  <c r="H27" i="1"/>
  <c r="I27" i="1"/>
  <c r="J27" i="1"/>
  <c r="K27" i="1"/>
  <c r="L27" i="1"/>
  <c r="M27" i="1"/>
  <c r="N27" i="1"/>
  <c r="A28" i="1"/>
  <c r="B28" i="1"/>
  <c r="C28" i="1"/>
  <c r="D28" i="1"/>
  <c r="E28" i="1"/>
  <c r="F28" i="1"/>
  <c r="G28" i="1"/>
  <c r="H28" i="1"/>
  <c r="I28" i="1"/>
  <c r="J28" i="1"/>
  <c r="K28" i="1"/>
  <c r="L28" i="1"/>
  <c r="M28" i="1"/>
  <c r="N28" i="1"/>
  <c r="A29" i="1"/>
  <c r="B29" i="1"/>
  <c r="C29" i="1"/>
  <c r="D29" i="1"/>
  <c r="E29" i="1"/>
  <c r="F29" i="1"/>
  <c r="G29" i="1"/>
  <c r="H29" i="1"/>
  <c r="I29" i="1"/>
  <c r="J29" i="1"/>
  <c r="K29" i="1"/>
  <c r="L29" i="1"/>
  <c r="M29" i="1"/>
  <c r="N29" i="1"/>
  <c r="A30" i="1"/>
  <c r="B30" i="1"/>
  <c r="C30" i="1"/>
  <c r="D30" i="1"/>
  <c r="E30" i="1"/>
  <c r="F30" i="1"/>
  <c r="G30" i="1"/>
  <c r="H30" i="1"/>
  <c r="I30" i="1"/>
  <c r="J30" i="1"/>
  <c r="K30" i="1"/>
  <c r="L30" i="1"/>
  <c r="M30" i="1"/>
  <c r="N30" i="1"/>
  <c r="A31" i="1"/>
  <c r="B31" i="1"/>
  <c r="C31" i="1"/>
  <c r="D31" i="1"/>
  <c r="E31" i="1"/>
  <c r="F31" i="1"/>
  <c r="G31" i="1"/>
  <c r="H31" i="1"/>
  <c r="I31" i="1"/>
  <c r="J31" i="1"/>
  <c r="K31" i="1"/>
  <c r="L31" i="1"/>
  <c r="M31" i="1"/>
  <c r="N31" i="1"/>
  <c r="A32" i="1"/>
  <c r="B32" i="1"/>
  <c r="C32" i="1"/>
  <c r="D32" i="1"/>
  <c r="E32" i="1"/>
  <c r="F32" i="1"/>
  <c r="G32" i="1"/>
  <c r="H32" i="1"/>
  <c r="I32" i="1"/>
  <c r="J32" i="1"/>
  <c r="K32" i="1"/>
  <c r="L32" i="1"/>
  <c r="M32" i="1"/>
  <c r="N32" i="1"/>
</calcChain>
</file>

<file path=xl/sharedStrings.xml><?xml version="1.0" encoding="utf-8"?>
<sst xmlns="http://schemas.openxmlformats.org/spreadsheetml/2006/main" count="14" uniqueCount="14">
  <si>
    <t>Simbolo</t>
  </si>
  <si>
    <t>Titolo</t>
  </si>
  <si>
    <t>Mkt</t>
  </si>
  <si>
    <t>Ultimo</t>
  </si>
  <si>
    <t>Var%</t>
  </si>
  <si>
    <t>Q.tà bid</t>
  </si>
  <si>
    <t>Bid</t>
  </si>
  <si>
    <t>Ask</t>
  </si>
  <si>
    <t>Q.tà ask</t>
  </si>
  <si>
    <t>Trend</t>
  </si>
  <si>
    <t>Volume</t>
  </si>
  <si>
    <t>N.trades</t>
  </si>
  <si>
    <t>Stato</t>
  </si>
  <si>
    <t>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</si>
</sst>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T3_DDE_SERVER_SVI" ddeTopic="T3_DDE_QUOTE_TOPIC">
    <ddeItems>
      <ddeItem name="CME.CBOFU.1628014@best_asiz1" advise="1">
        <values>
          <value>
            <val>1</val>
          </value>
        </values>
      </ddeItem>
      <ddeItem name="CME.CBOFU.1628014@best_ask1" advise="1">
        <values>
          <value>
            <val>30617</val>
          </value>
        </values>
      </ddeItem>
      <ddeItem name="CME.CBOFU.1628014@best_bid1" advise="1">
        <values>
          <value>
            <val>30599</val>
          </value>
        </values>
      </ddeItem>
      <ddeItem name="CME.CBOFU.1628014@best_bsiz1" advise="1">
        <values>
          <value>
            <val>1</val>
          </value>
        </values>
      </ddeItem>
      <ddeItem name="CME.CBOFU.1628014@exchange_name" advise="1">
        <values>
          <value t="str">
            <val>eCBOT</val>
          </value>
        </values>
      </ddeItem>
      <ddeItem name="CME.CBOFU.1628014@instrument_name" advise="1">
        <values>
          <value t="str">
            <val>E-Mini Dow Jones 03-21</val>
          </value>
        </values>
      </ddeItem>
      <ddeItem name="CME.CBOFU.1628014@last_price" advise="1">
        <values>
          <value>
            <val>30607</val>
          </value>
        </values>
      </ddeItem>
      <ddeItem name="CME.CBOFU.1628014@lst_prctck" advise="1">
        <values>
          <value t="str">
            <val>+ - - - -</val>
          </value>
        </values>
      </ddeItem>
      <ddeItem name="CME.CBOFU.1628014@percentage_change" advise="1">
        <values>
          <value t="str">
            <val>1,65</val>
          </value>
        </values>
      </ddeItem>
      <ddeItem name="CME.CBOFU.1628014@prc_ql_cd" advise="1">
        <values>
          <value t="str">
            <val>CONT</val>
          </value>
        </values>
      </ddeItem>
      <ddeItem name="CME.CBOFU.1628014@symbol" advise="1">
        <values>
          <value t="str">
            <val>YMH1F</val>
          </value>
        </values>
      </ddeItem>
      <ddeItem name="CME.CBOFU.1628014@trade_count" advise="1">
        <values>
          <value t="nil">
            <val>1</val>
          </value>
        </values>
      </ddeItem>
      <ddeItem name="CME.CBOFU.1628014@trade_time" advise="1">
        <values>
          <value t="str">
            <val>22.59.59</val>
          </value>
        </values>
      </ddeItem>
      <ddeItem name="CME.CBOFU.1628014@trade_volume_bi" advise="1">
        <values>
          <value>
            <val>152467</val>
          </value>
        </values>
      </ddeItem>
      <ddeItem name="CME.CBOFU.1668136@best_asiz1" advise="1">
        <values>
          <value>
            <val>5</val>
          </value>
        </values>
      </ddeItem>
      <ddeItem name="CME.CBOFU.1668136@best_ask1" advise="1">
        <values>
          <value t="str">
            <val>168,18</val>
          </value>
        </values>
      </ddeItem>
      <ddeItem name="CME.CBOFU.1668136@best_bid1" advise="1">
        <values>
          <value t="str">
            <val>168,17</val>
          </value>
        </values>
      </ddeItem>
      <ddeItem name="CME.CBOFU.1668136@best_bsiz1" advise="1">
        <values>
          <value>
            <val>194</val>
          </value>
        </values>
      </ddeItem>
      <ddeItem name="CME.CBOFU.1668136@exchange_name" advise="1">
        <values>
          <value t="str">
            <val>eCBOT</val>
          </value>
        </values>
      </ddeItem>
      <ddeItem name="CME.CBOFU.1668136@instrument_name" advise="1">
        <values>
          <value t="str">
            <val>30 Year Treasury Notes 03-21</val>
          </value>
        </values>
      </ddeItem>
      <ddeItem name="CME.CBOFU.1668136@last_price" advise="1">
        <values>
          <value t="str">
            <val>168,18</val>
          </value>
        </values>
      </ddeItem>
      <ddeItem name="CME.CBOFU.1668136@lst_prctck" advise="1">
        <values>
          <value t="str">
            <val>+ - - - +</val>
          </value>
        </values>
      </ddeItem>
      <ddeItem name="CME.CBOFU.1668136@percentage_change" advise="1">
        <values>
          <value t="str">
            <val>-0,26</val>
          </value>
        </values>
      </ddeItem>
      <ddeItem name="CME.CBOFU.1668136@prc_ql_cd" advise="1">
        <values>
          <value t="str">
            <val>CONT</val>
          </value>
        </values>
      </ddeItem>
      <ddeItem name="CME.CBOFU.1668136@symbol" advise="1">
        <values>
          <value t="str">
            <val>ZBH1F</val>
          </value>
        </values>
      </ddeItem>
      <ddeItem name="CME.CBOFU.1668136@trade_count" advise="1">
        <values>
          <value t="nil">
            <val>1</val>
          </value>
        </values>
      </ddeItem>
      <ddeItem name="CME.CBOFU.1668136@trade_time" advise="1">
        <values>
          <value t="str">
            <val>22.59.59</val>
          </value>
        </values>
      </ddeItem>
      <ddeItem name="CME.CBOFU.1668136@trade_volume_bi" advise="1">
        <values>
          <value>
            <val>281848</val>
          </value>
        </values>
      </ddeItem>
      <ddeItem name="CME.CBOFU.1668137@best_asiz1" advise="1">
        <values>
          <value>
            <val>814</val>
          </value>
        </values>
      </ddeItem>
      <ddeItem name="CME.CBOFU.1668137@best_ask1" advise="1">
        <values>
          <value t="str">
            <val>137,00</val>
          </value>
        </values>
      </ddeItem>
      <ddeItem name="CME.CBOFU.1668137@best_bid1" advise="1">
        <values>
          <value>
            <val>136315</val>
          </value>
        </values>
      </ddeItem>
      <ddeItem name="CME.CBOFU.1668137@best_bsiz1" advise="1">
        <values>
          <value>
            <val>8</val>
          </value>
        </values>
      </ddeItem>
      <ddeItem name="CME.CBOFU.1668137@exchange_name" advise="1">
        <values>
          <value t="str">
            <val>eCBOT</val>
          </value>
        </values>
      </ddeItem>
      <ddeItem name="CME.CBOFU.1668137@instrument_name" advise="1">
        <values>
          <value t="str">
            <val>10 Year Treasury Notes 03-21</val>
          </value>
        </values>
      </ddeItem>
      <ddeItem name="CME.CBOFU.1668137@last_price" advise="1">
        <values>
          <value t="str">
            <val>137,00</val>
          </value>
        </values>
      </ddeItem>
      <ddeItem name="CME.CBOFU.1668137@lst_prctck" advise="1">
        <values>
          <value t="str">
            <val>+ - + + -</val>
          </value>
        </values>
      </ddeItem>
      <ddeItem name="CME.CBOFU.1668137@percentage_change" advise="1">
        <values>
          <value t="str">
            <val>-0,14</val>
          </value>
        </values>
      </ddeItem>
      <ddeItem name="CME.CBOFU.1668137@prc_ql_cd" advise="1">
        <values>
          <value t="str">
            <val>CONT</val>
          </value>
        </values>
      </ddeItem>
      <ddeItem name="CME.CBOFU.1668137@symbol" advise="1">
        <values>
          <value t="str">
            <val>ZNH1F</val>
          </value>
        </values>
      </ddeItem>
      <ddeItem name="CME.CBOFU.1668137@trade_count" advise="1">
        <values>
          <value t="nil">
            <val>1</val>
          </value>
        </values>
      </ddeItem>
      <ddeItem name="CME.CBOFU.1668137@trade_time" advise="1">
        <values>
          <value t="str">
            <val>22.59.59</val>
          </value>
        </values>
      </ddeItem>
      <ddeItem name="CME.CBOFU.1668137@trade_volume_bi" advise="1">
        <values>
          <value>
            <val>1180136</val>
          </value>
        </values>
      </ddeItem>
      <ddeItem name="CME.CBOFU.1672434@best_asiz1" advise="1">
        <values>
          <value>
            <val>82</val>
          </value>
        </values>
      </ddeItem>
      <ddeItem name="CME.CBOFU.1672434@best_ask1" advise="1">
        <values>
          <value>
            <val>125285</val>
          </value>
        </values>
      </ddeItem>
      <ddeItem name="CME.CBOFU.1672434@best_bid1" advise="1">
        <values>
          <value>
            <val>1252825</val>
          </value>
        </values>
      </ddeItem>
      <ddeItem name="CME.CBOFU.1672434@best_bsiz1" advise="1">
        <values>
          <value>
            <val>1085</val>
          </value>
        </values>
      </ddeItem>
      <ddeItem name="CME.CBOFU.1672434@exchange_name" advise="1">
        <values>
          <value t="str">
            <val>eCBOT</val>
          </value>
        </values>
      </ddeItem>
      <ddeItem name="CME.CBOFU.1672434@instrument_name" advise="1">
        <values>
          <value t="str">
            <val>5 Year Treasury Notes 03-21</val>
          </value>
        </values>
      </ddeItem>
      <ddeItem name="CME.CBOFU.1672434@last_price" advise="1">
        <values>
          <value>
            <val>125285</val>
          </value>
        </values>
      </ddeItem>
      <ddeItem name="CME.CBOFU.1672434@lst_prctck" advise="1">
        <values>
          <value t="str">
            <val>+ - - - -</val>
          </value>
        </values>
      </ddeItem>
      <ddeItem name="CME.CBOFU.1672434@percentage_change" advise="1">
        <values>
          <value t="str">
            <val>-0,06</val>
          </value>
        </values>
      </ddeItem>
      <ddeItem name="CME.CBOFU.1672434@prc_ql_cd" advise="1">
        <values>
          <value t="str">
            <val>CONT</val>
          </value>
        </values>
      </ddeItem>
      <ddeItem name="CME.CBOFU.1672434@symbol" advise="1">
        <values>
          <value t="str">
            <val>ZFH1F</val>
          </value>
        </values>
      </ddeItem>
      <ddeItem name="CME.CBOFU.1672434@trade_count" advise="1">
        <values>
          <value t="nil">
            <val>1</val>
          </value>
        </values>
      </ddeItem>
      <ddeItem name="CME.CBOFU.1672434@trade_time" advise="1">
        <values>
          <value t="str">
            <val>22.59.59</val>
          </value>
        </values>
      </ddeItem>
      <ddeItem name="CME.CBOFU.1672434@trade_volume_bi" advise="1">
        <values>
          <value>
            <val>719754</val>
          </value>
        </values>
      </ddeItem>
      <ddeItem name="CME.CEQFU.1620205@best_asiz1" advise="1">
        <values>
          <value>
            <val>2</val>
          </value>
        </values>
      </ddeItem>
      <ddeItem name="CME.CEQFU.1620205@best_ask1" advise="1">
        <values>
          <value t="str">
            <val>0,76105</val>
          </value>
        </values>
      </ddeItem>
      <ddeItem name="CME.CEQFU.1620205@best_bid1" advise="1">
        <values>
          <value t="str">
            <val>0,7606</val>
          </value>
        </values>
      </ddeItem>
      <ddeItem name="CME.CEQFU.1620205@best_bsiz1" advise="1">
        <values>
          <value>
            <val>2</val>
          </value>
        </values>
      </ddeItem>
      <ddeItem name="CME.CEQFU.1620205@exchange_name" advise="1">
        <values>
          <value t="str">
            <val>CME</val>
          </value>
        </values>
      </ddeItem>
      <ddeItem name="CME.CEQFU.1620205@instrument_name" advise="1">
        <values>
          <value t="str">
            <val>Australian Dollar 03-21</val>
          </value>
        </values>
      </ddeItem>
      <ddeItem name="CME.CEQFU.1620205@last_price" advise="1">
        <values>
          <value t="str">
            <val>0,7608</val>
          </value>
        </values>
      </ddeItem>
      <ddeItem name="CME.CEQFU.1620205@lst_prctck" advise="1">
        <values>
          <value t="str">
            <val>- + - - +</val>
          </value>
        </values>
      </ddeItem>
      <ddeItem name="CME.CEQFU.1620205@percentage_change" advise="1">
        <values>
          <value t="str">
            <val>-0,48</val>
          </value>
        </values>
      </ddeItem>
      <ddeItem name="CME.CEQFU.1620205@prc_ql_cd" advise="1">
        <values>
          <value t="str">
            <val>CONT</val>
          </value>
        </values>
      </ddeItem>
      <ddeItem name="CME.CEQFU.1620205@symbol" advise="1">
        <values>
          <value t="str">
            <val>6AH1F</val>
          </value>
        </values>
      </ddeItem>
      <ddeItem name="CME.CEQFU.1620205@trade_count" advise="1">
        <values>
          <value t="nil">
            <val>1</val>
          </value>
        </values>
      </ddeItem>
      <ddeItem name="CME.CEQFU.1620205@trade_time" advise="1">
        <values>
          <value t="str">
            <val>22.59.59</val>
          </value>
        </values>
      </ddeItem>
      <ddeItem name="CME.CEQFU.1620205@trade_volume_bi" advise="1">
        <values>
          <value>
            <val>116564</val>
          </value>
        </values>
      </ddeItem>
      <ddeItem name="CME.CEQFU.1620206@best_asiz1" advise="1">
        <values>
          <value>
            <val>6</val>
          </value>
        </values>
      </ddeItem>
      <ddeItem name="CME.CEQFU.1620206@best_ask1" advise="1">
        <values>
          <value>
            <val>13671</val>
          </value>
        </values>
      </ddeItem>
      <ddeItem name="CME.CEQFU.1620206@best_bid1" advise="1">
        <values>
          <value>
            <val>13667</val>
          </value>
        </values>
      </ddeItem>
      <ddeItem name="CME.CEQFU.1620206@best_bsiz1" advise="1">
        <values>
          <value>
            <val>4</val>
          </value>
        </values>
      </ddeItem>
      <ddeItem name="CME.CEQFU.1620206@exchange_name" advise="1">
        <values>
          <value t="str">
            <val>CME</val>
          </value>
        </values>
      </ddeItem>
      <ddeItem name="CME.CEQFU.1620206@instrument_name" advise="1">
        <values>
          <value t="str">
            <val>British Pound 03-21</val>
          </value>
        </values>
      </ddeItem>
      <ddeItem name="CME.CEQFU.1620206@last_price" advise="1">
        <values>
          <value>
            <val>13669</val>
          </value>
        </values>
      </ddeItem>
      <ddeItem name="CME.CEQFU.1620206@lst_prctck" advise="1">
        <values>
          <value t="str">
            <val>- - + - -</val>
          </value>
        </values>
      </ddeItem>
      <ddeItem name="CME.CEQFU.1620206@percentage_change" advise="1">
        <values>
          <value t="str">
            <val>-0,04</val>
          </value>
        </values>
      </ddeItem>
      <ddeItem name="CME.CEQFU.1620206@prc_ql_cd" advise="1">
        <values>
          <value t="str">
            <val>CONT</val>
          </value>
        </values>
      </ddeItem>
      <ddeItem name="CME.CEQFU.1620206@symbol" advise="1">
        <values>
          <value t="str">
            <val>6BH1F</val>
          </value>
        </values>
      </ddeItem>
      <ddeItem name="CME.CEQFU.1620206@trade_count" advise="1">
        <values>
          <value t="nil">
            <val>1</val>
          </value>
        </values>
      </ddeItem>
      <ddeItem name="CME.CEQFU.1620206@trade_time" advise="1">
        <values>
          <value t="str">
            <val>22.59.56</val>
          </value>
        </values>
      </ddeItem>
      <ddeItem name="CME.CEQFU.1620206@trade_volume_bi" advise="1">
        <values>
          <value>
            <val>87067</val>
          </value>
        </values>
      </ddeItem>
      <ddeItem name="CME.CEQFU.1620207@best_asiz1" advise="1">
        <values>
          <value>
            <val>1</val>
          </value>
        </values>
      </ddeItem>
      <ddeItem name="CME.CEQFU.1620207@best_ask1" advise="1">
        <values>
          <value>
            <val>120545</val>
          </value>
        </values>
      </ddeItem>
      <ddeItem name="CME.CEQFU.1620207@best_bid1" advise="1">
        <values>
          <value>
            <val>12053</val>
          </value>
        </values>
      </ddeItem>
      <ddeItem name="CME.CEQFU.1620207@best_bsiz1" advise="1">
        <values>
          <value>
            <val>1</val>
          </value>
        </values>
      </ddeItem>
      <ddeItem name="CME.CEQFU.1620207@exchange_name" advise="1">
        <values>
          <value t="str">
            <val>CME</val>
          </value>
        </values>
      </ddeItem>
      <ddeItem name="CME.CEQFU.1620207@instrument_name" advise="1">
        <values>
          <value t="str">
            <val>Euro/Usd FX 03-21</val>
          </value>
        </values>
      </ddeItem>
      <ddeItem name="CME.CEQFU.1620207@last_price" advise="1">
        <values>
          <value>
            <val>120535</val>
          </value>
        </values>
      </ddeItem>
      <ddeItem name="CME.CEQFU.1620207@lst_prctck" advise="1">
        <values>
          <value t="str">
            <val>- - - - -</val>
          </value>
        </values>
      </ddeItem>
      <ddeItem name="CME.CEQFU.1620207@percentage_change" advise="1">
        <values>
          <value t="str">
            <val>-0,20</val>
          </value>
        </values>
      </ddeItem>
      <ddeItem name="CME.CEQFU.1620207@prc_ql_cd" advise="1">
        <values>
          <value t="str">
            <val>CONT</val>
          </value>
        </values>
      </ddeItem>
      <ddeItem name="CME.CEQFU.1620207@symbol" advise="1">
        <values>
          <value t="str">
            <val>6EH1F</val>
          </value>
        </values>
      </ddeItem>
      <ddeItem name="CME.CEQFU.1620207@trade_count" advise="1">
        <values>
          <value t="nil">
            <val>1</val>
          </value>
        </values>
      </ddeItem>
      <ddeItem name="CME.CEQFU.1620207@trade_time" advise="1">
        <values>
          <value t="str">
            <val>22.59.59</val>
          </value>
        </values>
      </ddeItem>
      <ddeItem name="CME.CEQFU.1620207@trade_volume_bi" advise="1">
        <values>
          <value>
            <val>194437</val>
          </value>
        </values>
      </ddeItem>
      <ddeItem name="CME.CEQFU.1620210@best_asiz1" advise="1">
        <values>
          <value>
            <val>3</val>
          </value>
        </values>
      </ddeItem>
      <ddeItem name="CME.CEQFU.1620210@best_ask1" advise="1">
        <values>
          <value>
            <val>11156</val>
          </value>
        </values>
      </ddeItem>
      <ddeItem name="CME.CEQFU.1620210@best_bid1" advise="1">
        <values>
          <value>
            <val>11154</val>
          </value>
        </values>
      </ddeItem>
      <ddeItem name="CME.CEQFU.1620210@best_bsiz1" advise="1">
        <values>
          <value>
            <val>3</val>
          </value>
        </values>
      </ddeItem>
      <ddeItem name="CME.CEQFU.1620210@exchange_name" advise="1">
        <values>
          <value t="str">
            <val>CME</val>
          </value>
        </values>
      </ddeItem>
      <ddeItem name="CME.CEQFU.1620210@instrument_name" advise="1">
        <values>
          <value t="str">
            <val>Swiss Franc 03-21</val>
          </value>
        </values>
      </ddeItem>
      <ddeItem name="CME.CEQFU.1620210@last_price" advise="1">
        <values>
          <value>
            <val>11155</val>
          </value>
        </values>
      </ddeItem>
      <ddeItem name="CME.CEQFU.1620210@lst_prctck" advise="1">
        <values>
          <value t="str">
            <val>- + - - -</val>
          </value>
        </values>
      </ddeItem>
      <ddeItem name="CME.CEQFU.1620210@percentage_change" advise="1">
        <values>
          <value t="str">
            <val>-0,07</val>
          </value>
        </values>
      </ddeItem>
      <ddeItem name="CME.CEQFU.1620210@prc_ql_cd" advise="1">
        <values>
          <value t="str">
            <val>CONT</val>
          </value>
        </values>
      </ddeItem>
      <ddeItem name="CME.CEQFU.1620210@symbol" advise="1">
        <values>
          <value t="str">
            <val>6SH1F</val>
          </value>
        </values>
      </ddeItem>
      <ddeItem name="CME.CEQFU.1620210@trade_count" advise="1">
        <values>
          <value t="nil">
            <val>1</val>
          </value>
        </values>
      </ddeItem>
      <ddeItem name="CME.CEQFU.1620210@trade_time" advise="1">
        <values>
          <value t="str">
            <val>22.59.32</val>
          </value>
        </values>
      </ddeItem>
      <ddeItem name="CME.CEQFU.1620210@trade_volume_bi" advise="1">
        <values>
          <value>
            <val>20767</val>
          </value>
        </values>
      </ddeItem>
      <ddeItem name="CME.CEQFU.1620211@best_asiz1" advise="1">
        <values>
          <value>
            <val>2</val>
          </value>
        </values>
      </ddeItem>
      <ddeItem name="CME.CEQFU.1620211@best_ask1" advise="1">
        <values>
          <value>
            <val>28550</val>
          </value>
        </values>
      </ddeItem>
      <ddeItem name="CME.CEQFU.1620211@best_bid1" advise="1">
        <values>
          <value>
            <val>28225</val>
          </value>
        </values>
      </ddeItem>
      <ddeItem name="CME.CEQFU.1620211@best_bsiz1" advise="1">
        <values>
          <value>
            <val>3</val>
          </value>
        </values>
      </ddeItem>
      <ddeItem name="CME.CEQFU.1620211@exchange_name" advise="1">
        <values>
          <value t="str">
            <val>CME</val>
          </value>
        </values>
      </ddeItem>
      <ddeItem name="CME.CEQFU.1620211@instrument_name" advise="1">
        <values>
          <value t="str">
            <val>Nikkei 225 dollar 03-21</val>
          </value>
        </values>
      </ddeItem>
      <ddeItem name="CME.CEQFU.1620211@last_price" advise="1">
        <values>
          <value>
            <val>28480</val>
          </value>
        </values>
      </ddeItem>
      <ddeItem name="CME.CEQFU.1620211@lst_prctck" advise="1">
        <values>
          <value t="str">
            <val>- - - + -</val>
          </value>
        </values>
      </ddeItem>
      <ddeItem name="CME.CEQFU.1620211@percentage_change" advise="1">
        <values>
          <value t="str">
            <val>0,64</val>
          </value>
        </values>
      </ddeItem>
      <ddeItem name="CME.CEQFU.1620211@prc_ql_cd" advise="1">
        <values>
          <value t="str">
            <val>CONT</val>
          </value>
        </values>
      </ddeItem>
      <ddeItem name="CME.CEQFU.1620211@symbol" advise="1">
        <values>
          <value t="str">
            <val>NKDH1F</val>
          </value>
        </values>
      </ddeItem>
      <ddeItem name="CME.CEQFU.1620211@trade_count" advise="1">
        <values>
          <value t="nil">
            <val>1</val>
          </value>
        </values>
      </ddeItem>
      <ddeItem name="CME.CEQFU.1620211@trade_time" advise="1">
        <values>
          <value t="str">
            <val>22.57.45</val>
          </value>
        </values>
      </ddeItem>
      <ddeItem name="CME.CEQFU.1620211@trade_volume_bi" advise="1">
        <values>
          <value>
            <val>5222</val>
          </value>
        </values>
      </ddeItem>
      <ddeItem name="CME.CEQFU.1620214@best_asiz1" advise="1">
        <values>
          <value>
            <val>1</val>
          </value>
        </values>
      </ddeItem>
      <ddeItem name="CME.CEQFU.1620214@best_ask1" advise="1">
        <values>
          <value t="str">
            <val>127,75</val>
          </value>
        </values>
      </ddeItem>
      <ddeItem name="CME.CEQFU.1620214@best_bid1" advise="1">
        <values>
          <value t="str">
            <val>126,25</val>
          </value>
        </values>
      </ddeItem>
      <ddeItem name="CME.CEQFU.1620214@best_bsiz1" advise="1">
        <values>
          <value>
            <val>1</val>
          </value>
        </values>
      </ddeItem>
      <ddeItem name="CME.CEQFU.1620214@exchange_name" advise="1">
        <values>
          <value t="str">
            <val>CME</val>
          </value>
        </values>
      </ddeItem>
      <ddeItem name="CME.CEQFU.1620214@instrument_name" advise="1">
        <values>
          <value t="str">
            <val>Euro/Yen 03-21</val>
          </value>
        </values>
      </ddeItem>
      <ddeItem name="CME.CEQFU.1620214@last_price" advise="1">
        <values>
          <value t="str">
            <val>126,51</val>
          </value>
        </values>
      </ddeItem>
      <ddeItem name="CME.CEQFU.1620214@lst_prctck" advise="1">
        <values>
          <value t="str">
            <val>- + - - -</val>
          </value>
        </values>
      </ddeItem>
      <ddeItem name="CME.CEQFU.1620214@percentage_change" advise="1">
        <values>
          <value t="str">
            <val>-0,16</val>
          </value>
        </values>
      </ddeItem>
      <ddeItem name="CME.CEQFU.1620214@prc_ql_cd" advise="1">
        <values>
          <value t="str">
            <val>CONT</val>
          </value>
        </values>
      </ddeItem>
      <ddeItem name="CME.CEQFU.1620214@symbol" advise="1">
        <values>
          <value t="str">
            <val>RYH1F</val>
          </value>
        </values>
      </ddeItem>
      <ddeItem name="CME.CEQFU.1620214@trade_count" advise="1">
        <values>
          <value t="nil">
            <val>1</val>
          </value>
        </values>
      </ddeItem>
      <ddeItem name="CME.CEQFU.1620214@trade_time" advise="1">
        <values>
          <value t="str">
            <val>22.29.15</val>
          </value>
        </values>
      </ddeItem>
      <ddeItem name="CME.CEQFU.1620214@trade_volume_bi" advise="1">
        <values>
          <value>
            <val>618</val>
          </value>
        </values>
      </ddeItem>
      <ddeItem name="CME.CEQFU.1624246@best_asiz1" advise="1">
        <values>
          <value>
            <val>3</val>
          </value>
        </values>
      </ddeItem>
      <ddeItem name="CME.CEQFU.1624246@best_ask1" advise="1">
        <values>
          <value t="str">
            <val>0,78245</val>
          </value>
        </values>
      </ddeItem>
      <ddeItem name="CME.CEQFU.1624246@best_bid1" advise="1">
        <values>
          <value t="str">
            <val>0,7823</val>
          </value>
        </values>
      </ddeItem>
      <ddeItem name="CME.CEQFU.1624246@best_bsiz1" advise="1">
        <values>
          <value>
            <val>1</val>
          </value>
        </values>
      </ddeItem>
      <ddeItem name="CME.CEQFU.1624246@exchange_name" advise="1">
        <values>
          <value t="str">
            <val>CME</val>
          </value>
        </values>
      </ddeItem>
      <ddeItem name="CME.CEQFU.1624246@instrument_name" advise="1">
        <values>
          <value t="str">
            <val>Canadian Dollar 03-21</val>
          </value>
        </values>
      </ddeItem>
      <ddeItem name="CME.CEQFU.1624246@last_price" advise="1">
        <values>
          <value t="str">
            <val>0,78235</val>
          </value>
        </values>
      </ddeItem>
      <ddeItem name="CME.CEQFU.1624246@lst_prctck" advise="1">
        <values>
          <value t="str">
            <val>+ - - - -</val>
          </value>
        </values>
      </ddeItem>
      <ddeItem name="CME.CEQFU.1624246@percentage_change" advise="1">
        <values>
          <value t="str">
            <val>0,46</val>
          </value>
        </values>
      </ddeItem>
      <ddeItem name="CME.CEQFU.1624246@prc_ql_cd" advise="1">
        <values>
          <value t="str">
            <val>CONT</val>
          </value>
        </values>
      </ddeItem>
      <ddeItem name="CME.CEQFU.1624246@symbol" advise="1">
        <values>
          <value t="str">
            <val>6CH1F</val>
          </value>
        </values>
      </ddeItem>
      <ddeItem name="CME.CEQFU.1624246@trade_count" advise="1">
        <values>
          <value t="nil">
            <val>1</val>
          </value>
        </values>
      </ddeItem>
      <ddeItem name="CME.CEQFU.1624246@trade_time" advise="1">
        <values>
          <value t="str">
            <val>22.59.46</val>
          </value>
        </values>
      </ddeItem>
      <ddeItem name="CME.CEQFU.1624246@trade_volume_bi" advise="1">
        <values>
          <value>
            <val>73130</val>
          </value>
        </values>
      </ddeItem>
      <ddeItem name="CME.CEQFU.1628016@best_asiz1" advise="1">
        <values>
          <value>
            <val>1</val>
          </value>
        </values>
      </ddeItem>
      <ddeItem name="CME.CEQFU.1628016@best_ask1" advise="1">
        <values>
          <value t="str">
            <val>3828,75</val>
          </value>
        </values>
      </ddeItem>
      <ddeItem name="CME.CEQFU.1628016@best_bid1" advise="1">
        <values>
          <value t="str">
            <val>3828,25</val>
          </value>
        </values>
      </ddeItem>
      <ddeItem name="CME.CEQFU.1628016@best_bsiz1" advise="1">
        <values>
          <value>
            <val>1</val>
          </value>
        </values>
      </ddeItem>
      <ddeItem name="CME.CEQFU.1628016@exchange_name" advise="1">
        <values>
          <value t="str">
            <val>CME</val>
          </value>
        </values>
      </ddeItem>
      <ddeItem name="CME.CEQFU.1628016@instrument_name" advise="1">
        <values>
          <value t="str">
            <val>E-Mini S&amp;P 500 03-21</val>
          </value>
        </values>
      </ddeItem>
      <ddeItem name="CME.CEQFU.1628016@last_price" advise="1">
        <values>
          <value t="str">
            <val>3828,25</val>
          </value>
        </values>
      </ddeItem>
      <ddeItem name="CME.CEQFU.1628016@lst_prctck" advise="1">
        <values>
          <value t="str">
            <val>- - - + +</val>
          </value>
        </values>
      </ddeItem>
      <ddeItem name="CME.CEQFU.1628016@percentage_change" advise="1">
        <values>
          <value t="str">
            <val>1,66</val>
          </value>
        </values>
      </ddeItem>
      <ddeItem name="CME.CEQFU.1628016@prc_ql_cd" advise="1">
        <values>
          <value t="str">
            <val>CONT</val>
          </value>
        </values>
      </ddeItem>
      <ddeItem name="CME.CEQFU.1628016@symbol" advise="1">
        <values>
          <value t="str">
            <val>ESH1F</val>
          </value>
        </values>
      </ddeItem>
      <ddeItem name="CME.CEQFU.1628016@trade_count" advise="1">
        <values>
          <value t="nil">
            <val>1</val>
          </value>
        </values>
      </ddeItem>
      <ddeItem name="CME.CEQFU.1628016@trade_time" advise="1">
        <values>
          <value t="str">
            <val>22.59.59</val>
          </value>
        </values>
      </ddeItem>
      <ddeItem name="CME.CEQFU.1628016@trade_volume_bi" advise="1">
        <values>
          <value>
            <val>1383401</val>
          </value>
        </values>
      </ddeItem>
      <ddeItem name="CME.CEQFU.1628019@best_asiz1" advise="1">
        <values>
          <value>
            <val>2</val>
          </value>
        </values>
      </ddeItem>
      <ddeItem name="CME.CEQFU.1628019@best_ask1" advise="1">
        <values>
          <value>
            <val>13500</val>
          </value>
        </values>
      </ddeItem>
      <ddeItem name="CME.CEQFU.1628019@best_bid1" advise="1">
        <values>
          <value>
            <val>13497</val>
          </value>
        </values>
      </ddeItem>
      <ddeItem name="CME.CEQFU.1628019@best_bsiz1" advise="1">
        <values>
          <value>
            <val>1</val>
          </value>
        </values>
      </ddeItem>
      <ddeItem name="CME.CEQFU.1628019@exchange_name" advise="1">
        <values>
          <value t="str">
            <val>CME</val>
          </value>
        </values>
      </ddeItem>
      <ddeItem name="CME.CEQFU.1628019@instrument_name" advise="1">
        <values>
          <value t="str">
            <val>E-Mini Nasdaq 100 03-21</val>
          </value>
        </values>
      </ddeItem>
      <ddeItem name="CME.CEQFU.1628019@last_price" advise="1">
        <values>
          <value>
            <val>13498</val>
          </value>
        </values>
      </ddeItem>
      <ddeItem name="CME.CEQFU.1628019@lst_prctck" advise="1">
        <values>
          <value t="str">
            <val>- - - - +</val>
          </value>
        </values>
      </ddeItem>
      <ddeItem name="CME.CEQFU.1628019@percentage_change" advise="1">
        <values>
          <value t="str">
            <val>1,98</val>
          </value>
        </values>
      </ddeItem>
      <ddeItem name="CME.CEQFU.1628019@prc_ql_cd" advise="1">
        <values>
          <value t="str">
            <val>CONT</val>
          </value>
        </values>
      </ddeItem>
      <ddeItem name="CME.CEQFU.1628019@symbol" advise="1">
        <values>
          <value t="str">
            <val>NQH1F</val>
          </value>
        </values>
      </ddeItem>
      <ddeItem name="CME.CEQFU.1628019@trade_count" advise="1">
        <values>
          <value t="nil">
            <val>1</val>
          </value>
        </values>
      </ddeItem>
      <ddeItem name="CME.CEQFU.1628019@trade_time" advise="1">
        <values>
          <value t="str">
            <val>22.59.59</val>
          </value>
        </values>
      </ddeItem>
      <ddeItem name="CME.CEQFU.1628019@trade_volume_bi" advise="1">
        <values>
          <value>
            <val>483877</val>
          </value>
        </values>
      </ddeItem>
      <ddeItem name="CME.CEQFU.1713209@best_asiz1" advise="1">
        <values>
          <value>
            <val>2</val>
          </value>
        </values>
      </ddeItem>
      <ddeItem name="CME.CEQFU.1713209@best_ask1" advise="1">
        <values>
          <value>
            <val>12064</val>
          </value>
        </values>
      </ddeItem>
      <ddeItem name="CME.CEQFU.1713209@best_bid1" advise="1">
        <values>
          <value>
            <val>12009</val>
          </value>
        </values>
      </ddeItem>
      <ddeItem name="CME.CEQFU.1713209@best_bsiz1" advise="1">
        <values>
          <value>
            <val>1</val>
          </value>
        </values>
      </ddeItem>
      <ddeItem name="CME.CEQFU.1713209@exchange_name" advise="1">
        <values>
          <value t="str">
            <val>CME</val>
          </value>
        </values>
      </ddeItem>
      <ddeItem name="CME.CEQFU.1713209@instrument_name" advise="1">
        <values>
          <value t="str">
            <val>E-Mini Euro/Usd FX 03-21</val>
          </value>
        </values>
      </ddeItem>
      <ddeItem name="CME.CEQFU.1713209@last_price" advise="1">
        <values>
          <value>
            <val>12053</val>
          </value>
        </values>
      </ddeItem>
      <ddeItem name="CME.CEQFU.1713209@lst_prctck" advise="1">
        <values>
          <value t="str">
            <val>- - - - +</val>
          </value>
        </values>
      </ddeItem>
      <ddeItem name="CME.CEQFU.1713209@percentage_change" advise="1">
        <values>
          <value t="str">
            <val>-0,21</val>
          </value>
        </values>
      </ddeItem>
      <ddeItem name="CME.CEQFU.1713209@prc_ql_cd" advise="1">
        <values>
          <value t="str">
            <val>CONT</val>
          </value>
        </values>
      </ddeItem>
      <ddeItem name="CME.CEQFU.1713209@symbol" advise="1">
        <values>
          <value t="str">
            <val>E7H1F</val>
          </value>
        </values>
      </ddeItem>
      <ddeItem name="CME.CEQFU.1713209@trade_count" advise="1">
        <values>
          <value t="nil">
            <val>1</val>
          </value>
        </values>
      </ddeItem>
      <ddeItem name="CME.CEQFU.1713209@trade_time" advise="1">
        <values>
          <value t="str">
            <val>22.59.34</val>
          </value>
        </values>
      </ddeItem>
      <ddeItem name="CME.CEQFU.1713209@trade_volume_bi" advise="1">
        <values>
          <value>
            <val>8621</val>
          </value>
        </values>
      </ddeItem>
      <ddeItem name="CME.COMEX.1636011@best_asiz1" advise="1">
        <values>
          <value>
            <val>1</val>
          </value>
        </values>
      </ddeItem>
      <ddeItem name="CME.COMEX.1636011@best_ask1" advise="1">
        <values>
          <value>
            <val>27105</val>
          </value>
        </values>
      </ddeItem>
      <ddeItem name="CME.COMEX.1636011@best_bid1" advise="1">
        <values>
          <value t="str">
            <val>27,10</val>
          </value>
        </values>
      </ddeItem>
      <ddeItem name="CME.COMEX.1636011@best_bsiz1" advise="1">
        <values>
          <value>
            <val>5</val>
          </value>
        </values>
      </ddeItem>
      <ddeItem name="CME.COMEX.1636011@exchange_name" advise="1">
        <values>
          <value t="str">
            <val>COMEX</val>
          </value>
        </values>
      </ddeItem>
      <ddeItem name="CME.COMEX.1636011@instrument_name" advise="1">
        <values>
          <value t="str">
            <val>Silver 03-21*</val>
          </value>
        </values>
      </ddeItem>
      <ddeItem name="CME.COMEX.1636011@last_price" advise="1">
        <values>
          <value t="str">
            <val>27,10</val>
          </value>
        </values>
      </ddeItem>
      <ddeItem name="CME.COMEX.1636011@lst_prctck" advise="1">
        <values>
          <value t="str">
            <val>- - - - -</val>
          </value>
        </values>
      </ddeItem>
      <ddeItem name="CME.COMEX.1636011@percentage_change" advise="1">
        <values>
          <value t="str">
            <val>-7,88</val>
          </value>
        </values>
      </ddeItem>
      <ddeItem name="CME.COMEX.1636011@prc_ql_cd" advise="1">
        <values>
          <value t="str">
            <val>CONT</val>
          </value>
        </values>
      </ddeItem>
      <ddeItem name="CME.COMEX.1636011@symbol" advise="1">
        <values>
          <value t="str">
            <val>SIH1F</val>
          </value>
        </values>
      </ddeItem>
      <ddeItem name="CME.COMEX.1636011@trade_count" advise="1">
        <values>
          <value t="nil">
            <val>1</val>
          </value>
        </values>
      </ddeItem>
      <ddeItem name="CME.COMEX.1636011@trade_time" advise="1">
        <values>
          <value t="str">
            <val>15.47.22</val>
          </value>
        </values>
      </ddeItem>
      <ddeItem name="CME.COMEX.1636011@trade_volume_bi" advise="1">
        <values>
          <value>
            <val>111375</val>
          </value>
        </values>
      </ddeItem>
      <ddeItem name="CME.COMEX.1768585@best_asiz1" advise="1">
        <values>
          <value>
            <val>3</val>
          </value>
        </values>
      </ddeItem>
      <ddeItem name="CME.COMEX.1768585@best_ask1" advise="1">
        <values>
          <value t="str">
            <val>1834,3</val>
          </value>
        </values>
      </ddeItem>
      <ddeItem name="CME.COMEX.1768585@best_bid1" advise="1">
        <values>
          <value t="str">
            <val>1834,1</val>
          </value>
        </values>
      </ddeItem>
      <ddeItem name="CME.COMEX.1768585@best_bsiz1" advise="1">
        <values>
          <value>
            <val>3</val>
          </value>
        </values>
      </ddeItem>
      <ddeItem name="CME.COMEX.1768585@exchange_name" advise="1">
        <values>
          <value t="str">
            <val>COMEX</val>
          </value>
        </values>
      </ddeItem>
      <ddeItem name="CME.COMEX.1768585@instrument_name" advise="1">
        <values>
          <value t="str">
            <val>Gold 03-21*</val>
          </value>
        </values>
      </ddeItem>
      <ddeItem name="CME.COMEX.1768585@last_price" advise="1">
        <values>
          <value t="str">
            <val>1835,7</val>
          </value>
        </values>
      </ddeItem>
      <ddeItem name="CME.COMEX.1768585@lst_prctck" advise="1">
        <values>
          <value t="str">
            <val>- - - + +</val>
          </value>
        </values>
      </ddeItem>
      <ddeItem name="CME.COMEX.1768585@percentage_change" advise="1">
        <values>
          <value t="str">
            <val>-1,42</val>
          </value>
        </values>
      </ddeItem>
      <ddeItem name="CME.COMEX.1768585@prc_ql_cd" advise="1">
        <values>
          <value t="str">
            <val>CONT</val>
          </value>
        </values>
      </ddeItem>
      <ddeItem name="CME.COMEX.1768585@symbol" advise="1">
        <values>
          <value t="str">
            <val>GCH1F</val>
          </value>
        </values>
      </ddeItem>
      <ddeItem name="CME.COMEX.1768585@trade_count" advise="1">
        <values>
          <value t="nil">
            <val>1</val>
          </value>
        </values>
      </ddeItem>
      <ddeItem name="CME.COMEX.1768585@trade_time" advise="1">
        <values>
          <value t="str">
            <val>15.47.03</val>
          </value>
        </values>
      </ddeItem>
      <ddeItem name="CME.COMEX.1768585@trade_volume_bi" advise="1">
        <values>
          <value>
            <val>970</val>
          </value>
        </values>
      </ddeItem>
      <ddeItem name="CME.NYMEX.1628353@best_asiz1" advise="1">
        <values>
          <value>
            <val>4</val>
          </value>
        </values>
      </ddeItem>
      <ddeItem name="CME.NYMEX.1628353@best_ask1" advise="1">
        <values>
          <value>
            <val>54925</val>
          </value>
        </values>
      </ddeItem>
      <ddeItem name="CME.NYMEX.1628353@best_bid1" advise="1">
        <values>
          <value t="str">
            <val>54,85</val>
          </value>
        </values>
      </ddeItem>
      <ddeItem name="CME.NYMEX.1628353@best_bsiz1" advise="1">
        <values>
          <value>
            <val>1</val>
          </value>
        </values>
      </ddeItem>
      <ddeItem name="CME.NYMEX.1628353@exchange_name" advise="1">
        <values>
          <value t="str">
            <val>NYMEX</val>
          </value>
        </values>
      </ddeItem>
      <ddeItem name="CME.NYMEX.1628353@instrument_name" advise="1">
        <values>
          <value t="str">
            <val>E-mini Crude Oil 03-21*</val>
          </value>
        </values>
      </ddeItem>
      <ddeItem name="CME.NYMEX.1628353@last_price" advise="1">
        <values>
          <value>
            <val>54925</val>
          </value>
        </values>
      </ddeItem>
      <ddeItem name="CME.NYMEX.1628353@lst_prctck" advise="1">
        <values>
          <value t="str">
            <val>- - + - -</val>
          </value>
        </values>
      </ddeItem>
      <ddeItem name="CME.NYMEX.1628353@percentage_change" advise="1">
        <values>
          <value t="str">
            <val>2,57</val>
          </value>
        </values>
      </ddeItem>
      <ddeItem name="CME.NYMEX.1628353@prc_ql_cd" advise="1">
        <values>
          <value t="str">
            <val>CONT</val>
          </value>
        </values>
      </ddeItem>
      <ddeItem name="CME.NYMEX.1628353@symbol" advise="1">
        <values>
          <value t="str">
            <val>QMH1F</val>
          </value>
        </values>
      </ddeItem>
      <ddeItem name="CME.NYMEX.1628353@trade_count" advise="1">
        <values>
          <value t="nil">
            <val>1</val>
          </value>
        </values>
      </ddeItem>
      <ddeItem name="CME.NYMEX.1628353@trade_time" advise="1">
        <values>
          <value t="str">
            <val>15.47.23</val>
          </value>
        </values>
      </ddeItem>
      <ddeItem name="CME.NYMEX.1628353@trade_volume_bi" advise="1">
        <values>
          <value>
            <val>7468</val>
          </value>
        </values>
      </ddeItem>
      <ddeItem name="CME.NYMEX.1632586@best_asiz1" advise="1">
        <values>
          <value>
            <val>3</val>
          </value>
        </values>
      </ddeItem>
      <ddeItem name="CME.NYMEX.1632586@best_ask1" advise="1">
        <values>
          <value t="str">
            <val>54,85</val>
          </value>
        </values>
      </ddeItem>
      <ddeItem name="CME.NYMEX.1632586@best_bid1" advise="1">
        <values>
          <value t="str">
            <val>54,84</val>
          </value>
        </values>
      </ddeItem>
      <ddeItem name="CME.NYMEX.1632586@best_bsiz1" advise="1">
        <values>
          <value>
            <val>42</val>
          </value>
        </values>
      </ddeItem>
      <ddeItem name="CME.NYMEX.1632586@exchange_name" advise="1">
        <values>
          <value t="str">
            <val>NYMEX</val>
          </value>
        </values>
      </ddeItem>
      <ddeItem name="CME.NYMEX.1632586@instrument_name" advise="1">
        <values>
          <value t="str">
            <val>Light Crude Oil 03-21*</val>
          </value>
        </values>
      </ddeItem>
      <ddeItem name="CME.NYMEX.1632586@last_price" advise="1">
        <values>
          <value t="str">
            <val>54,85</val>
          </value>
        </values>
      </ddeItem>
      <ddeItem name="CME.NYMEX.1632586@lst_prctck" advise="1">
        <values>
          <value t="str">
            <val>- + + - +</val>
          </value>
        </values>
      </ddeItem>
      <ddeItem name="CME.NYMEX.1632586@percentage_change" advise="1">
        <values>
          <value t="str">
            <val>2,43</val>
          </value>
        </values>
      </ddeItem>
      <ddeItem name="CME.NYMEX.1632586@prc_ql_cd" advise="1">
        <values>
          <value t="str">
            <val>CONT</val>
          </value>
        </values>
      </ddeItem>
      <ddeItem name="CME.NYMEX.1632586@symbol" advise="1">
        <values>
          <value t="str">
            <val>CLH1F</val>
          </value>
        </values>
      </ddeItem>
      <ddeItem name="CME.NYMEX.1632586@trade_count" advise="1">
        <values>
          <value t="nil">
            <val>1</val>
          </value>
        </values>
      </ddeItem>
      <ddeItem name="CME.NYMEX.1632586@trade_time" advise="1">
        <values>
          <value t="str">
            <val>15.51.07</val>
          </value>
        </values>
      </ddeItem>
      <ddeItem name="CME.NYMEX.1632586@trade_volume_bi" advise="1">
        <values>
          <value>
            <val>237801</val>
          </value>
        </values>
      </ddeItem>
      <ddeItem name="CME.NYMEX.1633290@best_asiz1" advise="1">
        <values>
          <value>
            <val>61</val>
          </value>
        </values>
      </ddeItem>
      <ddeItem name="CME.NYMEX.1633290@best_ask1" advise="1">
        <values>
          <value>
            <val>2955</val>
          </value>
        </values>
      </ddeItem>
      <ddeItem name="CME.NYMEX.1633290@best_bid1" advise="1">
        <values>
          <value t="str">
            <val>2,95</val>
          </value>
        </values>
      </ddeItem>
      <ddeItem name="CME.NYMEX.1633290@best_bsiz1" advise="1">
        <values>
          <value>
            <val>67</val>
          </value>
        </values>
      </ddeItem>
      <ddeItem name="CME.NYMEX.1633290@exchange_name" advise="1">
        <values>
          <value t="str">
            <val>NYMEX</val>
          </value>
        </values>
      </ddeItem>
      <ddeItem name="CME.NYMEX.1633290@instrument_name" advise="1">
        <values>
          <value t="str">
            <val>E-mini Natural Gas 03-21*</val>
          </value>
        </values>
      </ddeItem>
      <ddeItem name="CME.NYMEX.1633290@last_price" advise="1">
        <values>
          <value>
            <val>2955</val>
          </value>
        </values>
      </ddeItem>
      <ddeItem name="CME.NYMEX.1633290@lst_prctck" advise="1">
        <values>
          <value t="str">
            <val>+ - + + +</val>
          </value>
        </values>
      </ddeItem>
      <ddeItem name="CME.NYMEX.1633290@percentage_change" advise="1">
        <values>
          <value t="str">
            <val>3,68</val>
          </value>
        </values>
      </ddeItem>
      <ddeItem name="CME.NYMEX.1633290@prc_ql_cd" advise="1">
        <values>
          <value t="str">
            <val>CONT</val>
          </value>
        </values>
      </ddeItem>
      <ddeItem name="CME.NYMEX.1633290@symbol" advise="1">
        <values>
          <value t="str">
            <val>QGH1F</val>
          </value>
        </values>
      </ddeItem>
      <ddeItem name="CME.NYMEX.1633290@trade_count" advise="1">
        <values>
          <value t="nil">
            <val>1</val>
          </value>
        </values>
      </ddeItem>
      <ddeItem name="CME.NYMEX.1633290@trade_time" advise="1">
        <values>
          <value t="str">
            <val>15.47.19</val>
          </value>
        </values>
      </ddeItem>
      <ddeItem name="CME.NYMEX.1633290@trade_volume_bi" advise="1">
        <values>
          <value>
            <val>5294</val>
          </value>
        </values>
      </ddeItem>
      <ddeItem name="EUR.LIF.1758144@best_asiz1" advise="1">
        <values>
          <value>
            <val>1</val>
          </value>
        </values>
      </ddeItem>
      <ddeItem name="EUR.LIF.1758144@best_ask1" advise="1">
        <values>
          <value t="str">
            <val>5589,0</val>
          </value>
        </values>
      </ddeItem>
      <ddeItem name="EUR.LIF.1758144@best_bid1" advise="1">
        <values>
          <value t="str">
            <val>5572,5</val>
          </value>
        </values>
      </ddeItem>
      <ddeItem name="EUR.LIF.1758144@best_bsiz1" advise="1">
        <values>
          <value>
            <val>1</val>
          </value>
        </values>
      </ddeItem>
      <ddeItem name="EUR.LIF.1758144@exchange_name" advise="1">
        <values>
          <value t="str">
            <val>Liffe</val>
          </value>
        </values>
      </ddeItem>
      <ddeItem name="EUR.LIF.1758144@instrument_name" advise="1">
        <values>
          <value t="str">
            <val>CAC 40 02-21</val>
          </value>
        </values>
      </ddeItem>
      <ddeItem name="EUR.LIF.1758144@last_price" advise="1">
        <values>
          <value t="str">
            <val>5580,5</val>
          </value>
        </values>
      </ddeItem>
      <ddeItem name="EUR.LIF.1758144@lst_prctck" advise="1">
        <values>
          <value t="str">
            <val>- + + + -</val>
          </value>
        </values>
      </ddeItem>
      <ddeItem name="EUR.LIF.1758144@percentage_change" advise="1">
        <values>
          <value t="str">
            <val>2,23</val>
          </value>
        </values>
      </ddeItem>
      <ddeItem name="EUR.LIF.1758144@prc_ql_cd" advise="1">
        <values>
          <value t="str">
            <val>CHIU</val>
          </value>
        </values>
      </ddeItem>
      <ddeItem name="EUR.LIF.1758144@symbol" advise="1">
        <values>
          <value t="str">
            <val>J-FCEG1F</val>
          </value>
        </values>
      </ddeItem>
      <ddeItem name="EUR.LIF.1758144@trade_count" advise="1">
        <values>
          <value>
            <val>41580</val>
          </value>
        </values>
      </ddeItem>
      <ddeItem name="EUR.LIF.1758144@trade_time" advise="1">
        <values>
          <value t="str">
            <val>21.59.47</val>
          </value>
        </values>
      </ddeItem>
      <ddeItem name="EUR.LIF.1758144@trade_volume_bi" advise="1">
        <values>
          <value>
            <val>58611</val>
          </value>
        </values>
      </ddeItem>
      <ddeItem name="FR.EUREX.1447698@best_asiz1" advise="1">
        <values>
          <value>
            <val>0</val>
          </value>
        </values>
      </ddeItem>
      <ddeItem name="FR.EUREX.1447698@best_ask1" advise="1">
        <values>
          <value t="str">
            <val>3596,0</val>
          </value>
        </values>
      </ddeItem>
      <ddeItem name="FR.EUREX.1447698@best_bid1" advise="1">
        <values>
          <value t="str">
            <val>3595,0</val>
          </value>
        </values>
      </ddeItem>
      <ddeItem name="FR.EUREX.1447698@best_bsiz1" advise="1">
        <values>
          <value>
            <val>0</val>
          </value>
        </values>
      </ddeItem>
      <ddeItem name="FR.EUREX.1447698@exchange_name" advise="1">
        <values>
          <value t="str">
            <val>EUREX</val>
          </value>
        </values>
      </ddeItem>
      <ddeItem name="FR.EUREX.1447698@instrument_name" advise="1">
        <values>
          <value t="str">
            <val>DJ Euro Stoxx 50 03-21</val>
          </value>
        </values>
      </ddeItem>
      <ddeItem name="FR.EUREX.1447698@last_price" advise="1">
        <values>
          <value t="str">
            <val>3596,0</val>
          </value>
        </values>
      </ddeItem>
      <ddeItem name="FR.EUREX.1447698@lst_prctck" advise="1">
        <values>
          <value t="str">
            <val>+ + + - -</val>
          </value>
        </values>
      </ddeItem>
      <ddeItem name="FR.EUREX.1447698@percentage_change" advise="1">
        <values>
          <value t="str">
            <val>2,01</val>
          </value>
        </values>
      </ddeItem>
      <ddeItem name="FR.EUREX.1447698@prc_ql_cd" advise="1">
        <values>
          <value t="str">
            <val>ASTA</val>
          </value>
        </values>
      </ddeItem>
      <ddeItem name="FR.EUREX.1447698@symbol" advise="1">
        <values>
          <value t="str">
            <val>FESXH1F</val>
          </value>
        </values>
      </ddeItem>
      <ddeItem name="FR.EUREX.1447698@trade_count" advise="1">
        <values>
          <value t="nil">
            <val>1</val>
          </value>
        </values>
      </ddeItem>
      <ddeItem name="FR.EUREX.1447698@trade_time" advise="1">
        <values>
          <value t="str">
            <val>22.03.48</val>
          </value>
        </values>
      </ddeItem>
      <ddeItem name="FR.EUREX.1447698@trade_volume_bi" advise="1">
        <values>
          <value>
            <val>884596</val>
          </value>
        </values>
      </ddeItem>
      <ddeItem name="FR.EUREX.1670121@best_asiz1" advise="1">
        <values>
          <value>
            <val>0</val>
          </value>
        </values>
      </ddeItem>
      <ddeItem name="FR.EUREX.1670121@best_ask1" advise="1">
        <values>
          <value t="str">
            <val>150,74</val>
          </value>
        </values>
      </ddeItem>
      <ddeItem name="FR.EUREX.1670121@best_bid1" advise="1">
        <values>
          <value t="str">
            <val>150,72</val>
          </value>
        </values>
      </ddeItem>
      <ddeItem name="FR.EUREX.1670121@best_bsiz1" advise="1">
        <values>
          <value>
            <val>0</val>
          </value>
        </values>
      </ddeItem>
      <ddeItem name="FR.EUREX.1670121@exchange_name" advise="1">
        <values>
          <value t="str">
            <val>EUREX</val>
          </value>
        </values>
      </ddeItem>
      <ddeItem name="FR.EUREX.1670121@instrument_name" advise="1">
        <values>
          <value t="str">
            <val>Long-Term Euro-BTP 03-21</val>
          </value>
        </values>
      </ddeItem>
      <ddeItem name="FR.EUREX.1670121@last_price" advise="1">
        <values>
          <value t="str">
            <val>150,72</val>
          </value>
        </values>
      </ddeItem>
      <ddeItem name="FR.EUREX.1670121@lst_prctck" advise="1">
        <values>
          <value t="str">
            <val>- + + + -</val>
          </value>
        </values>
      </ddeItem>
      <ddeItem name="FR.EUREX.1670121@percentage_change" advise="1">
        <values>
          <value t="str">
            <val>-0,42</val>
          </value>
        </values>
      </ddeItem>
      <ddeItem name="FR.EUREX.1670121@prc_ql_cd" advise="1">
        <values>
          <value t="str">
            <val>ASTA</val>
          </value>
        </values>
      </ddeItem>
      <ddeItem name="FR.EUREX.1670121@symbol" advise="1">
        <values>
          <value t="str">
            <val>FBTPH1F</val>
          </value>
        </values>
      </ddeItem>
      <ddeItem name="FR.EUREX.1670121@trade_count" advise="1">
        <values>
          <value t="nil">
            <val>1</val>
          </value>
        </values>
      </ddeItem>
      <ddeItem name="FR.EUREX.1670121@trade_time" advise="1">
        <values>
          <value t="str">
            <val>19.03.25</val>
          </value>
        </values>
      </ddeItem>
      <ddeItem name="FR.EUREX.1670121@trade_volume_bi" advise="1">
        <values>
          <value>
            <val>89437</val>
          </value>
        </values>
      </ddeItem>
      <ddeItem name="FR.EUREX.1670123@best_asiz1" advise="1">
        <values>
          <value>
            <val>0</val>
          </value>
        </values>
      </ddeItem>
      <ddeItem name="FR.EUREX.1670123@best_ask1" advise="1">
        <values>
          <value t="str">
            <val>176,75</val>
          </value>
        </values>
      </ddeItem>
      <ddeItem name="FR.EUREX.1670123@best_bid1" advise="1">
        <values>
          <value t="str">
            <val>176,73</val>
          </value>
        </values>
      </ddeItem>
      <ddeItem name="FR.EUREX.1670123@best_bsiz1" advise="1">
        <values>
          <value>
            <val>0</val>
          </value>
        </values>
      </ddeItem>
      <ddeItem name="FR.EUREX.1670123@exchange_name" advise="1">
        <values>
          <value t="str">
            <val>EUREX</val>
          </value>
        </values>
      </ddeItem>
      <ddeItem name="FR.EUREX.1670123@instrument_name" advise="1">
        <values>
          <value t="str">
            <val>Euro Bund 03-21</val>
          </value>
        </values>
      </ddeItem>
      <ddeItem name="FR.EUREX.1670123@last_price" advise="1">
        <values>
          <value t="str">
            <val>176,75</val>
          </value>
        </values>
      </ddeItem>
      <ddeItem name="FR.EUREX.1670123@lst_prctck" advise="1">
        <values>
          <value t="str">
            <val>+ + - + +</val>
          </value>
        </values>
      </ddeItem>
      <ddeItem name="FR.EUREX.1670123@percentage_change" advise="1">
        <values>
          <value t="str">
            <val>-0,27</val>
          </value>
        </values>
      </ddeItem>
      <ddeItem name="FR.EUREX.1670123@prc_ql_cd" advise="1">
        <values>
          <value t="str">
            <val>ASTA</val>
          </value>
        </values>
      </ddeItem>
      <ddeItem name="FR.EUREX.1670123@symbol" advise="1">
        <values>
          <value t="str">
            <val>FGBLH1F</val>
          </value>
        </values>
      </ddeItem>
      <ddeItem name="FR.EUREX.1670123@trade_count" advise="1">
        <values>
          <value t="nil">
            <val>1</val>
          </value>
        </values>
      </ddeItem>
      <ddeItem name="FR.EUREX.1670123@trade_time" advise="1">
        <values>
          <value t="str">
            <val>22.03.49</val>
          </value>
        </values>
      </ddeItem>
      <ddeItem name="FR.EUREX.1670123@trade_volume_bi" advise="1">
        <values>
          <value>
            <val>876689</val>
          </value>
        </values>
      </ddeItem>
      <ddeItem name="FR.EUREX.1670124@best_asiz1" advise="1">
        <values>
          <value>
            <val>0</val>
          </value>
        </values>
      </ddeItem>
      <ddeItem name="FR.EUREX.1670124@best_ask1" advise="1">
        <values>
          <value t="str">
            <val>135,08</val>
          </value>
        </values>
      </ddeItem>
      <ddeItem name="FR.EUREX.1670124@best_bid1" advise="1">
        <values>
          <value t="str">
            <val>135,07</val>
          </value>
        </values>
      </ddeItem>
      <ddeItem name="FR.EUREX.1670124@best_bsiz1" advise="1">
        <values>
          <value>
            <val>0</val>
          </value>
        </values>
      </ddeItem>
      <ddeItem name="FR.EUREX.1670124@exchange_name" advise="1">
        <values>
          <value t="str">
            <val>EUREX</val>
          </value>
        </values>
      </ddeItem>
      <ddeItem name="FR.EUREX.1670124@instrument_name" advise="1">
        <values>
          <value t="str">
            <val>Euro Bobl 03-21</val>
          </value>
        </values>
      </ddeItem>
      <ddeItem name="FR.EUREX.1670124@last_price" advise="1">
        <values>
          <value t="str">
            <val>135,08</val>
          </value>
        </values>
      </ddeItem>
      <ddeItem name="FR.EUREX.1670124@lst_prctck" advise="1">
        <values>
          <value t="str">
            <val>+ - + - -</val>
          </value>
        </values>
      </ddeItem>
      <ddeItem name="FR.EUREX.1670124@percentage_change" advise="1">
        <values>
          <value t="str">
            <val>-0,10</val>
          </value>
        </values>
      </ddeItem>
      <ddeItem name="FR.EUREX.1670124@prc_ql_cd" advise="1">
        <values>
          <value t="str">
            <val>ASTA</val>
          </value>
        </values>
      </ddeItem>
      <ddeItem name="FR.EUREX.1670124@symbol" advise="1">
        <values>
          <value t="str">
            <val>FGBMH1F</val>
          </value>
        </values>
      </ddeItem>
      <ddeItem name="FR.EUREX.1670124@trade_count" advise="1">
        <values>
          <value t="nil">
            <val>1</val>
          </value>
        </values>
      </ddeItem>
      <ddeItem name="FR.EUREX.1670124@trade_time" advise="1">
        <values>
          <value t="str">
            <val>22.03.49</val>
          </value>
        </values>
      </ddeItem>
      <ddeItem name="FR.EUREX.1670124@trade_volume_bi" advise="1">
        <values>
          <value>
            <val>388081</val>
          </value>
        </values>
      </ddeItem>
      <ddeItem name="FR.EUREX.1670125@best_asiz1" advise="1">
        <values>
          <value>
            <val>3063</val>
          </value>
        </values>
      </ddeItem>
      <ddeItem name="FR.EUREX.1670125@best_ask1" advise="1">
        <values>
          <value t="str">
            <val>112,28</val>
          </value>
        </values>
      </ddeItem>
      <ddeItem name="FR.EUREX.1670125@best_bid1" advise="1">
        <values>
          <value>
            <val>112275</val>
          </value>
        </values>
      </ddeItem>
      <ddeItem name="FR.EUREX.1670125@best_bsiz1" advise="1">
        <values>
          <value>
            <val>6386</val>
          </value>
        </values>
      </ddeItem>
      <ddeItem name="FR.EUREX.1670125@exchange_name" advise="1">
        <values>
          <value t="str">
            <val>EUREX</val>
          </value>
        </values>
      </ddeItem>
      <ddeItem name="FR.EUREX.1670125@instrument_name" advise="1">
        <values>
          <value t="str">
            <val>Euro Schatz 03-21</val>
          </value>
        </values>
      </ddeItem>
      <ddeItem name="FR.EUREX.1670125@last_price" advise="1">
        <values>
          <value t="str">
            <val>112,30</val>
          </value>
        </values>
      </ddeItem>
      <ddeItem name="FR.EUREX.1670125@lst_prctck" advise="1">
        <values>
          <value t="str">
            <val>- + - - -</val>
          </value>
        </values>
      </ddeItem>
      <ddeItem name="FR.EUREX.1670125@percentage_change" advise="1">
        <values>
          <value t="str">
            <val>-0,01</val>
          </value>
        </values>
      </ddeItem>
      <ddeItem name="FR.EUREX.1670125@prc_ql_cd" advise="1">
        <values>
          <value t="str">
            <val>ASTA</val>
          </value>
        </values>
      </ddeItem>
      <ddeItem name="FR.EUREX.1670125@symbol" advise="1">
        <values>
          <value t="str">
            <val>FGBSH1F</val>
          </value>
        </values>
      </ddeItem>
      <ddeItem name="FR.EUREX.1670125@trade_count" advise="1">
        <values>
          <value t="nil">
            <val>1</val>
          </value>
        </values>
      </ddeItem>
      <ddeItem name="FR.EUREX.1670125@trade_time" advise="1">
        <values>
          <value t="str">
            <val>21.59.59</val>
          </value>
        </values>
      </ddeItem>
      <ddeItem name="FR.EUREX.1670125@trade_volume_bi" advise="1">
        <values>
          <value>
            <val>330655</val>
          </value>
        </values>
      </ddeItem>
      <ddeItem name="FR.EUREX.1674001@best_asiz1" advise="1">
        <values>
          <value>
            <val>0</val>
          </value>
        </values>
      </ddeItem>
      <ddeItem name="FR.EUREX.1674001@best_ask1" advise="1">
        <values>
          <value t="str">
            <val>24,30</val>
          </value>
        </values>
      </ddeItem>
      <ddeItem name="FR.EUREX.1674001@best_bid1" advise="1">
        <values>
          <value t="str">
            <val>24,05</val>
          </value>
        </values>
      </ddeItem>
      <ddeItem name="FR.EUREX.1674001@best_bsiz1" advise="1">
        <values>
          <value>
            <val>0</val>
          </value>
        </values>
      </ddeItem>
      <ddeItem name="FR.EUREX.1674001@exchange_name" advise="1">
        <values>
          <value t="str">
            <val>EUREX</val>
          </value>
        </values>
      </ddeItem>
      <ddeItem name="FR.EUREX.1674001@instrument_name" advise="1">
        <values>
          <value t="str">
            <val>VSTOXX 02-21</val>
          </value>
        </values>
      </ddeItem>
      <ddeItem name="FR.EUREX.1674001@last_price" advise="1">
        <values>
          <value t="str">
            <val>24,35</val>
          </value>
        </values>
      </ddeItem>
      <ddeItem name="FR.EUREX.1674001@lst_prctck" advise="1">
        <values>
          <value t="str">
            <val>- - + + -</val>
          </value>
        </values>
      </ddeItem>
      <ddeItem name="FR.EUREX.1674001@percentage_change" advise="1">
        <values>
          <value t="str">
            <val>-10,81</val>
          </value>
        </values>
      </ddeItem>
      <ddeItem name="FR.EUREX.1674001@prc_ql_cd" advise="1">
        <values>
          <value t="str">
            <val>CHIU</val>
          </value>
        </values>
      </ddeItem>
      <ddeItem name="FR.EUREX.1674001@symbol" advise="1">
        <values>
          <value t="str">
            <val>FVSG1F</val>
          </value>
        </values>
      </ddeItem>
      <ddeItem name="FR.EUREX.1674001@trade_count" advise="1">
        <values>
          <value t="nil">
            <val>1</val>
          </value>
        </values>
      </ddeItem>
      <ddeItem name="FR.EUREX.1674001@trade_time" advise="1">
        <values>
          <value t="str">
            <val>21.59.32</val>
          </value>
        </values>
      </ddeItem>
      <ddeItem name="FR.EUREX.1674001@trade_volume_bi" advise="1">
        <values>
          <value>
            <val>31644</val>
          </value>
        </values>
      </ddeItem>
      <ddeItem name="FR.EUREX.1679398@best_asiz1" advise="1">
        <values>
          <value>
            <val>0</val>
          </value>
        </values>
      </ddeItem>
      <ddeItem name="FR.EUREX.1679398@best_ask1" advise="1">
        <values>
          <value>
            <val>13877</val>
          </value>
        </values>
      </ddeItem>
      <ddeItem name="FR.EUREX.1679398@best_bid1" advise="1">
        <values>
          <value>
            <val>13868</val>
          </value>
        </values>
      </ddeItem>
      <ddeItem name="FR.EUREX.1679398@best_bsiz1" advise="1">
        <values>
          <value>
            <val>0</val>
          </value>
        </values>
      </ddeItem>
      <ddeItem name="FR.EUREX.1679398@exchange_name" advise="1">
        <values>
          <value t="str">
            <val>EUREX</val>
          </value>
        </values>
      </ddeItem>
      <ddeItem name="FR.EUREX.1679398@instrument_name" advise="1">
        <values>
          <value t="str">
            <val>Dax 03-21</val>
          </value>
        </values>
      </ddeItem>
      <ddeItem name="FR.EUREX.1679398@last_price" advise="1">
        <values>
          <value>
            <val>13868</val>
          </value>
        </values>
      </ddeItem>
      <ddeItem name="FR.EUREX.1679398@lst_prctck" advise="1">
        <values>
          <value t="str">
            <val>+ - + + +</val>
          </value>
        </values>
      </ddeItem>
      <ddeItem name="FR.EUREX.1679398@percentage_change" advise="1">
        <values>
          <value t="str">
            <val>1,76</val>
          </value>
        </values>
      </ddeItem>
      <ddeItem name="FR.EUREX.1679398@prc_ql_cd" advise="1">
        <values>
          <value t="str">
            <val>ASTA</val>
          </value>
        </values>
      </ddeItem>
      <ddeItem name="FR.EUREX.1679398@symbol" advise="1">
        <values>
          <value t="str">
            <val>FDAXH1F</val>
          </value>
        </values>
      </ddeItem>
      <ddeItem name="FR.EUREX.1679398@trade_count" advise="1">
        <values>
          <value t="nil">
            <val>1</val>
          </value>
        </values>
      </ddeItem>
      <ddeItem name="FR.EUREX.1679398@trade_time" advise="1">
        <values>
          <value t="str">
            <val>22.03.48</val>
          </value>
        </values>
      </ddeItem>
      <ddeItem name="FR.EUREX.1679398@trade_volume_bi" advise="1">
        <values>
          <value>
            <val>51806</val>
          </value>
        </values>
      </ddeItem>
      <ddeItem name="FR.EUREX.1679399@best_asiz1" advise="1">
        <values>
          <value>
            <val>0</val>
          </value>
        </values>
      </ddeItem>
      <ddeItem name="FR.EUREX.1679399@best_ask1" advise="1">
        <values>
          <value>
            <val>13875</val>
          </value>
        </values>
      </ddeItem>
      <ddeItem name="FR.EUREX.1679399@best_bid1" advise="1">
        <values>
          <value>
            <val>13860</val>
          </value>
        </values>
      </ddeItem>
      <ddeItem name="FR.EUREX.1679399@best_bsiz1" advise="1">
        <values>
          <value>
            <val>0</val>
          </value>
        </values>
      </ddeItem>
      <ddeItem name="FR.EUREX.1679399@exchange_name" advise="1">
        <values>
          <value t="str">
            <val>EUREX</val>
          </value>
        </values>
      </ddeItem>
      <ddeItem name="FR.EUREX.1679399@instrument_name" advise="1">
        <values>
          <value t="str">
            <val>Mini DAX 03-21</val>
          </value>
        </values>
      </ddeItem>
      <ddeItem name="FR.EUREX.1679399@last_price" advise="1">
        <values>
          <value>
            <val>13861</val>
          </value>
        </values>
      </ddeItem>
      <ddeItem name="FR.EUREX.1679399@lst_prctck" advise="1">
        <values>
          <value t="str">
            <val>- + + - +</val>
          </value>
        </values>
      </ddeItem>
      <ddeItem name="FR.EUREX.1679399@percentage_change" advise="1">
        <values>
          <value t="str">
            <val>1,71</val>
          </value>
        </values>
      </ddeItem>
      <ddeItem name="FR.EUREX.1679399@prc_ql_cd" advise="1">
        <values>
          <value t="str">
            <val>ASTA</val>
          </value>
        </values>
      </ddeItem>
      <ddeItem name="FR.EUREX.1679399@symbol" advise="1">
        <values>
          <value t="str">
            <val>FDXMH1F</val>
          </value>
        </values>
      </ddeItem>
      <ddeItem name="FR.EUREX.1679399@trade_count" advise="1">
        <values>
          <value t="nil">
            <val>1</val>
          </value>
        </values>
      </ddeItem>
      <ddeItem name="FR.EUREX.1679399@trade_time" advise="1">
        <values>
          <value t="str">
            <val>22.03.48</val>
          </value>
        </values>
      </ddeItem>
      <ddeItem name="FR.EUREX.1679399@trade_volume_bi" advise="1">
        <values>
          <value>
            <val>54506</val>
          </value>
        </values>
      </ddeItem>
      <ddeItem name="FR.EUREX.1679408@best_asiz1" advise="1">
        <values>
          <value>
            <val>16</val>
          </value>
        </values>
      </ddeItem>
      <ddeItem name="FR.EUREX.1679408@best_ask1" advise="1">
        <values>
          <value t="str">
            <val>3167,0</val>
          </value>
        </values>
      </ddeItem>
      <ddeItem name="FR.EUREX.1679408@best_bid1" advise="1">
        <values>
          <value t="str">
            <val>0,00</val>
          </value>
        </values>
      </ddeItem>
      <ddeItem name="FR.EUREX.1679408@best_bsiz1" advise="1">
        <values>
          <value>
            <val>0</val>
          </value>
        </values>
      </ddeItem>
      <ddeItem name="FR.EUREX.1679408@exchange_name" advise="1">
        <values>
          <value t="str">
            <val>EUREX</val>
          </value>
        </values>
      </ddeItem>
      <ddeItem name="FR.EUREX.1679408@instrument_name" advise="1">
        <values>
          <value t="str">
            <val>DJ Stoxx 50 03-21</val>
          </value>
        </values>
      </ddeItem>
      <ddeItem name="FR.EUREX.1679408@last_price" advise="1">
        <values>
          <value t="str">
            <val>3132,0</val>
          </value>
        </values>
      </ddeItem>
      <ddeItem name="FR.EUREX.1679408@lst_prctck" advise="1">
        <values>
          <value t="str">
            <val>- + - + +</val>
          </value>
        </values>
      </ddeItem>
      <ddeItem name="FR.EUREX.1679408@percentage_change" advise="1">
        <values>
          <value t="str">
            <val>1,13</val>
          </value>
        </values>
      </ddeItem>
      <ddeItem name="FR.EUREX.1679408@prc_ql_cd" advise="1">
        <values>
          <value t="str">
            <val>CHIU</val>
          </value>
        </values>
      </ddeItem>
      <ddeItem name="FR.EUREX.1679408@symbol" advise="1">
        <values>
          <value t="str">
            <val>FSTXH1F</val>
          </value>
        </values>
      </ddeItem>
      <ddeItem name="FR.EUREX.1679408@trade_count" advise="1">
        <values>
          <value t="nil">
            <val>1</val>
          </value>
        </values>
      </ddeItem>
      <ddeItem name="FR.EUREX.1679408@trade_time" advise="1">
        <values>
          <value t="str">
            <val>21.59.56</val>
          </value>
        </values>
      </ddeItem>
      <ddeItem name="FR.EUREX.1679408@trade_volume_bi" advise="1">
        <values>
          <value>
            <val>618</val>
          </value>
        </values>
      </ddeItem>
      <ddeItem name="MI.DER.1629848@best_asiz1" advise="1">
        <values>
          <value>
            <val>2</val>
          </value>
        </values>
      </ddeItem>
      <ddeItem name="MI.DER.1629848@best_ask1" advise="1">
        <values>
          <value>
            <val>22480</val>
          </value>
        </values>
      </ddeItem>
      <ddeItem name="MI.DER.1629848@best_bid1" advise="1">
        <values>
          <value>
            <val>22475</val>
          </value>
        </values>
      </ddeItem>
      <ddeItem name="MI.DER.1629848@best_bsiz1" advise="1">
        <values>
          <value>
            <val>2</val>
          </value>
        </values>
      </ddeItem>
      <ddeItem name="MI.DER.1629848@exchange_name" advise="1">
        <values>
          <value t="str">
            <val>IDEM</val>
          </value>
        </values>
      </ddeItem>
      <ddeItem name="MI.DER.1629848@instrument_name" advise="1">
        <values>
          <value t="str">
            <val>FUTURE FTSE MIB INDEX 19/03/2021</val>
          </value>
        </values>
      </ddeItem>
      <ddeItem name="MI.DER.1629848@last_price" advise="1">
        <values>
          <value>
            <val>22480</val>
          </value>
        </values>
      </ddeItem>
      <ddeItem name="MI.DER.1629848@lst_prctck" advise="1">
        <values>
          <value t="str">
            <val>- - - - -</val>
          </value>
        </values>
      </ddeItem>
      <ddeItem name="MI.DER.1629848@percentage_change" advise="1">
        <values>
          <value t="str">
            <val>3,16</val>
          </value>
        </values>
      </ddeItem>
      <ddeItem name="MI.DER.1629848@prc_ql_cd" advise="1">
        <values>
          <value t="str">
            <val>CHIU</val>
          </value>
        </values>
      </ddeItem>
      <ddeItem name="MI.DER.1629848@symbol" advise="1">
        <values>
          <value t="str">
            <val>FIB1C</val>
          </value>
        </values>
      </ddeItem>
      <ddeItem name="MI.DER.1629848@trade_count" advise="1">
        <values>
          <value t="nil">
            <val>1</val>
          </value>
        </values>
      </ddeItem>
      <ddeItem name="MI.DER.1629848@trade_time" advise="1">
        <values>
          <value t="str">
            <val>21.59.57</val>
          </value>
        </values>
      </ddeItem>
      <ddeItem name="MI.DER.1629848@trade_volume_bi" advise="1">
        <values>
          <value>
            <val>20508</val>
          </value>
        </values>
      </ddeItem>
      <ddeItem name="MI.DER.1720795@best_asiz1" advise="1">
        <values>
          <value>
            <val>2</val>
          </value>
        </values>
      </ddeItem>
      <ddeItem name="MI.DER.1720795@best_ask1" advise="1">
        <values>
          <value>
            <val>22495</val>
          </value>
        </values>
      </ddeItem>
      <ddeItem name="MI.DER.1720795@best_bid1" advise="1">
        <values>
          <value>
            <val>22480</val>
          </value>
        </values>
      </ddeItem>
      <ddeItem name="MI.DER.1720795@best_bsiz1" advise="1">
        <values>
          <value>
            <val>1</val>
          </value>
        </values>
      </ddeItem>
      <ddeItem name="MI.DER.1720795@exchange_name" advise="1">
        <values>
          <value t="str">
            <val>IDEM</val>
          </value>
        </values>
      </ddeItem>
      <ddeItem name="MI.DER.1720795@instrument_name" advise="1">
        <values>
          <value t="str">
            <val>Mini FUTURE FTSE MIB INDEX 19/03/2021</val>
          </value>
        </values>
      </ddeItem>
      <ddeItem name="MI.DER.1720795@last_price" advise="1">
        <values>
          <value>
            <val>22490</val>
          </value>
        </values>
      </ddeItem>
      <ddeItem name="MI.DER.1720795@lst_prctck" advise="1">
        <values>
          <value t="str">
            <val>- - - - -</val>
          </value>
        </values>
      </ddeItem>
      <ddeItem name="MI.DER.1720795@percentage_change" advise="1">
        <values>
          <value t="str">
            <val>3,21</val>
          </value>
        </values>
      </ddeItem>
      <ddeItem name="MI.DER.1720795@prc_ql_cd" advise="1">
        <values>
          <value t="str">
            <val>CHIU</val>
          </value>
        </values>
      </ddeItem>
      <ddeItem name="MI.DER.1720795@symbol" advise="1">
        <values>
          <value t="str">
            <val>MINI1C</val>
          </value>
        </values>
      </ddeItem>
      <ddeItem name="MI.DER.1720795@trade_count" advise="1">
        <values>
          <value t="nil">
            <val>1</val>
          </value>
        </values>
      </ddeItem>
      <ddeItem name="MI.DER.1720795@trade_time" advise="1">
        <values>
          <value t="str">
            <val>21.59.51</val>
          </value>
        </values>
      </ddeItem>
      <ddeItem name="MI.DER.1720795@trade_volume_bi" advise="1">
        <values>
          <value>
            <val>7193</val>
          </value>
        </values>
      </ddeItem>
      <ddeItem name="StdDocumentName" ole="1" advise="1"/>
    </ddeItems>
  </ddeLink>
</externalLink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1"/>
  <dimension ref="A1:N32"/>
  <sheetViews>
    <sheetView tabSelected="1" workbookViewId="0">
      <selection activeCell="P7" sqref="P7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tr">
        <f>[1]!'CME.CBOFU.1668137@symbol'</f>
        <v>ZNH1F</v>
      </c>
      <c r="B2" t="str">
        <f>[1]!'CME.CBOFU.1668137@instrument_name'</f>
        <v>10 Year Treasury Notes 03-21</v>
      </c>
      <c r="C2" t="str">
        <f>[1]!'CME.CBOFU.1668137@exchange_name'</f>
        <v>eCBOT</v>
      </c>
      <c r="D2" t="str">
        <f>[1]!'CME.CBOFU.1668137@last_price'</f>
        <v>137,00</v>
      </c>
      <c r="E2" t="str">
        <f>[1]!'CME.CBOFU.1668137@percentage_change'</f>
        <v>-0,14</v>
      </c>
      <c r="F2">
        <f>[1]!'CME.CBOFU.1668137@best_bsiz1'</f>
        <v>8</v>
      </c>
      <c r="G2">
        <f>[1]!'CME.CBOFU.1668137@best_bid1'</f>
        <v>136315</v>
      </c>
      <c r="H2" t="str">
        <f>[1]!'CME.CBOFU.1668137@best_ask1'</f>
        <v>137,00</v>
      </c>
      <c r="I2">
        <f>[1]!'CME.CBOFU.1668137@best_asiz1'</f>
        <v>814</v>
      </c>
      <c r="J2" t="str">
        <f>[1]!'CME.CBOFU.1668137@lst_prctck'</f>
        <v>+ - + + -</v>
      </c>
      <c r="K2">
        <f>[1]!'CME.CBOFU.1668137@trade_volume_bi'</f>
        <v>1180136</v>
      </c>
      <c r="L2">
        <f>[1]!'CME.CBOFU.1668137@trade_count'</f>
        <v>0</v>
      </c>
      <c r="M2" t="str">
        <f>[1]!'CME.CBOFU.1668137@prc_ql_cd'</f>
        <v>CONT</v>
      </c>
      <c r="N2" t="str">
        <f>[1]!'CME.CBOFU.1668137@trade_time'</f>
        <v>22.59.59</v>
      </c>
    </row>
    <row r="3" spans="1:14" x14ac:dyDescent="0.3">
      <c r="A3" t="str">
        <f>[1]!'CME.CBOFU.1668136@symbol'</f>
        <v>ZBH1F</v>
      </c>
      <c r="B3" t="str">
        <f>[1]!'CME.CBOFU.1668136@instrument_name'</f>
        <v>30 Year Treasury Notes 03-21</v>
      </c>
      <c r="C3" t="str">
        <f>[1]!'CME.CBOFU.1668136@exchange_name'</f>
        <v>eCBOT</v>
      </c>
      <c r="D3" t="str">
        <f>[1]!'CME.CBOFU.1668136@last_price'</f>
        <v>168,18</v>
      </c>
      <c r="E3" t="str">
        <f>[1]!'CME.CBOFU.1668136@percentage_change'</f>
        <v>-0,26</v>
      </c>
      <c r="F3">
        <f>[1]!'CME.CBOFU.1668136@best_bsiz1'</f>
        <v>194</v>
      </c>
      <c r="G3" t="str">
        <f>[1]!'CME.CBOFU.1668136@best_bid1'</f>
        <v>168,17</v>
      </c>
      <c r="H3" t="str">
        <f>[1]!'CME.CBOFU.1668136@best_ask1'</f>
        <v>168,18</v>
      </c>
      <c r="I3">
        <f>[1]!'CME.CBOFU.1668136@best_asiz1'</f>
        <v>5</v>
      </c>
      <c r="J3" t="str">
        <f>[1]!'CME.CBOFU.1668136@lst_prctck'</f>
        <v>+ - - - +</v>
      </c>
      <c r="K3">
        <f>[1]!'CME.CBOFU.1668136@trade_volume_bi'</f>
        <v>281848</v>
      </c>
      <c r="L3">
        <f>[1]!'CME.CBOFU.1668136@trade_count'</f>
        <v>0</v>
      </c>
      <c r="M3" t="str">
        <f>[1]!'CME.CBOFU.1668136@prc_ql_cd'</f>
        <v>CONT</v>
      </c>
      <c r="N3" t="str">
        <f>[1]!'CME.CBOFU.1668136@trade_time'</f>
        <v>22.59.59</v>
      </c>
    </row>
    <row r="4" spans="1:14" x14ac:dyDescent="0.3">
      <c r="A4" t="str">
        <f>[1]!'CME.CBOFU.1672434@symbol'</f>
        <v>ZFH1F</v>
      </c>
      <c r="B4" t="str">
        <f>[1]!'CME.CBOFU.1672434@instrument_name'</f>
        <v>5 Year Treasury Notes 03-21</v>
      </c>
      <c r="C4" t="str">
        <f>[1]!'CME.CBOFU.1672434@exchange_name'</f>
        <v>eCBOT</v>
      </c>
      <c r="D4">
        <f>[1]!'CME.CBOFU.1672434@last_price'</f>
        <v>125285</v>
      </c>
      <c r="E4" t="str">
        <f>[1]!'CME.CBOFU.1672434@percentage_change'</f>
        <v>-0,06</v>
      </c>
      <c r="F4">
        <f>[1]!'CME.CBOFU.1672434@best_bsiz1'</f>
        <v>1085</v>
      </c>
      <c r="G4">
        <f>[1]!'CME.CBOFU.1672434@best_bid1'</f>
        <v>1252825</v>
      </c>
      <c r="H4">
        <f>[1]!'CME.CBOFU.1672434@best_ask1'</f>
        <v>125285</v>
      </c>
      <c r="I4">
        <f>[1]!'CME.CBOFU.1672434@best_asiz1'</f>
        <v>82</v>
      </c>
      <c r="J4" t="str">
        <f>[1]!'CME.CBOFU.1672434@lst_prctck'</f>
        <v>+ - - - -</v>
      </c>
      <c r="K4">
        <f>[1]!'CME.CBOFU.1672434@trade_volume_bi'</f>
        <v>719754</v>
      </c>
      <c r="L4">
        <f>[1]!'CME.CBOFU.1672434@trade_count'</f>
        <v>0</v>
      </c>
      <c r="M4" t="str">
        <f>[1]!'CME.CBOFU.1672434@prc_ql_cd'</f>
        <v>CONT</v>
      </c>
      <c r="N4" t="str">
        <f>[1]!'CME.CBOFU.1672434@trade_time'</f>
        <v>22.59.59</v>
      </c>
    </row>
    <row r="5" spans="1:14" x14ac:dyDescent="0.3">
      <c r="A5" t="str">
        <f>[1]!'CME.CEQFU.1620205@symbol'</f>
        <v>6AH1F</v>
      </c>
      <c r="B5" t="str">
        <f>[1]!'CME.CEQFU.1620205@instrument_name'</f>
        <v>Australian Dollar 03-21</v>
      </c>
      <c r="C5" t="str">
        <f>[1]!'CME.CEQFU.1620205@exchange_name'</f>
        <v>CME</v>
      </c>
      <c r="D5" t="str">
        <f>[1]!'CME.CEQFU.1620205@last_price'</f>
        <v>0,7608</v>
      </c>
      <c r="E5" t="str">
        <f>[1]!'CME.CEQFU.1620205@percentage_change'</f>
        <v>-0,48</v>
      </c>
      <c r="F5">
        <f>[1]!'CME.CEQFU.1620205@best_bsiz1'</f>
        <v>2</v>
      </c>
      <c r="G5" t="str">
        <f>[1]!'CME.CEQFU.1620205@best_bid1'</f>
        <v>0,7606</v>
      </c>
      <c r="H5" t="str">
        <f>[1]!'CME.CEQFU.1620205@best_ask1'</f>
        <v>0,76105</v>
      </c>
      <c r="I5">
        <f>[1]!'CME.CEQFU.1620205@best_asiz1'</f>
        <v>2</v>
      </c>
      <c r="J5" t="str">
        <f>[1]!'CME.CEQFU.1620205@lst_prctck'</f>
        <v>- + - - +</v>
      </c>
      <c r="K5">
        <f>[1]!'CME.CEQFU.1620205@trade_volume_bi'</f>
        <v>116564</v>
      </c>
      <c r="L5">
        <f>[1]!'CME.CEQFU.1620205@trade_count'</f>
        <v>0</v>
      </c>
      <c r="M5" t="str">
        <f>[1]!'CME.CEQFU.1620205@prc_ql_cd'</f>
        <v>CONT</v>
      </c>
      <c r="N5" t="str">
        <f>[1]!'CME.CEQFU.1620205@trade_time'</f>
        <v>22.59.59</v>
      </c>
    </row>
    <row r="6" spans="1:14" x14ac:dyDescent="0.3">
      <c r="A6" t="str">
        <f>[1]!'CME.CEQFU.1620206@symbol'</f>
        <v>6BH1F</v>
      </c>
      <c r="B6" t="str">
        <f>[1]!'CME.CEQFU.1620206@instrument_name'</f>
        <v>British Pound 03-21</v>
      </c>
      <c r="C6" t="str">
        <f>[1]!'CME.CEQFU.1620206@exchange_name'</f>
        <v>CME</v>
      </c>
      <c r="D6">
        <f>[1]!'CME.CEQFU.1620206@last_price'</f>
        <v>13669</v>
      </c>
      <c r="E6" t="str">
        <f>[1]!'CME.CEQFU.1620206@percentage_change'</f>
        <v>-0,04</v>
      </c>
      <c r="F6">
        <f>[1]!'CME.CEQFU.1620206@best_bsiz1'</f>
        <v>4</v>
      </c>
      <c r="G6">
        <f>[1]!'CME.CEQFU.1620206@best_bid1'</f>
        <v>13667</v>
      </c>
      <c r="H6">
        <f>[1]!'CME.CEQFU.1620206@best_ask1'</f>
        <v>13671</v>
      </c>
      <c r="I6">
        <f>[1]!'CME.CEQFU.1620206@best_asiz1'</f>
        <v>6</v>
      </c>
      <c r="J6" t="str">
        <f>[1]!'CME.CEQFU.1620206@lst_prctck'</f>
        <v>- - + - -</v>
      </c>
      <c r="K6">
        <f>[1]!'CME.CEQFU.1620206@trade_volume_bi'</f>
        <v>87067</v>
      </c>
      <c r="L6">
        <f>[1]!'CME.CEQFU.1620206@trade_count'</f>
        <v>0</v>
      </c>
      <c r="M6" t="str">
        <f>[1]!'CME.CEQFU.1620206@prc_ql_cd'</f>
        <v>CONT</v>
      </c>
      <c r="N6" t="str">
        <f>[1]!'CME.CEQFU.1620206@trade_time'</f>
        <v>22.59.56</v>
      </c>
    </row>
    <row r="7" spans="1:14" x14ac:dyDescent="0.3">
      <c r="A7" t="str">
        <f>[1]!'EUR.LIF.1758144@symbol'</f>
        <v>J-FCEG1F</v>
      </c>
      <c r="B7" t="str">
        <f>[1]!'EUR.LIF.1758144@instrument_name'</f>
        <v>CAC 40 02-21</v>
      </c>
      <c r="C7" t="str">
        <f>[1]!'EUR.LIF.1758144@exchange_name'</f>
        <v>Liffe</v>
      </c>
      <c r="D7" t="str">
        <f>[1]!'EUR.LIF.1758144@last_price'</f>
        <v>5580,5</v>
      </c>
      <c r="E7" t="str">
        <f>[1]!'EUR.LIF.1758144@percentage_change'</f>
        <v>2,23</v>
      </c>
      <c r="F7">
        <f>[1]!'EUR.LIF.1758144@best_bsiz1'</f>
        <v>1</v>
      </c>
      <c r="G7" t="str">
        <f>[1]!'EUR.LIF.1758144@best_bid1'</f>
        <v>5572,5</v>
      </c>
      <c r="H7" t="str">
        <f>[1]!'EUR.LIF.1758144@best_ask1'</f>
        <v>5589,0</v>
      </c>
      <c r="I7">
        <f>[1]!'EUR.LIF.1758144@best_asiz1'</f>
        <v>1</v>
      </c>
      <c r="J7" t="str">
        <f>[1]!'EUR.LIF.1758144@lst_prctck'</f>
        <v>- + + + -</v>
      </c>
      <c r="K7">
        <f>[1]!'EUR.LIF.1758144@trade_volume_bi'</f>
        <v>58611</v>
      </c>
      <c r="L7">
        <f>[1]!'EUR.LIF.1758144@trade_count'</f>
        <v>41580</v>
      </c>
      <c r="M7" t="str">
        <f>[1]!'EUR.LIF.1758144@prc_ql_cd'</f>
        <v>CHIU</v>
      </c>
      <c r="N7" t="str">
        <f>[1]!'EUR.LIF.1758144@trade_time'</f>
        <v>21.59.47</v>
      </c>
    </row>
    <row r="8" spans="1:14" x14ac:dyDescent="0.3">
      <c r="A8" t="str">
        <f>[1]!'CME.CEQFU.1624246@symbol'</f>
        <v>6CH1F</v>
      </c>
      <c r="B8" t="str">
        <f>[1]!'CME.CEQFU.1624246@instrument_name'</f>
        <v>Canadian Dollar 03-21</v>
      </c>
      <c r="C8" t="str">
        <f>[1]!'CME.CEQFU.1624246@exchange_name'</f>
        <v>CME</v>
      </c>
      <c r="D8" t="str">
        <f>[1]!'CME.CEQFU.1624246@last_price'</f>
        <v>0,78235</v>
      </c>
      <c r="E8" t="str">
        <f>[1]!'CME.CEQFU.1624246@percentage_change'</f>
        <v>0,46</v>
      </c>
      <c r="F8">
        <f>[1]!'CME.CEQFU.1624246@best_bsiz1'</f>
        <v>1</v>
      </c>
      <c r="G8" t="str">
        <f>[1]!'CME.CEQFU.1624246@best_bid1'</f>
        <v>0,7823</v>
      </c>
      <c r="H8" t="str">
        <f>[1]!'CME.CEQFU.1624246@best_ask1'</f>
        <v>0,78245</v>
      </c>
      <c r="I8">
        <f>[1]!'CME.CEQFU.1624246@best_asiz1'</f>
        <v>3</v>
      </c>
      <c r="J8" t="str">
        <f>[1]!'CME.CEQFU.1624246@lst_prctck'</f>
        <v>+ - - - -</v>
      </c>
      <c r="K8">
        <f>[1]!'CME.CEQFU.1624246@trade_volume_bi'</f>
        <v>73130</v>
      </c>
      <c r="L8">
        <f>[1]!'CME.CEQFU.1624246@trade_count'</f>
        <v>0</v>
      </c>
      <c r="M8" t="str">
        <f>[1]!'CME.CEQFU.1624246@prc_ql_cd'</f>
        <v>CONT</v>
      </c>
      <c r="N8" t="str">
        <f>[1]!'CME.CEQFU.1624246@trade_time'</f>
        <v>22.59.46</v>
      </c>
    </row>
    <row r="9" spans="1:14" x14ac:dyDescent="0.3">
      <c r="A9" t="str">
        <f>[1]!'FR.EUREX.1447698@symbol'</f>
        <v>FESXH1F</v>
      </c>
      <c r="B9" t="str">
        <f>[1]!'FR.EUREX.1447698@instrument_name'</f>
        <v>DJ Euro Stoxx 50 03-21</v>
      </c>
      <c r="C9" t="str">
        <f>[1]!'FR.EUREX.1447698@exchange_name'</f>
        <v>EUREX</v>
      </c>
      <c r="D9" t="str">
        <f>[1]!'FR.EUREX.1447698@last_price'</f>
        <v>3596,0</v>
      </c>
      <c r="E9" t="str">
        <f>[1]!'FR.EUREX.1447698@percentage_change'</f>
        <v>2,01</v>
      </c>
      <c r="F9">
        <f>[1]!'FR.EUREX.1447698@best_bsiz1'</f>
        <v>0</v>
      </c>
      <c r="G9" t="str">
        <f>[1]!'FR.EUREX.1447698@best_bid1'</f>
        <v>3595,0</v>
      </c>
      <c r="H9" t="str">
        <f>[1]!'FR.EUREX.1447698@best_ask1'</f>
        <v>3596,0</v>
      </c>
      <c r="I9">
        <f>[1]!'FR.EUREX.1447698@best_asiz1'</f>
        <v>0</v>
      </c>
      <c r="J9" t="str">
        <f>[1]!'FR.EUREX.1447698@lst_prctck'</f>
        <v>+ + + - -</v>
      </c>
      <c r="K9">
        <f>[1]!'FR.EUREX.1447698@trade_volume_bi'</f>
        <v>884596</v>
      </c>
      <c r="L9">
        <f>[1]!'FR.EUREX.1447698@trade_count'</f>
        <v>0</v>
      </c>
      <c r="M9" t="str">
        <f>[1]!'FR.EUREX.1447698@prc_ql_cd'</f>
        <v>ASTA</v>
      </c>
      <c r="N9" t="str">
        <f>[1]!'FR.EUREX.1447698@trade_time'</f>
        <v>22.03.48</v>
      </c>
    </row>
    <row r="10" spans="1:14" x14ac:dyDescent="0.3">
      <c r="A10" t="str">
        <f>[1]!'FR.EUREX.1679408@symbol'</f>
        <v>FSTXH1F</v>
      </c>
      <c r="B10" t="str">
        <f>[1]!'FR.EUREX.1679408@instrument_name'</f>
        <v>DJ Stoxx 50 03-21</v>
      </c>
      <c r="C10" t="str">
        <f>[1]!'FR.EUREX.1679408@exchange_name'</f>
        <v>EUREX</v>
      </c>
      <c r="D10" t="str">
        <f>[1]!'FR.EUREX.1679408@last_price'</f>
        <v>3132,0</v>
      </c>
      <c r="E10" t="str">
        <f>[1]!'FR.EUREX.1679408@percentage_change'</f>
        <v>1,13</v>
      </c>
      <c r="F10">
        <f>[1]!'FR.EUREX.1679408@best_bsiz1'</f>
        <v>0</v>
      </c>
      <c r="G10" t="str">
        <f>[1]!'FR.EUREX.1679408@best_bid1'</f>
        <v>0,00</v>
      </c>
      <c r="H10" t="str">
        <f>[1]!'FR.EUREX.1679408@best_ask1'</f>
        <v>3167,0</v>
      </c>
      <c r="I10">
        <f>[1]!'FR.EUREX.1679408@best_asiz1'</f>
        <v>16</v>
      </c>
      <c r="J10" t="str">
        <f>[1]!'FR.EUREX.1679408@lst_prctck'</f>
        <v>- + - + +</v>
      </c>
      <c r="K10">
        <f>[1]!'FR.EUREX.1679408@trade_volume_bi'</f>
        <v>618</v>
      </c>
      <c r="L10">
        <f>[1]!'FR.EUREX.1679408@trade_count'</f>
        <v>0</v>
      </c>
      <c r="M10" t="str">
        <f>[1]!'FR.EUREX.1679408@prc_ql_cd'</f>
        <v>CHIU</v>
      </c>
      <c r="N10" t="str">
        <f>[1]!'FR.EUREX.1679408@trade_time'</f>
        <v>21.59.56</v>
      </c>
    </row>
    <row r="11" spans="1:14" x14ac:dyDescent="0.3">
      <c r="A11" t="str">
        <f>[1]!'FR.EUREX.1679398@symbol'</f>
        <v>FDAXH1F</v>
      </c>
      <c r="B11" t="str">
        <f>[1]!'FR.EUREX.1679398@instrument_name'</f>
        <v>Dax 03-21</v>
      </c>
      <c r="C11" t="str">
        <f>[1]!'FR.EUREX.1679398@exchange_name'</f>
        <v>EUREX</v>
      </c>
      <c r="D11">
        <f>[1]!'FR.EUREX.1679398@last_price'</f>
        <v>13868</v>
      </c>
      <c r="E11" t="str">
        <f>[1]!'FR.EUREX.1679398@percentage_change'</f>
        <v>1,76</v>
      </c>
      <c r="F11">
        <f>[1]!'FR.EUREX.1679398@best_bsiz1'</f>
        <v>0</v>
      </c>
      <c r="G11">
        <f>[1]!'FR.EUREX.1679398@best_bid1'</f>
        <v>13868</v>
      </c>
      <c r="H11">
        <f>[1]!'FR.EUREX.1679398@best_ask1'</f>
        <v>13877</v>
      </c>
      <c r="I11">
        <f>[1]!'FR.EUREX.1679398@best_asiz1'</f>
        <v>0</v>
      </c>
      <c r="J11" t="str">
        <f>[1]!'FR.EUREX.1679398@lst_prctck'</f>
        <v>+ - + + +</v>
      </c>
      <c r="K11">
        <f>[1]!'FR.EUREX.1679398@trade_volume_bi'</f>
        <v>51806</v>
      </c>
      <c r="L11">
        <f>[1]!'FR.EUREX.1679398@trade_count'</f>
        <v>0</v>
      </c>
      <c r="M11" t="str">
        <f>[1]!'FR.EUREX.1679398@prc_ql_cd'</f>
        <v>ASTA</v>
      </c>
      <c r="N11" t="str">
        <f>[1]!'FR.EUREX.1679398@trade_time'</f>
        <v>22.03.48</v>
      </c>
    </row>
    <row r="12" spans="1:14" x14ac:dyDescent="0.3">
      <c r="A12" t="str">
        <f>[1]!'CME.CBOFU.1628014@symbol'</f>
        <v>YMH1F</v>
      </c>
      <c r="B12" t="str">
        <f>[1]!'CME.CBOFU.1628014@instrument_name'</f>
        <v>E-Mini Dow Jones 03-21</v>
      </c>
      <c r="C12" t="str">
        <f>[1]!'CME.CBOFU.1628014@exchange_name'</f>
        <v>eCBOT</v>
      </c>
      <c r="D12">
        <f>[1]!'CME.CBOFU.1628014@last_price'</f>
        <v>30607</v>
      </c>
      <c r="E12" t="str">
        <f>[1]!'CME.CBOFU.1628014@percentage_change'</f>
        <v>1,65</v>
      </c>
      <c r="F12">
        <f>[1]!'CME.CBOFU.1628014@best_bsiz1'</f>
        <v>1</v>
      </c>
      <c r="G12">
        <f>[1]!'CME.CBOFU.1628014@best_bid1'</f>
        <v>30599</v>
      </c>
      <c r="H12">
        <f>[1]!'CME.CBOFU.1628014@best_ask1'</f>
        <v>30617</v>
      </c>
      <c r="I12">
        <f>[1]!'CME.CBOFU.1628014@best_asiz1'</f>
        <v>1</v>
      </c>
      <c r="J12" t="str">
        <f>[1]!'CME.CBOFU.1628014@lst_prctck'</f>
        <v>+ - - - -</v>
      </c>
      <c r="K12">
        <f>[1]!'CME.CBOFU.1628014@trade_volume_bi'</f>
        <v>152467</v>
      </c>
      <c r="L12">
        <f>[1]!'CME.CBOFU.1628014@trade_count'</f>
        <v>0</v>
      </c>
      <c r="M12" t="str">
        <f>[1]!'CME.CBOFU.1628014@prc_ql_cd'</f>
        <v>CONT</v>
      </c>
      <c r="N12" t="str">
        <f>[1]!'CME.CBOFU.1628014@trade_time'</f>
        <v>22.59.59</v>
      </c>
    </row>
    <row r="13" spans="1:14" x14ac:dyDescent="0.3">
      <c r="A13" t="str">
        <f>[1]!'CME.CEQFU.1713209@symbol'</f>
        <v>E7H1F</v>
      </c>
      <c r="B13" t="str">
        <f>[1]!'CME.CEQFU.1713209@instrument_name'</f>
        <v>E-Mini Euro/Usd FX 03-21</v>
      </c>
      <c r="C13" t="str">
        <f>[1]!'CME.CEQFU.1713209@exchange_name'</f>
        <v>CME</v>
      </c>
      <c r="D13">
        <f>[1]!'CME.CEQFU.1713209@last_price'</f>
        <v>12053</v>
      </c>
      <c r="E13" t="str">
        <f>[1]!'CME.CEQFU.1713209@percentage_change'</f>
        <v>-0,21</v>
      </c>
      <c r="F13">
        <f>[1]!'CME.CEQFU.1713209@best_bsiz1'</f>
        <v>1</v>
      </c>
      <c r="G13">
        <f>[1]!'CME.CEQFU.1713209@best_bid1'</f>
        <v>12009</v>
      </c>
      <c r="H13">
        <f>[1]!'CME.CEQFU.1713209@best_ask1'</f>
        <v>12064</v>
      </c>
      <c r="I13">
        <f>[1]!'CME.CEQFU.1713209@best_asiz1'</f>
        <v>2</v>
      </c>
      <c r="J13" t="str">
        <f>[1]!'CME.CEQFU.1713209@lst_prctck'</f>
        <v>- - - - +</v>
      </c>
      <c r="K13">
        <f>[1]!'CME.CEQFU.1713209@trade_volume_bi'</f>
        <v>8621</v>
      </c>
      <c r="L13">
        <f>[1]!'CME.CEQFU.1713209@trade_count'</f>
        <v>0</v>
      </c>
      <c r="M13" t="str">
        <f>[1]!'CME.CEQFU.1713209@prc_ql_cd'</f>
        <v>CONT</v>
      </c>
      <c r="N13" t="str">
        <f>[1]!'CME.CEQFU.1713209@trade_time'</f>
        <v>22.59.34</v>
      </c>
    </row>
    <row r="14" spans="1:14" x14ac:dyDescent="0.3">
      <c r="A14" t="str">
        <f>[1]!'CME.CEQFU.1628019@symbol'</f>
        <v>NQH1F</v>
      </c>
      <c r="B14" t="str">
        <f>[1]!'CME.CEQFU.1628019@instrument_name'</f>
        <v>E-Mini Nasdaq 100 03-21</v>
      </c>
      <c r="C14" t="str">
        <f>[1]!'CME.CEQFU.1628019@exchange_name'</f>
        <v>CME</v>
      </c>
      <c r="D14">
        <f>[1]!'CME.CEQFU.1628019@last_price'</f>
        <v>13498</v>
      </c>
      <c r="E14" t="str">
        <f>[1]!'CME.CEQFU.1628019@percentage_change'</f>
        <v>1,98</v>
      </c>
      <c r="F14">
        <f>[1]!'CME.CEQFU.1628019@best_bsiz1'</f>
        <v>1</v>
      </c>
      <c r="G14">
        <f>[1]!'CME.CEQFU.1628019@best_bid1'</f>
        <v>13497</v>
      </c>
      <c r="H14">
        <f>[1]!'CME.CEQFU.1628019@best_ask1'</f>
        <v>13500</v>
      </c>
      <c r="I14">
        <f>[1]!'CME.CEQFU.1628019@best_asiz1'</f>
        <v>2</v>
      </c>
      <c r="J14" t="str">
        <f>[1]!'CME.CEQFU.1628019@lst_prctck'</f>
        <v>- - - - +</v>
      </c>
      <c r="K14">
        <f>[1]!'CME.CEQFU.1628019@trade_volume_bi'</f>
        <v>483877</v>
      </c>
      <c r="L14">
        <f>[1]!'CME.CEQFU.1628019@trade_count'</f>
        <v>0</v>
      </c>
      <c r="M14" t="str">
        <f>[1]!'CME.CEQFU.1628019@prc_ql_cd'</f>
        <v>CONT</v>
      </c>
      <c r="N14" t="str">
        <f>[1]!'CME.CEQFU.1628019@trade_time'</f>
        <v>22.59.59</v>
      </c>
    </row>
    <row r="15" spans="1:14" x14ac:dyDescent="0.3">
      <c r="A15" t="str">
        <f>[1]!'CME.CEQFU.1628016@symbol'</f>
        <v>ESH1F</v>
      </c>
      <c r="B15" t="str">
        <f>[1]!'CME.CEQFU.1628016@instrument_name'</f>
        <v>E-Mini S&amp;P 500 03-21</v>
      </c>
      <c r="C15" t="str">
        <f>[1]!'CME.CEQFU.1628016@exchange_name'</f>
        <v>CME</v>
      </c>
      <c r="D15" t="str">
        <f>[1]!'CME.CEQFU.1628016@last_price'</f>
        <v>3828,25</v>
      </c>
      <c r="E15" t="str">
        <f>[1]!'CME.CEQFU.1628016@percentage_change'</f>
        <v>1,66</v>
      </c>
      <c r="F15">
        <f>[1]!'CME.CEQFU.1628016@best_bsiz1'</f>
        <v>1</v>
      </c>
      <c r="G15" t="str">
        <f>[1]!'CME.CEQFU.1628016@best_bid1'</f>
        <v>3828,25</v>
      </c>
      <c r="H15" t="str">
        <f>[1]!'CME.CEQFU.1628016@best_ask1'</f>
        <v>3828,75</v>
      </c>
      <c r="I15">
        <f>[1]!'CME.CEQFU.1628016@best_asiz1'</f>
        <v>1</v>
      </c>
      <c r="J15" t="str">
        <f>[1]!'CME.CEQFU.1628016@lst_prctck'</f>
        <v>- - - + +</v>
      </c>
      <c r="K15">
        <f>[1]!'CME.CEQFU.1628016@trade_volume_bi'</f>
        <v>1383401</v>
      </c>
      <c r="L15">
        <f>[1]!'CME.CEQFU.1628016@trade_count'</f>
        <v>0</v>
      </c>
      <c r="M15" t="str">
        <f>[1]!'CME.CEQFU.1628016@prc_ql_cd'</f>
        <v>CONT</v>
      </c>
      <c r="N15" t="str">
        <f>[1]!'CME.CEQFU.1628016@trade_time'</f>
        <v>22.59.59</v>
      </c>
    </row>
    <row r="16" spans="1:14" x14ac:dyDescent="0.3">
      <c r="A16" t="str">
        <f>[1]!'CME.NYMEX.1628353@symbol'</f>
        <v>QMH1F</v>
      </c>
      <c r="B16" t="str">
        <f>[1]!'CME.NYMEX.1628353@instrument_name'</f>
        <v>E-mini Crude Oil 03-21*</v>
      </c>
      <c r="C16" t="str">
        <f>[1]!'CME.NYMEX.1628353@exchange_name'</f>
        <v>NYMEX</v>
      </c>
      <c r="D16">
        <f>[1]!'CME.NYMEX.1628353@last_price'</f>
        <v>54925</v>
      </c>
      <c r="E16" t="str">
        <f>[1]!'CME.NYMEX.1628353@percentage_change'</f>
        <v>2,57</v>
      </c>
      <c r="F16">
        <f>[1]!'CME.NYMEX.1628353@best_bsiz1'</f>
        <v>1</v>
      </c>
      <c r="G16" t="str">
        <f>[1]!'CME.NYMEX.1628353@best_bid1'</f>
        <v>54,85</v>
      </c>
      <c r="H16">
        <f>[1]!'CME.NYMEX.1628353@best_ask1'</f>
        <v>54925</v>
      </c>
      <c r="I16">
        <f>[1]!'CME.NYMEX.1628353@best_asiz1'</f>
        <v>4</v>
      </c>
      <c r="J16" t="str">
        <f>[1]!'CME.NYMEX.1628353@lst_prctck'</f>
        <v>- - + - -</v>
      </c>
      <c r="K16">
        <f>[1]!'CME.NYMEX.1628353@trade_volume_bi'</f>
        <v>7468</v>
      </c>
      <c r="L16">
        <f>[1]!'CME.NYMEX.1628353@trade_count'</f>
        <v>0</v>
      </c>
      <c r="M16" t="str">
        <f>[1]!'CME.NYMEX.1628353@prc_ql_cd'</f>
        <v>CONT</v>
      </c>
      <c r="N16" t="str">
        <f>[1]!'CME.NYMEX.1628353@trade_time'</f>
        <v>15.47.23</v>
      </c>
    </row>
    <row r="17" spans="1:14" x14ac:dyDescent="0.3">
      <c r="A17" t="str">
        <f>[1]!'CME.NYMEX.1633290@symbol'</f>
        <v>QGH1F</v>
      </c>
      <c r="B17" t="str">
        <f>[1]!'CME.NYMEX.1633290@instrument_name'</f>
        <v>E-mini Natural Gas 03-21*</v>
      </c>
      <c r="C17" t="str">
        <f>[1]!'CME.NYMEX.1633290@exchange_name'</f>
        <v>NYMEX</v>
      </c>
      <c r="D17">
        <f>[1]!'CME.NYMEX.1633290@last_price'</f>
        <v>2955</v>
      </c>
      <c r="E17" t="str">
        <f>[1]!'CME.NYMEX.1633290@percentage_change'</f>
        <v>3,68</v>
      </c>
      <c r="F17">
        <f>[1]!'CME.NYMEX.1633290@best_bsiz1'</f>
        <v>67</v>
      </c>
      <c r="G17" t="str">
        <f>[1]!'CME.NYMEX.1633290@best_bid1'</f>
        <v>2,95</v>
      </c>
      <c r="H17">
        <f>[1]!'CME.NYMEX.1633290@best_ask1'</f>
        <v>2955</v>
      </c>
      <c r="I17">
        <f>[1]!'CME.NYMEX.1633290@best_asiz1'</f>
        <v>61</v>
      </c>
      <c r="J17" t="str">
        <f>[1]!'CME.NYMEX.1633290@lst_prctck'</f>
        <v>+ - + + +</v>
      </c>
      <c r="K17">
        <f>[1]!'CME.NYMEX.1633290@trade_volume_bi'</f>
        <v>5294</v>
      </c>
      <c r="L17">
        <f>[1]!'CME.NYMEX.1633290@trade_count'</f>
        <v>0</v>
      </c>
      <c r="M17" t="str">
        <f>[1]!'CME.NYMEX.1633290@prc_ql_cd'</f>
        <v>CONT</v>
      </c>
      <c r="N17" t="str">
        <f>[1]!'CME.NYMEX.1633290@trade_time'</f>
        <v>15.47.19</v>
      </c>
    </row>
    <row r="18" spans="1:14" x14ac:dyDescent="0.3">
      <c r="A18" t="str">
        <f>[1]!'FR.EUREX.1670124@symbol'</f>
        <v>FGBMH1F</v>
      </c>
      <c r="B18" t="str">
        <f>[1]!'FR.EUREX.1670124@instrument_name'</f>
        <v>Euro Bobl 03-21</v>
      </c>
      <c r="C18" t="str">
        <f>[1]!'FR.EUREX.1670124@exchange_name'</f>
        <v>EUREX</v>
      </c>
      <c r="D18" t="str">
        <f>[1]!'FR.EUREX.1670124@last_price'</f>
        <v>135,08</v>
      </c>
      <c r="E18" t="str">
        <f>[1]!'FR.EUREX.1670124@percentage_change'</f>
        <v>-0,10</v>
      </c>
      <c r="F18">
        <f>[1]!'FR.EUREX.1670124@best_bsiz1'</f>
        <v>0</v>
      </c>
      <c r="G18" t="str">
        <f>[1]!'FR.EUREX.1670124@best_bid1'</f>
        <v>135,07</v>
      </c>
      <c r="H18" t="str">
        <f>[1]!'FR.EUREX.1670124@best_ask1'</f>
        <v>135,08</v>
      </c>
      <c r="I18">
        <f>[1]!'FR.EUREX.1670124@best_asiz1'</f>
        <v>0</v>
      </c>
      <c r="J18" t="str">
        <f>[1]!'FR.EUREX.1670124@lst_prctck'</f>
        <v>+ - + - -</v>
      </c>
      <c r="K18">
        <f>[1]!'FR.EUREX.1670124@trade_volume_bi'</f>
        <v>388081</v>
      </c>
      <c r="L18">
        <f>[1]!'FR.EUREX.1670124@trade_count'</f>
        <v>0</v>
      </c>
      <c r="M18" t="str">
        <f>[1]!'FR.EUREX.1670124@prc_ql_cd'</f>
        <v>ASTA</v>
      </c>
      <c r="N18" t="str">
        <f>[1]!'FR.EUREX.1670124@trade_time'</f>
        <v>22.03.49</v>
      </c>
    </row>
    <row r="19" spans="1:14" x14ac:dyDescent="0.3">
      <c r="A19" t="str">
        <f>[1]!'FR.EUREX.1670123@symbol'</f>
        <v>FGBLH1F</v>
      </c>
      <c r="B19" t="str">
        <f>[1]!'FR.EUREX.1670123@instrument_name'</f>
        <v>Euro Bund 03-21</v>
      </c>
      <c r="C19" t="str">
        <f>[1]!'FR.EUREX.1670123@exchange_name'</f>
        <v>EUREX</v>
      </c>
      <c r="D19" t="str">
        <f>[1]!'FR.EUREX.1670123@last_price'</f>
        <v>176,75</v>
      </c>
      <c r="E19" t="str">
        <f>[1]!'FR.EUREX.1670123@percentage_change'</f>
        <v>-0,27</v>
      </c>
      <c r="F19">
        <f>[1]!'FR.EUREX.1670123@best_bsiz1'</f>
        <v>0</v>
      </c>
      <c r="G19" t="str">
        <f>[1]!'FR.EUREX.1670123@best_bid1'</f>
        <v>176,73</v>
      </c>
      <c r="H19" t="str">
        <f>[1]!'FR.EUREX.1670123@best_ask1'</f>
        <v>176,75</v>
      </c>
      <c r="I19">
        <f>[1]!'FR.EUREX.1670123@best_asiz1'</f>
        <v>0</v>
      </c>
      <c r="J19" t="str">
        <f>[1]!'FR.EUREX.1670123@lst_prctck'</f>
        <v>+ + - + +</v>
      </c>
      <c r="K19">
        <f>[1]!'FR.EUREX.1670123@trade_volume_bi'</f>
        <v>876689</v>
      </c>
      <c r="L19">
        <f>[1]!'FR.EUREX.1670123@trade_count'</f>
        <v>0</v>
      </c>
      <c r="M19" t="str">
        <f>[1]!'FR.EUREX.1670123@prc_ql_cd'</f>
        <v>ASTA</v>
      </c>
      <c r="N19" t="str">
        <f>[1]!'FR.EUREX.1670123@trade_time'</f>
        <v>22.03.49</v>
      </c>
    </row>
    <row r="20" spans="1:14" x14ac:dyDescent="0.3">
      <c r="A20" t="str">
        <f>[1]!'FR.EUREX.1670125@symbol'</f>
        <v>FGBSH1F</v>
      </c>
      <c r="B20" t="str">
        <f>[1]!'FR.EUREX.1670125@instrument_name'</f>
        <v>Euro Schatz 03-21</v>
      </c>
      <c r="C20" t="str">
        <f>[1]!'FR.EUREX.1670125@exchange_name'</f>
        <v>EUREX</v>
      </c>
      <c r="D20" t="str">
        <f>[1]!'FR.EUREX.1670125@last_price'</f>
        <v>112,30</v>
      </c>
      <c r="E20" t="str">
        <f>[1]!'FR.EUREX.1670125@percentage_change'</f>
        <v>-0,01</v>
      </c>
      <c r="F20">
        <f>[1]!'FR.EUREX.1670125@best_bsiz1'</f>
        <v>6386</v>
      </c>
      <c r="G20">
        <f>[1]!'FR.EUREX.1670125@best_bid1'</f>
        <v>112275</v>
      </c>
      <c r="H20" t="str">
        <f>[1]!'FR.EUREX.1670125@best_ask1'</f>
        <v>112,28</v>
      </c>
      <c r="I20">
        <f>[1]!'FR.EUREX.1670125@best_asiz1'</f>
        <v>3063</v>
      </c>
      <c r="J20" t="str">
        <f>[1]!'FR.EUREX.1670125@lst_prctck'</f>
        <v>- + - - -</v>
      </c>
      <c r="K20">
        <f>[1]!'FR.EUREX.1670125@trade_volume_bi'</f>
        <v>330655</v>
      </c>
      <c r="L20">
        <f>[1]!'FR.EUREX.1670125@trade_count'</f>
        <v>0</v>
      </c>
      <c r="M20" t="str">
        <f>[1]!'FR.EUREX.1670125@prc_ql_cd'</f>
        <v>ASTA</v>
      </c>
      <c r="N20" t="str">
        <f>[1]!'FR.EUREX.1670125@trade_time'</f>
        <v>21.59.59</v>
      </c>
    </row>
    <row r="21" spans="1:14" x14ac:dyDescent="0.3">
      <c r="A21" t="str">
        <f>[1]!'CME.CEQFU.1620207@symbol'</f>
        <v>6EH1F</v>
      </c>
      <c r="B21" t="str">
        <f>[1]!'CME.CEQFU.1620207@instrument_name'</f>
        <v>Euro/Usd FX 03-21</v>
      </c>
      <c r="C21" t="str">
        <f>[1]!'CME.CEQFU.1620207@exchange_name'</f>
        <v>CME</v>
      </c>
      <c r="D21">
        <f>[1]!'CME.CEQFU.1620207@last_price'</f>
        <v>120535</v>
      </c>
      <c r="E21" t="str">
        <f>[1]!'CME.CEQFU.1620207@percentage_change'</f>
        <v>-0,20</v>
      </c>
      <c r="F21">
        <f>[1]!'CME.CEQFU.1620207@best_bsiz1'</f>
        <v>1</v>
      </c>
      <c r="G21">
        <f>[1]!'CME.CEQFU.1620207@best_bid1'</f>
        <v>12053</v>
      </c>
      <c r="H21">
        <f>[1]!'CME.CEQFU.1620207@best_ask1'</f>
        <v>120545</v>
      </c>
      <c r="I21">
        <f>[1]!'CME.CEQFU.1620207@best_asiz1'</f>
        <v>1</v>
      </c>
      <c r="J21" t="str">
        <f>[1]!'CME.CEQFU.1620207@lst_prctck'</f>
        <v>- - - - -</v>
      </c>
      <c r="K21">
        <f>[1]!'CME.CEQFU.1620207@trade_volume_bi'</f>
        <v>194437</v>
      </c>
      <c r="L21">
        <f>[1]!'CME.CEQFU.1620207@trade_count'</f>
        <v>0</v>
      </c>
      <c r="M21" t="str">
        <f>[1]!'CME.CEQFU.1620207@prc_ql_cd'</f>
        <v>CONT</v>
      </c>
      <c r="N21" t="str">
        <f>[1]!'CME.CEQFU.1620207@trade_time'</f>
        <v>22.59.59</v>
      </c>
    </row>
    <row r="22" spans="1:14" x14ac:dyDescent="0.3">
      <c r="A22" t="str">
        <f>[1]!'CME.CEQFU.1620214@symbol'</f>
        <v>RYH1F</v>
      </c>
      <c r="B22" t="str">
        <f>[1]!'CME.CEQFU.1620214@instrument_name'</f>
        <v>Euro/Yen 03-21</v>
      </c>
      <c r="C22" t="str">
        <f>[1]!'CME.CEQFU.1620214@exchange_name'</f>
        <v>CME</v>
      </c>
      <c r="D22" t="str">
        <f>[1]!'CME.CEQFU.1620214@last_price'</f>
        <v>126,51</v>
      </c>
      <c r="E22" t="str">
        <f>[1]!'CME.CEQFU.1620214@percentage_change'</f>
        <v>-0,16</v>
      </c>
      <c r="F22">
        <f>[1]!'CME.CEQFU.1620214@best_bsiz1'</f>
        <v>1</v>
      </c>
      <c r="G22" t="str">
        <f>[1]!'CME.CEQFU.1620214@best_bid1'</f>
        <v>126,25</v>
      </c>
      <c r="H22" t="str">
        <f>[1]!'CME.CEQFU.1620214@best_ask1'</f>
        <v>127,75</v>
      </c>
      <c r="I22">
        <f>[1]!'CME.CEQFU.1620214@best_asiz1'</f>
        <v>1</v>
      </c>
      <c r="J22" t="str">
        <f>[1]!'CME.CEQFU.1620214@lst_prctck'</f>
        <v>- + - - -</v>
      </c>
      <c r="K22">
        <f>[1]!'CME.CEQFU.1620214@trade_volume_bi'</f>
        <v>618</v>
      </c>
      <c r="L22">
        <f>[1]!'CME.CEQFU.1620214@trade_count'</f>
        <v>0</v>
      </c>
      <c r="M22" t="str">
        <f>[1]!'CME.CEQFU.1620214@prc_ql_cd'</f>
        <v>CONT</v>
      </c>
      <c r="N22" t="str">
        <f>[1]!'CME.CEQFU.1620214@trade_time'</f>
        <v>22.29.15</v>
      </c>
    </row>
    <row r="23" spans="1:14" x14ac:dyDescent="0.3">
      <c r="A23" t="str">
        <f>[1]!'MI.DER.1629848@symbol'</f>
        <v>FIB1C</v>
      </c>
      <c r="B23" t="str">
        <f>[1]!'MI.DER.1629848@instrument_name'</f>
        <v>FUTURE FTSE MIB INDEX 19/03/2021</v>
      </c>
      <c r="C23" t="str">
        <f>[1]!'MI.DER.1629848@exchange_name'</f>
        <v>IDEM</v>
      </c>
      <c r="D23">
        <f>[1]!'MI.DER.1629848@last_price'</f>
        <v>22480</v>
      </c>
      <c r="E23" t="str">
        <f>[1]!'MI.DER.1629848@percentage_change'</f>
        <v>3,16</v>
      </c>
      <c r="F23">
        <f>[1]!'MI.DER.1629848@best_bsiz1'</f>
        <v>2</v>
      </c>
      <c r="G23">
        <f>[1]!'MI.DER.1629848@best_bid1'</f>
        <v>22475</v>
      </c>
      <c r="H23">
        <f>[1]!'MI.DER.1629848@best_ask1'</f>
        <v>22480</v>
      </c>
      <c r="I23">
        <f>[1]!'MI.DER.1629848@best_asiz1'</f>
        <v>2</v>
      </c>
      <c r="J23" t="str">
        <f>[1]!'MI.DER.1629848@lst_prctck'</f>
        <v>- - - - -</v>
      </c>
      <c r="K23">
        <f>[1]!'MI.DER.1629848@trade_volume_bi'</f>
        <v>20508</v>
      </c>
      <c r="L23">
        <f>[1]!'MI.DER.1629848@trade_count'</f>
        <v>0</v>
      </c>
      <c r="M23" t="str">
        <f>[1]!'MI.DER.1629848@prc_ql_cd'</f>
        <v>CHIU</v>
      </c>
      <c r="N23" t="str">
        <f>[1]!'MI.DER.1629848@trade_time'</f>
        <v>21.59.57</v>
      </c>
    </row>
    <row r="24" spans="1:14" x14ac:dyDescent="0.3">
      <c r="A24" t="str">
        <f>[1]!'CME.COMEX.1768585@symbol'</f>
        <v>GCH1F</v>
      </c>
      <c r="B24" t="str">
        <f>[1]!'CME.COMEX.1768585@instrument_name'</f>
        <v>Gold 03-21*</v>
      </c>
      <c r="C24" t="str">
        <f>[1]!'CME.COMEX.1768585@exchange_name'</f>
        <v>COMEX</v>
      </c>
      <c r="D24" t="str">
        <f>[1]!'CME.COMEX.1768585@last_price'</f>
        <v>1835,7</v>
      </c>
      <c r="E24" t="str">
        <f>[1]!'CME.COMEX.1768585@percentage_change'</f>
        <v>-1,42</v>
      </c>
      <c r="F24">
        <f>[1]!'CME.COMEX.1768585@best_bsiz1'</f>
        <v>3</v>
      </c>
      <c r="G24" t="str">
        <f>[1]!'CME.COMEX.1768585@best_bid1'</f>
        <v>1834,1</v>
      </c>
      <c r="H24" t="str">
        <f>[1]!'CME.COMEX.1768585@best_ask1'</f>
        <v>1834,3</v>
      </c>
      <c r="I24">
        <f>[1]!'CME.COMEX.1768585@best_asiz1'</f>
        <v>3</v>
      </c>
      <c r="J24" t="str">
        <f>[1]!'CME.COMEX.1768585@lst_prctck'</f>
        <v>- - - + +</v>
      </c>
      <c r="K24">
        <f>[1]!'CME.COMEX.1768585@trade_volume_bi'</f>
        <v>970</v>
      </c>
      <c r="L24">
        <f>[1]!'CME.COMEX.1768585@trade_count'</f>
        <v>0</v>
      </c>
      <c r="M24" t="str">
        <f>[1]!'CME.COMEX.1768585@prc_ql_cd'</f>
        <v>CONT</v>
      </c>
      <c r="N24" t="str">
        <f>[1]!'CME.COMEX.1768585@trade_time'</f>
        <v>15.47.03</v>
      </c>
    </row>
    <row r="25" spans="1:14" x14ac:dyDescent="0.3">
      <c r="A25" t="str">
        <f>[1]!'CME.NYMEX.1632586@symbol'</f>
        <v>CLH1F</v>
      </c>
      <c r="B25" t="str">
        <f>[1]!'CME.NYMEX.1632586@instrument_name'</f>
        <v>Light Crude Oil 03-21*</v>
      </c>
      <c r="C25" t="str">
        <f>[1]!'CME.NYMEX.1632586@exchange_name'</f>
        <v>NYMEX</v>
      </c>
      <c r="D25" t="str">
        <f>[1]!'CME.NYMEX.1632586@last_price'</f>
        <v>54,85</v>
      </c>
      <c r="E25" t="str">
        <f>[1]!'CME.NYMEX.1632586@percentage_change'</f>
        <v>2,43</v>
      </c>
      <c r="F25">
        <f>[1]!'CME.NYMEX.1632586@best_bsiz1'</f>
        <v>42</v>
      </c>
      <c r="G25" t="str">
        <f>[1]!'CME.NYMEX.1632586@best_bid1'</f>
        <v>54,84</v>
      </c>
      <c r="H25" t="str">
        <f>[1]!'CME.NYMEX.1632586@best_ask1'</f>
        <v>54,85</v>
      </c>
      <c r="I25">
        <f>[1]!'CME.NYMEX.1632586@best_asiz1'</f>
        <v>3</v>
      </c>
      <c r="J25" t="str">
        <f>[1]!'CME.NYMEX.1632586@lst_prctck'</f>
        <v>- + + - +</v>
      </c>
      <c r="K25">
        <f>[1]!'CME.NYMEX.1632586@trade_volume_bi'</f>
        <v>237801</v>
      </c>
      <c r="L25">
        <f>[1]!'CME.NYMEX.1632586@trade_count'</f>
        <v>0</v>
      </c>
      <c r="M25" t="str">
        <f>[1]!'CME.NYMEX.1632586@prc_ql_cd'</f>
        <v>CONT</v>
      </c>
      <c r="N25" t="str">
        <f>[1]!'CME.NYMEX.1632586@trade_time'</f>
        <v>15.51.07</v>
      </c>
    </row>
    <row r="26" spans="1:14" x14ac:dyDescent="0.3">
      <c r="A26" t="str">
        <f>[1]!'FR.EUREX.1670121@symbol'</f>
        <v>FBTPH1F</v>
      </c>
      <c r="B26" t="str">
        <f>[1]!'FR.EUREX.1670121@instrument_name'</f>
        <v>Long-Term Euro-BTP 03-21</v>
      </c>
      <c r="C26" t="str">
        <f>[1]!'FR.EUREX.1670121@exchange_name'</f>
        <v>EUREX</v>
      </c>
      <c r="D26" t="str">
        <f>[1]!'FR.EUREX.1670121@last_price'</f>
        <v>150,72</v>
      </c>
      <c r="E26" t="str">
        <f>[1]!'FR.EUREX.1670121@percentage_change'</f>
        <v>-0,42</v>
      </c>
      <c r="F26">
        <f>[1]!'FR.EUREX.1670121@best_bsiz1'</f>
        <v>0</v>
      </c>
      <c r="G26" t="str">
        <f>[1]!'FR.EUREX.1670121@best_bid1'</f>
        <v>150,72</v>
      </c>
      <c r="H26" t="str">
        <f>[1]!'FR.EUREX.1670121@best_ask1'</f>
        <v>150,74</v>
      </c>
      <c r="I26">
        <f>[1]!'FR.EUREX.1670121@best_asiz1'</f>
        <v>0</v>
      </c>
      <c r="J26" t="str">
        <f>[1]!'FR.EUREX.1670121@lst_prctck'</f>
        <v>- + + + -</v>
      </c>
      <c r="K26">
        <f>[1]!'FR.EUREX.1670121@trade_volume_bi'</f>
        <v>89437</v>
      </c>
      <c r="L26">
        <f>[1]!'FR.EUREX.1670121@trade_count'</f>
        <v>0</v>
      </c>
      <c r="M26" t="str">
        <f>[1]!'FR.EUREX.1670121@prc_ql_cd'</f>
        <v>ASTA</v>
      </c>
      <c r="N26" t="str">
        <f>[1]!'FR.EUREX.1670121@trade_time'</f>
        <v>19.03.25</v>
      </c>
    </row>
    <row r="27" spans="1:14" x14ac:dyDescent="0.3">
      <c r="A27" t="str">
        <f>[1]!'FR.EUREX.1679399@symbol'</f>
        <v>FDXMH1F</v>
      </c>
      <c r="B27" t="str">
        <f>[1]!'FR.EUREX.1679399@instrument_name'</f>
        <v>Mini DAX 03-21</v>
      </c>
      <c r="C27" t="str">
        <f>[1]!'FR.EUREX.1679399@exchange_name'</f>
        <v>EUREX</v>
      </c>
      <c r="D27">
        <f>[1]!'FR.EUREX.1679399@last_price'</f>
        <v>13861</v>
      </c>
      <c r="E27" t="str">
        <f>[1]!'FR.EUREX.1679399@percentage_change'</f>
        <v>1,71</v>
      </c>
      <c r="F27">
        <f>[1]!'FR.EUREX.1679399@best_bsiz1'</f>
        <v>0</v>
      </c>
      <c r="G27">
        <f>[1]!'FR.EUREX.1679399@best_bid1'</f>
        <v>13860</v>
      </c>
      <c r="H27">
        <f>[1]!'FR.EUREX.1679399@best_ask1'</f>
        <v>13875</v>
      </c>
      <c r="I27">
        <f>[1]!'FR.EUREX.1679399@best_asiz1'</f>
        <v>0</v>
      </c>
      <c r="J27" t="str">
        <f>[1]!'FR.EUREX.1679399@lst_prctck'</f>
        <v>- + + - +</v>
      </c>
      <c r="K27">
        <f>[1]!'FR.EUREX.1679399@trade_volume_bi'</f>
        <v>54506</v>
      </c>
      <c r="L27">
        <f>[1]!'FR.EUREX.1679399@trade_count'</f>
        <v>0</v>
      </c>
      <c r="M27" t="str">
        <f>[1]!'FR.EUREX.1679399@prc_ql_cd'</f>
        <v>ASTA</v>
      </c>
      <c r="N27" t="str">
        <f>[1]!'FR.EUREX.1679399@trade_time'</f>
        <v>22.03.48</v>
      </c>
    </row>
    <row r="28" spans="1:14" x14ac:dyDescent="0.3">
      <c r="A28" t="str">
        <f>[1]!'MI.DER.1720795@symbol'</f>
        <v>MINI1C</v>
      </c>
      <c r="B28" t="str">
        <f>[1]!'MI.DER.1720795@instrument_name'</f>
        <v>Mini FUTURE FTSE MIB INDEX 19/03/2021</v>
      </c>
      <c r="C28" t="str">
        <f>[1]!'MI.DER.1720795@exchange_name'</f>
        <v>IDEM</v>
      </c>
      <c r="D28">
        <f>[1]!'MI.DER.1720795@last_price'</f>
        <v>22490</v>
      </c>
      <c r="E28" t="str">
        <f>[1]!'MI.DER.1720795@percentage_change'</f>
        <v>3,21</v>
      </c>
      <c r="F28">
        <f>[1]!'MI.DER.1720795@best_bsiz1'</f>
        <v>1</v>
      </c>
      <c r="G28">
        <f>[1]!'MI.DER.1720795@best_bid1'</f>
        <v>22480</v>
      </c>
      <c r="H28">
        <f>[1]!'MI.DER.1720795@best_ask1'</f>
        <v>22495</v>
      </c>
      <c r="I28">
        <f>[1]!'MI.DER.1720795@best_asiz1'</f>
        <v>2</v>
      </c>
      <c r="J28" t="str">
        <f>[1]!'MI.DER.1720795@lst_prctck'</f>
        <v>- - - - -</v>
      </c>
      <c r="K28">
        <f>[1]!'MI.DER.1720795@trade_volume_bi'</f>
        <v>7193</v>
      </c>
      <c r="L28">
        <f>[1]!'MI.DER.1720795@trade_count'</f>
        <v>0</v>
      </c>
      <c r="M28" t="str">
        <f>[1]!'MI.DER.1720795@prc_ql_cd'</f>
        <v>CHIU</v>
      </c>
      <c r="N28" t="str">
        <f>[1]!'MI.DER.1720795@trade_time'</f>
        <v>21.59.51</v>
      </c>
    </row>
    <row r="29" spans="1:14" x14ac:dyDescent="0.3">
      <c r="A29" t="str">
        <f>[1]!'CME.CEQFU.1620211@symbol'</f>
        <v>NKDH1F</v>
      </c>
      <c r="B29" t="str">
        <f>[1]!'CME.CEQFU.1620211@instrument_name'</f>
        <v>Nikkei 225 dollar 03-21</v>
      </c>
      <c r="C29" t="str">
        <f>[1]!'CME.CEQFU.1620211@exchange_name'</f>
        <v>CME</v>
      </c>
      <c r="D29">
        <f>[1]!'CME.CEQFU.1620211@last_price'</f>
        <v>28480</v>
      </c>
      <c r="E29" t="str">
        <f>[1]!'CME.CEQFU.1620211@percentage_change'</f>
        <v>0,64</v>
      </c>
      <c r="F29">
        <f>[1]!'CME.CEQFU.1620211@best_bsiz1'</f>
        <v>3</v>
      </c>
      <c r="G29">
        <f>[1]!'CME.CEQFU.1620211@best_bid1'</f>
        <v>28225</v>
      </c>
      <c r="H29">
        <f>[1]!'CME.CEQFU.1620211@best_ask1'</f>
        <v>28550</v>
      </c>
      <c r="I29">
        <f>[1]!'CME.CEQFU.1620211@best_asiz1'</f>
        <v>2</v>
      </c>
      <c r="J29" t="str">
        <f>[1]!'CME.CEQFU.1620211@lst_prctck'</f>
        <v>- - - + -</v>
      </c>
      <c r="K29">
        <f>[1]!'CME.CEQFU.1620211@trade_volume_bi'</f>
        <v>5222</v>
      </c>
      <c r="L29">
        <f>[1]!'CME.CEQFU.1620211@trade_count'</f>
        <v>0</v>
      </c>
      <c r="M29" t="str">
        <f>[1]!'CME.CEQFU.1620211@prc_ql_cd'</f>
        <v>CONT</v>
      </c>
      <c r="N29" t="str">
        <f>[1]!'CME.CEQFU.1620211@trade_time'</f>
        <v>22.57.45</v>
      </c>
    </row>
    <row r="30" spans="1:14" x14ac:dyDescent="0.3">
      <c r="A30" t="str">
        <f>[1]!'CME.COMEX.1636011@symbol'</f>
        <v>SIH1F</v>
      </c>
      <c r="B30" t="str">
        <f>[1]!'CME.COMEX.1636011@instrument_name'</f>
        <v>Silver 03-21*</v>
      </c>
      <c r="C30" t="str">
        <f>[1]!'CME.COMEX.1636011@exchange_name'</f>
        <v>COMEX</v>
      </c>
      <c r="D30" t="str">
        <f>[1]!'CME.COMEX.1636011@last_price'</f>
        <v>27,10</v>
      </c>
      <c r="E30" t="str">
        <f>[1]!'CME.COMEX.1636011@percentage_change'</f>
        <v>-7,88</v>
      </c>
      <c r="F30">
        <f>[1]!'CME.COMEX.1636011@best_bsiz1'</f>
        <v>5</v>
      </c>
      <c r="G30" t="str">
        <f>[1]!'CME.COMEX.1636011@best_bid1'</f>
        <v>27,10</v>
      </c>
      <c r="H30">
        <f>[1]!'CME.COMEX.1636011@best_ask1'</f>
        <v>27105</v>
      </c>
      <c r="I30">
        <f>[1]!'CME.COMEX.1636011@best_asiz1'</f>
        <v>1</v>
      </c>
      <c r="J30" t="str">
        <f>[1]!'CME.COMEX.1636011@lst_prctck'</f>
        <v>- - - - -</v>
      </c>
      <c r="K30">
        <f>[1]!'CME.COMEX.1636011@trade_volume_bi'</f>
        <v>111375</v>
      </c>
      <c r="L30">
        <f>[1]!'CME.COMEX.1636011@trade_count'</f>
        <v>0</v>
      </c>
      <c r="M30" t="str">
        <f>[1]!'CME.COMEX.1636011@prc_ql_cd'</f>
        <v>CONT</v>
      </c>
      <c r="N30" t="str">
        <f>[1]!'CME.COMEX.1636011@trade_time'</f>
        <v>15.47.22</v>
      </c>
    </row>
    <row r="31" spans="1:14" x14ac:dyDescent="0.3">
      <c r="A31" t="str">
        <f>[1]!'CME.CEQFU.1620210@symbol'</f>
        <v>6SH1F</v>
      </c>
      <c r="B31" t="str">
        <f>[1]!'CME.CEQFU.1620210@instrument_name'</f>
        <v>Swiss Franc 03-21</v>
      </c>
      <c r="C31" t="str">
        <f>[1]!'CME.CEQFU.1620210@exchange_name'</f>
        <v>CME</v>
      </c>
      <c r="D31">
        <f>[1]!'CME.CEQFU.1620210@last_price'</f>
        <v>11155</v>
      </c>
      <c r="E31" t="str">
        <f>[1]!'CME.CEQFU.1620210@percentage_change'</f>
        <v>-0,07</v>
      </c>
      <c r="F31">
        <f>[1]!'CME.CEQFU.1620210@best_bsiz1'</f>
        <v>3</v>
      </c>
      <c r="G31">
        <f>[1]!'CME.CEQFU.1620210@best_bid1'</f>
        <v>11154</v>
      </c>
      <c r="H31">
        <f>[1]!'CME.CEQFU.1620210@best_ask1'</f>
        <v>11156</v>
      </c>
      <c r="I31">
        <f>[1]!'CME.CEQFU.1620210@best_asiz1'</f>
        <v>3</v>
      </c>
      <c r="J31" t="str">
        <f>[1]!'CME.CEQFU.1620210@lst_prctck'</f>
        <v>- + - - -</v>
      </c>
      <c r="K31">
        <f>[1]!'CME.CEQFU.1620210@trade_volume_bi'</f>
        <v>20767</v>
      </c>
      <c r="L31">
        <f>[1]!'CME.CEQFU.1620210@trade_count'</f>
        <v>0</v>
      </c>
      <c r="M31" t="str">
        <f>[1]!'CME.CEQFU.1620210@prc_ql_cd'</f>
        <v>CONT</v>
      </c>
      <c r="N31" t="str">
        <f>[1]!'CME.CEQFU.1620210@trade_time'</f>
        <v>22.59.32</v>
      </c>
    </row>
    <row r="32" spans="1:14" x14ac:dyDescent="0.3">
      <c r="A32" t="str">
        <f>[1]!'FR.EUREX.1674001@symbol'</f>
        <v>FVSG1F</v>
      </c>
      <c r="B32" t="str">
        <f>[1]!'FR.EUREX.1674001@instrument_name'</f>
        <v>VSTOXX 02-21</v>
      </c>
      <c r="C32" t="str">
        <f>[1]!'FR.EUREX.1674001@exchange_name'</f>
        <v>EUREX</v>
      </c>
      <c r="D32" t="str">
        <f>[1]!'FR.EUREX.1674001@last_price'</f>
        <v>24,35</v>
      </c>
      <c r="E32" t="str">
        <f>[1]!'FR.EUREX.1674001@percentage_change'</f>
        <v>-10,81</v>
      </c>
      <c r="F32">
        <f>[1]!'FR.EUREX.1674001@best_bsiz1'</f>
        <v>0</v>
      </c>
      <c r="G32" t="str">
        <f>[1]!'FR.EUREX.1674001@best_bid1'</f>
        <v>24,05</v>
      </c>
      <c r="H32" t="str">
        <f>[1]!'FR.EUREX.1674001@best_ask1'</f>
        <v>24,30</v>
      </c>
      <c r="I32">
        <f>[1]!'FR.EUREX.1674001@best_asiz1'</f>
        <v>0</v>
      </c>
      <c r="J32" t="str">
        <f>[1]!'FR.EUREX.1674001@lst_prctck'</f>
        <v>- - + + -</v>
      </c>
      <c r="K32">
        <f>[1]!'FR.EUREX.1674001@trade_volume_bi'</f>
        <v>31644</v>
      </c>
      <c r="L32">
        <f>[1]!'FR.EUREX.1674001@trade_count'</f>
        <v>0</v>
      </c>
      <c r="M32" t="str">
        <f>[1]!'FR.EUREX.1674001@prc_ql_cd'</f>
        <v>CHIU</v>
      </c>
      <c r="N32" t="str">
        <f>[1]!'FR.EUREX.1674001@trade_time'</f>
        <v>21.59.32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Paracchino</dc:creator>
  <cp:lastModifiedBy>Stefano Paracchino</cp:lastModifiedBy>
  <dcterms:created xsi:type="dcterms:W3CDTF">2021-02-02T21:48:30Z</dcterms:created>
  <dcterms:modified xsi:type="dcterms:W3CDTF">2021-02-02T22:39:39Z</dcterms:modified>
</cp:coreProperties>
</file>