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/>
  <mc:AlternateContent xmlns:mc="http://schemas.openxmlformats.org/markup-compatibility/2006">
    <mc:Choice Requires="x15">
      <x15ac:absPath xmlns:x15ac="http://schemas.microsoft.com/office/spreadsheetml/2010/11/ac" url="/Users/shriyapattapu/Documents/"/>
    </mc:Choice>
  </mc:AlternateContent>
  <xr:revisionPtr revIDLastSave="0" documentId="8_{E96277D1-9D62-9B43-9CE4-36D49210A02B}" xr6:coauthVersionLast="47" xr6:coauthVersionMax="47" xr10:uidLastSave="{00000000-0000-0000-0000-000000000000}"/>
  <bookViews>
    <workbookView xWindow="5600" yWindow="760" windowWidth="30240" windowHeight="17740" firstSheet="1" activeTab="3" xr2:uid="{00000000-000D-0000-FFFF-FFFF00000000}"/>
  </bookViews>
  <sheets>
    <sheet name="DCF" sheetId="2" r:id="rId1"/>
    <sheet name="Sensitivity Analysis" sheetId="3" r:id="rId2"/>
    <sheet name="Multiples" sheetId="4" r:id="rId3"/>
    <sheet name="Final Valuation" sheetId="5" r:id="rId4"/>
  </sheets>
  <definedNames>
    <definedName name="solver_adj" localSheetId="1" hidden="1">'Sensitivity Analysis'!$AZ$6:$BG$6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'Sensitivity Analysis'!$AX$47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350.66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AP26" i="3"/>
  <c r="AQ26" i="3"/>
  <c r="AR26" i="3"/>
  <c r="AS26" i="3"/>
  <c r="AT26" i="3"/>
  <c r="AU26" i="3"/>
  <c r="AO26" i="3"/>
  <c r="AN26" i="3"/>
  <c r="AT25" i="3"/>
  <c r="AU25" i="3"/>
  <c r="AS25" i="3"/>
  <c r="AR25" i="3"/>
  <c r="AQ25" i="3"/>
  <c r="AP25" i="3"/>
  <c r="AO25" i="3"/>
  <c r="AN25" i="3"/>
  <c r="D23" i="2"/>
  <c r="D6" i="5"/>
  <c r="AZ24" i="3"/>
  <c r="BA24" i="3" s="1"/>
  <c r="AZ25" i="3"/>
  <c r="BA25" i="3" s="1"/>
  <c r="BB25" i="3" s="1"/>
  <c r="BC25" i="3" s="1"/>
  <c r="BD25" i="3" s="1"/>
  <c r="BE25" i="3" s="1"/>
  <c r="BF25" i="3" s="1"/>
  <c r="BG25" i="3" s="1"/>
  <c r="AZ26" i="3"/>
  <c r="BA26" i="3" s="1"/>
  <c r="BB26" i="3" s="1"/>
  <c r="BC26" i="3" s="1"/>
  <c r="BD26" i="3" s="1"/>
  <c r="BE26" i="3" s="1"/>
  <c r="BF26" i="3" s="1"/>
  <c r="BG26" i="3" s="1"/>
  <c r="AN24" i="3"/>
  <c r="AO24" i="3"/>
  <c r="AB26" i="3"/>
  <c r="AC26" i="3" s="1"/>
  <c r="AD26" i="3" s="1"/>
  <c r="AE26" i="3" s="1"/>
  <c r="AF26" i="3" s="1"/>
  <c r="AG26" i="3" s="1"/>
  <c r="AH26" i="3" s="1"/>
  <c r="AI26" i="3" s="1"/>
  <c r="AB25" i="3"/>
  <c r="AC25" i="3" s="1"/>
  <c r="AD25" i="3" s="1"/>
  <c r="AE25" i="3" s="1"/>
  <c r="AF25" i="3" s="1"/>
  <c r="AG25" i="3" s="1"/>
  <c r="AH25" i="3" s="1"/>
  <c r="AI25" i="3" s="1"/>
  <c r="AB24" i="3"/>
  <c r="AC24" i="3" s="1"/>
  <c r="AD24" i="3" s="1"/>
  <c r="AE24" i="3" s="1"/>
  <c r="AF24" i="3" s="1"/>
  <c r="P24" i="3"/>
  <c r="Q24" i="3" s="1"/>
  <c r="R24" i="3" s="1"/>
  <c r="S24" i="3" s="1"/>
  <c r="T24" i="3" s="1"/>
  <c r="U24" i="3" s="1"/>
  <c r="V24" i="3" s="1"/>
  <c r="W24" i="3" s="1"/>
  <c r="P25" i="3"/>
  <c r="Q25" i="3"/>
  <c r="R25" i="3"/>
  <c r="S25" i="3" s="1"/>
  <c r="T25" i="3" s="1"/>
  <c r="U25" i="3" s="1"/>
  <c r="V25" i="3" s="1"/>
  <c r="W25" i="3" s="1"/>
  <c r="P26" i="3"/>
  <c r="D24" i="3"/>
  <c r="E24" i="3" s="1"/>
  <c r="F24" i="3" s="1"/>
  <c r="G24" i="3" s="1"/>
  <c r="H24" i="3" s="1"/>
  <c r="I24" i="3" s="1"/>
  <c r="J24" i="3" s="1"/>
  <c r="K24" i="3" s="1"/>
  <c r="D26" i="3"/>
  <c r="D25" i="3"/>
  <c r="E25" i="3"/>
  <c r="F25" i="3" s="1"/>
  <c r="G25" i="3" s="1"/>
  <c r="H25" i="3" s="1"/>
  <c r="I25" i="3" s="1"/>
  <c r="J25" i="3" s="1"/>
  <c r="K25" i="3" s="1"/>
  <c r="K25" i="2"/>
  <c r="J25" i="2"/>
  <c r="I25" i="2"/>
  <c r="H25" i="2"/>
  <c r="G25" i="2"/>
  <c r="F25" i="2"/>
  <c r="E25" i="2"/>
  <c r="K24" i="2"/>
  <c r="J24" i="2"/>
  <c r="I24" i="2"/>
  <c r="H24" i="2"/>
  <c r="G24" i="2"/>
  <c r="F24" i="2"/>
  <c r="E24" i="2"/>
  <c r="E23" i="2"/>
  <c r="E28" i="2" s="1"/>
  <c r="E37" i="2" s="1"/>
  <c r="C30" i="4"/>
  <c r="AZ29" i="3"/>
  <c r="AZ38" i="3" s="1"/>
  <c r="AY21" i="3"/>
  <c r="AN29" i="3"/>
  <c r="AN38" i="3" s="1"/>
  <c r="AM21" i="3"/>
  <c r="AF29" i="3"/>
  <c r="AF38" i="3" s="1"/>
  <c r="AE29" i="3"/>
  <c r="AE38" i="3" s="1"/>
  <c r="AE28" i="3"/>
  <c r="AD28" i="3"/>
  <c r="AC28" i="3"/>
  <c r="AB29" i="3"/>
  <c r="AB38" i="3" s="1"/>
  <c r="AA21" i="3"/>
  <c r="P28" i="3"/>
  <c r="C21" i="3"/>
  <c r="C20" i="2"/>
  <c r="D28" i="2"/>
  <c r="D37" i="2" s="1"/>
  <c r="D24" i="2"/>
  <c r="D25" i="2"/>
  <c r="D27" i="2"/>
  <c r="D31" i="2" l="1"/>
  <c r="D32" i="2" s="1"/>
  <c r="C29" i="4"/>
  <c r="C12" i="4"/>
  <c r="C14" i="4" s="1"/>
  <c r="C15" i="4" s="1"/>
  <c r="C19" i="4" s="1"/>
  <c r="C3" i="4"/>
  <c r="C5" i="4" s="1"/>
  <c r="C6" i="4" s="1"/>
  <c r="C10" i="4" s="1"/>
  <c r="C31" i="4"/>
  <c r="C32" i="4" s="1"/>
  <c r="C36" i="4" s="1"/>
  <c r="D5" i="5"/>
  <c r="Q26" i="3"/>
  <c r="E26" i="3"/>
  <c r="AF28" i="3"/>
  <c r="AG24" i="3"/>
  <c r="BA29" i="3"/>
  <c r="BA38" i="3" s="1"/>
  <c r="BB24" i="3"/>
  <c r="BC24" i="3" s="1"/>
  <c r="BD24" i="3" s="1"/>
  <c r="BE24" i="3" s="1"/>
  <c r="BF24" i="3" s="1"/>
  <c r="BG24" i="3" s="1"/>
  <c r="AO28" i="3"/>
  <c r="AP24" i="3"/>
  <c r="AO29" i="3"/>
  <c r="AO38" i="3" s="1"/>
  <c r="Q28" i="3"/>
  <c r="I28" i="3"/>
  <c r="H28" i="3"/>
  <c r="E28" i="3"/>
  <c r="E32" i="3" s="1"/>
  <c r="D29" i="3"/>
  <c r="D38" i="3" s="1"/>
  <c r="D28" i="3"/>
  <c r="D32" i="3" s="1"/>
  <c r="G29" i="3"/>
  <c r="G38" i="3" s="1"/>
  <c r="F28" i="3"/>
  <c r="F23" i="2"/>
  <c r="G23" i="2" s="1"/>
  <c r="F27" i="2"/>
  <c r="F31" i="2" s="1"/>
  <c r="F28" i="2"/>
  <c r="F37" i="2" s="1"/>
  <c r="E27" i="2"/>
  <c r="E31" i="2" s="1"/>
  <c r="E32" i="2" s="1"/>
  <c r="AE32" i="3"/>
  <c r="AE33" i="3" s="1"/>
  <c r="AE34" i="3" s="1"/>
  <c r="AE37" i="3" s="1"/>
  <c r="AE39" i="3" s="1"/>
  <c r="AE41" i="3" s="1"/>
  <c r="AC32" i="3"/>
  <c r="AF32" i="3"/>
  <c r="AF33" i="3" s="1"/>
  <c r="AO32" i="3"/>
  <c r="AO33" i="3" s="1"/>
  <c r="AC29" i="3"/>
  <c r="AC38" i="3" s="1"/>
  <c r="AD32" i="3"/>
  <c r="AD29" i="3"/>
  <c r="AD38" i="3" s="1"/>
  <c r="BA28" i="3"/>
  <c r="BA32" i="3" s="1"/>
  <c r="BA33" i="3" s="1"/>
  <c r="AZ28" i="3"/>
  <c r="AZ32" i="3" s="1"/>
  <c r="AZ33" i="3" s="1"/>
  <c r="AN28" i="3"/>
  <c r="AN32" i="3" s="1"/>
  <c r="AN33" i="3" s="1"/>
  <c r="AF34" i="3"/>
  <c r="AF35" i="3" s="1"/>
  <c r="AB28" i="3"/>
  <c r="AB32" i="3" s="1"/>
  <c r="AB33" i="3" s="1"/>
  <c r="AG29" i="3"/>
  <c r="AG38" i="3" s="1"/>
  <c r="J29" i="3"/>
  <c r="J38" i="3" s="1"/>
  <c r="G28" i="3"/>
  <c r="I29" i="3"/>
  <c r="I38" i="3" s="1"/>
  <c r="P32" i="3"/>
  <c r="R28" i="3"/>
  <c r="P29" i="3"/>
  <c r="P38" i="3" s="1"/>
  <c r="Q29" i="3"/>
  <c r="Q38" i="3" s="1"/>
  <c r="Q32" i="3"/>
  <c r="Q33" i="3" s="1"/>
  <c r="E29" i="3"/>
  <c r="E38" i="3" s="1"/>
  <c r="F29" i="3"/>
  <c r="F38" i="3" s="1"/>
  <c r="H29" i="3"/>
  <c r="H38" i="3" s="1"/>
  <c r="G28" i="2"/>
  <c r="G37" i="2" s="1"/>
  <c r="D33" i="2" l="1"/>
  <c r="D36" i="2"/>
  <c r="D38" i="2" s="1"/>
  <c r="AG28" i="3"/>
  <c r="AG32" i="3" s="1"/>
  <c r="AH24" i="3"/>
  <c r="R26" i="3"/>
  <c r="R32" i="3" s="1"/>
  <c r="F26" i="3"/>
  <c r="BC29" i="3"/>
  <c r="BC38" i="3" s="1"/>
  <c r="BB28" i="3"/>
  <c r="BB32" i="3" s="1"/>
  <c r="BB29" i="3"/>
  <c r="BB38" i="3" s="1"/>
  <c r="BC28" i="3"/>
  <c r="BC32" i="3" s="1"/>
  <c r="AP28" i="3"/>
  <c r="AQ24" i="3"/>
  <c r="AP29" i="3"/>
  <c r="AP38" i="3" s="1"/>
  <c r="AO34" i="3"/>
  <c r="AO37" i="3" s="1"/>
  <c r="AO39" i="3" s="1"/>
  <c r="AO41" i="3" s="1"/>
  <c r="AP32" i="3"/>
  <c r="AP33" i="3" s="1"/>
  <c r="AP34" i="3" s="1"/>
  <c r="AP37" i="3" s="1"/>
  <c r="AP39" i="3" s="1"/>
  <c r="AP41" i="3" s="1"/>
  <c r="R29" i="3"/>
  <c r="R38" i="3" s="1"/>
  <c r="J28" i="3"/>
  <c r="D33" i="3"/>
  <c r="D34" i="3" s="1"/>
  <c r="D35" i="3" s="1"/>
  <c r="D40" i="2"/>
  <c r="D34" i="2"/>
  <c r="H23" i="2"/>
  <c r="G27" i="2"/>
  <c r="G31" i="2" s="1"/>
  <c r="G32" i="2" s="1"/>
  <c r="G33" i="2" s="1"/>
  <c r="G34" i="2" s="1"/>
  <c r="F32" i="2"/>
  <c r="F33" i="2" s="1"/>
  <c r="F36" i="2" s="1"/>
  <c r="F38" i="2" s="1"/>
  <c r="F40" i="2" s="1"/>
  <c r="E33" i="2"/>
  <c r="E34" i="2" s="1"/>
  <c r="E36" i="2"/>
  <c r="E38" i="2" s="1"/>
  <c r="E40" i="2" s="1"/>
  <c r="AP35" i="3"/>
  <c r="AD33" i="3"/>
  <c r="AD34" i="3" s="1"/>
  <c r="AD35" i="3" s="1"/>
  <c r="AC33" i="3"/>
  <c r="AC34" i="3" s="1"/>
  <c r="AC37" i="3" s="1"/>
  <c r="AC39" i="3" s="1"/>
  <c r="AC41" i="3" s="1"/>
  <c r="BA34" i="3"/>
  <c r="BA37" i="3" s="1"/>
  <c r="BA39" i="3" s="1"/>
  <c r="BA41" i="3" s="1"/>
  <c r="BA35" i="3"/>
  <c r="AZ34" i="3"/>
  <c r="AZ37" i="3" s="1"/>
  <c r="AZ39" i="3" s="1"/>
  <c r="BC33" i="3"/>
  <c r="AN34" i="3"/>
  <c r="AN35" i="3" s="1"/>
  <c r="AB34" i="3"/>
  <c r="AB37" i="3"/>
  <c r="AB39" i="3" s="1"/>
  <c r="AB41" i="3" s="1"/>
  <c r="AB35" i="3"/>
  <c r="AE35" i="3"/>
  <c r="AG33" i="3"/>
  <c r="AF37" i="3"/>
  <c r="AF39" i="3" s="1"/>
  <c r="AF41" i="3" s="1"/>
  <c r="P33" i="3"/>
  <c r="Q34" i="3"/>
  <c r="Q37" i="3" s="1"/>
  <c r="Q39" i="3" s="1"/>
  <c r="Q41" i="3" s="1"/>
  <c r="E33" i="3"/>
  <c r="S26" i="3" l="1"/>
  <c r="G26" i="3"/>
  <c r="F32" i="3"/>
  <c r="F33" i="3" s="1"/>
  <c r="F34" i="3" s="1"/>
  <c r="AH29" i="3"/>
  <c r="AH38" i="3" s="1"/>
  <c r="AI24" i="3"/>
  <c r="AH28" i="3"/>
  <c r="AH32" i="3"/>
  <c r="AH33" i="3" s="1"/>
  <c r="BB33" i="3"/>
  <c r="AZ35" i="3"/>
  <c r="BD28" i="3"/>
  <c r="BD29" i="3"/>
  <c r="BD38" i="3" s="1"/>
  <c r="BD32" i="3"/>
  <c r="AQ29" i="3"/>
  <c r="AQ38" i="3" s="1"/>
  <c r="AQ28" i="3"/>
  <c r="AR24" i="3"/>
  <c r="AQ32" i="3"/>
  <c r="AQ33" i="3" s="1"/>
  <c r="AO35" i="3"/>
  <c r="AC35" i="3"/>
  <c r="Q35" i="3"/>
  <c r="S28" i="3"/>
  <c r="S29" i="3"/>
  <c r="S38" i="3" s="1"/>
  <c r="S32" i="3"/>
  <c r="S33" i="3" s="1"/>
  <c r="S34" i="3" s="1"/>
  <c r="S35" i="3" s="1"/>
  <c r="R33" i="3"/>
  <c r="K28" i="3"/>
  <c r="K29" i="3"/>
  <c r="K38" i="3" s="1"/>
  <c r="D37" i="3"/>
  <c r="D39" i="3" s="1"/>
  <c r="D41" i="3" s="1"/>
  <c r="I23" i="2"/>
  <c r="H27" i="2"/>
  <c r="H31" i="2" s="1"/>
  <c r="H28" i="2"/>
  <c r="H37" i="2" s="1"/>
  <c r="F34" i="2"/>
  <c r="AD37" i="3"/>
  <c r="AD39" i="3" s="1"/>
  <c r="AD41" i="3" s="1"/>
  <c r="BB34" i="3"/>
  <c r="BB37" i="3" s="1"/>
  <c r="BB39" i="3" s="1"/>
  <c r="BB41" i="3" s="1"/>
  <c r="AZ41" i="3"/>
  <c r="BC34" i="3"/>
  <c r="BC35" i="3" s="1"/>
  <c r="BC37" i="3"/>
  <c r="BC39" i="3" s="1"/>
  <c r="BC41" i="3" s="1"/>
  <c r="AN37" i="3"/>
  <c r="AN39" i="3" s="1"/>
  <c r="AN41" i="3" s="1"/>
  <c r="AG34" i="3"/>
  <c r="AG35" i="3"/>
  <c r="AG37" i="3"/>
  <c r="AG39" i="3" s="1"/>
  <c r="AG41" i="3" s="1"/>
  <c r="F37" i="3"/>
  <c r="F39" i="3" s="1"/>
  <c r="F41" i="3" s="1"/>
  <c r="F35" i="3"/>
  <c r="P34" i="3"/>
  <c r="P37" i="3" s="1"/>
  <c r="P39" i="3" s="1"/>
  <c r="P41" i="3" s="1"/>
  <c r="E34" i="3"/>
  <c r="E37" i="3" s="1"/>
  <c r="E39" i="3" s="1"/>
  <c r="E41" i="3" s="1"/>
  <c r="G36" i="2"/>
  <c r="G38" i="2" s="1"/>
  <c r="G40" i="2" s="1"/>
  <c r="H32" i="2" l="1"/>
  <c r="AH34" i="3"/>
  <c r="AH35" i="3"/>
  <c r="AH37" i="3"/>
  <c r="AH39" i="3" s="1"/>
  <c r="AI29" i="3"/>
  <c r="AI38" i="3" s="1"/>
  <c r="AI28" i="3"/>
  <c r="AI32" i="3" s="1"/>
  <c r="AI33" i="3" s="1"/>
  <c r="T26" i="3"/>
  <c r="H26" i="3"/>
  <c r="G32" i="3"/>
  <c r="G33" i="3" s="1"/>
  <c r="BB35" i="3"/>
  <c r="BD33" i="3"/>
  <c r="BD34" i="3" s="1"/>
  <c r="BD37" i="3" s="1"/>
  <c r="BD39" i="3" s="1"/>
  <c r="BD41" i="3" s="1"/>
  <c r="BE28" i="3"/>
  <c r="BE32" i="3" s="1"/>
  <c r="BE29" i="3"/>
  <c r="BE38" i="3" s="1"/>
  <c r="AQ34" i="3"/>
  <c r="AQ35" i="3" s="1"/>
  <c r="AQ37" i="3"/>
  <c r="AQ39" i="3" s="1"/>
  <c r="AQ41" i="3" s="1"/>
  <c r="AS24" i="3"/>
  <c r="AR28" i="3"/>
  <c r="AR32" i="3" s="1"/>
  <c r="AR29" i="3"/>
  <c r="AR38" i="3" s="1"/>
  <c r="R34" i="3"/>
  <c r="R35" i="3" s="1"/>
  <c r="R37" i="3"/>
  <c r="R39" i="3" s="1"/>
  <c r="R41" i="3" s="1"/>
  <c r="S37" i="3"/>
  <c r="S39" i="3" s="1"/>
  <c r="S41" i="3" s="1"/>
  <c r="T28" i="3"/>
  <c r="T32" i="3" s="1"/>
  <c r="T29" i="3"/>
  <c r="T38" i="3" s="1"/>
  <c r="H33" i="2"/>
  <c r="H36" i="2" s="1"/>
  <c r="H38" i="2" s="1"/>
  <c r="H40" i="2" s="1"/>
  <c r="H34" i="2"/>
  <c r="J23" i="2"/>
  <c r="I27" i="2"/>
  <c r="I31" i="2" s="1"/>
  <c r="I28" i="2"/>
  <c r="I37" i="2" s="1"/>
  <c r="BD35" i="3"/>
  <c r="P35" i="3"/>
  <c r="E35" i="3"/>
  <c r="T33" i="3" l="1"/>
  <c r="G34" i="3"/>
  <c r="G37" i="3"/>
  <c r="G39" i="3" s="1"/>
  <c r="G41" i="3" s="1"/>
  <c r="G35" i="3"/>
  <c r="U26" i="3"/>
  <c r="I26" i="3"/>
  <c r="H32" i="3"/>
  <c r="H33" i="3" s="1"/>
  <c r="AI34" i="3"/>
  <c r="AI35" i="3" s="1"/>
  <c r="AI37" i="3"/>
  <c r="AI39" i="3" s="1"/>
  <c r="AI40" i="3" s="1"/>
  <c r="AH41" i="3" s="1"/>
  <c r="Z42" i="3" s="1"/>
  <c r="Z43" i="3" s="1"/>
  <c r="Z47" i="3" s="1"/>
  <c r="BE33" i="3"/>
  <c r="BF28" i="3"/>
  <c r="BF29" i="3"/>
  <c r="BF38" i="3" s="1"/>
  <c r="BF32" i="3"/>
  <c r="AR33" i="3"/>
  <c r="AT24" i="3"/>
  <c r="AS28" i="3"/>
  <c r="AS32" i="3" s="1"/>
  <c r="AS29" i="3"/>
  <c r="AS38" i="3" s="1"/>
  <c r="T34" i="3"/>
  <c r="T35" i="3" s="1"/>
  <c r="T37" i="3"/>
  <c r="T39" i="3" s="1"/>
  <c r="T41" i="3" s="1"/>
  <c r="U29" i="3"/>
  <c r="U38" i="3" s="1"/>
  <c r="U28" i="3"/>
  <c r="U32" i="3" s="1"/>
  <c r="K23" i="2"/>
  <c r="J28" i="2"/>
  <c r="J37" i="2" s="1"/>
  <c r="J27" i="2"/>
  <c r="J31" i="2"/>
  <c r="J32" i="2" s="1"/>
  <c r="I32" i="2"/>
  <c r="H34" i="3" l="1"/>
  <c r="H37" i="3" s="1"/>
  <c r="H39" i="3" s="1"/>
  <c r="H41" i="3" s="1"/>
  <c r="H35" i="3"/>
  <c r="V26" i="3"/>
  <c r="J26" i="3"/>
  <c r="I32" i="3"/>
  <c r="I33" i="3" s="1"/>
  <c r="BF33" i="3"/>
  <c r="BF34" i="3"/>
  <c r="BF35" i="3" s="1"/>
  <c r="BG28" i="3"/>
  <c r="BG29" i="3"/>
  <c r="BG38" i="3" s="1"/>
  <c r="BG32" i="3"/>
  <c r="BE34" i="3"/>
  <c r="BE35" i="3" s="1"/>
  <c r="AR34" i="3"/>
  <c r="AR35" i="3" s="1"/>
  <c r="AR37" i="3"/>
  <c r="AR39" i="3" s="1"/>
  <c r="AR41" i="3" s="1"/>
  <c r="AS33" i="3"/>
  <c r="AT29" i="3"/>
  <c r="AT38" i="3" s="1"/>
  <c r="AU24" i="3"/>
  <c r="AT28" i="3"/>
  <c r="AT32" i="3" s="1"/>
  <c r="AT33" i="3" s="1"/>
  <c r="U33" i="3"/>
  <c r="U34" i="3"/>
  <c r="U37" i="3"/>
  <c r="U39" i="3" s="1"/>
  <c r="U41" i="3" s="1"/>
  <c r="U35" i="3"/>
  <c r="V28" i="3"/>
  <c r="V29" i="3"/>
  <c r="V38" i="3" s="1"/>
  <c r="V32" i="3"/>
  <c r="V33" i="3" s="1"/>
  <c r="I33" i="2"/>
  <c r="I36" i="2" s="1"/>
  <c r="I38" i="2" s="1"/>
  <c r="I40" i="2" s="1"/>
  <c r="I34" i="2"/>
  <c r="J33" i="2"/>
  <c r="J36" i="2" s="1"/>
  <c r="J38" i="2" s="1"/>
  <c r="J34" i="2"/>
  <c r="K27" i="2"/>
  <c r="K31" i="2" s="1"/>
  <c r="K28" i="2"/>
  <c r="K37" i="2" s="1"/>
  <c r="K32" i="2" l="1"/>
  <c r="I34" i="3"/>
  <c r="I35" i="3" s="1"/>
  <c r="I37" i="3"/>
  <c r="I39" i="3" s="1"/>
  <c r="I41" i="3" s="1"/>
  <c r="W26" i="3"/>
  <c r="K26" i="3"/>
  <c r="K32" i="3" s="1"/>
  <c r="K33" i="3" s="1"/>
  <c r="J32" i="3"/>
  <c r="J33" i="3" s="1"/>
  <c r="BG33" i="3"/>
  <c r="BF37" i="3"/>
  <c r="BF39" i="3" s="1"/>
  <c r="BE37" i="3"/>
  <c r="BE39" i="3" s="1"/>
  <c r="BE41" i="3" s="1"/>
  <c r="BG34" i="3"/>
  <c r="BG35" i="3" s="1"/>
  <c r="AT34" i="3"/>
  <c r="AT37" i="3" s="1"/>
  <c r="AT39" i="3" s="1"/>
  <c r="AT35" i="3"/>
  <c r="AU28" i="3"/>
  <c r="AU32" i="3" s="1"/>
  <c r="AU29" i="3"/>
  <c r="AU38" i="3" s="1"/>
  <c r="AS34" i="3"/>
  <c r="AS37" i="3" s="1"/>
  <c r="AS39" i="3" s="1"/>
  <c r="AS41" i="3" s="1"/>
  <c r="V34" i="3"/>
  <c r="V35" i="3" s="1"/>
  <c r="V37" i="3"/>
  <c r="V39" i="3" s="1"/>
  <c r="W28" i="3"/>
  <c r="W32" i="3"/>
  <c r="W29" i="3"/>
  <c r="W38" i="3" s="1"/>
  <c r="K33" i="2"/>
  <c r="K36" i="2" s="1"/>
  <c r="K38" i="2" s="1"/>
  <c r="K39" i="2" s="1"/>
  <c r="J40" i="2"/>
  <c r="B41" i="2" s="1"/>
  <c r="B42" i="2" s="1"/>
  <c r="B46" i="2"/>
  <c r="D3" i="5" s="1"/>
  <c r="J34" i="3" l="1"/>
  <c r="J35" i="3" s="1"/>
  <c r="J37" i="3"/>
  <c r="J39" i="3" s="1"/>
  <c r="K34" i="3"/>
  <c r="K37" i="3" s="1"/>
  <c r="K39" i="3" s="1"/>
  <c r="K40" i="3" s="1"/>
  <c r="J41" i="3" s="1"/>
  <c r="B42" i="3" s="1"/>
  <c r="B43" i="3" s="1"/>
  <c r="B47" i="3" s="1"/>
  <c r="K35" i="3"/>
  <c r="BG37" i="3"/>
  <c r="BG39" i="3" s="1"/>
  <c r="AZ48" i="3" s="1"/>
  <c r="AS35" i="3"/>
  <c r="AU33" i="3"/>
  <c r="W33" i="3"/>
  <c r="W34" i="3" s="1"/>
  <c r="K34" i="2"/>
  <c r="BG40" i="3" l="1"/>
  <c r="BF41" i="3" s="1"/>
  <c r="AX42" i="3" s="1"/>
  <c r="AX43" i="3" s="1"/>
  <c r="AX47" i="3" s="1"/>
  <c r="AU34" i="3"/>
  <c r="AU35" i="3" s="1"/>
  <c r="W35" i="3"/>
  <c r="W37" i="3"/>
  <c r="W39" i="3" s="1"/>
  <c r="W40" i="3" s="1"/>
  <c r="V41" i="3" s="1"/>
  <c r="N42" i="3" s="1"/>
  <c r="N43" i="3" s="1"/>
  <c r="N47" i="3" s="1"/>
  <c r="AU37" i="3" l="1"/>
  <c r="AU39" i="3" s="1"/>
  <c r="AU40" i="3" s="1"/>
  <c r="AT41" i="3" s="1"/>
  <c r="AL42" i="3" s="1"/>
  <c r="AL43" i="3" s="1"/>
  <c r="AL47" i="3" s="1"/>
  <c r="D8" i="5" s="1"/>
</calcChain>
</file>

<file path=xl/sharedStrings.xml><?xml version="1.0" encoding="utf-8"?>
<sst xmlns="http://schemas.openxmlformats.org/spreadsheetml/2006/main" count="288" uniqueCount="66">
  <si>
    <t>Tesla Valuation</t>
  </si>
  <si>
    <t>Model assumptions based on anaylst reports</t>
  </si>
  <si>
    <t>Upside YOY Revenue Growth</t>
  </si>
  <si>
    <t>Downside YOY Revenue Growth</t>
  </si>
  <si>
    <t>Base Case YOY Revenue Growth</t>
  </si>
  <si>
    <t>Total Cost of Revenue (% of Rev)</t>
  </si>
  <si>
    <t>R&amp;D YOY Growth</t>
  </si>
  <si>
    <t>SG&amp;A YOY Growth</t>
  </si>
  <si>
    <t>Depreciation (% of Rev)</t>
  </si>
  <si>
    <t>CapEx (% of Depr)</t>
  </si>
  <si>
    <t>Sensitivity Cost of Revenue "CoR"</t>
  </si>
  <si>
    <t>Total Revenue in 2024 (in millions)</t>
  </si>
  <si>
    <t>Total R&amp;D in 2024 (in millions)</t>
  </si>
  <si>
    <t>Total SG&amp;A in 2024 (in millions)</t>
  </si>
  <si>
    <t>Cost of Capital (Discount Rate)</t>
  </si>
  <si>
    <t>Long run growth rate</t>
  </si>
  <si>
    <t xml:space="preserve">Tax Rate </t>
  </si>
  <si>
    <t>All dollar figures are in millions</t>
  </si>
  <si>
    <t>Total Revenue per year in millions</t>
  </si>
  <si>
    <t>Total R&amp;D per year in millions</t>
  </si>
  <si>
    <t>Total SG&amp;A per year in millions</t>
  </si>
  <si>
    <t>Cost of Revenue per year</t>
  </si>
  <si>
    <t xml:space="preserve">Depreciation per year </t>
  </si>
  <si>
    <t>EBITDA</t>
  </si>
  <si>
    <t>EBIT</t>
  </si>
  <si>
    <t>Taxes</t>
  </si>
  <si>
    <t>-</t>
  </si>
  <si>
    <t xml:space="preserve"> Incremental Earnings</t>
  </si>
  <si>
    <t>OCF</t>
  </si>
  <si>
    <t xml:space="preserve">CapEx per year </t>
  </si>
  <si>
    <t>FCF</t>
  </si>
  <si>
    <t>Terminal Value</t>
  </si>
  <si>
    <t>Final FCF</t>
  </si>
  <si>
    <t>Enterprise Value</t>
  </si>
  <si>
    <t>Equity Value</t>
  </si>
  <si>
    <t>Debt</t>
  </si>
  <si>
    <t xml:space="preserve">Cash &amp; Marketable Securities </t>
  </si>
  <si>
    <t>Shares Outstanding</t>
  </si>
  <si>
    <t>Price Per Share</t>
  </si>
  <si>
    <t xml:space="preserve"> Cost of Revenue Assumptions Sensitivity </t>
  </si>
  <si>
    <t xml:space="preserve"> Cost of R&amp;D Assumptions Sensitivity 										</t>
  </si>
  <si>
    <t xml:space="preserve">350.66 Stock Price Adjusted YOY Revenue Growth					</t>
  </si>
  <si>
    <t xml:space="preserve">Terminal Value: </t>
  </si>
  <si>
    <t>&lt;- everything is in millions</t>
  </si>
  <si>
    <t>Compound Annual Growth Rate (CAGR)</t>
  </si>
  <si>
    <t>Automobile industry average</t>
  </si>
  <si>
    <t>EBITDA_2025</t>
  </si>
  <si>
    <t>Automobile Industry Ratio</t>
  </si>
  <si>
    <t>broader Consumer Discretionary sector</t>
  </si>
  <si>
    <t>BCDS Ratio</t>
  </si>
  <si>
    <t>Selected Peer Group</t>
  </si>
  <si>
    <t xml:space="preserve">Peer Group </t>
  </si>
  <si>
    <t>Toyota Motor Corporation (TM)</t>
  </si>
  <si>
    <t>NVIDIA Corporation (NVDA)</t>
  </si>
  <si>
    <t>Alphabet (GOOGL)</t>
  </si>
  <si>
    <t>Ford Motor Company (F)</t>
  </si>
  <si>
    <t>NextEra Energy (NEE)</t>
  </si>
  <si>
    <t>XIAOMI-W (1810.HK)</t>
  </si>
  <si>
    <t>BYD Company Limited (002594.SZ)</t>
  </si>
  <si>
    <t>EBITDA AVG/ Peer Group Ratio</t>
  </si>
  <si>
    <t xml:space="preserve">Taking a Weighted Average: </t>
  </si>
  <si>
    <t xml:space="preserve">DCF: </t>
  </si>
  <si>
    <t xml:space="preserve">Sensitivity: </t>
  </si>
  <si>
    <t xml:space="preserve">Multiples: </t>
  </si>
  <si>
    <t>Weight</t>
  </si>
  <si>
    <t xml:space="preserve">Final Tesla Valuation: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</si>
</sst>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1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u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u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6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232A31"/>
      <name val="Aptos Narrow"/>
      <scheme val="minor"/>
    </font>
    <font>
      <sz val="11"/>
      <color rgb="FF000000"/>
      <name val="Aptos Narrow"/>
    </font>
    <font>
      <sz val="11"/>
      <color theme="1"/>
      <name val="Aptos Narrow"/>
      <scheme val="minor"/>
    </font>
    <font>
      <sz val="11"/>
      <color rgb="FF242424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3" borderId="0" xfId="0" applyFill="1"/>
    <xf numFmtId="9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0" fontId="0" fillId="3" borderId="0" xfId="1" applyNumberFormat="1" applyFont="1" applyFill="1"/>
    <xf numFmtId="0" fontId="0" fillId="0" borderId="1" xfId="0" applyBorder="1"/>
    <xf numFmtId="8" fontId="0" fillId="0" borderId="0" xfId="0" applyNumberFormat="1"/>
    <xf numFmtId="3" fontId="0" fillId="0" borderId="0" xfId="0" applyNumberFormat="1"/>
    <xf numFmtId="0" fontId="1" fillId="4" borderId="0" xfId="0" applyFont="1" applyFill="1"/>
    <xf numFmtId="0" fontId="2" fillId="4" borderId="0" xfId="0" applyFont="1" applyFill="1"/>
    <xf numFmtId="0" fontId="0" fillId="5" borderId="0" xfId="0" applyFill="1"/>
    <xf numFmtId="8" fontId="0" fillId="5" borderId="0" xfId="0" applyNumberFormat="1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 applyFill="1" applyBorder="1"/>
    <xf numFmtId="10" fontId="0" fillId="0" borderId="0" xfId="1" applyNumberFormat="1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0" borderId="0" xfId="0" applyFont="1"/>
    <xf numFmtId="9" fontId="8" fillId="2" borderId="0" xfId="0" applyNumberFormat="1" applyFont="1" applyFill="1"/>
    <xf numFmtId="164" fontId="8" fillId="2" borderId="0" xfId="0" applyNumberFormat="1" applyFont="1" applyFill="1"/>
    <xf numFmtId="10" fontId="8" fillId="2" borderId="0" xfId="0" applyNumberFormat="1" applyFont="1" applyFill="1"/>
    <xf numFmtId="0" fontId="8" fillId="6" borderId="0" xfId="0" applyFont="1" applyFill="1"/>
    <xf numFmtId="0" fontId="7" fillId="6" borderId="0" xfId="0" applyFont="1" applyFill="1"/>
    <xf numFmtId="0" fontId="8" fillId="0" borderId="1" xfId="0" applyFont="1" applyBorder="1"/>
    <xf numFmtId="3" fontId="8" fillId="0" borderId="0" xfId="0" applyNumberFormat="1" applyFont="1"/>
    <xf numFmtId="0" fontId="8" fillId="7" borderId="0" xfId="0" applyFont="1" applyFill="1"/>
    <xf numFmtId="8" fontId="8" fillId="7" borderId="0" xfId="0" applyNumberFormat="1" applyFont="1" applyFill="1"/>
    <xf numFmtId="8" fontId="8" fillId="0" borderId="0" xfId="0" applyNumberFormat="1" applyFont="1"/>
    <xf numFmtId="10" fontId="0" fillId="5" borderId="0" xfId="0" applyNumberFormat="1" applyFill="1"/>
    <xf numFmtId="4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5" borderId="6" xfId="0" applyFill="1" applyBorder="1"/>
    <xf numFmtId="8" fontId="0" fillId="5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11" fillId="3" borderId="4" xfId="0" applyFont="1" applyFill="1" applyBorder="1"/>
    <xf numFmtId="0" fontId="12" fillId="3" borderId="5" xfId="0" applyFont="1" applyFill="1" applyBorder="1"/>
    <xf numFmtId="0" fontId="12" fillId="3" borderId="4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3" fontId="0" fillId="0" borderId="1" xfId="0" applyNumberFormat="1" applyBorder="1"/>
    <xf numFmtId="0" fontId="13" fillId="0" borderId="0" xfId="0" applyFont="1"/>
    <xf numFmtId="8" fontId="0" fillId="0" borderId="12" xfId="0" applyNumberFormat="1" applyBorder="1"/>
    <xf numFmtId="8" fontId="0" fillId="0" borderId="1" xfId="0" applyNumberFormat="1" applyBorder="1"/>
    <xf numFmtId="0" fontId="0" fillId="0" borderId="13" xfId="0" applyBorder="1"/>
    <xf numFmtId="0" fontId="0" fillId="0" borderId="14" xfId="0" applyBorder="1"/>
    <xf numFmtId="0" fontId="14" fillId="0" borderId="15" xfId="0" applyFont="1" applyBorder="1"/>
    <xf numFmtId="8" fontId="15" fillId="0" borderId="16" xfId="0" applyNumberFormat="1" applyFont="1" applyBorder="1"/>
    <xf numFmtId="8" fontId="14" fillId="0" borderId="16" xfId="0" applyNumberFormat="1" applyFont="1" applyBorder="1"/>
    <xf numFmtId="0" fontId="14" fillId="0" borderId="17" xfId="0" applyFont="1" applyBorder="1"/>
    <xf numFmtId="8" fontId="14" fillId="0" borderId="18" xfId="0" applyNumberFormat="1" applyFont="1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8" fontId="0" fillId="5" borderId="18" xfId="0" applyNumberFormat="1" applyFill="1" applyBorder="1"/>
    <xf numFmtId="8" fontId="0" fillId="9" borderId="0" xfId="0" applyNumberFormat="1" applyFill="1"/>
    <xf numFmtId="0" fontId="4" fillId="10" borderId="0" xfId="0" applyFont="1" applyFill="1"/>
    <xf numFmtId="0" fontId="0" fillId="10" borderId="0" xfId="0" applyFill="1"/>
    <xf numFmtId="9" fontId="0" fillId="10" borderId="0" xfId="0" applyNumberFormat="1" applyFill="1"/>
    <xf numFmtId="164" fontId="0" fillId="10" borderId="0" xfId="0" applyNumberFormat="1" applyFill="1"/>
    <xf numFmtId="0" fontId="0" fillId="5" borderId="0" xfId="0" applyFill="1" applyAlignment="1">
      <alignment horizontal="left"/>
    </xf>
    <xf numFmtId="0" fontId="10" fillId="8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9" fillId="8" borderId="2" xfId="0" applyFont="1" applyFill="1" applyBorder="1" applyAlignment="1">
      <alignment horizontal="center" wrapText="1"/>
    </xf>
    <xf numFmtId="0" fontId="9" fillId="8" borderId="3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522941</xdr:colOff>
      <xdr:row>49</xdr:row>
      <xdr:rowOff>149412</xdr:rowOff>
    </xdr:from>
    <xdr:to>
      <xdr:col>10</xdr:col>
      <xdr:colOff>834715</xdr:colOff>
      <xdr:row>54</xdr:row>
      <xdr:rowOff>62255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D9395F-5611-C649-B743-79C4A2C0260D}"/>
            </a:ext>
          </a:extLst>
        </xdr:cNvPr>
        <xdr:cNvSpPr txBox="1"/>
      </xdr:nvSpPr>
      <xdr:spPr>
        <a:xfrm>
          <a:off x="6200588" y="9375588"/>
          <a:ext cx="4047068" cy="846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I AM NOTY</a:t>
          </a:r>
          <a:r>
            <a:rPr lang="en-US" sz="1400" b="1" baseline="0">
              <a:solidFill>
                <a:srgbClr val="FF0000"/>
              </a:solidFill>
            </a:rPr>
            <a:t> SURE IF I DID EVERYTHING CORRECTLY I DID IT QUICKLY TO START THE WRITE-UP. I WILL EDIT IF CORRECTIONS GET MADE :)</a:t>
          </a:r>
          <a:br>
            <a:rPr lang="en-US" sz="1400" b="1" baseline="0">
              <a:solidFill>
                <a:srgbClr val="FF0000"/>
              </a:solidFill>
            </a:rPr>
          </a:b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EAF2-126E-1742-8C49-08F05BD1AFF9}">
  <dimension ref="A1:L56"/>
  <sheetViews>
    <sheetView topLeftCell="A18" zoomScale="125" zoomScaleNormal="150" workbookViewId="0">
      <selection activeCell="A42" sqref="A42"/>
    </sheetView>
  </sheetViews>
  <sheetFormatPr baseColWidth="10" defaultColWidth="11.5" defaultRowHeight="15" x14ac:dyDescent="0.2"/>
  <cols>
    <col min="1" max="1" width="25.5" customWidth="1"/>
    <col min="2" max="2" width="11.6640625" bestFit="1" customWidth="1"/>
    <col min="4" max="4" width="10.1640625" bestFit="1" customWidth="1"/>
  </cols>
  <sheetData>
    <row r="1" spans="1:1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</v>
      </c>
      <c r="B2" s="4"/>
      <c r="C2" s="4"/>
      <c r="D2" s="3">
        <v>2025</v>
      </c>
      <c r="E2" s="3">
        <v>2026</v>
      </c>
      <c r="F2" s="3">
        <v>2027</v>
      </c>
      <c r="G2" s="3">
        <v>2028</v>
      </c>
      <c r="H2" s="3">
        <v>2029</v>
      </c>
      <c r="I2" s="3">
        <v>2030</v>
      </c>
      <c r="J2" s="3">
        <v>2031</v>
      </c>
      <c r="K2" s="3">
        <v>2032</v>
      </c>
      <c r="L2" s="4"/>
    </row>
    <row r="3" spans="1:12" x14ac:dyDescent="0.2">
      <c r="A3" s="4" t="s">
        <v>2</v>
      </c>
      <c r="B3" s="4"/>
      <c r="C3" s="4"/>
      <c r="D3" s="5">
        <v>0.35</v>
      </c>
      <c r="E3" s="5">
        <v>0.3</v>
      </c>
      <c r="F3" s="5">
        <v>0.28000000000000003</v>
      </c>
      <c r="G3" s="5">
        <v>0.25</v>
      </c>
      <c r="H3" s="5">
        <v>0.17</v>
      </c>
      <c r="I3" s="5">
        <v>0.15</v>
      </c>
      <c r="J3" s="5">
        <v>0.12</v>
      </c>
      <c r="K3" s="5">
        <v>0.11</v>
      </c>
      <c r="L3" s="4"/>
    </row>
    <row r="4" spans="1:12" x14ac:dyDescent="0.2">
      <c r="A4" s="4" t="s">
        <v>3</v>
      </c>
      <c r="B4" s="4"/>
      <c r="C4" s="4"/>
      <c r="D4" s="5">
        <v>0.2</v>
      </c>
      <c r="E4" s="5">
        <v>0.18</v>
      </c>
      <c r="F4" s="5">
        <v>0.15</v>
      </c>
      <c r="G4" s="5">
        <v>0.11</v>
      </c>
      <c r="H4" s="5">
        <v>0.08</v>
      </c>
      <c r="I4" s="5">
        <v>0.05</v>
      </c>
      <c r="J4" s="5">
        <v>0.04</v>
      </c>
      <c r="K4" s="5">
        <v>0.04</v>
      </c>
      <c r="L4" s="4"/>
    </row>
    <row r="5" spans="1:12" x14ac:dyDescent="0.2">
      <c r="A5" s="2" t="s">
        <v>4</v>
      </c>
      <c r="B5" s="4"/>
      <c r="C5" s="4"/>
      <c r="D5" s="5">
        <v>0.27</v>
      </c>
      <c r="E5" s="5">
        <v>0.25</v>
      </c>
      <c r="F5" s="5">
        <v>0.2</v>
      </c>
      <c r="G5" s="5">
        <v>0.15</v>
      </c>
      <c r="H5" s="5">
        <v>0.13</v>
      </c>
      <c r="I5" s="5">
        <v>0.1</v>
      </c>
      <c r="J5" s="5">
        <v>0.08</v>
      </c>
      <c r="K5" s="5">
        <v>0.06</v>
      </c>
      <c r="L5" s="4"/>
    </row>
    <row r="6" spans="1:12" x14ac:dyDescent="0.2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4"/>
    </row>
    <row r="7" spans="1:12" x14ac:dyDescent="0.2">
      <c r="A7" s="4" t="s">
        <v>5</v>
      </c>
      <c r="B7" s="4"/>
      <c r="C7" s="4"/>
      <c r="D7" s="6">
        <v>0.75</v>
      </c>
      <c r="E7" s="6">
        <v>0.74</v>
      </c>
      <c r="F7" s="6">
        <v>0.74</v>
      </c>
      <c r="G7" s="6">
        <v>0.74</v>
      </c>
      <c r="H7" s="6">
        <v>0.74</v>
      </c>
      <c r="I7" s="6">
        <v>0.74</v>
      </c>
      <c r="J7" s="6">
        <v>0.74</v>
      </c>
      <c r="K7" s="6">
        <v>0.74</v>
      </c>
      <c r="L7" s="4"/>
    </row>
    <row r="8" spans="1:12" x14ac:dyDescent="0.2">
      <c r="A8" s="4" t="s">
        <v>6</v>
      </c>
      <c r="B8" s="4"/>
      <c r="C8" s="4"/>
      <c r="D8" s="6">
        <v>0.19</v>
      </c>
      <c r="E8" s="6">
        <v>0.21</v>
      </c>
      <c r="F8" s="6">
        <v>0.18</v>
      </c>
      <c r="G8" s="6">
        <v>0.16</v>
      </c>
      <c r="H8" s="6">
        <v>0.14000000000000001</v>
      </c>
      <c r="I8" s="6">
        <v>0.12000000000000001</v>
      </c>
      <c r="J8" s="6">
        <v>0.1</v>
      </c>
      <c r="K8" s="6">
        <v>0.08</v>
      </c>
      <c r="L8" s="4"/>
    </row>
    <row r="9" spans="1:12" x14ac:dyDescent="0.2">
      <c r="A9" s="4" t="s">
        <v>7</v>
      </c>
      <c r="B9" s="4"/>
      <c r="C9" s="4"/>
      <c r="D9" s="6">
        <v>0.08</v>
      </c>
      <c r="E9" s="6">
        <v>7.0000000000000007E-2</v>
      </c>
      <c r="F9" s="6">
        <v>0.05</v>
      </c>
      <c r="G9" s="6">
        <v>0.04</v>
      </c>
      <c r="H9" s="6">
        <v>0.03</v>
      </c>
      <c r="I9" s="6">
        <v>0.02</v>
      </c>
      <c r="J9" s="6">
        <v>0.02</v>
      </c>
      <c r="K9" s="6">
        <v>0.02</v>
      </c>
      <c r="L9" s="4"/>
    </row>
    <row r="10" spans="1:12" x14ac:dyDescent="0.2">
      <c r="A10" s="4" t="s">
        <v>8</v>
      </c>
      <c r="B10" s="4"/>
      <c r="C10" s="4"/>
      <c r="D10" s="7">
        <v>4.7500000000000001E-2</v>
      </c>
      <c r="E10" s="7">
        <v>4.4999999999999998E-2</v>
      </c>
      <c r="F10" s="7">
        <v>0.04</v>
      </c>
      <c r="G10" s="7">
        <v>3.7499999999999999E-2</v>
      </c>
      <c r="H10" s="7">
        <v>3.5000000000000003E-2</v>
      </c>
      <c r="I10" s="7">
        <v>3.5000000000000003E-2</v>
      </c>
      <c r="J10" s="7">
        <v>3.5000000000000003E-2</v>
      </c>
      <c r="K10" s="7">
        <v>3.5000000000000003E-2</v>
      </c>
      <c r="L10" s="4"/>
    </row>
    <row r="11" spans="1:12" x14ac:dyDescent="0.2">
      <c r="A11" s="4" t="s">
        <v>9</v>
      </c>
      <c r="B11" s="4"/>
      <c r="C11" s="4"/>
      <c r="D11" s="7">
        <v>0.85</v>
      </c>
      <c r="E11" s="7">
        <v>0.8</v>
      </c>
      <c r="F11" s="7">
        <v>0.75</v>
      </c>
      <c r="G11" s="7">
        <v>0.7</v>
      </c>
      <c r="H11" s="7">
        <v>0.7</v>
      </c>
      <c r="I11" s="7">
        <v>0.7</v>
      </c>
      <c r="J11" s="7">
        <v>0.7</v>
      </c>
      <c r="K11" s="7">
        <v>0.7</v>
      </c>
      <c r="L11" s="4"/>
    </row>
    <row r="12" spans="1:12" x14ac:dyDescent="0.2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  <c r="L12" s="4"/>
    </row>
    <row r="13" spans="1:12" x14ac:dyDescent="0.2">
      <c r="A13" s="4" t="s">
        <v>10</v>
      </c>
      <c r="B13" s="4"/>
      <c r="C13" s="4"/>
      <c r="D13" s="6">
        <v>0.78</v>
      </c>
      <c r="E13" s="6">
        <v>0.79</v>
      </c>
      <c r="F13" s="6">
        <v>0.8</v>
      </c>
      <c r="G13" s="6">
        <v>0.82</v>
      </c>
      <c r="H13" s="6">
        <v>0.85</v>
      </c>
      <c r="I13" s="6">
        <v>0.85</v>
      </c>
      <c r="J13" s="6">
        <v>0.85</v>
      </c>
      <c r="K13" s="6">
        <v>0.85</v>
      </c>
      <c r="L13" s="4"/>
    </row>
    <row r="14" spans="1:12" x14ac:dyDescent="0.2">
      <c r="A14" s="4"/>
      <c r="B14" s="4"/>
      <c r="C14" s="4"/>
      <c r="D14" s="4"/>
      <c r="E14" s="4"/>
      <c r="F14" s="6"/>
      <c r="G14" s="6"/>
      <c r="H14" s="6"/>
      <c r="I14" s="6"/>
      <c r="J14" s="6"/>
      <c r="K14" s="6"/>
      <c r="L14" s="6"/>
    </row>
    <row r="15" spans="1:12" x14ac:dyDescent="0.2">
      <c r="A15" s="4" t="s">
        <v>11</v>
      </c>
      <c r="B15" s="4"/>
      <c r="C15" s="4">
        <v>81462</v>
      </c>
      <c r="D15" s="6"/>
      <c r="E15" s="6"/>
      <c r="F15" s="4"/>
      <c r="G15" s="4"/>
      <c r="H15" s="4"/>
      <c r="I15" s="4"/>
      <c r="J15" s="4"/>
      <c r="K15" s="4"/>
      <c r="L15" s="4"/>
    </row>
    <row r="16" spans="1:12" x14ac:dyDescent="0.2">
      <c r="A16" s="4" t="s">
        <v>12</v>
      </c>
      <c r="B16" s="4"/>
      <c r="C16" s="4">
        <v>3075</v>
      </c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4" t="s">
        <v>13</v>
      </c>
      <c r="B17" s="4"/>
      <c r="C17" s="4">
        <v>3946</v>
      </c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4" t="s">
        <v>14</v>
      </c>
      <c r="B18" s="4"/>
      <c r="C18" s="5">
        <v>0.13</v>
      </c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4" t="s">
        <v>15</v>
      </c>
      <c r="B19" s="4"/>
      <c r="C19" s="5">
        <v>0.04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4" t="s">
        <v>16</v>
      </c>
      <c r="B20" s="4"/>
      <c r="C20" s="4">
        <f xml:space="preserve"> 21%</f>
        <v>0.21</v>
      </c>
    </row>
    <row r="21" spans="1:12" x14ac:dyDescent="0.2">
      <c r="A21" t="s">
        <v>17</v>
      </c>
    </row>
    <row r="22" spans="1:12" x14ac:dyDescent="0.2">
      <c r="A22" s="12"/>
      <c r="B22" s="12"/>
      <c r="C22" s="12"/>
      <c r="D22" s="13">
        <v>2025</v>
      </c>
      <c r="E22" s="13">
        <v>2026</v>
      </c>
      <c r="F22" s="13">
        <v>2027</v>
      </c>
      <c r="G22" s="13">
        <v>2028</v>
      </c>
      <c r="H22" s="13">
        <v>2029</v>
      </c>
      <c r="I22" s="13">
        <v>2030</v>
      </c>
      <c r="J22" s="13">
        <v>2031</v>
      </c>
      <c r="K22" s="13">
        <v>2032</v>
      </c>
    </row>
    <row r="23" spans="1:12" x14ac:dyDescent="0.2">
      <c r="A23" s="1" t="s">
        <v>18</v>
      </c>
      <c r="D23">
        <f>$C$15*(1+D5)</f>
        <v>103456.74</v>
      </c>
      <c r="E23">
        <f>$D$23*(1+E5)</f>
        <v>129320.925</v>
      </c>
      <c r="F23">
        <f>E23*(1+F5)</f>
        <v>155185.10999999999</v>
      </c>
      <c r="G23">
        <f>$F$23*(1+G5)</f>
        <v>178462.87649999998</v>
      </c>
      <c r="H23">
        <f>$G$23*(1+H5)</f>
        <v>201663.05044499997</v>
      </c>
      <c r="I23">
        <f>H23*(1+I5)</f>
        <v>221829.35548949998</v>
      </c>
      <c r="J23">
        <f>$I$23*(1+J5)</f>
        <v>239575.70392865999</v>
      </c>
      <c r="K23">
        <f>$J$23*(1+K5)</f>
        <v>253950.24616437961</v>
      </c>
    </row>
    <row r="24" spans="1:12" x14ac:dyDescent="0.2">
      <c r="A24" s="1" t="s">
        <v>19</v>
      </c>
      <c r="D24">
        <f>$C$16*(1+D8)</f>
        <v>3659.25</v>
      </c>
      <c r="E24">
        <f>$D$24*(1+E8)</f>
        <v>4427.6925000000001</v>
      </c>
      <c r="F24">
        <f>$E$24*(1+F8)</f>
        <v>5224.6771499999995</v>
      </c>
      <c r="G24">
        <f>$F$24*(1+G8)</f>
        <v>6060.625493999999</v>
      </c>
      <c r="H24">
        <f>$G$24*(1+H8)</f>
        <v>6909.1130631599999</v>
      </c>
      <c r="I24">
        <f>$H$24*(1+I8)</f>
        <v>7738.2066307392006</v>
      </c>
      <c r="J24">
        <f>$I$24*(1+J8)</f>
        <v>8512.027293813122</v>
      </c>
      <c r="K24">
        <f>$J$24*(1+K8)</f>
        <v>9192.9894773181732</v>
      </c>
    </row>
    <row r="25" spans="1:12" x14ac:dyDescent="0.2">
      <c r="A25" t="s">
        <v>20</v>
      </c>
      <c r="D25">
        <f>$C$17*(1+D9)</f>
        <v>4261.68</v>
      </c>
      <c r="E25">
        <f>$D$25*(1+E9)</f>
        <v>4559.9976000000006</v>
      </c>
      <c r="F25">
        <f>$E$25*(1+F9)</f>
        <v>4787.9974800000009</v>
      </c>
      <c r="G25">
        <f>$F$25*(1+G9)</f>
        <v>4979.5173792000014</v>
      </c>
      <c r="H25">
        <f>$G$25*(1+H9)</f>
        <v>5128.9029005760012</v>
      </c>
      <c r="I25">
        <f>$H$25*(1+I9)</f>
        <v>5231.4809585875209</v>
      </c>
      <c r="J25">
        <f>$I$25*(1+J9)</f>
        <v>5336.1105777592711</v>
      </c>
      <c r="K25">
        <f>$J$25*(1+K9)</f>
        <v>5442.8327893144569</v>
      </c>
    </row>
    <row r="27" spans="1:12" x14ac:dyDescent="0.2">
      <c r="A27" t="s">
        <v>21</v>
      </c>
      <c r="D27">
        <f>D23*D7</f>
        <v>77592.555000000008</v>
      </c>
      <c r="E27">
        <f>E23*E7</f>
        <v>95697.484500000006</v>
      </c>
      <c r="F27">
        <f t="shared" ref="F27:K27" si="0">F23*F7</f>
        <v>114836.98139999999</v>
      </c>
      <c r="G27">
        <f t="shared" si="0"/>
        <v>132062.52860999998</v>
      </c>
      <c r="H27">
        <f t="shared" si="0"/>
        <v>149230.65732929998</v>
      </c>
      <c r="I27">
        <f t="shared" si="0"/>
        <v>164153.72306222998</v>
      </c>
      <c r="J27">
        <f t="shared" si="0"/>
        <v>177286.02090720838</v>
      </c>
      <c r="K27">
        <f t="shared" si="0"/>
        <v>187923.1821616409</v>
      </c>
    </row>
    <row r="28" spans="1:12" x14ac:dyDescent="0.2">
      <c r="A28" t="s">
        <v>22</v>
      </c>
      <c r="D28">
        <f>D23*D10</f>
        <v>4914.1951500000005</v>
      </c>
      <c r="E28">
        <f t="shared" ref="E28:K28" si="1">E23*E10</f>
        <v>5819.4416249999995</v>
      </c>
      <c r="F28">
        <f>F23*F10</f>
        <v>6207.4043999999994</v>
      </c>
      <c r="G28">
        <f>G23*G10</f>
        <v>6692.3578687499994</v>
      </c>
      <c r="H28">
        <f t="shared" si="1"/>
        <v>7058.2067655749997</v>
      </c>
      <c r="I28">
        <f t="shared" si="1"/>
        <v>7764.0274421325003</v>
      </c>
      <c r="J28">
        <f t="shared" si="1"/>
        <v>8385.1496375031002</v>
      </c>
      <c r="K28">
        <f t="shared" si="1"/>
        <v>8888.2586157532878</v>
      </c>
    </row>
    <row r="31" spans="1:12" x14ac:dyDescent="0.2">
      <c r="A31" t="s">
        <v>23</v>
      </c>
      <c r="D31">
        <f>D23-D27-D24-D25</f>
        <v>17943.254999999997</v>
      </c>
      <c r="E31">
        <f t="shared" ref="E31:K31" si="2">E23-E27-E24-E25</f>
        <v>24635.750399999997</v>
      </c>
      <c r="F31">
        <f t="shared" si="2"/>
        <v>30335.453969999991</v>
      </c>
      <c r="G31">
        <f t="shared" si="2"/>
        <v>35360.205016800006</v>
      </c>
      <c r="H31">
        <f t="shared" si="2"/>
        <v>40394.377151963985</v>
      </c>
      <c r="I31">
        <f t="shared" si="2"/>
        <v>44705.94483794328</v>
      </c>
      <c r="J31">
        <f t="shared" si="2"/>
        <v>48441.54514987921</v>
      </c>
      <c r="K31">
        <f t="shared" si="2"/>
        <v>51391.24173610608</v>
      </c>
    </row>
    <row r="32" spans="1:12" x14ac:dyDescent="0.2">
      <c r="A32" t="s">
        <v>24</v>
      </c>
      <c r="D32">
        <f>D31-D28</f>
        <v>13029.059849999998</v>
      </c>
      <c r="E32">
        <f t="shared" ref="E32:K32" si="3">E31-E28</f>
        <v>18816.308774999998</v>
      </c>
      <c r="F32">
        <f t="shared" si="3"/>
        <v>24128.049569999992</v>
      </c>
      <c r="G32">
        <f t="shared" si="3"/>
        <v>28667.847148050008</v>
      </c>
      <c r="H32">
        <f t="shared" si="3"/>
        <v>33336.170386388985</v>
      </c>
      <c r="I32">
        <f t="shared" si="3"/>
        <v>36941.917395810779</v>
      </c>
      <c r="J32">
        <f t="shared" si="3"/>
        <v>40056.395512376112</v>
      </c>
      <c r="K32">
        <f t="shared" si="3"/>
        <v>42502.983120352794</v>
      </c>
    </row>
    <row r="33" spans="1:11" x14ac:dyDescent="0.2">
      <c r="A33" s="9" t="s">
        <v>25</v>
      </c>
      <c r="B33" s="9"/>
      <c r="C33" s="9" t="s">
        <v>26</v>
      </c>
      <c r="D33" s="9">
        <f t="shared" ref="D33:K33" si="4">D32*$C$20</f>
        <v>2736.1025684999995</v>
      </c>
      <c r="E33" s="9">
        <f t="shared" si="4"/>
        <v>3951.4248427499992</v>
      </c>
      <c r="F33" s="9">
        <f t="shared" si="4"/>
        <v>5066.8904096999977</v>
      </c>
      <c r="G33" s="9">
        <f t="shared" si="4"/>
        <v>6020.2479010905017</v>
      </c>
      <c r="H33" s="9">
        <f t="shared" si="4"/>
        <v>7000.5957811416865</v>
      </c>
      <c r="I33" s="9">
        <f t="shared" si="4"/>
        <v>7757.8026531202631</v>
      </c>
      <c r="J33" s="9">
        <f t="shared" si="4"/>
        <v>8411.8430575989823</v>
      </c>
      <c r="K33" s="9">
        <f t="shared" si="4"/>
        <v>8925.6264552740868</v>
      </c>
    </row>
    <row r="34" spans="1:11" x14ac:dyDescent="0.2">
      <c r="A34" t="s">
        <v>27</v>
      </c>
      <c r="D34">
        <f>D32-D33</f>
        <v>10292.957281499999</v>
      </c>
      <c r="E34">
        <f t="shared" ref="E34:K34" si="5">E32-E33</f>
        <v>14864.883932249999</v>
      </c>
      <c r="F34">
        <f t="shared" si="5"/>
        <v>19061.159160299994</v>
      </c>
      <c r="G34">
        <f t="shared" si="5"/>
        <v>22647.599246959508</v>
      </c>
      <c r="H34">
        <f t="shared" si="5"/>
        <v>26335.574605247297</v>
      </c>
      <c r="I34">
        <f t="shared" si="5"/>
        <v>29184.114742690515</v>
      </c>
      <c r="J34">
        <f t="shared" si="5"/>
        <v>31644.552454777127</v>
      </c>
      <c r="K34">
        <f t="shared" si="5"/>
        <v>33577.356665078711</v>
      </c>
    </row>
    <row r="36" spans="1:11" x14ac:dyDescent="0.2">
      <c r="A36" t="s">
        <v>28</v>
      </c>
      <c r="D36">
        <f>(D32+D28)-D33</f>
        <v>15207.152431499999</v>
      </c>
      <c r="E36">
        <f t="shared" ref="E36:K36" si="6">(E32+E28)-E33</f>
        <v>20684.325557249998</v>
      </c>
      <c r="F36">
        <f t="shared" si="6"/>
        <v>25268.563560299994</v>
      </c>
      <c r="G36">
        <f t="shared" si="6"/>
        <v>29339.957115709505</v>
      </c>
      <c r="H36">
        <f t="shared" si="6"/>
        <v>33393.781370822297</v>
      </c>
      <c r="I36">
        <f t="shared" si="6"/>
        <v>36948.142184823017</v>
      </c>
      <c r="J36">
        <f t="shared" si="6"/>
        <v>40029.702092280226</v>
      </c>
      <c r="K36">
        <f t="shared" si="6"/>
        <v>42465.615280831989</v>
      </c>
    </row>
    <row r="37" spans="1:11" x14ac:dyDescent="0.2">
      <c r="A37" s="9" t="s">
        <v>29</v>
      </c>
      <c r="B37" s="9"/>
      <c r="C37" s="9" t="s">
        <v>26</v>
      </c>
      <c r="D37" s="9">
        <f t="shared" ref="D37:K37" si="7">D28*D11</f>
        <v>4177.0658775000002</v>
      </c>
      <c r="E37" s="9">
        <f t="shared" si="7"/>
        <v>4655.5532999999996</v>
      </c>
      <c r="F37" s="9">
        <f t="shared" si="7"/>
        <v>4655.5532999999996</v>
      </c>
      <c r="G37" s="9">
        <f t="shared" si="7"/>
        <v>4684.6505081249989</v>
      </c>
      <c r="H37" s="9">
        <f t="shared" si="7"/>
        <v>4940.7447359024991</v>
      </c>
      <c r="I37" s="9">
        <f t="shared" si="7"/>
        <v>5434.8192094927499</v>
      </c>
      <c r="J37" s="9">
        <f t="shared" si="7"/>
        <v>5869.6047462521701</v>
      </c>
      <c r="K37" s="9">
        <f t="shared" si="7"/>
        <v>6221.7810310273007</v>
      </c>
    </row>
    <row r="38" spans="1:11" x14ac:dyDescent="0.2">
      <c r="A38" t="s">
        <v>30</v>
      </c>
      <c r="D38">
        <f>D36-D37</f>
        <v>11030.086553999998</v>
      </c>
      <c r="E38">
        <f t="shared" ref="E38:K38" si="8">E36-E37</f>
        <v>16028.772257249999</v>
      </c>
      <c r="F38">
        <f t="shared" si="8"/>
        <v>20613.010260299994</v>
      </c>
      <c r="G38">
        <f t="shared" si="8"/>
        <v>24655.306607584505</v>
      </c>
      <c r="H38">
        <f t="shared" si="8"/>
        <v>28453.036634919798</v>
      </c>
      <c r="I38">
        <f t="shared" si="8"/>
        <v>31513.322975330266</v>
      </c>
      <c r="J38">
        <f t="shared" si="8"/>
        <v>34160.097346028058</v>
      </c>
      <c r="K38">
        <f t="shared" si="8"/>
        <v>36243.834249804691</v>
      </c>
    </row>
    <row r="39" spans="1:11" x14ac:dyDescent="0.2">
      <c r="J39" t="s">
        <v>31</v>
      </c>
      <c r="K39">
        <f xml:space="preserve"> K38/(C18-C19)</f>
        <v>402709.26944227435</v>
      </c>
    </row>
    <row r="40" spans="1:11" x14ac:dyDescent="0.2">
      <c r="A40" s="9" t="s">
        <v>32</v>
      </c>
      <c r="B40" s="9"/>
      <c r="C40" s="9"/>
      <c r="D40" s="9">
        <f>D38</f>
        <v>11030.086553999998</v>
      </c>
      <c r="E40" s="9">
        <f t="shared" ref="E40:I40" si="9">E38</f>
        <v>16028.772257249999</v>
      </c>
      <c r="F40" s="9">
        <f t="shared" si="9"/>
        <v>20613.010260299994</v>
      </c>
      <c r="G40" s="9">
        <f t="shared" si="9"/>
        <v>24655.306607584505</v>
      </c>
      <c r="H40" s="9">
        <f t="shared" si="9"/>
        <v>28453.036634919798</v>
      </c>
      <c r="I40" s="9">
        <f t="shared" si="9"/>
        <v>31513.322975330266</v>
      </c>
      <c r="J40" s="9">
        <f>J38+K39</f>
        <v>436869.36678830243</v>
      </c>
      <c r="K40" s="9"/>
    </row>
    <row r="41" spans="1:11" x14ac:dyDescent="0.2">
      <c r="A41" s="55" t="s">
        <v>33</v>
      </c>
      <c r="B41" s="58">
        <f>NPV(C18,D40:J40)</f>
        <v>267997.00526922336</v>
      </c>
      <c r="C41" s="55"/>
      <c r="D41" s="55"/>
      <c r="E41" s="55"/>
      <c r="F41" s="55"/>
      <c r="G41" s="55"/>
      <c r="H41" s="55"/>
      <c r="I41" s="55"/>
      <c r="J41" s="55"/>
      <c r="K41" s="55"/>
    </row>
    <row r="42" spans="1:11" x14ac:dyDescent="0.2">
      <c r="A42" s="9" t="s">
        <v>34</v>
      </c>
      <c r="B42" s="59">
        <f>B41-B43+B44</f>
        <v>287782.00526922336</v>
      </c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2">
      <c r="A43" t="s">
        <v>35</v>
      </c>
      <c r="B43">
        <v>3400</v>
      </c>
    </row>
    <row r="44" spans="1:11" x14ac:dyDescent="0.2">
      <c r="A44" t="s">
        <v>36</v>
      </c>
      <c r="B44" s="11">
        <v>23185</v>
      </c>
    </row>
    <row r="45" spans="1:11" x14ac:dyDescent="0.2">
      <c r="A45" s="9" t="s">
        <v>37</v>
      </c>
      <c r="B45" s="56">
        <v>3600</v>
      </c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2">
      <c r="A46" s="14" t="s">
        <v>38</v>
      </c>
      <c r="B46" s="15">
        <f>B42/B45</f>
        <v>79.939445908117605</v>
      </c>
    </row>
    <row r="50" spans="1:2" x14ac:dyDescent="0.2">
      <c r="A50" s="57"/>
    </row>
    <row r="55" spans="1:2" x14ac:dyDescent="0.2">
      <c r="B55" s="11"/>
    </row>
    <row r="56" spans="1:2" x14ac:dyDescent="0.2">
      <c r="B5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E5EE-6105-F941-A16B-FF8853AA84C0}">
  <dimension ref="A1:BG74"/>
  <sheetViews>
    <sheetView topLeftCell="AW1" zoomScale="75" zoomScaleNormal="90" workbookViewId="0">
      <selection activeCell="BF40" sqref="BF40"/>
    </sheetView>
  </sheetViews>
  <sheetFormatPr baseColWidth="10" defaultColWidth="11.5" defaultRowHeight="15" x14ac:dyDescent="0.2"/>
  <cols>
    <col min="1" max="1" width="25.1640625" customWidth="1"/>
    <col min="2" max="2" width="17.5" bestFit="1" customWidth="1"/>
    <col min="4" max="4" width="11" bestFit="1" customWidth="1"/>
    <col min="5" max="11" width="12.1640625" bestFit="1" customWidth="1"/>
    <col min="13" max="13" width="36.33203125" bestFit="1" customWidth="1"/>
    <col min="14" max="14" width="11.6640625" bestFit="1" customWidth="1"/>
    <col min="22" max="22" width="14.83203125" bestFit="1" customWidth="1"/>
    <col min="25" max="25" width="41.5" bestFit="1" customWidth="1"/>
    <col min="50" max="50" width="15.1640625" bestFit="1" customWidth="1"/>
  </cols>
  <sheetData>
    <row r="1" spans="1:59" ht="22" x14ac:dyDescent="0.3">
      <c r="A1" s="77" t="s">
        <v>2</v>
      </c>
      <c r="B1" s="77"/>
      <c r="C1" s="77"/>
      <c r="D1" s="77"/>
      <c r="E1" s="77"/>
      <c r="F1" s="77"/>
      <c r="G1" s="77"/>
      <c r="H1" s="77"/>
      <c r="I1" s="77"/>
      <c r="J1" s="77"/>
      <c r="K1" s="77"/>
      <c r="M1" s="77" t="s">
        <v>3</v>
      </c>
      <c r="N1" s="77"/>
      <c r="O1" s="77"/>
      <c r="P1" s="77"/>
      <c r="Q1" s="77"/>
      <c r="R1" s="77"/>
      <c r="S1" s="77"/>
      <c r="T1" s="77"/>
      <c r="U1" s="77"/>
      <c r="V1" s="77"/>
      <c r="W1" s="77"/>
      <c r="Y1" s="77" t="s">
        <v>39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K1" s="77" t="s">
        <v>40</v>
      </c>
      <c r="AL1" s="77"/>
      <c r="AM1" s="77"/>
      <c r="AN1" s="77"/>
      <c r="AO1" s="77"/>
      <c r="AP1" s="77"/>
      <c r="AQ1" s="77"/>
      <c r="AR1" s="77"/>
      <c r="AS1" s="77"/>
      <c r="AT1" s="77"/>
      <c r="AU1" s="77"/>
      <c r="AW1" s="77" t="s">
        <v>41</v>
      </c>
      <c r="AX1" s="77"/>
      <c r="AY1" s="77"/>
      <c r="AZ1" s="77"/>
      <c r="BA1" s="77"/>
      <c r="BB1" s="77"/>
      <c r="BC1" s="77"/>
      <c r="BD1" s="77"/>
      <c r="BE1" s="77"/>
      <c r="BF1" s="77"/>
      <c r="BG1" s="77"/>
    </row>
    <row r="2" spans="1:59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M2" s="24" t="s">
        <v>0</v>
      </c>
      <c r="N2" s="24"/>
      <c r="O2" s="24"/>
      <c r="P2" s="24"/>
      <c r="Q2" s="24"/>
      <c r="R2" s="24"/>
      <c r="S2" s="24"/>
      <c r="T2" s="24"/>
      <c r="U2" s="24"/>
      <c r="V2" s="24"/>
      <c r="W2" s="24"/>
      <c r="Y2" s="2" t="s">
        <v>0</v>
      </c>
      <c r="Z2" s="2"/>
      <c r="AA2" s="2"/>
      <c r="AB2" s="2"/>
      <c r="AC2" s="2"/>
      <c r="AD2" s="2"/>
      <c r="AE2" s="2"/>
      <c r="AF2" s="2"/>
      <c r="AG2" s="2"/>
      <c r="AH2" s="2"/>
      <c r="AI2" s="2"/>
      <c r="AK2" s="2" t="s">
        <v>0</v>
      </c>
      <c r="AL2" s="2"/>
      <c r="AM2" s="2"/>
      <c r="AN2" s="2"/>
      <c r="AO2" s="2"/>
      <c r="AP2" s="2"/>
      <c r="AQ2" s="2"/>
      <c r="AR2" s="2"/>
      <c r="AS2" s="2"/>
      <c r="AT2" s="2"/>
      <c r="AU2" s="2"/>
      <c r="AW2" s="2" t="s">
        <v>0</v>
      </c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">
      <c r="A3" s="3" t="s">
        <v>1</v>
      </c>
      <c r="B3" s="4"/>
      <c r="C3" s="4"/>
      <c r="D3" s="3">
        <v>2025</v>
      </c>
      <c r="E3" s="3">
        <v>2026</v>
      </c>
      <c r="F3" s="3">
        <v>2027</v>
      </c>
      <c r="G3" s="3">
        <v>2028</v>
      </c>
      <c r="H3" s="3">
        <v>2029</v>
      </c>
      <c r="I3" s="3">
        <v>2030</v>
      </c>
      <c r="J3" s="3">
        <v>2031</v>
      </c>
      <c r="K3" s="3">
        <v>2032</v>
      </c>
      <c r="M3" s="25" t="s">
        <v>1</v>
      </c>
      <c r="N3" s="25"/>
      <c r="O3" s="25"/>
      <c r="P3" s="25">
        <v>2025</v>
      </c>
      <c r="Q3" s="25">
        <v>2026</v>
      </c>
      <c r="R3" s="25">
        <v>2027</v>
      </c>
      <c r="S3" s="25">
        <v>2028</v>
      </c>
      <c r="T3" s="25">
        <v>2029</v>
      </c>
      <c r="U3" s="25">
        <v>2030</v>
      </c>
      <c r="V3" s="25">
        <v>2031</v>
      </c>
      <c r="W3" s="25">
        <v>2032</v>
      </c>
      <c r="Y3" s="3" t="s">
        <v>1</v>
      </c>
      <c r="Z3" s="4"/>
      <c r="AA3" s="4"/>
      <c r="AB3" s="3">
        <v>2025</v>
      </c>
      <c r="AC3" s="3">
        <v>2026</v>
      </c>
      <c r="AD3" s="3">
        <v>2027</v>
      </c>
      <c r="AE3" s="3">
        <v>2028</v>
      </c>
      <c r="AF3" s="3">
        <v>2029</v>
      </c>
      <c r="AG3" s="3">
        <v>2030</v>
      </c>
      <c r="AH3" s="3">
        <v>2031</v>
      </c>
      <c r="AI3" s="3">
        <v>2032</v>
      </c>
      <c r="AK3" s="3" t="s">
        <v>1</v>
      </c>
      <c r="AL3" s="4"/>
      <c r="AM3" s="4"/>
      <c r="AN3" s="3">
        <v>2025</v>
      </c>
      <c r="AO3" s="3">
        <v>2026</v>
      </c>
      <c r="AP3" s="3">
        <v>2027</v>
      </c>
      <c r="AQ3" s="3">
        <v>2028</v>
      </c>
      <c r="AR3" s="3">
        <v>2029</v>
      </c>
      <c r="AS3" s="3">
        <v>2030</v>
      </c>
      <c r="AT3" s="3">
        <v>2031</v>
      </c>
      <c r="AU3" s="3">
        <v>2032</v>
      </c>
      <c r="AW3" s="3" t="s">
        <v>1</v>
      </c>
      <c r="AX3" s="4"/>
      <c r="AY3" s="4"/>
      <c r="AZ3" s="3">
        <v>2025</v>
      </c>
      <c r="BA3" s="3">
        <v>2026</v>
      </c>
      <c r="BB3" s="3">
        <v>2027</v>
      </c>
      <c r="BC3" s="3">
        <v>2028</v>
      </c>
      <c r="BD3" s="3">
        <v>2029</v>
      </c>
      <c r="BE3" s="3">
        <v>2030</v>
      </c>
      <c r="BF3" s="3">
        <v>2031</v>
      </c>
      <c r="BG3" s="3">
        <v>2032</v>
      </c>
    </row>
    <row r="4" spans="1:59" x14ac:dyDescent="0.2">
      <c r="A4" s="4" t="s">
        <v>2</v>
      </c>
      <c r="B4" s="4"/>
      <c r="C4" s="4"/>
      <c r="D4" s="5">
        <v>0.35</v>
      </c>
      <c r="E4" s="5">
        <v>0.3</v>
      </c>
      <c r="F4" s="5">
        <v>0.28000000000000003</v>
      </c>
      <c r="G4" s="5">
        <v>0.25</v>
      </c>
      <c r="H4" s="5">
        <v>0.17</v>
      </c>
      <c r="I4" s="5">
        <v>0.15</v>
      </c>
      <c r="J4" s="5">
        <v>0.12</v>
      </c>
      <c r="K4" s="5">
        <v>0.11</v>
      </c>
      <c r="M4" s="26" t="s">
        <v>2</v>
      </c>
      <c r="N4" s="26"/>
      <c r="O4" s="26"/>
      <c r="P4" s="28">
        <v>0.35</v>
      </c>
      <c r="Q4" s="28">
        <v>0.3</v>
      </c>
      <c r="R4" s="28">
        <v>0.28000000000000003</v>
      </c>
      <c r="S4" s="28">
        <v>0.25</v>
      </c>
      <c r="T4" s="28">
        <v>0.17</v>
      </c>
      <c r="U4" s="28">
        <v>0.15</v>
      </c>
      <c r="V4" s="28">
        <v>0.12</v>
      </c>
      <c r="W4" s="28">
        <v>0.11</v>
      </c>
      <c r="Y4" s="4" t="s">
        <v>2</v>
      </c>
      <c r="Z4" s="4"/>
      <c r="AA4" s="4"/>
      <c r="AB4" s="5">
        <v>0.35</v>
      </c>
      <c r="AC4" s="5">
        <v>0.3</v>
      </c>
      <c r="AD4" s="5">
        <v>0.28000000000000003</v>
      </c>
      <c r="AE4" s="5">
        <v>0.25</v>
      </c>
      <c r="AF4" s="5">
        <v>0.17</v>
      </c>
      <c r="AG4" s="5">
        <v>0.15</v>
      </c>
      <c r="AH4" s="5">
        <v>0.12</v>
      </c>
      <c r="AI4" s="5">
        <v>0.11</v>
      </c>
      <c r="AK4" s="4" t="s">
        <v>2</v>
      </c>
      <c r="AL4" s="4"/>
      <c r="AM4" s="4"/>
      <c r="AN4" s="5">
        <v>0.35</v>
      </c>
      <c r="AO4" s="5">
        <v>0.3</v>
      </c>
      <c r="AP4" s="5">
        <v>0.28000000000000003</v>
      </c>
      <c r="AQ4" s="5">
        <v>0.25</v>
      </c>
      <c r="AR4" s="5">
        <v>0.17</v>
      </c>
      <c r="AS4" s="5">
        <v>0.15</v>
      </c>
      <c r="AT4" s="5">
        <v>0.12</v>
      </c>
      <c r="AU4" s="5">
        <v>0.11</v>
      </c>
      <c r="AW4" s="4" t="s">
        <v>2</v>
      </c>
      <c r="AX4" s="4"/>
      <c r="AY4" s="4"/>
      <c r="AZ4" s="5">
        <v>0.35</v>
      </c>
      <c r="BA4" s="5">
        <v>0.3</v>
      </c>
      <c r="BB4" s="5">
        <v>0.28000000000000003</v>
      </c>
      <c r="BC4" s="5">
        <v>0.25</v>
      </c>
      <c r="BD4" s="5">
        <v>0.17</v>
      </c>
      <c r="BE4" s="5">
        <v>0.15</v>
      </c>
      <c r="BF4" s="5">
        <v>0.12</v>
      </c>
      <c r="BG4" s="5">
        <v>0.11</v>
      </c>
    </row>
    <row r="5" spans="1:59" x14ac:dyDescent="0.2">
      <c r="A5" s="4" t="s">
        <v>3</v>
      </c>
      <c r="B5" s="4"/>
      <c r="C5" s="4"/>
      <c r="D5" s="5">
        <v>0.2</v>
      </c>
      <c r="E5" s="5">
        <v>0.18</v>
      </c>
      <c r="F5" s="5">
        <v>0.15</v>
      </c>
      <c r="G5" s="5">
        <v>0.11</v>
      </c>
      <c r="H5" s="5">
        <v>0.08</v>
      </c>
      <c r="I5" s="5">
        <v>0.05</v>
      </c>
      <c r="J5" s="5">
        <v>0.04</v>
      </c>
      <c r="K5" s="5">
        <v>0.04</v>
      </c>
      <c r="M5" s="26" t="s">
        <v>3</v>
      </c>
      <c r="N5" s="26"/>
      <c r="O5" s="26"/>
      <c r="P5" s="28">
        <v>0.2</v>
      </c>
      <c r="Q5" s="28">
        <v>0.18</v>
      </c>
      <c r="R5" s="28">
        <v>0.15</v>
      </c>
      <c r="S5" s="28">
        <v>0.11</v>
      </c>
      <c r="T5" s="28">
        <v>0.08</v>
      </c>
      <c r="U5" s="28">
        <v>0.05</v>
      </c>
      <c r="V5" s="28">
        <v>0.04</v>
      </c>
      <c r="W5" s="28">
        <v>0.04</v>
      </c>
      <c r="Y5" s="4" t="s">
        <v>3</v>
      </c>
      <c r="Z5" s="4"/>
      <c r="AA5" s="4"/>
      <c r="AB5" s="5">
        <v>0.2</v>
      </c>
      <c r="AC5" s="5">
        <v>0.18</v>
      </c>
      <c r="AD5" s="5">
        <v>0.15</v>
      </c>
      <c r="AE5" s="5">
        <v>0.11</v>
      </c>
      <c r="AF5" s="5">
        <v>0.08</v>
      </c>
      <c r="AG5" s="5">
        <v>0.05</v>
      </c>
      <c r="AH5" s="5">
        <v>0.04</v>
      </c>
      <c r="AI5" s="5">
        <v>0.04</v>
      </c>
      <c r="AK5" s="4" t="s">
        <v>3</v>
      </c>
      <c r="AL5" s="4"/>
      <c r="AM5" s="4"/>
      <c r="AN5" s="5">
        <v>0.2</v>
      </c>
      <c r="AO5" s="5">
        <v>0.18</v>
      </c>
      <c r="AP5" s="5">
        <v>0.15</v>
      </c>
      <c r="AQ5" s="5">
        <v>0.11</v>
      </c>
      <c r="AR5" s="5">
        <v>0.08</v>
      </c>
      <c r="AS5" s="5">
        <v>0.05</v>
      </c>
      <c r="AT5" s="5">
        <v>0.04</v>
      </c>
      <c r="AU5" s="5">
        <v>0.04</v>
      </c>
      <c r="AW5" s="4" t="s">
        <v>3</v>
      </c>
      <c r="AX5" s="4"/>
      <c r="AY5" s="4"/>
      <c r="AZ5" s="5">
        <v>0.2</v>
      </c>
      <c r="BA5" s="5">
        <v>0.18</v>
      </c>
      <c r="BB5" s="5">
        <v>0.15</v>
      </c>
      <c r="BC5" s="5">
        <v>0.11</v>
      </c>
      <c r="BD5" s="5">
        <v>0.08</v>
      </c>
      <c r="BE5" s="5">
        <v>0.05</v>
      </c>
      <c r="BF5" s="5">
        <v>0.04</v>
      </c>
      <c r="BG5" s="5">
        <v>0.04</v>
      </c>
    </row>
    <row r="6" spans="1:59" x14ac:dyDescent="0.2">
      <c r="A6" s="2" t="s">
        <v>4</v>
      </c>
      <c r="B6" s="4"/>
      <c r="C6" s="4"/>
      <c r="D6" s="5">
        <v>0.27</v>
      </c>
      <c r="E6" s="5">
        <v>0.25</v>
      </c>
      <c r="F6" s="5">
        <v>0.2</v>
      </c>
      <c r="G6" s="5">
        <v>0.15</v>
      </c>
      <c r="H6" s="5">
        <v>0.13</v>
      </c>
      <c r="I6" s="5">
        <v>0.1</v>
      </c>
      <c r="J6" s="5">
        <v>0.08</v>
      </c>
      <c r="K6" s="5">
        <v>0.06</v>
      </c>
      <c r="M6" s="24" t="s">
        <v>4</v>
      </c>
      <c r="N6" s="24"/>
      <c r="O6" s="26"/>
      <c r="P6" s="28">
        <v>0.27</v>
      </c>
      <c r="Q6" s="28">
        <v>0.25</v>
      </c>
      <c r="R6" s="28">
        <v>0.2</v>
      </c>
      <c r="S6" s="28">
        <v>0.15</v>
      </c>
      <c r="T6" s="28">
        <v>0.13</v>
      </c>
      <c r="U6" s="28">
        <v>0.1</v>
      </c>
      <c r="V6" s="28">
        <v>0.08</v>
      </c>
      <c r="W6" s="28">
        <v>0.06</v>
      </c>
      <c r="Y6" s="2" t="s">
        <v>4</v>
      </c>
      <c r="Z6" s="4"/>
      <c r="AA6" s="4"/>
      <c r="AB6" s="5">
        <v>0.27</v>
      </c>
      <c r="AC6" s="5">
        <v>0.25</v>
      </c>
      <c r="AD6" s="5">
        <v>0.2</v>
      </c>
      <c r="AE6" s="5">
        <v>0.15</v>
      </c>
      <c r="AF6" s="5">
        <v>0.13</v>
      </c>
      <c r="AG6" s="5">
        <v>0.1</v>
      </c>
      <c r="AH6" s="5">
        <v>0.08</v>
      </c>
      <c r="AI6" s="5">
        <v>0.06</v>
      </c>
      <c r="AK6" s="2" t="s">
        <v>4</v>
      </c>
      <c r="AL6" s="4"/>
      <c r="AM6" s="4"/>
      <c r="AN6" s="5">
        <v>0.27</v>
      </c>
      <c r="AO6" s="5">
        <v>0.25</v>
      </c>
      <c r="AP6" s="5">
        <v>0.2</v>
      </c>
      <c r="AQ6" s="5">
        <v>0.15</v>
      </c>
      <c r="AR6" s="5">
        <v>0.13</v>
      </c>
      <c r="AS6" s="5">
        <v>0.1</v>
      </c>
      <c r="AT6" s="5">
        <v>0.08</v>
      </c>
      <c r="AU6" s="5">
        <v>0.06</v>
      </c>
      <c r="AW6" s="72" t="s">
        <v>4</v>
      </c>
      <c r="AX6" s="73"/>
      <c r="AY6" s="73"/>
      <c r="AZ6" s="74">
        <v>0.5049705890641768</v>
      </c>
      <c r="BA6" s="74">
        <v>0.47040281979294085</v>
      </c>
      <c r="BB6" s="74">
        <v>0.43686700113463078</v>
      </c>
      <c r="BC6" s="74">
        <v>0.40540707581470492</v>
      </c>
      <c r="BD6" s="74">
        <v>0.37596984971861308</v>
      </c>
      <c r="BE6" s="74">
        <v>0.34852487793797404</v>
      </c>
      <c r="BF6" s="74">
        <v>0.32293086721659059</v>
      </c>
      <c r="BG6" s="74">
        <v>0.29891780644187493</v>
      </c>
    </row>
    <row r="7" spans="1:59" x14ac:dyDescent="0.2">
      <c r="A7" s="4"/>
      <c r="B7" s="4"/>
      <c r="C7" s="4"/>
      <c r="D7" s="5"/>
      <c r="E7" s="5"/>
      <c r="F7" s="5"/>
      <c r="G7" s="5"/>
      <c r="H7" s="5"/>
      <c r="I7" s="5"/>
      <c r="J7" s="5"/>
      <c r="K7" s="5"/>
      <c r="M7" s="26"/>
      <c r="N7" s="26"/>
      <c r="O7" s="26"/>
      <c r="P7" s="28"/>
      <c r="Q7" s="28"/>
      <c r="R7" s="28"/>
      <c r="S7" s="28"/>
      <c r="T7" s="28"/>
      <c r="U7" s="28"/>
      <c r="V7" s="28"/>
      <c r="W7" s="28"/>
      <c r="Y7" s="4"/>
      <c r="Z7" s="4"/>
      <c r="AA7" s="4"/>
      <c r="AB7" s="5"/>
      <c r="AC7" s="5"/>
      <c r="AD7" s="5"/>
      <c r="AE7" s="5"/>
      <c r="AF7" s="5"/>
      <c r="AG7" s="5"/>
      <c r="AH7" s="5"/>
      <c r="AI7" s="5"/>
      <c r="AK7" s="4"/>
      <c r="AL7" s="4"/>
      <c r="AM7" s="4"/>
      <c r="AN7" s="5"/>
      <c r="AO7" s="5"/>
      <c r="AP7" s="5"/>
      <c r="AQ7" s="5"/>
      <c r="AR7" s="5"/>
      <c r="AS7" s="5"/>
      <c r="AT7" s="5"/>
      <c r="AU7" s="5"/>
      <c r="AW7" s="4"/>
      <c r="AX7" s="4"/>
      <c r="AY7" s="4"/>
      <c r="AZ7" s="5"/>
      <c r="BA7" s="5"/>
      <c r="BB7" s="5"/>
      <c r="BC7" s="5"/>
      <c r="BD7" s="5"/>
      <c r="BE7" s="5"/>
      <c r="BF7" s="5"/>
      <c r="BG7" s="5"/>
    </row>
    <row r="8" spans="1:59" x14ac:dyDescent="0.2">
      <c r="A8" s="4" t="s">
        <v>5</v>
      </c>
      <c r="B8" s="4"/>
      <c r="C8" s="4"/>
      <c r="D8" s="6">
        <v>0.75</v>
      </c>
      <c r="E8" s="6">
        <v>0.74</v>
      </c>
      <c r="F8" s="6">
        <v>0.74</v>
      </c>
      <c r="G8" s="6">
        <v>0.74</v>
      </c>
      <c r="H8" s="6">
        <v>0.74</v>
      </c>
      <c r="I8" s="6">
        <v>0.74</v>
      </c>
      <c r="J8" s="6">
        <v>0.74</v>
      </c>
      <c r="K8" s="6">
        <v>0.74</v>
      </c>
      <c r="M8" s="26" t="s">
        <v>5</v>
      </c>
      <c r="N8" s="26"/>
      <c r="O8" s="26"/>
      <c r="P8" s="29">
        <v>0.75</v>
      </c>
      <c r="Q8" s="29">
        <v>0.74</v>
      </c>
      <c r="R8" s="29">
        <v>0.74</v>
      </c>
      <c r="S8" s="29">
        <v>0.74</v>
      </c>
      <c r="T8" s="29">
        <v>0.74</v>
      </c>
      <c r="U8" s="29">
        <v>0.74</v>
      </c>
      <c r="V8" s="29">
        <v>0.74</v>
      </c>
      <c r="W8" s="29">
        <v>0.74</v>
      </c>
      <c r="Y8" s="4" t="s">
        <v>5</v>
      </c>
      <c r="Z8" s="4"/>
      <c r="AA8" s="4"/>
      <c r="AB8" s="6">
        <v>0.75</v>
      </c>
      <c r="AC8" s="6">
        <v>0.74</v>
      </c>
      <c r="AD8" s="6">
        <v>0.74</v>
      </c>
      <c r="AE8" s="6">
        <v>0.74</v>
      </c>
      <c r="AF8" s="6">
        <v>0.74</v>
      </c>
      <c r="AG8" s="6">
        <v>0.74</v>
      </c>
      <c r="AH8" s="6">
        <v>0.74</v>
      </c>
      <c r="AI8" s="6">
        <v>0.74</v>
      </c>
      <c r="AK8" s="4" t="s">
        <v>5</v>
      </c>
      <c r="AL8" s="4"/>
      <c r="AM8" s="4"/>
      <c r="AN8" s="6">
        <v>0.75</v>
      </c>
      <c r="AO8" s="6">
        <v>0.74</v>
      </c>
      <c r="AP8" s="6">
        <v>0.74</v>
      </c>
      <c r="AQ8" s="6">
        <v>0.74</v>
      </c>
      <c r="AR8" s="6">
        <v>0.74</v>
      </c>
      <c r="AS8" s="6">
        <v>0.74</v>
      </c>
      <c r="AT8" s="6">
        <v>0.74</v>
      </c>
      <c r="AU8" s="6">
        <v>0.74</v>
      </c>
      <c r="AW8" s="4" t="s">
        <v>5</v>
      </c>
      <c r="AX8" s="4"/>
      <c r="AY8" s="4"/>
      <c r="AZ8" s="6">
        <v>0.75</v>
      </c>
      <c r="BA8" s="6">
        <v>0.74</v>
      </c>
      <c r="BB8" s="6">
        <v>0.74</v>
      </c>
      <c r="BC8" s="6">
        <v>0.74</v>
      </c>
      <c r="BD8" s="6">
        <v>0.74</v>
      </c>
      <c r="BE8" s="6">
        <v>0.74</v>
      </c>
      <c r="BF8" s="6">
        <v>0.74</v>
      </c>
      <c r="BG8" s="6">
        <v>0.74</v>
      </c>
    </row>
    <row r="9" spans="1:59" x14ac:dyDescent="0.2">
      <c r="A9" s="4" t="s">
        <v>6</v>
      </c>
      <c r="B9" s="4"/>
      <c r="C9" s="4"/>
      <c r="D9" s="6">
        <v>0.19</v>
      </c>
      <c r="E9" s="6">
        <v>0.21</v>
      </c>
      <c r="F9" s="6">
        <v>0.18</v>
      </c>
      <c r="G9" s="6">
        <v>0.16</v>
      </c>
      <c r="H9" s="6">
        <v>0.14000000000000001</v>
      </c>
      <c r="I9" s="6">
        <v>0.12000000000000001</v>
      </c>
      <c r="J9" s="6">
        <v>0.1</v>
      </c>
      <c r="K9" s="6">
        <v>0.08</v>
      </c>
      <c r="M9" s="26" t="s">
        <v>6</v>
      </c>
      <c r="N9" s="26"/>
      <c r="O9" s="26"/>
      <c r="P9" s="29">
        <v>0.19</v>
      </c>
      <c r="Q9" s="29">
        <v>0.21</v>
      </c>
      <c r="R9" s="29">
        <v>0.18</v>
      </c>
      <c r="S9" s="29">
        <v>0.16</v>
      </c>
      <c r="T9" s="29">
        <v>0.14000000000000001</v>
      </c>
      <c r="U9" s="29">
        <v>0.12</v>
      </c>
      <c r="V9" s="29">
        <v>0.1</v>
      </c>
      <c r="W9" s="29">
        <v>0.08</v>
      </c>
      <c r="Y9" s="4" t="s">
        <v>6</v>
      </c>
      <c r="Z9" s="4"/>
      <c r="AA9" s="4"/>
      <c r="AB9" s="6">
        <v>0.19</v>
      </c>
      <c r="AC9" s="6">
        <v>0.21</v>
      </c>
      <c r="AD9" s="6">
        <v>0.18</v>
      </c>
      <c r="AE9" s="6">
        <v>0.16</v>
      </c>
      <c r="AF9" s="6">
        <v>0.14000000000000001</v>
      </c>
      <c r="AG9" s="6">
        <v>0.12000000000000001</v>
      </c>
      <c r="AH9" s="6">
        <v>0.1</v>
      </c>
      <c r="AI9" s="6">
        <v>0.08</v>
      </c>
      <c r="AK9" s="73" t="s">
        <v>6</v>
      </c>
      <c r="AL9" s="73"/>
      <c r="AM9" s="73"/>
      <c r="AN9" s="75">
        <v>0.19</v>
      </c>
      <c r="AO9" s="75">
        <v>0.21</v>
      </c>
      <c r="AP9" s="75">
        <v>0.18</v>
      </c>
      <c r="AQ9" s="75">
        <v>0.16</v>
      </c>
      <c r="AR9" s="75">
        <v>0.16</v>
      </c>
      <c r="AS9" s="75">
        <v>0.16</v>
      </c>
      <c r="AT9" s="75">
        <v>0.16</v>
      </c>
      <c r="AU9" s="75">
        <v>0.16</v>
      </c>
      <c r="AW9" s="4" t="s">
        <v>6</v>
      </c>
      <c r="AX9" s="4"/>
      <c r="AY9" s="4"/>
      <c r="AZ9" s="6">
        <v>0.19</v>
      </c>
      <c r="BA9" s="6">
        <v>0.21</v>
      </c>
      <c r="BB9" s="6">
        <v>0.18</v>
      </c>
      <c r="BC9" s="6">
        <v>0.16</v>
      </c>
      <c r="BD9" s="6">
        <v>0.14000000000000001</v>
      </c>
      <c r="BE9" s="6">
        <v>0.12000000000000001</v>
      </c>
      <c r="BF9" s="6">
        <v>0.1</v>
      </c>
      <c r="BG9" s="6">
        <v>0.08</v>
      </c>
    </row>
    <row r="10" spans="1:59" x14ac:dyDescent="0.2">
      <c r="A10" s="4" t="s">
        <v>7</v>
      </c>
      <c r="B10" s="4"/>
      <c r="C10" s="4"/>
      <c r="D10" s="6">
        <v>0.08</v>
      </c>
      <c r="E10" s="6">
        <v>7.0000000000000007E-2</v>
      </c>
      <c r="F10" s="6">
        <v>0.05</v>
      </c>
      <c r="G10" s="6">
        <v>0.04</v>
      </c>
      <c r="H10" s="6">
        <v>0.03</v>
      </c>
      <c r="I10" s="6">
        <v>0.02</v>
      </c>
      <c r="J10" s="6">
        <v>0.02</v>
      </c>
      <c r="K10" s="6">
        <v>0.02</v>
      </c>
      <c r="M10" s="26" t="s">
        <v>7</v>
      </c>
      <c r="N10" s="26"/>
      <c r="O10" s="26"/>
      <c r="P10" s="29">
        <v>0.08</v>
      </c>
      <c r="Q10" s="29">
        <v>7.0000000000000007E-2</v>
      </c>
      <c r="R10" s="29">
        <v>0.05</v>
      </c>
      <c r="S10" s="29">
        <v>0.04</v>
      </c>
      <c r="T10" s="29">
        <v>0.03</v>
      </c>
      <c r="U10" s="29">
        <v>0.02</v>
      </c>
      <c r="V10" s="29">
        <v>0.02</v>
      </c>
      <c r="W10" s="29">
        <v>0.02</v>
      </c>
      <c r="Y10" s="4" t="s">
        <v>7</v>
      </c>
      <c r="Z10" s="4"/>
      <c r="AA10" s="4"/>
      <c r="AB10" s="6">
        <v>0.08</v>
      </c>
      <c r="AC10" s="6">
        <v>7.0000000000000007E-2</v>
      </c>
      <c r="AD10" s="6">
        <v>0.05</v>
      </c>
      <c r="AE10" s="6">
        <v>0.04</v>
      </c>
      <c r="AF10" s="6">
        <v>0.03</v>
      </c>
      <c r="AG10" s="6">
        <v>0.02</v>
      </c>
      <c r="AH10" s="6">
        <v>0.02</v>
      </c>
      <c r="AI10" s="6">
        <v>0.02</v>
      </c>
      <c r="AK10" s="4" t="s">
        <v>7</v>
      </c>
      <c r="AL10" s="4"/>
      <c r="AM10" s="4"/>
      <c r="AN10" s="6">
        <v>0.08</v>
      </c>
      <c r="AO10" s="6">
        <v>7.0000000000000007E-2</v>
      </c>
      <c r="AP10" s="6">
        <v>0.05</v>
      </c>
      <c r="AQ10" s="6">
        <v>0.04</v>
      </c>
      <c r="AR10" s="6">
        <v>0.03</v>
      </c>
      <c r="AS10" s="6">
        <v>0.02</v>
      </c>
      <c r="AT10" s="6">
        <v>0.02</v>
      </c>
      <c r="AU10" s="6">
        <v>0.02</v>
      </c>
      <c r="AW10" s="4" t="s">
        <v>7</v>
      </c>
      <c r="AX10" s="4"/>
      <c r="AY10" s="4"/>
      <c r="AZ10" s="6">
        <v>0.08</v>
      </c>
      <c r="BA10" s="6">
        <v>7.0000000000000007E-2</v>
      </c>
      <c r="BB10" s="6">
        <v>0.05</v>
      </c>
      <c r="BC10" s="6">
        <v>0.04</v>
      </c>
      <c r="BD10" s="6">
        <v>0.03</v>
      </c>
      <c r="BE10" s="6">
        <v>0.02</v>
      </c>
      <c r="BF10" s="6">
        <v>0.02</v>
      </c>
      <c r="BG10" s="6">
        <v>0.02</v>
      </c>
    </row>
    <row r="11" spans="1:59" x14ac:dyDescent="0.2">
      <c r="A11" s="4" t="s">
        <v>8</v>
      </c>
      <c r="B11" s="4"/>
      <c r="C11" s="4"/>
      <c r="D11" s="7">
        <v>4.7500000000000001E-2</v>
      </c>
      <c r="E11" s="7">
        <v>4.4999999999999998E-2</v>
      </c>
      <c r="F11" s="7">
        <v>0.04</v>
      </c>
      <c r="G11" s="7">
        <v>3.7499999999999999E-2</v>
      </c>
      <c r="H11" s="7">
        <v>3.5000000000000003E-2</v>
      </c>
      <c r="I11" s="7">
        <v>3.5000000000000003E-2</v>
      </c>
      <c r="J11" s="7">
        <v>3.5000000000000003E-2</v>
      </c>
      <c r="K11" s="7">
        <v>3.5000000000000003E-2</v>
      </c>
      <c r="M11" s="26" t="s">
        <v>8</v>
      </c>
      <c r="N11" s="26"/>
      <c r="O11" s="26"/>
      <c r="P11" s="29">
        <v>4.8000000000000001E-2</v>
      </c>
      <c r="Q11" s="29">
        <v>4.4999999999999998E-2</v>
      </c>
      <c r="R11" s="29">
        <v>0.04</v>
      </c>
      <c r="S11" s="29">
        <v>3.7999999999999999E-2</v>
      </c>
      <c r="T11" s="29">
        <v>3.5000000000000003E-2</v>
      </c>
      <c r="U11" s="29">
        <v>3.5000000000000003E-2</v>
      </c>
      <c r="V11" s="29">
        <v>3.5000000000000003E-2</v>
      </c>
      <c r="W11" s="29">
        <v>3.5000000000000003E-2</v>
      </c>
      <c r="Y11" s="4" t="s">
        <v>8</v>
      </c>
      <c r="Z11" s="4"/>
      <c r="AA11" s="4"/>
      <c r="AB11" s="7">
        <v>4.7500000000000001E-2</v>
      </c>
      <c r="AC11" s="7">
        <v>4.4999999999999998E-2</v>
      </c>
      <c r="AD11" s="7">
        <v>0.04</v>
      </c>
      <c r="AE11" s="7">
        <v>3.7499999999999999E-2</v>
      </c>
      <c r="AF11" s="7">
        <v>3.5000000000000003E-2</v>
      </c>
      <c r="AG11" s="7">
        <v>3.5000000000000003E-2</v>
      </c>
      <c r="AH11" s="7">
        <v>3.5000000000000003E-2</v>
      </c>
      <c r="AI11" s="7">
        <v>3.5000000000000003E-2</v>
      </c>
      <c r="AK11" s="4" t="s">
        <v>8</v>
      </c>
      <c r="AL11" s="4"/>
      <c r="AM11" s="4"/>
      <c r="AN11" s="7">
        <v>4.7500000000000001E-2</v>
      </c>
      <c r="AO11" s="7">
        <v>4.4999999999999998E-2</v>
      </c>
      <c r="AP11" s="7">
        <v>0.04</v>
      </c>
      <c r="AQ11" s="7">
        <v>3.7499999999999999E-2</v>
      </c>
      <c r="AR11" s="7">
        <v>3.5000000000000003E-2</v>
      </c>
      <c r="AS11" s="7">
        <v>3.5000000000000003E-2</v>
      </c>
      <c r="AT11" s="7">
        <v>3.5000000000000003E-2</v>
      </c>
      <c r="AU11" s="7">
        <v>3.5000000000000003E-2</v>
      </c>
      <c r="AW11" s="4" t="s">
        <v>8</v>
      </c>
      <c r="AX11" s="4"/>
      <c r="AY11" s="4"/>
      <c r="AZ11" s="7">
        <v>4.7500000000000001E-2</v>
      </c>
      <c r="BA11" s="7">
        <v>4.4999999999999998E-2</v>
      </c>
      <c r="BB11" s="7">
        <v>0.04</v>
      </c>
      <c r="BC11" s="7">
        <v>3.7499999999999999E-2</v>
      </c>
      <c r="BD11" s="7">
        <v>3.5000000000000003E-2</v>
      </c>
      <c r="BE11" s="7">
        <v>3.5000000000000003E-2</v>
      </c>
      <c r="BF11" s="7">
        <v>3.5000000000000003E-2</v>
      </c>
      <c r="BG11" s="7">
        <v>3.5000000000000003E-2</v>
      </c>
    </row>
    <row r="12" spans="1:59" x14ac:dyDescent="0.2">
      <c r="A12" s="4" t="s">
        <v>9</v>
      </c>
      <c r="B12" s="4"/>
      <c r="C12" s="4"/>
      <c r="D12" s="7">
        <v>0.85</v>
      </c>
      <c r="E12" s="7">
        <v>0.8</v>
      </c>
      <c r="F12" s="7">
        <v>0.75</v>
      </c>
      <c r="G12" s="7">
        <v>0.7</v>
      </c>
      <c r="H12" s="7">
        <v>0.7</v>
      </c>
      <c r="I12" s="7">
        <v>0.7</v>
      </c>
      <c r="J12" s="7">
        <v>0.7</v>
      </c>
      <c r="K12" s="7">
        <v>0.7</v>
      </c>
      <c r="M12" s="26" t="s">
        <v>9</v>
      </c>
      <c r="N12" s="26"/>
      <c r="O12" s="26"/>
      <c r="P12" s="29">
        <v>0.85</v>
      </c>
      <c r="Q12" s="29">
        <v>0.8</v>
      </c>
      <c r="R12" s="29">
        <v>0.75</v>
      </c>
      <c r="S12" s="29">
        <v>0.7</v>
      </c>
      <c r="T12" s="29">
        <v>0.7</v>
      </c>
      <c r="U12" s="29">
        <v>0.7</v>
      </c>
      <c r="V12" s="29">
        <v>0.7</v>
      </c>
      <c r="W12" s="29">
        <v>0.7</v>
      </c>
      <c r="Y12" s="4" t="s">
        <v>9</v>
      </c>
      <c r="Z12" s="4"/>
      <c r="AA12" s="4"/>
      <c r="AB12" s="7">
        <v>0.85</v>
      </c>
      <c r="AC12" s="7">
        <v>0.8</v>
      </c>
      <c r="AD12" s="7">
        <v>0.75</v>
      </c>
      <c r="AE12" s="7">
        <v>0.7</v>
      </c>
      <c r="AF12" s="7">
        <v>0.7</v>
      </c>
      <c r="AG12" s="7">
        <v>0.7</v>
      </c>
      <c r="AH12" s="7">
        <v>0.7</v>
      </c>
      <c r="AI12" s="7">
        <v>0.7</v>
      </c>
      <c r="AK12" s="4" t="s">
        <v>9</v>
      </c>
      <c r="AL12" s="4"/>
      <c r="AM12" s="4"/>
      <c r="AN12" s="7">
        <v>0.85</v>
      </c>
      <c r="AO12" s="7">
        <v>0.8</v>
      </c>
      <c r="AP12" s="7">
        <v>0.75</v>
      </c>
      <c r="AQ12" s="7">
        <v>0.7</v>
      </c>
      <c r="AR12" s="7">
        <v>0.7</v>
      </c>
      <c r="AS12" s="7">
        <v>0.7</v>
      </c>
      <c r="AT12" s="7">
        <v>0.7</v>
      </c>
      <c r="AU12" s="7">
        <v>0.7</v>
      </c>
      <c r="AW12" s="4" t="s">
        <v>9</v>
      </c>
      <c r="AX12" s="4"/>
      <c r="AY12" s="4"/>
      <c r="AZ12" s="7">
        <v>0.85</v>
      </c>
      <c r="BA12" s="7">
        <v>0.8</v>
      </c>
      <c r="BB12" s="7">
        <v>0.75</v>
      </c>
      <c r="BC12" s="7">
        <v>0.7</v>
      </c>
      <c r="BD12" s="7">
        <v>0.7</v>
      </c>
      <c r="BE12" s="7">
        <v>0.7</v>
      </c>
      <c r="BF12" s="7">
        <v>0.7</v>
      </c>
      <c r="BG12" s="7">
        <v>0.7</v>
      </c>
    </row>
    <row r="13" spans="1:59" x14ac:dyDescent="0.2">
      <c r="A13" s="4"/>
      <c r="B13" s="4"/>
      <c r="C13" s="4"/>
      <c r="D13" s="8"/>
      <c r="E13" s="8"/>
      <c r="F13" s="8"/>
      <c r="G13" s="8"/>
      <c r="H13" s="8"/>
      <c r="I13" s="8"/>
      <c r="J13" s="8"/>
      <c r="K13" s="8"/>
      <c r="M13" s="26"/>
      <c r="N13" s="26"/>
      <c r="O13" s="26"/>
      <c r="P13" s="30"/>
      <c r="Q13" s="30"/>
      <c r="R13" s="30"/>
      <c r="S13" s="30"/>
      <c r="T13" s="30"/>
      <c r="U13" s="30"/>
      <c r="V13" s="30"/>
      <c r="W13" s="30"/>
      <c r="Y13" s="4"/>
      <c r="Z13" s="4"/>
      <c r="AA13" s="4"/>
      <c r="AB13" s="8"/>
      <c r="AC13" s="8"/>
      <c r="AD13" s="8"/>
      <c r="AE13" s="8"/>
      <c r="AF13" s="8"/>
      <c r="AG13" s="8"/>
      <c r="AH13" s="8"/>
      <c r="AI13" s="8"/>
      <c r="AK13" s="4"/>
      <c r="AL13" s="4"/>
      <c r="AM13" s="4"/>
      <c r="AN13" s="8"/>
      <c r="AO13" s="8"/>
      <c r="AP13" s="8"/>
      <c r="AQ13" s="8"/>
      <c r="AR13" s="8"/>
      <c r="AS13" s="8"/>
      <c r="AT13" s="8"/>
      <c r="AU13" s="8"/>
      <c r="AW13" s="4"/>
      <c r="AX13" s="4"/>
      <c r="AY13" s="4"/>
      <c r="AZ13" s="8"/>
      <c r="BA13" s="8"/>
      <c r="BB13" s="8"/>
      <c r="BC13" s="8"/>
      <c r="BD13" s="8"/>
      <c r="BE13" s="8"/>
      <c r="BF13" s="8"/>
      <c r="BG13" s="8"/>
    </row>
    <row r="14" spans="1:59" x14ac:dyDescent="0.2">
      <c r="A14" s="4" t="s">
        <v>10</v>
      </c>
      <c r="B14" s="4"/>
      <c r="C14" s="4"/>
      <c r="D14" s="6">
        <v>0.78</v>
      </c>
      <c r="E14" s="6">
        <v>0.79</v>
      </c>
      <c r="F14" s="6">
        <v>0.8</v>
      </c>
      <c r="G14" s="6">
        <v>0.82</v>
      </c>
      <c r="H14" s="6">
        <v>0.85</v>
      </c>
      <c r="I14" s="6">
        <v>0.85</v>
      </c>
      <c r="J14" s="6">
        <v>0.85</v>
      </c>
      <c r="K14" s="6">
        <v>0.85</v>
      </c>
      <c r="M14" s="26" t="s">
        <v>10</v>
      </c>
      <c r="N14" s="26"/>
      <c r="O14" s="26"/>
      <c r="P14" s="29">
        <v>0.78</v>
      </c>
      <c r="Q14" s="29">
        <v>0.79</v>
      </c>
      <c r="R14" s="29">
        <v>0.8</v>
      </c>
      <c r="S14" s="29">
        <v>0.82</v>
      </c>
      <c r="T14" s="29">
        <v>0.85</v>
      </c>
      <c r="U14" s="29">
        <v>0.85</v>
      </c>
      <c r="V14" s="29">
        <v>0.85</v>
      </c>
      <c r="W14" s="29">
        <v>0.85</v>
      </c>
      <c r="Y14" s="4" t="s">
        <v>10</v>
      </c>
      <c r="Z14" s="4"/>
      <c r="AA14" s="4"/>
      <c r="AB14" s="6">
        <v>0.78</v>
      </c>
      <c r="AC14" s="6">
        <v>0.79</v>
      </c>
      <c r="AD14" s="6">
        <v>0.8</v>
      </c>
      <c r="AE14" s="6">
        <v>0.82</v>
      </c>
      <c r="AF14" s="6">
        <v>0.85</v>
      </c>
      <c r="AG14" s="6">
        <v>0.85</v>
      </c>
      <c r="AH14" s="6">
        <v>0.85</v>
      </c>
      <c r="AI14" s="6">
        <v>0.85</v>
      </c>
      <c r="AK14" s="4" t="s">
        <v>10</v>
      </c>
      <c r="AL14" s="4"/>
      <c r="AM14" s="4"/>
      <c r="AN14" s="6">
        <v>0.78</v>
      </c>
      <c r="AO14" s="6">
        <v>0.79</v>
      </c>
      <c r="AP14" s="6">
        <v>0.8</v>
      </c>
      <c r="AQ14" s="6">
        <v>0.82</v>
      </c>
      <c r="AR14" s="6">
        <v>0.85</v>
      </c>
      <c r="AS14" s="6">
        <v>0.85</v>
      </c>
      <c r="AT14" s="6">
        <v>0.85</v>
      </c>
      <c r="AU14" s="6">
        <v>0.85</v>
      </c>
      <c r="AW14" s="4" t="s">
        <v>10</v>
      </c>
      <c r="AX14" s="4"/>
      <c r="AY14" s="4"/>
      <c r="AZ14" s="6">
        <v>0.78</v>
      </c>
      <c r="BA14" s="6">
        <v>0.79</v>
      </c>
      <c r="BB14" s="6">
        <v>0.8</v>
      </c>
      <c r="BC14" s="6">
        <v>0.82</v>
      </c>
      <c r="BD14" s="6">
        <v>0.85</v>
      </c>
      <c r="BE14" s="6">
        <v>0.85</v>
      </c>
      <c r="BF14" s="6">
        <v>0.85</v>
      </c>
      <c r="BG14" s="6">
        <v>0.85</v>
      </c>
    </row>
    <row r="15" spans="1:59" x14ac:dyDescent="0.2">
      <c r="A15" s="4"/>
      <c r="B15" s="4"/>
      <c r="C15" s="4"/>
      <c r="D15" s="4"/>
      <c r="E15" s="4"/>
      <c r="F15" s="6"/>
      <c r="G15" s="6"/>
      <c r="H15" s="6"/>
      <c r="I15" s="6"/>
      <c r="J15" s="6"/>
      <c r="K15" s="6"/>
      <c r="M15" s="26"/>
      <c r="N15" s="26"/>
      <c r="O15" s="26"/>
      <c r="P15" s="26"/>
      <c r="Q15" s="26"/>
      <c r="R15" s="29"/>
      <c r="S15" s="29"/>
      <c r="T15" s="29"/>
      <c r="U15" s="29"/>
      <c r="V15" s="29"/>
      <c r="W15" s="29"/>
      <c r="Y15" s="4"/>
      <c r="Z15" s="4"/>
      <c r="AA15" s="4"/>
      <c r="AB15" s="4"/>
      <c r="AC15" s="4"/>
      <c r="AD15" s="6"/>
      <c r="AE15" s="6"/>
      <c r="AF15" s="6"/>
      <c r="AG15" s="6"/>
      <c r="AH15" s="6"/>
      <c r="AI15" s="6"/>
      <c r="AK15" s="4"/>
      <c r="AL15" s="4"/>
      <c r="AM15" s="4"/>
      <c r="AN15" s="4"/>
      <c r="AO15" s="4"/>
      <c r="AP15" s="6"/>
      <c r="AQ15" s="6"/>
      <c r="AR15" s="6"/>
      <c r="AS15" s="6"/>
      <c r="AT15" s="6"/>
      <c r="AU15" s="6"/>
      <c r="AW15" s="4"/>
      <c r="AX15" s="4"/>
      <c r="AY15" s="4"/>
      <c r="AZ15" s="4"/>
      <c r="BA15" s="4"/>
      <c r="BB15" s="6"/>
      <c r="BC15" s="6"/>
      <c r="BD15" s="6"/>
      <c r="BE15" s="6"/>
      <c r="BF15" s="6"/>
      <c r="BG15" s="6"/>
    </row>
    <row r="16" spans="1:59" x14ac:dyDescent="0.2">
      <c r="A16" s="4" t="s">
        <v>11</v>
      </c>
      <c r="B16" s="4"/>
      <c r="C16" s="4">
        <v>81462</v>
      </c>
      <c r="D16" s="6"/>
      <c r="E16" s="6"/>
      <c r="F16" s="4"/>
      <c r="G16" s="4"/>
      <c r="H16" s="4"/>
      <c r="I16" s="4"/>
      <c r="J16" s="4"/>
      <c r="K16" s="4"/>
      <c r="M16" s="26" t="s">
        <v>11</v>
      </c>
      <c r="N16" s="26"/>
      <c r="O16" s="26">
        <v>81462</v>
      </c>
      <c r="P16" s="29"/>
      <c r="Q16" s="29"/>
      <c r="R16" s="26"/>
      <c r="S16" s="26"/>
      <c r="T16" s="26"/>
      <c r="U16" s="26"/>
      <c r="V16" s="26"/>
      <c r="W16" s="26"/>
      <c r="Y16" s="4" t="s">
        <v>11</v>
      </c>
      <c r="Z16" s="4"/>
      <c r="AA16" s="4">
        <v>81462</v>
      </c>
      <c r="AB16" s="6"/>
      <c r="AC16" s="6"/>
      <c r="AD16" s="4"/>
      <c r="AE16" s="4"/>
      <c r="AF16" s="4"/>
      <c r="AG16" s="4"/>
      <c r="AH16" s="4"/>
      <c r="AI16" s="4"/>
      <c r="AK16" s="4" t="s">
        <v>11</v>
      </c>
      <c r="AL16" s="4"/>
      <c r="AM16" s="4">
        <v>81462</v>
      </c>
      <c r="AN16" s="6"/>
      <c r="AO16" s="6"/>
      <c r="AP16" s="4"/>
      <c r="AQ16" s="4"/>
      <c r="AR16" s="4"/>
      <c r="AS16" s="4"/>
      <c r="AT16" s="4"/>
      <c r="AU16" s="4"/>
      <c r="AW16" s="4" t="s">
        <v>11</v>
      </c>
      <c r="AX16" s="4"/>
      <c r="AY16" s="4">
        <v>81462</v>
      </c>
      <c r="AZ16" s="6"/>
      <c r="BA16" s="6"/>
      <c r="BB16" s="4"/>
      <c r="BC16" s="4"/>
      <c r="BD16" s="4"/>
      <c r="BE16" s="4"/>
      <c r="BF16" s="4"/>
      <c r="BG16" s="4"/>
    </row>
    <row r="17" spans="1:59" x14ac:dyDescent="0.2">
      <c r="A17" s="4" t="s">
        <v>12</v>
      </c>
      <c r="B17" s="4"/>
      <c r="C17" s="4">
        <v>3075</v>
      </c>
      <c r="D17" s="4"/>
      <c r="E17" s="4"/>
      <c r="F17" s="4"/>
      <c r="G17" s="4"/>
      <c r="H17" s="4"/>
      <c r="I17" s="4"/>
      <c r="J17" s="4"/>
      <c r="K17" s="4"/>
      <c r="M17" s="26" t="s">
        <v>12</v>
      </c>
      <c r="N17" s="26"/>
      <c r="O17" s="26">
        <v>3075</v>
      </c>
      <c r="P17" s="26"/>
      <c r="Q17" s="26"/>
      <c r="R17" s="26"/>
      <c r="S17" s="26"/>
      <c r="T17" s="26"/>
      <c r="U17" s="26"/>
      <c r="V17" s="26"/>
      <c r="W17" s="26"/>
      <c r="Y17" s="4" t="s">
        <v>12</v>
      </c>
      <c r="Z17" s="4"/>
      <c r="AA17" s="4">
        <v>3075</v>
      </c>
      <c r="AB17" s="4"/>
      <c r="AC17" s="4"/>
      <c r="AD17" s="4"/>
      <c r="AE17" s="4"/>
      <c r="AF17" s="4"/>
      <c r="AG17" s="4"/>
      <c r="AH17" s="4"/>
      <c r="AI17" s="4"/>
      <c r="AK17" s="4" t="s">
        <v>12</v>
      </c>
      <c r="AL17" s="4"/>
      <c r="AM17" s="4">
        <v>3075</v>
      </c>
      <c r="AN17" s="4"/>
      <c r="AO17" s="4"/>
      <c r="AP17" s="4"/>
      <c r="AQ17" s="4"/>
      <c r="AR17" s="4"/>
      <c r="AS17" s="4"/>
      <c r="AT17" s="4"/>
      <c r="AU17" s="4"/>
      <c r="AW17" s="4" t="s">
        <v>12</v>
      </c>
      <c r="AX17" s="4"/>
      <c r="AY17" s="4">
        <v>3075</v>
      </c>
      <c r="AZ17" s="4"/>
      <c r="BA17" s="4"/>
      <c r="BB17" s="4"/>
      <c r="BC17" s="4"/>
      <c r="BD17" s="4"/>
      <c r="BE17" s="4"/>
      <c r="BF17" s="4"/>
      <c r="BG17" s="4"/>
    </row>
    <row r="18" spans="1:59" x14ac:dyDescent="0.2">
      <c r="A18" s="4" t="s">
        <v>13</v>
      </c>
      <c r="B18" s="4"/>
      <c r="C18" s="4">
        <v>3946</v>
      </c>
      <c r="D18" s="4"/>
      <c r="E18" s="4"/>
      <c r="F18" s="4"/>
      <c r="G18" s="4"/>
      <c r="H18" s="4"/>
      <c r="I18" s="4"/>
      <c r="J18" s="4"/>
      <c r="K18" s="4"/>
      <c r="M18" s="26" t="s">
        <v>13</v>
      </c>
      <c r="N18" s="26"/>
      <c r="O18" s="26">
        <v>3946</v>
      </c>
      <c r="P18" s="26"/>
      <c r="Q18" s="26"/>
      <c r="R18" s="26"/>
      <c r="S18" s="26"/>
      <c r="T18" s="26"/>
      <c r="U18" s="26"/>
      <c r="V18" s="26"/>
      <c r="W18" s="26"/>
      <c r="Y18" s="4" t="s">
        <v>13</v>
      </c>
      <c r="Z18" s="4"/>
      <c r="AA18" s="4">
        <v>3946</v>
      </c>
      <c r="AB18" s="4"/>
      <c r="AC18" s="4"/>
      <c r="AD18" s="4"/>
      <c r="AE18" s="4"/>
      <c r="AF18" s="4"/>
      <c r="AG18" s="4"/>
      <c r="AH18" s="4"/>
      <c r="AI18" s="4"/>
      <c r="AK18" s="4" t="s">
        <v>13</v>
      </c>
      <c r="AL18" s="4"/>
      <c r="AM18" s="4">
        <v>3946</v>
      </c>
      <c r="AN18" s="4"/>
      <c r="AO18" s="4"/>
      <c r="AP18" s="4"/>
      <c r="AQ18" s="4"/>
      <c r="AR18" s="4"/>
      <c r="AS18" s="4"/>
      <c r="AT18" s="4"/>
      <c r="AU18" s="4"/>
      <c r="AW18" s="4" t="s">
        <v>13</v>
      </c>
      <c r="AX18" s="4"/>
      <c r="AY18" s="4">
        <v>3946</v>
      </c>
      <c r="AZ18" s="4"/>
      <c r="BA18" s="4"/>
      <c r="BB18" s="4"/>
      <c r="BC18" s="4"/>
      <c r="BD18" s="4"/>
      <c r="BE18" s="4"/>
      <c r="BF18" s="4"/>
      <c r="BG18" s="4"/>
    </row>
    <row r="19" spans="1:59" x14ac:dyDescent="0.2">
      <c r="A19" s="4" t="s">
        <v>14</v>
      </c>
      <c r="B19" s="4"/>
      <c r="C19" s="5">
        <v>0.13</v>
      </c>
      <c r="D19" s="4"/>
      <c r="E19" s="4"/>
      <c r="F19" s="4"/>
      <c r="G19" s="4"/>
      <c r="H19" s="4"/>
      <c r="I19" s="4"/>
      <c r="J19" s="4"/>
      <c r="K19" s="4"/>
      <c r="M19" s="26" t="s">
        <v>14</v>
      </c>
      <c r="N19" s="26"/>
      <c r="O19" s="28">
        <v>0.13</v>
      </c>
      <c r="P19" s="26"/>
      <c r="Q19" s="26"/>
      <c r="R19" s="26"/>
      <c r="S19" s="26"/>
      <c r="T19" s="26"/>
      <c r="U19" s="26"/>
      <c r="V19" s="26"/>
      <c r="W19" s="26"/>
      <c r="Y19" s="4" t="s">
        <v>14</v>
      </c>
      <c r="Z19" s="4"/>
      <c r="AA19" s="5">
        <v>0.13</v>
      </c>
      <c r="AB19" s="4"/>
      <c r="AC19" s="4"/>
      <c r="AD19" s="4"/>
      <c r="AE19" s="4"/>
      <c r="AF19" s="4"/>
      <c r="AG19" s="4"/>
      <c r="AH19" s="4"/>
      <c r="AI19" s="4"/>
      <c r="AK19" s="4" t="s">
        <v>14</v>
      </c>
      <c r="AL19" s="4"/>
      <c r="AM19" s="5">
        <v>0.13</v>
      </c>
      <c r="AN19" s="4"/>
      <c r="AO19" s="4"/>
      <c r="AP19" s="4"/>
      <c r="AQ19" s="4"/>
      <c r="AR19" s="4"/>
      <c r="AS19" s="4"/>
      <c r="AT19" s="4"/>
      <c r="AU19" s="4"/>
      <c r="AW19" s="4" t="s">
        <v>14</v>
      </c>
      <c r="AX19" s="4"/>
      <c r="AY19" s="5">
        <v>0.13</v>
      </c>
      <c r="AZ19" s="4"/>
      <c r="BA19" s="4"/>
      <c r="BB19" s="4"/>
      <c r="BC19" s="4"/>
      <c r="BD19" s="4"/>
      <c r="BE19" s="4"/>
      <c r="BF19" s="4"/>
      <c r="BG19" s="4"/>
    </row>
    <row r="20" spans="1:59" x14ac:dyDescent="0.2">
      <c r="A20" s="4" t="s">
        <v>15</v>
      </c>
      <c r="B20" s="4"/>
      <c r="C20" s="5">
        <v>0.04</v>
      </c>
      <c r="D20" s="4"/>
      <c r="E20" s="4"/>
      <c r="F20" s="4"/>
      <c r="G20" s="4"/>
      <c r="H20" s="4"/>
      <c r="I20" s="4"/>
      <c r="J20" s="4"/>
      <c r="K20" s="4"/>
      <c r="M20" s="26" t="s">
        <v>15</v>
      </c>
      <c r="N20" s="26"/>
      <c r="O20" s="28">
        <v>0.04</v>
      </c>
      <c r="P20" s="26"/>
      <c r="Q20" s="26"/>
      <c r="R20" s="26"/>
      <c r="S20" s="26"/>
      <c r="T20" s="26"/>
      <c r="U20" s="26"/>
      <c r="V20" s="26"/>
      <c r="W20" s="26"/>
      <c r="Y20" s="4" t="s">
        <v>15</v>
      </c>
      <c r="Z20" s="4"/>
      <c r="AA20" s="5">
        <v>0.04</v>
      </c>
      <c r="AB20" s="4"/>
      <c r="AC20" s="4"/>
      <c r="AD20" s="4"/>
      <c r="AE20" s="4"/>
      <c r="AF20" s="4"/>
      <c r="AG20" s="4"/>
      <c r="AH20" s="4"/>
      <c r="AI20" s="4"/>
      <c r="AK20" s="4" t="s">
        <v>15</v>
      </c>
      <c r="AL20" s="4"/>
      <c r="AM20" s="5">
        <v>0.04</v>
      </c>
      <c r="AN20" s="4"/>
      <c r="AO20" s="4"/>
      <c r="AP20" s="4"/>
      <c r="AQ20" s="4"/>
      <c r="AR20" s="4"/>
      <c r="AS20" s="4"/>
      <c r="AT20" s="4"/>
      <c r="AU20" s="4"/>
      <c r="AW20" s="4" t="s">
        <v>15</v>
      </c>
      <c r="AX20" s="4"/>
      <c r="AY20" s="5">
        <v>0.04</v>
      </c>
      <c r="AZ20" s="4"/>
      <c r="BA20" s="4"/>
      <c r="BB20" s="4"/>
      <c r="BC20" s="4"/>
      <c r="BD20" s="4"/>
      <c r="BE20" s="4"/>
      <c r="BF20" s="4"/>
      <c r="BG20" s="4"/>
    </row>
    <row r="21" spans="1:59" x14ac:dyDescent="0.2">
      <c r="A21" s="4" t="s">
        <v>16</v>
      </c>
      <c r="B21" s="4"/>
      <c r="C21" s="4">
        <f xml:space="preserve"> 21%</f>
        <v>0.21</v>
      </c>
      <c r="M21" s="26" t="s">
        <v>16</v>
      </c>
      <c r="N21" s="26"/>
      <c r="O21" s="26">
        <v>0.21</v>
      </c>
      <c r="P21" s="27"/>
      <c r="Q21" s="27"/>
      <c r="R21" s="27"/>
      <c r="S21" s="27"/>
      <c r="T21" s="27"/>
      <c r="U21" s="27"/>
      <c r="V21" s="27"/>
      <c r="W21" s="27"/>
      <c r="Y21" s="4" t="s">
        <v>16</v>
      </c>
      <c r="Z21" s="4"/>
      <c r="AA21" s="4">
        <f xml:space="preserve"> 21%</f>
        <v>0.21</v>
      </c>
      <c r="AK21" s="4" t="s">
        <v>16</v>
      </c>
      <c r="AL21" s="4"/>
      <c r="AM21" s="4">
        <f xml:space="preserve"> 21%</f>
        <v>0.21</v>
      </c>
      <c r="AW21" s="4" t="s">
        <v>16</v>
      </c>
      <c r="AX21" s="4"/>
      <c r="AY21" s="4">
        <f xml:space="preserve"> 21%</f>
        <v>0.21</v>
      </c>
    </row>
    <row r="22" spans="1:59" x14ac:dyDescent="0.2">
      <c r="A22" t="s">
        <v>17</v>
      </c>
      <c r="M22" s="27" t="s">
        <v>17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Y22" t="s">
        <v>17</v>
      </c>
      <c r="AK22" t="s">
        <v>17</v>
      </c>
      <c r="AW22" t="s">
        <v>17</v>
      </c>
    </row>
    <row r="23" spans="1:59" x14ac:dyDescent="0.2">
      <c r="A23" s="12"/>
      <c r="B23" s="12"/>
      <c r="C23" s="12"/>
      <c r="D23" s="13">
        <v>2025</v>
      </c>
      <c r="E23" s="13">
        <v>2026</v>
      </c>
      <c r="F23" s="13">
        <v>2027</v>
      </c>
      <c r="G23" s="13">
        <v>2028</v>
      </c>
      <c r="H23" s="13">
        <v>2029</v>
      </c>
      <c r="I23" s="13">
        <v>2030</v>
      </c>
      <c r="J23" s="13">
        <v>2031</v>
      </c>
      <c r="K23" s="13">
        <v>2032</v>
      </c>
      <c r="M23" s="31"/>
      <c r="N23" s="31"/>
      <c r="O23" s="31"/>
      <c r="P23" s="32">
        <v>2025</v>
      </c>
      <c r="Q23" s="32">
        <v>2026</v>
      </c>
      <c r="R23" s="32">
        <v>2027</v>
      </c>
      <c r="S23" s="32">
        <v>2028</v>
      </c>
      <c r="T23" s="32">
        <v>2029</v>
      </c>
      <c r="U23" s="32">
        <v>2030</v>
      </c>
      <c r="V23" s="32">
        <v>2031</v>
      </c>
      <c r="W23" s="32">
        <v>2032</v>
      </c>
      <c r="Y23" s="12"/>
      <c r="Z23" s="12"/>
      <c r="AA23" s="12"/>
      <c r="AB23" s="13">
        <v>2025</v>
      </c>
      <c r="AC23" s="13">
        <v>2026</v>
      </c>
      <c r="AD23" s="13">
        <v>2027</v>
      </c>
      <c r="AE23" s="13">
        <v>2028</v>
      </c>
      <c r="AF23" s="13">
        <v>2029</v>
      </c>
      <c r="AG23" s="13">
        <v>2030</v>
      </c>
      <c r="AH23" s="13">
        <v>2031</v>
      </c>
      <c r="AI23" s="13">
        <v>2032</v>
      </c>
      <c r="AK23" s="12"/>
      <c r="AL23" s="12"/>
      <c r="AM23" s="12"/>
      <c r="AN23" s="13">
        <v>2025</v>
      </c>
      <c r="AO23" s="13">
        <v>2026</v>
      </c>
      <c r="AP23" s="13">
        <v>2027</v>
      </c>
      <c r="AQ23" s="13">
        <v>2028</v>
      </c>
      <c r="AR23" s="13">
        <v>2029</v>
      </c>
      <c r="AS23" s="13">
        <v>2030</v>
      </c>
      <c r="AT23" s="13">
        <v>2031</v>
      </c>
      <c r="AU23" s="13">
        <v>2032</v>
      </c>
      <c r="AW23" s="12"/>
      <c r="AX23" s="12"/>
      <c r="AY23" s="12"/>
      <c r="AZ23" s="13">
        <v>2025</v>
      </c>
      <c r="BA23" s="13">
        <v>2026</v>
      </c>
      <c r="BB23" s="13">
        <v>2027</v>
      </c>
      <c r="BC23" s="13">
        <v>2028</v>
      </c>
      <c r="BD23" s="13">
        <v>2029</v>
      </c>
      <c r="BE23" s="13">
        <v>2030</v>
      </c>
      <c r="BF23" s="13">
        <v>2031</v>
      </c>
      <c r="BG23" s="13">
        <v>2032</v>
      </c>
    </row>
    <row r="24" spans="1:59" x14ac:dyDescent="0.2">
      <c r="A24" s="1" t="s">
        <v>18</v>
      </c>
      <c r="D24">
        <f>$C$16*(1+D4)</f>
        <v>109973.70000000001</v>
      </c>
      <c r="E24">
        <f t="shared" ref="E24:K24" si="0">D24*(1+E4)</f>
        <v>142965.81000000003</v>
      </c>
      <c r="F24">
        <f t="shared" si="0"/>
        <v>182996.23680000004</v>
      </c>
      <c r="G24">
        <f t="shared" si="0"/>
        <v>228745.29600000006</v>
      </c>
      <c r="H24">
        <f t="shared" si="0"/>
        <v>267631.99632000003</v>
      </c>
      <c r="I24">
        <f t="shared" si="0"/>
        <v>307776.79576800001</v>
      </c>
      <c r="J24">
        <f t="shared" si="0"/>
        <v>344710.01126016007</v>
      </c>
      <c r="K24">
        <f t="shared" si="0"/>
        <v>382628.11249877769</v>
      </c>
      <c r="M24" s="26" t="s">
        <v>18</v>
      </c>
      <c r="N24" s="27"/>
      <c r="O24" s="27"/>
      <c r="P24">
        <f>$C$16*(1+P5)</f>
        <v>97754.4</v>
      </c>
      <c r="Q24">
        <f t="shared" ref="Q24:W24" si="1">P24*(1+Q5)</f>
        <v>115350.19199999998</v>
      </c>
      <c r="R24">
        <f t="shared" si="1"/>
        <v>132652.72079999998</v>
      </c>
      <c r="S24">
        <f t="shared" si="1"/>
        <v>147244.52008799999</v>
      </c>
      <c r="T24">
        <f t="shared" si="1"/>
        <v>159024.08169503999</v>
      </c>
      <c r="U24">
        <f t="shared" si="1"/>
        <v>166975.285779792</v>
      </c>
      <c r="V24">
        <f t="shared" si="1"/>
        <v>173654.2972109837</v>
      </c>
      <c r="W24">
        <f t="shared" si="1"/>
        <v>180600.46909942306</v>
      </c>
      <c r="Y24" s="1" t="s">
        <v>18</v>
      </c>
      <c r="AB24">
        <f>AA16*(1+AB6)</f>
        <v>103456.74</v>
      </c>
      <c r="AC24">
        <f t="shared" ref="AC24:AI24" si="2">AB24*(1+AC6)</f>
        <v>129320.925</v>
      </c>
      <c r="AD24">
        <f t="shared" si="2"/>
        <v>155185.10999999999</v>
      </c>
      <c r="AE24">
        <f t="shared" si="2"/>
        <v>178462.87649999998</v>
      </c>
      <c r="AF24">
        <f t="shared" si="2"/>
        <v>201663.05044499997</v>
      </c>
      <c r="AG24">
        <f t="shared" si="2"/>
        <v>221829.35548949998</v>
      </c>
      <c r="AH24">
        <f t="shared" si="2"/>
        <v>239575.70392865999</v>
      </c>
      <c r="AI24">
        <f t="shared" si="2"/>
        <v>253950.24616437961</v>
      </c>
      <c r="AK24" s="1" t="s">
        <v>18</v>
      </c>
      <c r="AN24">
        <f>AM16*(1+AN6)</f>
        <v>103456.74</v>
      </c>
      <c r="AO24">
        <f t="shared" ref="AO24:AU24" si="3">AN24*(1+AO6)</f>
        <v>129320.925</v>
      </c>
      <c r="AP24">
        <f t="shared" si="3"/>
        <v>155185.10999999999</v>
      </c>
      <c r="AQ24">
        <f t="shared" si="3"/>
        <v>178462.87649999998</v>
      </c>
      <c r="AR24">
        <f t="shared" si="3"/>
        <v>201663.05044499997</v>
      </c>
      <c r="AS24">
        <f t="shared" si="3"/>
        <v>221829.35548949998</v>
      </c>
      <c r="AT24">
        <f t="shared" si="3"/>
        <v>239575.70392865999</v>
      </c>
      <c r="AU24">
        <f t="shared" si="3"/>
        <v>253950.24616437961</v>
      </c>
      <c r="AW24" s="1" t="s">
        <v>18</v>
      </c>
      <c r="AZ24">
        <f>AY16*(1+AZ6)</f>
        <v>122597.91412634596</v>
      </c>
      <c r="BA24">
        <f t="shared" ref="BA24:BG24" si="4">AZ24*(1+BA6)</f>
        <v>180268.31863211191</v>
      </c>
      <c r="BB24">
        <f t="shared" si="4"/>
        <v>259021.59839250473</v>
      </c>
      <c r="BC24">
        <f t="shared" si="4"/>
        <v>364030.78716966097</v>
      </c>
      <c r="BD24">
        <f t="shared" si="4"/>
        <v>500895.38751478679</v>
      </c>
      <c r="BE24">
        <f t="shared" si="4"/>
        <v>675469.89130807214</v>
      </c>
      <c r="BF24">
        <f t="shared" si="4"/>
        <v>893599.96908688394</v>
      </c>
      <c r="BG24">
        <f t="shared" si="4"/>
        <v>1160712.9116828626</v>
      </c>
    </row>
    <row r="25" spans="1:59" x14ac:dyDescent="0.2">
      <c r="A25" s="1" t="s">
        <v>19</v>
      </c>
      <c r="D25">
        <f>$C$17*(1+D9)</f>
        <v>3659.25</v>
      </c>
      <c r="E25">
        <f t="shared" ref="E25:K25" si="5">D25*(1+E9)</f>
        <v>4427.6925000000001</v>
      </c>
      <c r="F25">
        <f t="shared" si="5"/>
        <v>5224.6771499999995</v>
      </c>
      <c r="G25">
        <f t="shared" si="5"/>
        <v>6060.625493999999</v>
      </c>
      <c r="H25">
        <f t="shared" si="5"/>
        <v>6909.1130631599999</v>
      </c>
      <c r="I25">
        <f t="shared" si="5"/>
        <v>7738.2066307392006</v>
      </c>
      <c r="J25">
        <f t="shared" si="5"/>
        <v>8512.027293813122</v>
      </c>
      <c r="K25">
        <f t="shared" si="5"/>
        <v>9192.9894773181732</v>
      </c>
      <c r="M25" s="26" t="s">
        <v>19</v>
      </c>
      <c r="N25" s="27"/>
      <c r="O25" s="27"/>
      <c r="P25">
        <f>$C$17*(1+P9)</f>
        <v>3659.25</v>
      </c>
      <c r="Q25">
        <f t="shared" ref="Q25:W25" si="6">P25*(1+Q9)</f>
        <v>4427.6925000000001</v>
      </c>
      <c r="R25">
        <f t="shared" si="6"/>
        <v>5224.6771499999995</v>
      </c>
      <c r="S25">
        <f t="shared" si="6"/>
        <v>6060.625493999999</v>
      </c>
      <c r="T25">
        <f t="shared" si="6"/>
        <v>6909.1130631599999</v>
      </c>
      <c r="U25">
        <f t="shared" si="6"/>
        <v>7738.2066307392006</v>
      </c>
      <c r="V25">
        <f t="shared" si="6"/>
        <v>8512.027293813122</v>
      </c>
      <c r="W25">
        <f t="shared" si="6"/>
        <v>9192.9894773181732</v>
      </c>
      <c r="Y25" s="1" t="s">
        <v>19</v>
      </c>
      <c r="AB25">
        <f>AA17*(1+AB9)</f>
        <v>3659.25</v>
      </c>
      <c r="AC25">
        <f t="shared" ref="AC25:AI26" si="7">AB25*(1+AC9)</f>
        <v>4427.6925000000001</v>
      </c>
      <c r="AD25">
        <f t="shared" si="7"/>
        <v>5224.6771499999995</v>
      </c>
      <c r="AE25">
        <f t="shared" si="7"/>
        <v>6060.625493999999</v>
      </c>
      <c r="AF25">
        <f t="shared" si="7"/>
        <v>6909.1130631599999</v>
      </c>
      <c r="AG25">
        <f t="shared" si="7"/>
        <v>7738.2066307392006</v>
      </c>
      <c r="AH25">
        <f t="shared" si="7"/>
        <v>8512.027293813122</v>
      </c>
      <c r="AI25">
        <f t="shared" si="7"/>
        <v>9192.9894773181732</v>
      </c>
      <c r="AK25" s="1" t="s">
        <v>19</v>
      </c>
      <c r="AN25">
        <f>AM17*(1+AN9)</f>
        <v>3659.25</v>
      </c>
      <c r="AO25">
        <f>AN25*(1+AO9)</f>
        <v>4427.6925000000001</v>
      </c>
      <c r="AP25">
        <f>AO25*(1+AP9)</f>
        <v>5224.6771499999995</v>
      </c>
      <c r="AQ25">
        <f>AP25*(1+AQ9)</f>
        <v>6060.625493999999</v>
      </c>
      <c r="AR25">
        <f>AQ25*(1+AR9)</f>
        <v>7030.3255730399987</v>
      </c>
      <c r="AS25">
        <f>AR25*(1+AS9)</f>
        <v>8155.1776647263978</v>
      </c>
      <c r="AT25">
        <f t="shared" ref="AT25:AU25" si="8">AS25*(1+AT9)</f>
        <v>9460.0060910826214</v>
      </c>
      <c r="AU25">
        <f t="shared" si="8"/>
        <v>10973.60706565584</v>
      </c>
      <c r="AW25" s="1" t="s">
        <v>19</v>
      </c>
      <c r="AZ25">
        <f>AY17*(1+AZ9)</f>
        <v>3659.25</v>
      </c>
      <c r="BA25">
        <f t="shared" ref="BA25:BG26" si="9">AZ25*(1+BA9)</f>
        <v>4427.6925000000001</v>
      </c>
      <c r="BB25">
        <f t="shared" si="9"/>
        <v>5224.6771499999995</v>
      </c>
      <c r="BC25">
        <f t="shared" si="9"/>
        <v>6060.625493999999</v>
      </c>
      <c r="BD25">
        <f t="shared" si="9"/>
        <v>6909.1130631599999</v>
      </c>
      <c r="BE25">
        <f t="shared" si="9"/>
        <v>7738.2066307392006</v>
      </c>
      <c r="BF25">
        <f t="shared" si="9"/>
        <v>8512.027293813122</v>
      </c>
      <c r="BG25">
        <f t="shared" si="9"/>
        <v>9192.9894773181732</v>
      </c>
    </row>
    <row r="26" spans="1:59" x14ac:dyDescent="0.2">
      <c r="A26" t="s">
        <v>20</v>
      </c>
      <c r="D26">
        <f>$C$18*(1+D10)</f>
        <v>4261.68</v>
      </c>
      <c r="E26">
        <f>$D$26*(1+E10)</f>
        <v>4559.9976000000006</v>
      </c>
      <c r="F26">
        <f>$E$26*(1+F10)</f>
        <v>4787.9974800000009</v>
      </c>
      <c r="G26">
        <f>$F$26*(1+G10)</f>
        <v>4979.5173792000014</v>
      </c>
      <c r="H26">
        <f>$G$26*(1+H10)</f>
        <v>5128.9029005760012</v>
      </c>
      <c r="I26">
        <f>$H$26*(1+I10)</f>
        <v>5231.4809585875209</v>
      </c>
      <c r="J26">
        <f>$I$26*(1+J10)</f>
        <v>5336.1105777592711</v>
      </c>
      <c r="K26">
        <f>$J$26*(1+K10)</f>
        <v>5442.8327893144569</v>
      </c>
      <c r="M26" s="27" t="s">
        <v>20</v>
      </c>
      <c r="N26" s="27"/>
      <c r="O26" s="27"/>
      <c r="P26">
        <f>$C$18*(1+P10)</f>
        <v>4261.68</v>
      </c>
      <c r="Q26">
        <f>$D$26*(1+Q10)</f>
        <v>4559.9976000000006</v>
      </c>
      <c r="R26">
        <f>$E$26*(1+R10)</f>
        <v>4787.9974800000009</v>
      </c>
      <c r="S26">
        <f>$F$26*(1+S10)</f>
        <v>4979.5173792000014</v>
      </c>
      <c r="T26">
        <f>$G$26*(1+T10)</f>
        <v>5128.9029005760012</v>
      </c>
      <c r="U26">
        <f>$H$26*(1+U10)</f>
        <v>5231.4809585875209</v>
      </c>
      <c r="V26">
        <f>$I$26*(1+V10)</f>
        <v>5336.1105777592711</v>
      </c>
      <c r="W26">
        <f>$J$26*(1+W10)</f>
        <v>5442.8327893144569</v>
      </c>
      <c r="Y26" t="s">
        <v>20</v>
      </c>
      <c r="AB26">
        <f>AA18*(1+AB10)</f>
        <v>4261.68</v>
      </c>
      <c r="AC26">
        <f t="shared" si="7"/>
        <v>4559.9976000000006</v>
      </c>
      <c r="AD26">
        <f t="shared" si="7"/>
        <v>4787.9974800000009</v>
      </c>
      <c r="AE26">
        <f t="shared" si="7"/>
        <v>4979.5173792000014</v>
      </c>
      <c r="AF26">
        <f t="shared" si="7"/>
        <v>5128.9029005760012</v>
      </c>
      <c r="AG26">
        <f t="shared" si="7"/>
        <v>5231.4809585875209</v>
      </c>
      <c r="AH26">
        <f t="shared" si="7"/>
        <v>5336.1105777592711</v>
      </c>
      <c r="AI26">
        <f t="shared" si="7"/>
        <v>5442.8327893144569</v>
      </c>
      <c r="AK26" t="s">
        <v>20</v>
      </c>
      <c r="AN26">
        <f>AM18*(1+AN10)</f>
        <v>4261.68</v>
      </c>
      <c r="AO26">
        <f>AN26*(1+AO10)</f>
        <v>4559.9976000000006</v>
      </c>
      <c r="AP26">
        <f t="shared" ref="AP26:AU26" si="10">AO26*(1+AP10)</f>
        <v>4787.9974800000009</v>
      </c>
      <c r="AQ26">
        <f t="shared" si="10"/>
        <v>4979.5173792000014</v>
      </c>
      <c r="AR26">
        <f t="shared" si="10"/>
        <v>5128.9029005760012</v>
      </c>
      <c r="AS26">
        <f t="shared" si="10"/>
        <v>5231.4809585875209</v>
      </c>
      <c r="AT26">
        <f t="shared" si="10"/>
        <v>5336.1105777592711</v>
      </c>
      <c r="AU26">
        <f t="shared" si="10"/>
        <v>5442.8327893144569</v>
      </c>
      <c r="AW26" t="s">
        <v>20</v>
      </c>
      <c r="AZ26">
        <f>AY18*(1+AZ10)</f>
        <v>4261.68</v>
      </c>
      <c r="BA26">
        <f t="shared" si="9"/>
        <v>4559.9976000000006</v>
      </c>
      <c r="BB26">
        <f t="shared" si="9"/>
        <v>4787.9974800000009</v>
      </c>
      <c r="BC26">
        <f t="shared" si="9"/>
        <v>4979.5173792000014</v>
      </c>
      <c r="BD26">
        <f t="shared" si="9"/>
        <v>5128.9029005760012</v>
      </c>
      <c r="BE26">
        <f t="shared" si="9"/>
        <v>5231.4809585875209</v>
      </c>
      <c r="BF26">
        <f t="shared" si="9"/>
        <v>5336.1105777592711</v>
      </c>
      <c r="BG26">
        <f t="shared" si="9"/>
        <v>5442.8327893144569</v>
      </c>
    </row>
    <row r="27" spans="1:59" x14ac:dyDescent="0.2"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59" x14ac:dyDescent="0.2">
      <c r="A28" t="s">
        <v>21</v>
      </c>
      <c r="D28">
        <f>D24*D8</f>
        <v>82480.275000000009</v>
      </c>
      <c r="E28">
        <f t="shared" ref="E28:K28" si="11">E24*E8</f>
        <v>105794.69940000001</v>
      </c>
      <c r="F28">
        <f t="shared" si="11"/>
        <v>135417.21523200002</v>
      </c>
      <c r="G28">
        <f t="shared" si="11"/>
        <v>169271.51904000004</v>
      </c>
      <c r="H28">
        <f t="shared" si="11"/>
        <v>198047.67727680004</v>
      </c>
      <c r="I28">
        <f t="shared" si="11"/>
        <v>227754.82886832001</v>
      </c>
      <c r="J28">
        <f t="shared" si="11"/>
        <v>255085.40833251845</v>
      </c>
      <c r="K28">
        <f t="shared" si="11"/>
        <v>283144.80324909551</v>
      </c>
      <c r="M28" s="27" t="s">
        <v>21</v>
      </c>
      <c r="N28" s="27"/>
      <c r="O28" s="27"/>
      <c r="P28" s="27">
        <f>P24*P8</f>
        <v>73315.799999999988</v>
      </c>
      <c r="Q28" s="27">
        <f t="shared" ref="Q28:W28" si="12">Q24*Q8</f>
        <v>85359.142079999991</v>
      </c>
      <c r="R28" s="27">
        <f t="shared" si="12"/>
        <v>98163.013391999979</v>
      </c>
      <c r="S28" s="27">
        <f t="shared" si="12"/>
        <v>108960.94486511999</v>
      </c>
      <c r="T28" s="27">
        <f t="shared" si="12"/>
        <v>117677.82045432959</v>
      </c>
      <c r="U28" s="27">
        <f t="shared" si="12"/>
        <v>123561.71147704608</v>
      </c>
      <c r="V28" s="27">
        <f t="shared" si="12"/>
        <v>128504.17993612794</v>
      </c>
      <c r="W28" s="27">
        <f t="shared" si="12"/>
        <v>133644.34713357306</v>
      </c>
      <c r="Y28" t="s">
        <v>21</v>
      </c>
      <c r="AB28">
        <f>AB24*AB14</f>
        <v>80696.257200000007</v>
      </c>
      <c r="AC28">
        <f t="shared" ref="AC28:AI28" si="13">AC24*AC14</f>
        <v>102163.53075000001</v>
      </c>
      <c r="AD28">
        <f t="shared" si="13"/>
        <v>124148.08799999999</v>
      </c>
      <c r="AE28">
        <f t="shared" si="13"/>
        <v>146339.55872999999</v>
      </c>
      <c r="AF28">
        <f t="shared" si="13"/>
        <v>171413.59287824997</v>
      </c>
      <c r="AG28">
        <f t="shared" si="13"/>
        <v>188554.95216607497</v>
      </c>
      <c r="AH28">
        <f t="shared" si="13"/>
        <v>203639.34833936099</v>
      </c>
      <c r="AI28">
        <f t="shared" si="13"/>
        <v>215857.70923972267</v>
      </c>
      <c r="AK28" t="s">
        <v>21</v>
      </c>
      <c r="AN28">
        <f t="shared" ref="AN28:AU28" si="14">AN24*AN8</f>
        <v>77592.555000000008</v>
      </c>
      <c r="AO28">
        <f t="shared" si="14"/>
        <v>95697.484500000006</v>
      </c>
      <c r="AP28">
        <f t="shared" si="14"/>
        <v>114836.98139999999</v>
      </c>
      <c r="AQ28">
        <f t="shared" si="14"/>
        <v>132062.52860999998</v>
      </c>
      <c r="AR28">
        <f t="shared" si="14"/>
        <v>149230.65732929998</v>
      </c>
      <c r="AS28">
        <f t="shared" si="14"/>
        <v>164153.72306222998</v>
      </c>
      <c r="AT28">
        <f t="shared" si="14"/>
        <v>177286.02090720838</v>
      </c>
      <c r="AU28">
        <f t="shared" si="14"/>
        <v>187923.1821616409</v>
      </c>
      <c r="AW28" t="s">
        <v>21</v>
      </c>
      <c r="AZ28">
        <f>AZ24*AZ8</f>
        <v>91948.435594759474</v>
      </c>
      <c r="BA28">
        <f>BA24*BA8</f>
        <v>133398.5557877628</v>
      </c>
      <c r="BB28">
        <f t="shared" ref="BB28:BG28" si="15">BB24*BB8</f>
        <v>191675.98281045351</v>
      </c>
      <c r="BC28">
        <f t="shared" si="15"/>
        <v>269382.78250554908</v>
      </c>
      <c r="BD28">
        <f t="shared" si="15"/>
        <v>370662.58676094224</v>
      </c>
      <c r="BE28">
        <f t="shared" si="15"/>
        <v>499847.7195679734</v>
      </c>
      <c r="BF28">
        <f t="shared" si="15"/>
        <v>661263.97712429415</v>
      </c>
      <c r="BG28">
        <f t="shared" si="15"/>
        <v>858927.55464531831</v>
      </c>
    </row>
    <row r="29" spans="1:59" x14ac:dyDescent="0.2">
      <c r="A29" t="s">
        <v>22</v>
      </c>
      <c r="D29">
        <f>D24*D11</f>
        <v>5223.7507500000011</v>
      </c>
      <c r="E29">
        <f t="shared" ref="E29:K29" si="16">E24*E11</f>
        <v>6433.4614500000007</v>
      </c>
      <c r="F29">
        <f>F24*F11</f>
        <v>7319.8494720000017</v>
      </c>
      <c r="G29">
        <f>G24*G11</f>
        <v>8577.9486000000015</v>
      </c>
      <c r="H29">
        <f t="shared" si="16"/>
        <v>9367.1198712000023</v>
      </c>
      <c r="I29">
        <f t="shared" si="16"/>
        <v>10772.187851880002</v>
      </c>
      <c r="J29">
        <f t="shared" si="16"/>
        <v>12064.850394105604</v>
      </c>
      <c r="K29">
        <f t="shared" si="16"/>
        <v>13391.98393745722</v>
      </c>
      <c r="M29" s="27" t="s">
        <v>22</v>
      </c>
      <c r="N29" s="27"/>
      <c r="O29" s="27"/>
      <c r="P29" s="27">
        <f>P24*P11</f>
        <v>4692.2111999999997</v>
      </c>
      <c r="Q29" s="27">
        <f t="shared" ref="Q29:W29" si="17">Q24*Q11</f>
        <v>5190.7586399999991</v>
      </c>
      <c r="R29" s="27">
        <f t="shared" si="17"/>
        <v>5306.108831999999</v>
      </c>
      <c r="S29" s="27">
        <f t="shared" si="17"/>
        <v>5595.2917633439993</v>
      </c>
      <c r="T29" s="27">
        <f t="shared" si="17"/>
        <v>5565.8428593263998</v>
      </c>
      <c r="U29" s="27">
        <f t="shared" si="17"/>
        <v>5844.1350022927209</v>
      </c>
      <c r="V29" s="27">
        <f t="shared" si="17"/>
        <v>6077.90040238443</v>
      </c>
      <c r="W29" s="27">
        <f t="shared" si="17"/>
        <v>6321.0164184798077</v>
      </c>
      <c r="Y29" t="s">
        <v>22</v>
      </c>
      <c r="AB29">
        <f>AB24*AB11</f>
        <v>4914.1951500000005</v>
      </c>
      <c r="AC29">
        <f t="shared" ref="AC29:AI29" si="18">AC24*AC11</f>
        <v>5819.4416249999995</v>
      </c>
      <c r="AD29">
        <f>AD24*AD11</f>
        <v>6207.4043999999994</v>
      </c>
      <c r="AE29">
        <f>AE24*AE11</f>
        <v>6692.3578687499994</v>
      </c>
      <c r="AF29">
        <f t="shared" si="18"/>
        <v>7058.2067655749997</v>
      </c>
      <c r="AG29">
        <f t="shared" si="18"/>
        <v>7764.0274421325003</v>
      </c>
      <c r="AH29">
        <f t="shared" si="18"/>
        <v>8385.1496375031002</v>
      </c>
      <c r="AI29">
        <f t="shared" si="18"/>
        <v>8888.2586157532878</v>
      </c>
      <c r="AK29" t="s">
        <v>22</v>
      </c>
      <c r="AN29">
        <f t="shared" ref="AN29:AU29" si="19">AN24*AN11</f>
        <v>4914.1951500000005</v>
      </c>
      <c r="AO29">
        <f t="shared" si="19"/>
        <v>5819.4416249999995</v>
      </c>
      <c r="AP29">
        <f t="shared" si="19"/>
        <v>6207.4043999999994</v>
      </c>
      <c r="AQ29">
        <f t="shared" si="19"/>
        <v>6692.3578687499994</v>
      </c>
      <c r="AR29">
        <f t="shared" si="19"/>
        <v>7058.2067655749997</v>
      </c>
      <c r="AS29">
        <f t="shared" si="19"/>
        <v>7764.0274421325003</v>
      </c>
      <c r="AT29">
        <f t="shared" si="19"/>
        <v>8385.1496375031002</v>
      </c>
      <c r="AU29">
        <f t="shared" si="19"/>
        <v>8888.2586157532878</v>
      </c>
      <c r="AW29" t="s">
        <v>22</v>
      </c>
      <c r="AZ29">
        <f>AZ24*AZ11</f>
        <v>5823.4009210014328</v>
      </c>
      <c r="BA29">
        <f t="shared" ref="BA29:BG29" si="20">BA24*BA11</f>
        <v>8112.0743384450361</v>
      </c>
      <c r="BB29">
        <f>BB24*BB11</f>
        <v>10360.86393570019</v>
      </c>
      <c r="BC29">
        <f>BC24*BC11</f>
        <v>13651.154518862286</v>
      </c>
      <c r="BD29">
        <f t="shared" si="20"/>
        <v>17531.33856301754</v>
      </c>
      <c r="BE29">
        <f t="shared" si="20"/>
        <v>23641.446195782526</v>
      </c>
      <c r="BF29">
        <f t="shared" si="20"/>
        <v>31275.998918040939</v>
      </c>
      <c r="BG29">
        <f t="shared" si="20"/>
        <v>40624.951908900191</v>
      </c>
    </row>
    <row r="30" spans="1:59" x14ac:dyDescent="0.2"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59" x14ac:dyDescent="0.2"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59" x14ac:dyDescent="0.2">
      <c r="A32" t="s">
        <v>23</v>
      </c>
      <c r="D32">
        <f>D24-D28-D25-D26</f>
        <v>19572.495000000003</v>
      </c>
      <c r="E32">
        <f>E24-E28-E25-E26</f>
        <v>28183.420500000015</v>
      </c>
      <c r="F32">
        <f t="shared" ref="F32:I32" si="21">F24-F28-F25-F26</f>
        <v>37566.346938000024</v>
      </c>
      <c r="G32">
        <f t="shared" si="21"/>
        <v>48433.634086800019</v>
      </c>
      <c r="H32">
        <f t="shared" si="21"/>
        <v>57546.303079463993</v>
      </c>
      <c r="I32">
        <f t="shared" si="21"/>
        <v>67052.279310353289</v>
      </c>
      <c r="J32">
        <f>J24-J28-J25-J26</f>
        <v>75776.465056069224</v>
      </c>
      <c r="K32">
        <f>K24-K28-K25-K26</f>
        <v>84847.486983049545</v>
      </c>
      <c r="M32" s="27" t="s">
        <v>23</v>
      </c>
      <c r="N32" s="27"/>
      <c r="O32" s="27"/>
      <c r="P32" s="27">
        <f>P24-P25-P26-P28</f>
        <v>16517.670000000013</v>
      </c>
      <c r="Q32" s="27">
        <f t="shared" ref="Q32:W32" si="22">Q24-Q25-Q26-Q28</f>
        <v>21003.359819999983</v>
      </c>
      <c r="R32" s="27">
        <f t="shared" si="22"/>
        <v>24477.032777999993</v>
      </c>
      <c r="S32" s="27">
        <f t="shared" si="22"/>
        <v>27243.432349679992</v>
      </c>
      <c r="T32" s="27">
        <f t="shared" si="22"/>
        <v>29308.245276974383</v>
      </c>
      <c r="U32" s="27">
        <f t="shared" si="22"/>
        <v>30443.886713419197</v>
      </c>
      <c r="V32" s="27">
        <f t="shared" si="22"/>
        <v>31301.97940328336</v>
      </c>
      <c r="W32" s="27">
        <f t="shared" si="22"/>
        <v>32320.299699217401</v>
      </c>
      <c r="Y32" t="s">
        <v>23</v>
      </c>
      <c r="AB32">
        <f>AB24-AB28-AB25-AB26</f>
        <v>14839.552799999998</v>
      </c>
      <c r="AC32">
        <f t="shared" ref="AC32:AI32" si="23">AC24-AC28-AC25-AC26</f>
        <v>18169.704149999998</v>
      </c>
      <c r="AD32">
        <f t="shared" si="23"/>
        <v>21024.347369999996</v>
      </c>
      <c r="AE32">
        <f t="shared" si="23"/>
        <v>21083.174896799992</v>
      </c>
      <c r="AF32">
        <f t="shared" si="23"/>
        <v>18211.441603014002</v>
      </c>
      <c r="AG32">
        <f t="shared" si="23"/>
        <v>20304.715734098289</v>
      </c>
      <c r="AH32">
        <f t="shared" si="23"/>
        <v>22088.217717726602</v>
      </c>
      <c r="AI32">
        <f t="shared" si="23"/>
        <v>23456.714658024317</v>
      </c>
      <c r="AK32" t="s">
        <v>23</v>
      </c>
      <c r="AN32">
        <f t="shared" ref="AN32:AU32" si="24">AN24-AN28-AN25-AN26</f>
        <v>17943.254999999997</v>
      </c>
      <c r="AO32">
        <f t="shared" si="24"/>
        <v>24635.750399999997</v>
      </c>
      <c r="AP32">
        <f t="shared" si="24"/>
        <v>30335.453969999991</v>
      </c>
      <c r="AQ32">
        <f t="shared" si="24"/>
        <v>35360.205016800006</v>
      </c>
      <c r="AR32">
        <f t="shared" si="24"/>
        <v>40273.16464208399</v>
      </c>
      <c r="AS32">
        <f t="shared" si="24"/>
        <v>44288.973803956083</v>
      </c>
      <c r="AT32">
        <f t="shared" si="24"/>
        <v>47493.56635260972</v>
      </c>
      <c r="AU32">
        <f t="shared" si="24"/>
        <v>49610.624147768409</v>
      </c>
      <c r="AW32" t="s">
        <v>23</v>
      </c>
      <c r="AZ32">
        <f>AZ24-AZ28-AZ25-AZ26</f>
        <v>22728.548531586486</v>
      </c>
      <c r="BA32">
        <f t="shared" ref="BA32:BG32" si="25">BA24-BA28-BA25-BA26</f>
        <v>37882.072744349112</v>
      </c>
      <c r="BB32">
        <f t="shared" si="25"/>
        <v>57332.94095205122</v>
      </c>
      <c r="BC32">
        <f t="shared" si="25"/>
        <v>83607.861790911891</v>
      </c>
      <c r="BD32">
        <f t="shared" si="25"/>
        <v>118194.78479010856</v>
      </c>
      <c r="BE32">
        <f t="shared" si="25"/>
        <v>162652.48415077201</v>
      </c>
      <c r="BF32">
        <f t="shared" si="25"/>
        <v>218487.85409101739</v>
      </c>
      <c r="BG32">
        <f t="shared" si="25"/>
        <v>287149.53477091162</v>
      </c>
    </row>
    <row r="33" spans="1:59" x14ac:dyDescent="0.2">
      <c r="A33" t="s">
        <v>24</v>
      </c>
      <c r="D33">
        <f>D32-D29</f>
        <v>14348.744250000002</v>
      </c>
      <c r="E33">
        <f t="shared" ref="E33:K33" si="26">E32-E29</f>
        <v>21749.959050000012</v>
      </c>
      <c r="F33">
        <f t="shared" si="26"/>
        <v>30246.497466000023</v>
      </c>
      <c r="G33">
        <f t="shared" si="26"/>
        <v>39855.685486800015</v>
      </c>
      <c r="H33">
        <f t="shared" si="26"/>
        <v>48179.183208263988</v>
      </c>
      <c r="I33">
        <f t="shared" si="26"/>
        <v>56280.091458473289</v>
      </c>
      <c r="J33">
        <f t="shared" si="26"/>
        <v>63711.61466196362</v>
      </c>
      <c r="K33">
        <f t="shared" si="26"/>
        <v>71455.503045592326</v>
      </c>
      <c r="M33" s="27" t="s">
        <v>24</v>
      </c>
      <c r="N33" s="27"/>
      <c r="O33" s="27"/>
      <c r="P33" s="27">
        <f>P32-P29</f>
        <v>11825.458800000013</v>
      </c>
      <c r="Q33" s="27">
        <f t="shared" ref="Q33:W33" si="27">Q32-Q29</f>
        <v>15812.601179999983</v>
      </c>
      <c r="R33" s="27">
        <f t="shared" si="27"/>
        <v>19170.923945999995</v>
      </c>
      <c r="S33" s="27">
        <f t="shared" si="27"/>
        <v>21648.140586335991</v>
      </c>
      <c r="T33" s="27">
        <f t="shared" si="27"/>
        <v>23742.402417647983</v>
      </c>
      <c r="U33" s="27">
        <f t="shared" si="27"/>
        <v>24599.751711126475</v>
      </c>
      <c r="V33" s="27">
        <f t="shared" si="27"/>
        <v>25224.079000898928</v>
      </c>
      <c r="W33" s="27">
        <f t="shared" si="27"/>
        <v>25999.283280737593</v>
      </c>
      <c r="Y33" t="s">
        <v>24</v>
      </c>
      <c r="AB33">
        <f>AB32-AB29</f>
        <v>9925.3576499999981</v>
      </c>
      <c r="AC33">
        <f t="shared" ref="AC33:AI33" si="28">AC32-AC29</f>
        <v>12350.262524999998</v>
      </c>
      <c r="AD33">
        <f t="shared" si="28"/>
        <v>14816.942969999996</v>
      </c>
      <c r="AE33">
        <f t="shared" si="28"/>
        <v>14390.817028049993</v>
      </c>
      <c r="AF33">
        <f t="shared" si="28"/>
        <v>11153.234837439002</v>
      </c>
      <c r="AG33">
        <f t="shared" si="28"/>
        <v>12540.688291965787</v>
      </c>
      <c r="AH33">
        <f t="shared" si="28"/>
        <v>13703.068080223502</v>
      </c>
      <c r="AI33">
        <f t="shared" si="28"/>
        <v>14568.456042271029</v>
      </c>
      <c r="AK33" t="s">
        <v>24</v>
      </c>
      <c r="AN33">
        <f t="shared" ref="AN33:AU33" si="29">AN32-AN29</f>
        <v>13029.059849999998</v>
      </c>
      <c r="AO33">
        <f t="shared" si="29"/>
        <v>18816.308774999998</v>
      </c>
      <c r="AP33">
        <f t="shared" si="29"/>
        <v>24128.049569999992</v>
      </c>
      <c r="AQ33">
        <f t="shared" si="29"/>
        <v>28667.847148050008</v>
      </c>
      <c r="AR33">
        <f t="shared" si="29"/>
        <v>33214.95787650899</v>
      </c>
      <c r="AS33">
        <f t="shared" si="29"/>
        <v>36524.946361823582</v>
      </c>
      <c r="AT33">
        <f t="shared" si="29"/>
        <v>39108.416715106621</v>
      </c>
      <c r="AU33">
        <f t="shared" si="29"/>
        <v>40722.365532015123</v>
      </c>
      <c r="AW33" t="s">
        <v>24</v>
      </c>
      <c r="AZ33">
        <f>AZ32-AZ29</f>
        <v>16905.147610585052</v>
      </c>
      <c r="BA33">
        <f t="shared" ref="BA33:BG33" si="30">BA32-BA29</f>
        <v>29769.998405904076</v>
      </c>
      <c r="BB33">
        <f t="shared" si="30"/>
        <v>46972.077016351031</v>
      </c>
      <c r="BC33">
        <f t="shared" si="30"/>
        <v>69956.707272049607</v>
      </c>
      <c r="BD33">
        <f t="shared" si="30"/>
        <v>100663.44622709102</v>
      </c>
      <c r="BE33">
        <f t="shared" si="30"/>
        <v>139011.03795498947</v>
      </c>
      <c r="BF33">
        <f t="shared" si="30"/>
        <v>187211.85517297644</v>
      </c>
      <c r="BG33">
        <f t="shared" si="30"/>
        <v>246524.58286201142</v>
      </c>
    </row>
    <row r="34" spans="1:59" x14ac:dyDescent="0.2">
      <c r="A34" s="9" t="s">
        <v>25</v>
      </c>
      <c r="B34" s="9"/>
      <c r="C34" s="9" t="s">
        <v>26</v>
      </c>
      <c r="D34" s="9">
        <f t="shared" ref="D34:K34" si="31">D33*$C$21</f>
        <v>3013.2362925000002</v>
      </c>
      <c r="E34" s="9">
        <f t="shared" si="31"/>
        <v>4567.4914005000028</v>
      </c>
      <c r="F34" s="9">
        <f t="shared" si="31"/>
        <v>6351.7644678600045</v>
      </c>
      <c r="G34" s="9">
        <f t="shared" si="31"/>
        <v>8369.6939522280027</v>
      </c>
      <c r="H34" s="9">
        <f t="shared" si="31"/>
        <v>10117.628473735438</v>
      </c>
      <c r="I34" s="9">
        <f t="shared" si="31"/>
        <v>11818.81920627939</v>
      </c>
      <c r="J34" s="9">
        <f t="shared" si="31"/>
        <v>13379.43907901236</v>
      </c>
      <c r="K34" s="9">
        <f t="shared" si="31"/>
        <v>15005.655639574388</v>
      </c>
      <c r="M34" s="33" t="s">
        <v>25</v>
      </c>
      <c r="N34" s="33"/>
      <c r="O34" s="33" t="s">
        <v>26</v>
      </c>
      <c r="P34" s="33">
        <f>P33*$O$21</f>
        <v>2483.3463480000028</v>
      </c>
      <c r="Q34" s="33">
        <f t="shared" ref="Q34:W34" si="32">Q33*$O$21</f>
        <v>3320.6462477999962</v>
      </c>
      <c r="R34" s="33">
        <f t="shared" si="32"/>
        <v>4025.8940286599991</v>
      </c>
      <c r="S34" s="33">
        <f t="shared" si="32"/>
        <v>4546.109523130558</v>
      </c>
      <c r="T34" s="33">
        <f t="shared" si="32"/>
        <v>4985.9045077060764</v>
      </c>
      <c r="U34" s="33">
        <f t="shared" si="32"/>
        <v>5165.9478593365593</v>
      </c>
      <c r="V34" s="33">
        <f t="shared" si="32"/>
        <v>5297.0565901887749</v>
      </c>
      <c r="W34" s="33">
        <f t="shared" si="32"/>
        <v>5459.8494889548938</v>
      </c>
      <c r="Y34" s="9" t="s">
        <v>25</v>
      </c>
      <c r="Z34" s="9"/>
      <c r="AA34" s="9" t="s">
        <v>26</v>
      </c>
      <c r="AB34" s="9">
        <f t="shared" ref="AB34:AI34" si="33">AB33*$C$21</f>
        <v>2084.3251064999995</v>
      </c>
      <c r="AC34" s="9">
        <f t="shared" si="33"/>
        <v>2593.5551302499994</v>
      </c>
      <c r="AD34" s="9">
        <f t="shared" si="33"/>
        <v>3111.558023699999</v>
      </c>
      <c r="AE34" s="9">
        <f t="shared" si="33"/>
        <v>3022.0715758904985</v>
      </c>
      <c r="AF34" s="9">
        <f t="shared" si="33"/>
        <v>2342.1793158621904</v>
      </c>
      <c r="AG34" s="9">
        <f t="shared" si="33"/>
        <v>2633.5445413128155</v>
      </c>
      <c r="AH34" s="9">
        <f t="shared" si="33"/>
        <v>2877.6442968469355</v>
      </c>
      <c r="AI34" s="9">
        <f t="shared" si="33"/>
        <v>3059.375768876916</v>
      </c>
      <c r="AK34" s="9" t="s">
        <v>25</v>
      </c>
      <c r="AL34" s="9"/>
      <c r="AM34" s="9" t="s">
        <v>26</v>
      </c>
      <c r="AN34" s="9">
        <f t="shared" ref="AN34:AU34" si="34">AN33*$C$21</f>
        <v>2736.1025684999995</v>
      </c>
      <c r="AO34" s="9">
        <f t="shared" si="34"/>
        <v>3951.4248427499992</v>
      </c>
      <c r="AP34" s="9">
        <f t="shared" si="34"/>
        <v>5066.8904096999977</v>
      </c>
      <c r="AQ34" s="9">
        <f t="shared" si="34"/>
        <v>6020.2479010905017</v>
      </c>
      <c r="AR34" s="9">
        <f t="shared" si="34"/>
        <v>6975.1411540668878</v>
      </c>
      <c r="AS34" s="9">
        <f t="shared" si="34"/>
        <v>7670.2387359829518</v>
      </c>
      <c r="AT34" s="9">
        <f t="shared" si="34"/>
        <v>8212.7675101723908</v>
      </c>
      <c r="AU34" s="9">
        <f t="shared" si="34"/>
        <v>8551.6967617231749</v>
      </c>
      <c r="AW34" s="9" t="s">
        <v>25</v>
      </c>
      <c r="AX34" s="9"/>
      <c r="AY34" s="9" t="s">
        <v>26</v>
      </c>
      <c r="AZ34" s="9">
        <f t="shared" ref="AZ34:BG34" si="35">AZ33*$C$21</f>
        <v>3550.0809982228607</v>
      </c>
      <c r="BA34" s="9">
        <f t="shared" si="35"/>
        <v>6251.6996652398557</v>
      </c>
      <c r="BB34" s="9">
        <f t="shared" si="35"/>
        <v>9864.136173433717</v>
      </c>
      <c r="BC34" s="9">
        <f t="shared" si="35"/>
        <v>14690.908527130417</v>
      </c>
      <c r="BD34" s="9">
        <f t="shared" si="35"/>
        <v>21139.323707689113</v>
      </c>
      <c r="BE34" s="9">
        <f t="shared" si="35"/>
        <v>29192.317970547789</v>
      </c>
      <c r="BF34" s="9">
        <f t="shared" si="35"/>
        <v>39314.489586325049</v>
      </c>
      <c r="BG34" s="9">
        <f t="shared" si="35"/>
        <v>51770.162401022397</v>
      </c>
    </row>
    <row r="35" spans="1:59" x14ac:dyDescent="0.2">
      <c r="A35" t="s">
        <v>27</v>
      </c>
      <c r="D35">
        <f>D33-D34</f>
        <v>11335.507957500002</v>
      </c>
      <c r="E35">
        <f t="shared" ref="E35:K35" si="36">E33-E34</f>
        <v>17182.467649500009</v>
      </c>
      <c r="F35">
        <f t="shared" si="36"/>
        <v>23894.732998140018</v>
      </c>
      <c r="G35">
        <f t="shared" si="36"/>
        <v>31485.991534572015</v>
      </c>
      <c r="H35">
        <f t="shared" si="36"/>
        <v>38061.554734528552</v>
      </c>
      <c r="I35">
        <f t="shared" si="36"/>
        <v>44461.272252193899</v>
      </c>
      <c r="J35">
        <f t="shared" si="36"/>
        <v>50332.175582951262</v>
      </c>
      <c r="K35">
        <f t="shared" si="36"/>
        <v>56449.847406017936</v>
      </c>
      <c r="M35" s="27" t="s">
        <v>27</v>
      </c>
      <c r="N35" s="27"/>
      <c r="O35" s="27"/>
      <c r="P35" s="27">
        <f>P33-P34</f>
        <v>9342.1124520000103</v>
      </c>
      <c r="Q35" s="27">
        <f t="shared" ref="Q35:W35" si="37">Q33-Q34</f>
        <v>12491.954932199988</v>
      </c>
      <c r="R35" s="27">
        <f t="shared" si="37"/>
        <v>15145.029917339996</v>
      </c>
      <c r="S35" s="27">
        <f t="shared" si="37"/>
        <v>17102.031063205432</v>
      </c>
      <c r="T35" s="27">
        <f t="shared" si="37"/>
        <v>18756.497909941907</v>
      </c>
      <c r="U35" s="27">
        <f t="shared" si="37"/>
        <v>19433.803851789915</v>
      </c>
      <c r="V35" s="27">
        <f t="shared" si="37"/>
        <v>19927.022410710153</v>
      </c>
      <c r="W35" s="27">
        <f t="shared" si="37"/>
        <v>20539.4337917827</v>
      </c>
      <c r="Y35" t="s">
        <v>27</v>
      </c>
      <c r="AB35">
        <f>AB33-AB34</f>
        <v>7841.0325434999986</v>
      </c>
      <c r="AC35">
        <f t="shared" ref="AC35:AI35" si="38">AC33-AC34</f>
        <v>9756.7073947499994</v>
      </c>
      <c r="AD35">
        <f t="shared" si="38"/>
        <v>11705.384946299997</v>
      </c>
      <c r="AE35">
        <f t="shared" si="38"/>
        <v>11368.745452159494</v>
      </c>
      <c r="AF35">
        <f t="shared" si="38"/>
        <v>8811.0555215768109</v>
      </c>
      <c r="AG35">
        <f t="shared" si="38"/>
        <v>9907.1437506529728</v>
      </c>
      <c r="AH35">
        <f t="shared" si="38"/>
        <v>10825.423783376566</v>
      </c>
      <c r="AI35">
        <f t="shared" si="38"/>
        <v>11509.080273394113</v>
      </c>
      <c r="AK35" t="s">
        <v>27</v>
      </c>
      <c r="AN35">
        <f t="shared" ref="AN35:AU35" si="39">AN33-AN34</f>
        <v>10292.957281499999</v>
      </c>
      <c r="AO35">
        <f t="shared" si="39"/>
        <v>14864.883932249999</v>
      </c>
      <c r="AP35">
        <f t="shared" si="39"/>
        <v>19061.159160299994</v>
      </c>
      <c r="AQ35">
        <f t="shared" si="39"/>
        <v>22647.599246959508</v>
      </c>
      <c r="AR35">
        <f t="shared" si="39"/>
        <v>26239.816722442101</v>
      </c>
      <c r="AS35">
        <f t="shared" si="39"/>
        <v>28854.70762584063</v>
      </c>
      <c r="AT35">
        <f t="shared" si="39"/>
        <v>30895.649204934231</v>
      </c>
      <c r="AU35">
        <f t="shared" si="39"/>
        <v>32170.668770291948</v>
      </c>
      <c r="AW35" t="s">
        <v>27</v>
      </c>
      <c r="AZ35">
        <f>AZ33-AZ34</f>
        <v>13355.066612362192</v>
      </c>
      <c r="BA35">
        <f t="shared" ref="BA35:BG35" si="40">BA33-BA34</f>
        <v>23518.298740664221</v>
      </c>
      <c r="BB35">
        <f t="shared" si="40"/>
        <v>37107.940842917313</v>
      </c>
      <c r="BC35">
        <f t="shared" si="40"/>
        <v>55265.798744919186</v>
      </c>
      <c r="BD35">
        <f t="shared" si="40"/>
        <v>79524.122519401906</v>
      </c>
      <c r="BE35">
        <f t="shared" si="40"/>
        <v>109818.71998444168</v>
      </c>
      <c r="BF35">
        <f t="shared" si="40"/>
        <v>147897.3655866514</v>
      </c>
      <c r="BG35">
        <f t="shared" si="40"/>
        <v>194754.42046098903</v>
      </c>
    </row>
    <row r="36" spans="1:59" x14ac:dyDescent="0.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59" x14ac:dyDescent="0.2">
      <c r="A37" t="s">
        <v>28</v>
      </c>
      <c r="D37">
        <f>(D33+D29)-D34</f>
        <v>16559.258707500001</v>
      </c>
      <c r="E37">
        <f t="shared" ref="E37:K37" si="41">(E33+E29)-E34</f>
        <v>23615.929099500012</v>
      </c>
      <c r="F37">
        <f t="shared" si="41"/>
        <v>31214.58247014002</v>
      </c>
      <c r="G37">
        <f t="shared" si="41"/>
        <v>40063.940134572018</v>
      </c>
      <c r="H37">
        <f t="shared" si="41"/>
        <v>47428.674605728556</v>
      </c>
      <c r="I37">
        <f t="shared" si="41"/>
        <v>55233.4601040739</v>
      </c>
      <c r="J37">
        <f t="shared" si="41"/>
        <v>62397.025977056866</v>
      </c>
      <c r="K37">
        <f t="shared" si="41"/>
        <v>69841.831343475162</v>
      </c>
      <c r="M37" s="27" t="s">
        <v>28</v>
      </c>
      <c r="N37" s="27"/>
      <c r="O37" s="27"/>
      <c r="P37" s="27">
        <f>(P33+P29)-P34</f>
        <v>14034.32365200001</v>
      </c>
      <c r="Q37" s="27">
        <f t="shared" ref="Q37:W37" si="42">(Q33+Q29)-Q34</f>
        <v>17682.713572199988</v>
      </c>
      <c r="R37" s="27">
        <f t="shared" si="42"/>
        <v>20451.138749339996</v>
      </c>
      <c r="S37" s="27">
        <f t="shared" si="42"/>
        <v>22697.322826549433</v>
      </c>
      <c r="T37" s="27">
        <f t="shared" si="42"/>
        <v>24322.340769268307</v>
      </c>
      <c r="U37" s="27">
        <f t="shared" si="42"/>
        <v>25277.938854082637</v>
      </c>
      <c r="V37" s="27">
        <f t="shared" si="42"/>
        <v>26004.922813094585</v>
      </c>
      <c r="W37" s="27">
        <f t="shared" si="42"/>
        <v>26860.450210262508</v>
      </c>
      <c r="Y37" t="s">
        <v>28</v>
      </c>
      <c r="AB37">
        <f>(AB33+AB29)-AB34</f>
        <v>12755.227693499997</v>
      </c>
      <c r="AC37">
        <f t="shared" ref="AC37:AI37" si="43">(AC33+AC29)-AC34</f>
        <v>15576.149019749999</v>
      </c>
      <c r="AD37">
        <f t="shared" si="43"/>
        <v>17912.789346299996</v>
      </c>
      <c r="AE37">
        <f t="shared" si="43"/>
        <v>18061.103320909493</v>
      </c>
      <c r="AF37">
        <f t="shared" si="43"/>
        <v>15869.262287151811</v>
      </c>
      <c r="AG37">
        <f t="shared" si="43"/>
        <v>17671.171192785474</v>
      </c>
      <c r="AH37">
        <f t="shared" si="43"/>
        <v>19210.573420879668</v>
      </c>
      <c r="AI37">
        <f t="shared" si="43"/>
        <v>20397.338889147402</v>
      </c>
      <c r="AK37" t="s">
        <v>28</v>
      </c>
      <c r="AN37">
        <f t="shared" ref="AN37:AU37" si="44">(AN33+AN29)-AN34</f>
        <v>15207.152431499999</v>
      </c>
      <c r="AO37">
        <f t="shared" si="44"/>
        <v>20684.325557249998</v>
      </c>
      <c r="AP37">
        <f t="shared" si="44"/>
        <v>25268.563560299994</v>
      </c>
      <c r="AQ37">
        <f t="shared" si="44"/>
        <v>29339.957115709505</v>
      </c>
      <c r="AR37">
        <f t="shared" si="44"/>
        <v>33298.023488017105</v>
      </c>
      <c r="AS37">
        <f t="shared" si="44"/>
        <v>36618.735067973132</v>
      </c>
      <c r="AT37">
        <f t="shared" si="44"/>
        <v>39280.798842437332</v>
      </c>
      <c r="AU37">
        <f t="shared" si="44"/>
        <v>41058.927386045238</v>
      </c>
      <c r="AW37" t="s">
        <v>28</v>
      </c>
      <c r="AZ37">
        <f>(AZ33+AZ29)-AZ34</f>
        <v>19178.467533363626</v>
      </c>
      <c r="BA37">
        <f t="shared" ref="BA37:BG37" si="45">(BA33+BA29)-BA34</f>
        <v>31630.373079109257</v>
      </c>
      <c r="BB37">
        <f t="shared" si="45"/>
        <v>47468.804778617501</v>
      </c>
      <c r="BC37">
        <f t="shared" si="45"/>
        <v>68916.95326378147</v>
      </c>
      <c r="BD37">
        <f t="shared" si="45"/>
        <v>97055.461082419453</v>
      </c>
      <c r="BE37">
        <f t="shared" si="45"/>
        <v>133460.16618022419</v>
      </c>
      <c r="BF37">
        <f t="shared" si="45"/>
        <v>179173.36450469235</v>
      </c>
      <c r="BG37">
        <f t="shared" si="45"/>
        <v>235379.37236988923</v>
      </c>
    </row>
    <row r="38" spans="1:59" x14ac:dyDescent="0.2">
      <c r="A38" s="9" t="s">
        <v>29</v>
      </c>
      <c r="B38" s="9"/>
      <c r="C38" s="9" t="s">
        <v>26</v>
      </c>
      <c r="D38" s="9">
        <f t="shared" ref="D38:K38" si="46">D29*D12</f>
        <v>4440.1881375000012</v>
      </c>
      <c r="E38" s="9">
        <f t="shared" si="46"/>
        <v>5146.7691600000007</v>
      </c>
      <c r="F38" s="9">
        <f t="shared" si="46"/>
        <v>5489.8871040000013</v>
      </c>
      <c r="G38" s="9">
        <f t="shared" si="46"/>
        <v>6004.5640200000007</v>
      </c>
      <c r="H38" s="9">
        <f t="shared" si="46"/>
        <v>6556.9839098400016</v>
      </c>
      <c r="I38" s="9">
        <f t="shared" si="46"/>
        <v>7540.5314963160008</v>
      </c>
      <c r="J38" s="9">
        <f t="shared" si="46"/>
        <v>8445.3952758739233</v>
      </c>
      <c r="K38" s="9">
        <f t="shared" si="46"/>
        <v>9374.3887562200543</v>
      </c>
      <c r="M38" s="33" t="s">
        <v>29</v>
      </c>
      <c r="N38" s="33"/>
      <c r="O38" s="33" t="s">
        <v>26</v>
      </c>
      <c r="P38" s="33">
        <f>P29*P12</f>
        <v>3988.3795199999995</v>
      </c>
      <c r="Q38" s="33">
        <f t="shared" ref="Q38:W38" si="47">Q29*Q12</f>
        <v>4152.6069119999993</v>
      </c>
      <c r="R38" s="33">
        <f t="shared" si="47"/>
        <v>3979.5816239999995</v>
      </c>
      <c r="S38" s="33">
        <f t="shared" si="47"/>
        <v>3916.7042343407993</v>
      </c>
      <c r="T38" s="33">
        <f t="shared" si="47"/>
        <v>3896.0900015284797</v>
      </c>
      <c r="U38" s="33">
        <f t="shared" si="47"/>
        <v>4090.8945016049042</v>
      </c>
      <c r="V38" s="33">
        <f t="shared" si="47"/>
        <v>4254.530281669101</v>
      </c>
      <c r="W38" s="33">
        <f t="shared" si="47"/>
        <v>4424.711492935865</v>
      </c>
      <c r="Y38" s="9" t="s">
        <v>29</v>
      </c>
      <c r="Z38" s="9"/>
      <c r="AA38" s="9" t="s">
        <v>26</v>
      </c>
      <c r="AB38" s="9">
        <f t="shared" ref="AB38:AI38" si="48">AB29*AB12</f>
        <v>4177.0658775000002</v>
      </c>
      <c r="AC38" s="9">
        <f t="shared" si="48"/>
        <v>4655.5532999999996</v>
      </c>
      <c r="AD38" s="9">
        <f t="shared" si="48"/>
        <v>4655.5532999999996</v>
      </c>
      <c r="AE38" s="9">
        <f t="shared" si="48"/>
        <v>4684.6505081249989</v>
      </c>
      <c r="AF38" s="9">
        <f t="shared" si="48"/>
        <v>4940.7447359024991</v>
      </c>
      <c r="AG38" s="9">
        <f t="shared" si="48"/>
        <v>5434.8192094927499</v>
      </c>
      <c r="AH38" s="9">
        <f t="shared" si="48"/>
        <v>5869.6047462521701</v>
      </c>
      <c r="AI38" s="9">
        <f t="shared" si="48"/>
        <v>6221.7810310273007</v>
      </c>
      <c r="AK38" s="9" t="s">
        <v>29</v>
      </c>
      <c r="AL38" s="9"/>
      <c r="AM38" s="9" t="s">
        <v>26</v>
      </c>
      <c r="AN38" s="9">
        <f t="shared" ref="AN38:AU38" si="49">AN29*AN12</f>
        <v>4177.0658775000002</v>
      </c>
      <c r="AO38" s="9">
        <f t="shared" si="49"/>
        <v>4655.5532999999996</v>
      </c>
      <c r="AP38" s="9">
        <f t="shared" si="49"/>
        <v>4655.5532999999996</v>
      </c>
      <c r="AQ38" s="9">
        <f t="shared" si="49"/>
        <v>4684.6505081249989</v>
      </c>
      <c r="AR38" s="9">
        <f t="shared" si="49"/>
        <v>4940.7447359024991</v>
      </c>
      <c r="AS38" s="9">
        <f t="shared" si="49"/>
        <v>5434.8192094927499</v>
      </c>
      <c r="AT38" s="9">
        <f t="shared" si="49"/>
        <v>5869.6047462521701</v>
      </c>
      <c r="AU38" s="9">
        <f t="shared" si="49"/>
        <v>6221.7810310273007</v>
      </c>
      <c r="AW38" s="9" t="s">
        <v>29</v>
      </c>
      <c r="AX38" s="9"/>
      <c r="AY38" s="9" t="s">
        <v>26</v>
      </c>
      <c r="AZ38" s="9">
        <f t="shared" ref="AZ38:BG38" si="50">AZ29*AZ12</f>
        <v>4949.8907828512174</v>
      </c>
      <c r="BA38" s="9">
        <f t="shared" si="50"/>
        <v>6489.6594707560289</v>
      </c>
      <c r="BB38" s="9">
        <f t="shared" si="50"/>
        <v>7770.6479517751432</v>
      </c>
      <c r="BC38" s="9">
        <f t="shared" si="50"/>
        <v>9555.8081632035992</v>
      </c>
      <c r="BD38" s="9">
        <f t="shared" si="50"/>
        <v>12271.936994112277</v>
      </c>
      <c r="BE38" s="9">
        <f t="shared" si="50"/>
        <v>16549.012337047767</v>
      </c>
      <c r="BF38" s="9">
        <f t="shared" si="50"/>
        <v>21893.199242628656</v>
      </c>
      <c r="BG38" s="9">
        <f t="shared" si="50"/>
        <v>28437.466336230133</v>
      </c>
    </row>
    <row r="39" spans="1:59" x14ac:dyDescent="0.2">
      <c r="A39" t="s">
        <v>30</v>
      </c>
      <c r="D39">
        <f>D37-D38</f>
        <v>12119.07057</v>
      </c>
      <c r="E39">
        <f t="shared" ref="E39:K39" si="51">E37-E38</f>
        <v>18469.159939500012</v>
      </c>
      <c r="F39">
        <f t="shared" si="51"/>
        <v>25724.695366140018</v>
      </c>
      <c r="G39">
        <f t="shared" si="51"/>
        <v>34059.37611457202</v>
      </c>
      <c r="H39">
        <f t="shared" si="51"/>
        <v>40871.690695888552</v>
      </c>
      <c r="I39">
        <f t="shared" si="51"/>
        <v>47692.928607757902</v>
      </c>
      <c r="J39">
        <f t="shared" si="51"/>
        <v>53951.630701182941</v>
      </c>
      <c r="K39">
        <f t="shared" si="51"/>
        <v>60467.442587255107</v>
      </c>
      <c r="M39" s="27" t="s">
        <v>30</v>
      </c>
      <c r="N39" s="27"/>
      <c r="O39" s="27"/>
      <c r="P39" s="27">
        <f>P37-P38</f>
        <v>10045.944132000011</v>
      </c>
      <c r="Q39" s="27">
        <f t="shared" ref="Q39:W39" si="52">Q37-Q38</f>
        <v>13530.106660199988</v>
      </c>
      <c r="R39" s="27">
        <f t="shared" si="52"/>
        <v>16471.557125339998</v>
      </c>
      <c r="S39" s="27">
        <f t="shared" si="52"/>
        <v>18780.618592208633</v>
      </c>
      <c r="T39" s="27">
        <f t="shared" si="52"/>
        <v>20426.250767739828</v>
      </c>
      <c r="U39" s="27">
        <f t="shared" si="52"/>
        <v>21187.044352477733</v>
      </c>
      <c r="V39" s="27">
        <f t="shared" si="52"/>
        <v>21750.392531425485</v>
      </c>
      <c r="W39" s="27">
        <f t="shared" si="52"/>
        <v>22435.738717326643</v>
      </c>
      <c r="Y39" t="s">
        <v>30</v>
      </c>
      <c r="AB39">
        <f>AB37-AB38</f>
        <v>8578.1618159999962</v>
      </c>
      <c r="AC39">
        <f t="shared" ref="AC39:AI39" si="53">AC37-AC38</f>
        <v>10920.595719749999</v>
      </c>
      <c r="AD39">
        <f t="shared" si="53"/>
        <v>13257.236046299997</v>
      </c>
      <c r="AE39">
        <f t="shared" si="53"/>
        <v>13376.452812784493</v>
      </c>
      <c r="AF39">
        <f t="shared" si="53"/>
        <v>10928.517551249312</v>
      </c>
      <c r="AG39">
        <f t="shared" si="53"/>
        <v>12236.351983292723</v>
      </c>
      <c r="AH39">
        <f t="shared" si="53"/>
        <v>13340.968674627497</v>
      </c>
      <c r="AI39">
        <f t="shared" si="53"/>
        <v>14175.557858120101</v>
      </c>
      <c r="AK39" t="s">
        <v>30</v>
      </c>
      <c r="AN39">
        <f t="shared" ref="AN39:AU39" si="54">AN37-AN38</f>
        <v>11030.086553999998</v>
      </c>
      <c r="AO39">
        <f t="shared" si="54"/>
        <v>16028.772257249999</v>
      </c>
      <c r="AP39">
        <f t="shared" si="54"/>
        <v>20613.010260299994</v>
      </c>
      <c r="AQ39">
        <f t="shared" si="54"/>
        <v>24655.306607584505</v>
      </c>
      <c r="AR39">
        <f t="shared" si="54"/>
        <v>28357.278752114606</v>
      </c>
      <c r="AS39">
        <f t="shared" si="54"/>
        <v>31183.915858480381</v>
      </c>
      <c r="AT39">
        <f t="shared" si="54"/>
        <v>33411.194096185165</v>
      </c>
      <c r="AU39">
        <f t="shared" si="54"/>
        <v>34837.14635501794</v>
      </c>
      <c r="AW39" t="s">
        <v>30</v>
      </c>
      <c r="AZ39">
        <f>AZ37-AZ38</f>
        <v>14228.576750512409</v>
      </c>
      <c r="BA39">
        <f t="shared" ref="BA39:BG39" si="55">BA37-BA38</f>
        <v>25140.713608353228</v>
      </c>
      <c r="BB39">
        <f t="shared" si="55"/>
        <v>39698.156826842358</v>
      </c>
      <c r="BC39">
        <f t="shared" si="55"/>
        <v>59361.145100577873</v>
      </c>
      <c r="BD39">
        <f t="shared" si="55"/>
        <v>84783.524088307182</v>
      </c>
      <c r="BE39">
        <f t="shared" si="55"/>
        <v>116911.15384317642</v>
      </c>
      <c r="BF39">
        <f t="shared" si="55"/>
        <v>157280.1652620637</v>
      </c>
      <c r="BG39">
        <f t="shared" si="55"/>
        <v>206941.90603365909</v>
      </c>
    </row>
    <row r="40" spans="1:59" x14ac:dyDescent="0.2">
      <c r="J40" t="s">
        <v>31</v>
      </c>
      <c r="K40">
        <f xml:space="preserve"> K39/(C19-C20)</f>
        <v>671860.47319172346</v>
      </c>
      <c r="M40" s="27"/>
      <c r="N40" s="27"/>
      <c r="O40" s="27"/>
      <c r="P40" s="27"/>
      <c r="Q40" s="27"/>
      <c r="R40" s="27"/>
      <c r="S40" s="27"/>
      <c r="T40" s="27"/>
      <c r="U40" s="27"/>
      <c r="V40" s="27" t="s">
        <v>42</v>
      </c>
      <c r="W40" s="27">
        <f xml:space="preserve"> W39/(O19-O20)</f>
        <v>249285.98574807381</v>
      </c>
      <c r="AH40" t="s">
        <v>31</v>
      </c>
      <c r="AI40">
        <f xml:space="preserve"> AI39/(AA19-AA20)</f>
        <v>157506.19842355669</v>
      </c>
      <c r="AT40" t="s">
        <v>31</v>
      </c>
      <c r="AU40">
        <f xml:space="preserve"> AU39/(AM19-AM20)</f>
        <v>387079.4039446438</v>
      </c>
      <c r="BF40" t="s">
        <v>31</v>
      </c>
      <c r="BG40">
        <f xml:space="preserve"> BG39/(AY19-AY20)</f>
        <v>2299354.5114851012</v>
      </c>
    </row>
    <row r="41" spans="1:59" x14ac:dyDescent="0.2">
      <c r="A41" s="9" t="s">
        <v>32</v>
      </c>
      <c r="B41" s="9"/>
      <c r="C41" s="9"/>
      <c r="D41" s="9">
        <f>D39</f>
        <v>12119.07057</v>
      </c>
      <c r="E41" s="9">
        <f t="shared" ref="E41:I41" si="56">E39</f>
        <v>18469.159939500012</v>
      </c>
      <c r="F41" s="9">
        <f t="shared" si="56"/>
        <v>25724.695366140018</v>
      </c>
      <c r="G41" s="9">
        <f t="shared" si="56"/>
        <v>34059.37611457202</v>
      </c>
      <c r="H41" s="9">
        <f t="shared" si="56"/>
        <v>40871.690695888552</v>
      </c>
      <c r="I41" s="9">
        <f t="shared" si="56"/>
        <v>47692.928607757902</v>
      </c>
      <c r="J41" s="9">
        <f>J39+K40</f>
        <v>725812.10389290645</v>
      </c>
      <c r="K41" s="9"/>
      <c r="M41" s="33" t="s">
        <v>32</v>
      </c>
      <c r="N41" s="33"/>
      <c r="O41" s="33"/>
      <c r="P41" s="33">
        <f>P39</f>
        <v>10045.944132000011</v>
      </c>
      <c r="Q41" s="33">
        <f t="shared" ref="Q41:U41" si="57">Q39</f>
        <v>13530.106660199988</v>
      </c>
      <c r="R41" s="33">
        <f t="shared" si="57"/>
        <v>16471.557125339998</v>
      </c>
      <c r="S41" s="33">
        <f t="shared" si="57"/>
        <v>18780.618592208633</v>
      </c>
      <c r="T41" s="33">
        <f t="shared" si="57"/>
        <v>20426.250767739828</v>
      </c>
      <c r="U41" s="33">
        <f t="shared" si="57"/>
        <v>21187.044352477733</v>
      </c>
      <c r="V41" s="33">
        <f>V39+W40</f>
        <v>271036.3782794993</v>
      </c>
      <c r="W41" s="33"/>
      <c r="Y41" s="9" t="s">
        <v>32</v>
      </c>
      <c r="Z41" s="9"/>
      <c r="AA41" s="9"/>
      <c r="AB41" s="9">
        <f>AB39</f>
        <v>8578.1618159999962</v>
      </c>
      <c r="AC41" s="9">
        <f t="shared" ref="AC41:AG41" si="58">AC39</f>
        <v>10920.595719749999</v>
      </c>
      <c r="AD41" s="9">
        <f t="shared" si="58"/>
        <v>13257.236046299997</v>
      </c>
      <c r="AE41" s="9">
        <f t="shared" si="58"/>
        <v>13376.452812784493</v>
      </c>
      <c r="AF41" s="9">
        <f t="shared" si="58"/>
        <v>10928.517551249312</v>
      </c>
      <c r="AG41" s="9">
        <f t="shared" si="58"/>
        <v>12236.351983292723</v>
      </c>
      <c r="AH41" s="9">
        <f>AH39+AI40</f>
        <v>170847.16709818417</v>
      </c>
      <c r="AI41" s="9"/>
      <c r="AK41" s="9" t="s">
        <v>32</v>
      </c>
      <c r="AL41" s="9"/>
      <c r="AM41" s="9"/>
      <c r="AN41" s="9">
        <f>AN39</f>
        <v>11030.086553999998</v>
      </c>
      <c r="AO41" s="9">
        <f t="shared" ref="AO41:AS41" si="59">AO39</f>
        <v>16028.772257249999</v>
      </c>
      <c r="AP41" s="9">
        <f t="shared" si="59"/>
        <v>20613.010260299994</v>
      </c>
      <c r="AQ41" s="9">
        <f t="shared" si="59"/>
        <v>24655.306607584505</v>
      </c>
      <c r="AR41" s="9">
        <f t="shared" si="59"/>
        <v>28357.278752114606</v>
      </c>
      <c r="AS41" s="9">
        <f t="shared" si="59"/>
        <v>31183.915858480381</v>
      </c>
      <c r="AT41" s="9">
        <f>AT39+AU40</f>
        <v>420490.59804082895</v>
      </c>
      <c r="AU41" s="9"/>
      <c r="AW41" s="9" t="s">
        <v>32</v>
      </c>
      <c r="AX41" s="9"/>
      <c r="AY41" s="9"/>
      <c r="AZ41" s="9">
        <f>AZ39</f>
        <v>14228.576750512409</v>
      </c>
      <c r="BA41" s="9">
        <f t="shared" ref="BA41:BE41" si="60">BA39</f>
        <v>25140.713608353228</v>
      </c>
      <c r="BB41" s="9">
        <f t="shared" si="60"/>
        <v>39698.156826842358</v>
      </c>
      <c r="BC41" s="9">
        <f t="shared" si="60"/>
        <v>59361.145100577873</v>
      </c>
      <c r="BD41" s="9">
        <f t="shared" si="60"/>
        <v>84783.524088307182</v>
      </c>
      <c r="BE41" s="9">
        <f t="shared" si="60"/>
        <v>116911.15384317642</v>
      </c>
      <c r="BF41" s="9">
        <f>BF39+BG40</f>
        <v>2456634.6767471647</v>
      </c>
      <c r="BG41" s="9"/>
    </row>
    <row r="42" spans="1:59" x14ac:dyDescent="0.2">
      <c r="A42" t="s">
        <v>33</v>
      </c>
      <c r="B42">
        <f>NPV(C19,D41:J41)</f>
        <v>417512.13366950175</v>
      </c>
      <c r="M42" s="27" t="s">
        <v>33</v>
      </c>
      <c r="N42" s="37">
        <f>NPV(O19,P41:V41)</f>
        <v>178890.37257489204</v>
      </c>
      <c r="O42" s="27"/>
      <c r="P42" s="27"/>
      <c r="Q42" s="27"/>
      <c r="R42" s="27"/>
      <c r="S42" s="27"/>
      <c r="T42" s="27"/>
      <c r="U42" s="27"/>
      <c r="V42" s="27"/>
      <c r="W42" s="27"/>
      <c r="Y42" t="s">
        <v>33</v>
      </c>
      <c r="Z42">
        <f>NPV(AA19,AB41:AH41)</f>
        <v>117964.99545552084</v>
      </c>
      <c r="AK42" t="s">
        <v>33</v>
      </c>
      <c r="AL42">
        <f>NPV(AM19,AN41:AT41)</f>
        <v>260824.84139801897</v>
      </c>
      <c r="AW42" t="s">
        <v>33</v>
      </c>
      <c r="AX42">
        <f>NPV(AY19,AZ41:BF41)</f>
        <v>1242591.053848526</v>
      </c>
    </row>
    <row r="43" spans="1:59" x14ac:dyDescent="0.2">
      <c r="A43" t="s">
        <v>34</v>
      </c>
      <c r="B43" s="39">
        <f>B42-B44+B45</f>
        <v>437297.13366950175</v>
      </c>
      <c r="C43" t="s">
        <v>43</v>
      </c>
      <c r="M43" s="27" t="s">
        <v>34</v>
      </c>
      <c r="N43" s="37">
        <f>N42-N44+N45</f>
        <v>198675.37257489204</v>
      </c>
      <c r="O43" s="27"/>
      <c r="P43" s="27"/>
      <c r="Q43" s="27"/>
      <c r="R43" s="27"/>
      <c r="S43" s="27"/>
      <c r="T43" s="27"/>
      <c r="U43" s="27"/>
      <c r="V43" s="27"/>
      <c r="W43" s="27"/>
      <c r="Y43" t="s">
        <v>34</v>
      </c>
      <c r="Z43">
        <f>Z42-Z44+Z45</f>
        <v>137749.99545552084</v>
      </c>
      <c r="AK43" t="s">
        <v>34</v>
      </c>
      <c r="AL43">
        <f>AL42-AL44+AL45</f>
        <v>280609.84139801899</v>
      </c>
      <c r="AW43" t="s">
        <v>34</v>
      </c>
      <c r="AX43">
        <f>AX42-AX44+AX45</f>
        <v>1262376.053848526</v>
      </c>
    </row>
    <row r="44" spans="1:59" x14ac:dyDescent="0.2">
      <c r="A44" t="s">
        <v>35</v>
      </c>
      <c r="B44">
        <v>3400</v>
      </c>
      <c r="M44" s="27" t="s">
        <v>35</v>
      </c>
      <c r="N44" s="27">
        <v>3400</v>
      </c>
      <c r="O44" s="27"/>
      <c r="P44" s="27"/>
      <c r="Q44" s="27"/>
      <c r="R44" s="27"/>
      <c r="S44" s="27"/>
      <c r="T44" s="27"/>
      <c r="U44" s="27"/>
      <c r="V44" s="27"/>
      <c r="W44" s="27"/>
      <c r="Y44" t="s">
        <v>35</v>
      </c>
      <c r="Z44">
        <v>3400</v>
      </c>
      <c r="AK44" t="s">
        <v>35</v>
      </c>
      <c r="AL44">
        <v>3400</v>
      </c>
      <c r="AW44" t="s">
        <v>35</v>
      </c>
      <c r="AX44">
        <v>3400</v>
      </c>
    </row>
    <row r="45" spans="1:59" x14ac:dyDescent="0.2">
      <c r="A45" t="s">
        <v>36</v>
      </c>
      <c r="B45" s="11">
        <v>23185</v>
      </c>
      <c r="M45" s="27" t="s">
        <v>36</v>
      </c>
      <c r="N45" s="34">
        <v>23185</v>
      </c>
      <c r="O45" s="27"/>
      <c r="P45" s="27"/>
      <c r="Q45" s="27"/>
      <c r="R45" s="27"/>
      <c r="S45" s="27"/>
      <c r="T45" s="27"/>
      <c r="U45" s="27"/>
      <c r="V45" s="27"/>
      <c r="W45" s="27"/>
      <c r="Y45" t="s">
        <v>36</v>
      </c>
      <c r="Z45" s="11">
        <v>23185</v>
      </c>
      <c r="AK45" t="s">
        <v>36</v>
      </c>
      <c r="AL45" s="11">
        <v>23185</v>
      </c>
      <c r="AW45" t="s">
        <v>36</v>
      </c>
      <c r="AX45" s="11">
        <v>23185</v>
      </c>
    </row>
    <row r="46" spans="1:59" x14ac:dyDescent="0.2">
      <c r="A46" t="s">
        <v>37</v>
      </c>
      <c r="B46" s="11">
        <v>3600</v>
      </c>
      <c r="M46" s="27" t="s">
        <v>37</v>
      </c>
      <c r="N46" s="34">
        <v>3600</v>
      </c>
      <c r="O46" s="27"/>
      <c r="P46" s="27"/>
      <c r="Q46" s="27"/>
      <c r="R46" s="27"/>
      <c r="S46" s="27"/>
      <c r="T46" s="27"/>
      <c r="U46" s="27"/>
      <c r="V46" s="27"/>
      <c r="W46" s="27"/>
      <c r="Y46" t="s">
        <v>37</v>
      </c>
      <c r="Z46" s="11">
        <v>3600</v>
      </c>
      <c r="AK46" t="s">
        <v>37</v>
      </c>
      <c r="AL46" s="11">
        <v>3600</v>
      </c>
      <c r="AW46" t="s">
        <v>37</v>
      </c>
      <c r="AX46" s="11">
        <v>3600</v>
      </c>
    </row>
    <row r="47" spans="1:59" x14ac:dyDescent="0.2">
      <c r="A47" s="14" t="s">
        <v>38</v>
      </c>
      <c r="B47" s="15">
        <f>B43/B46</f>
        <v>121.47142601930604</v>
      </c>
      <c r="M47" s="35" t="s">
        <v>38</v>
      </c>
      <c r="N47" s="36">
        <f>N43/N46</f>
        <v>55.18760349302557</v>
      </c>
      <c r="O47" s="27"/>
      <c r="P47" s="27"/>
      <c r="Q47" s="27"/>
      <c r="R47" s="27"/>
      <c r="S47" s="27"/>
      <c r="T47" s="27"/>
      <c r="U47" s="27"/>
      <c r="V47" s="27"/>
      <c r="W47" s="27"/>
      <c r="Y47" s="14" t="s">
        <v>38</v>
      </c>
      <c r="Z47" s="15">
        <f>Z43/Z46</f>
        <v>38.263887626533567</v>
      </c>
      <c r="AK47" s="14" t="s">
        <v>38</v>
      </c>
      <c r="AL47" s="15">
        <f>AL43/AL46</f>
        <v>77.947178166116387</v>
      </c>
      <c r="AW47" s="14" t="s">
        <v>38</v>
      </c>
      <c r="AX47" s="15">
        <f>AX43/AX46</f>
        <v>350.66001495792386</v>
      </c>
    </row>
    <row r="48" spans="1:59" x14ac:dyDescent="0.2">
      <c r="B48" s="10"/>
      <c r="N48" s="10"/>
      <c r="AK48" s="78"/>
      <c r="AL48" s="78"/>
      <c r="AM48" s="78"/>
      <c r="AN48" s="40"/>
      <c r="AW48" s="76" t="s">
        <v>44</v>
      </c>
      <c r="AX48" s="76"/>
      <c r="AY48" s="76"/>
      <c r="AZ48" s="38">
        <f>RATE(7,0,-AZ39,BG39)</f>
        <v>0.46587905849737571</v>
      </c>
    </row>
    <row r="49" spans="1:45" x14ac:dyDescent="0.2">
      <c r="P49" s="10"/>
    </row>
    <row r="50" spans="1:45" x14ac:dyDescent="0.2">
      <c r="A50" s="16"/>
      <c r="B50" s="16"/>
      <c r="C50" s="16"/>
      <c r="D50" s="17"/>
      <c r="E50" s="17"/>
      <c r="F50" s="17"/>
      <c r="G50" s="17"/>
      <c r="H50" s="17"/>
      <c r="I50" s="17"/>
      <c r="J50" s="17"/>
      <c r="K50" s="17"/>
      <c r="Y50" s="10"/>
    </row>
    <row r="51" spans="1:45" x14ac:dyDescent="0.2">
      <c r="A51" s="16"/>
    </row>
    <row r="52" spans="1:45" x14ac:dyDescent="0.2">
      <c r="L52" s="10"/>
    </row>
    <row r="53" spans="1:45" x14ac:dyDescent="0.2">
      <c r="AS53" s="10"/>
    </row>
    <row r="54" spans="1:45" x14ac:dyDescent="0.2">
      <c r="AS54" s="10"/>
    </row>
    <row r="56" spans="1:45" x14ac:dyDescent="0.2">
      <c r="B56" s="11"/>
    </row>
    <row r="57" spans="1:45" x14ac:dyDescent="0.2">
      <c r="B57" s="11"/>
    </row>
    <row r="69" spans="2:2" x14ac:dyDescent="0.2">
      <c r="B69" s="10"/>
    </row>
    <row r="72" spans="2:2" x14ac:dyDescent="0.2">
      <c r="B72" s="11"/>
    </row>
    <row r="73" spans="2:2" x14ac:dyDescent="0.2">
      <c r="B73" s="11"/>
    </row>
    <row r="74" spans="2:2" x14ac:dyDescent="0.2">
      <c r="B74" s="10"/>
    </row>
  </sheetData>
  <mergeCells count="7">
    <mergeCell ref="AW48:AY48"/>
    <mergeCell ref="AW1:BG1"/>
    <mergeCell ref="AK48:AM48"/>
    <mergeCell ref="A1:K1"/>
    <mergeCell ref="M1:W1"/>
    <mergeCell ref="Y1:AI1"/>
    <mergeCell ref="AK1:A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55C1-57B1-F14B-89BA-8199BFF24332}">
  <dimension ref="A1:K49"/>
  <sheetViews>
    <sheetView zoomScale="137" workbookViewId="0">
      <selection activeCell="E18" sqref="E18"/>
    </sheetView>
  </sheetViews>
  <sheetFormatPr baseColWidth="10" defaultColWidth="11.5" defaultRowHeight="15" x14ac:dyDescent="0.2"/>
  <cols>
    <col min="2" max="2" width="27.6640625" bestFit="1" customWidth="1"/>
  </cols>
  <sheetData>
    <row r="1" spans="1:11" ht="16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">
      <c r="A2" s="19"/>
      <c r="B2" s="79" t="s">
        <v>45</v>
      </c>
      <c r="C2" s="80"/>
      <c r="D2" s="19"/>
      <c r="E2" s="19"/>
      <c r="F2" s="19"/>
      <c r="G2" s="19"/>
      <c r="H2" s="19"/>
      <c r="I2" s="19"/>
      <c r="J2" s="19"/>
      <c r="K2" s="19"/>
    </row>
    <row r="3" spans="1:11" x14ac:dyDescent="0.2">
      <c r="B3" s="41" t="s">
        <v>46</v>
      </c>
      <c r="C3" s="42">
        <f>DCF!D31</f>
        <v>17943.254999999997</v>
      </c>
      <c r="D3" s="20"/>
      <c r="E3" s="20"/>
      <c r="F3" s="20"/>
      <c r="G3" s="20"/>
      <c r="H3" s="20"/>
      <c r="I3" s="20"/>
      <c r="J3" s="20"/>
      <c r="K3" s="20"/>
    </row>
    <row r="4" spans="1:11" x14ac:dyDescent="0.2">
      <c r="B4" s="41" t="s">
        <v>47</v>
      </c>
      <c r="C4" s="42">
        <v>11.52</v>
      </c>
      <c r="D4" s="20"/>
      <c r="E4" s="20"/>
      <c r="F4" s="20"/>
      <c r="G4" s="20"/>
      <c r="H4" s="20"/>
      <c r="I4" s="20"/>
      <c r="J4" s="20"/>
      <c r="K4" s="20"/>
    </row>
    <row r="5" spans="1:11" x14ac:dyDescent="0.2">
      <c r="A5" s="18"/>
      <c r="B5" s="41" t="s">
        <v>33</v>
      </c>
      <c r="C5" s="42">
        <f>C3*C4</f>
        <v>206706.29759999996</v>
      </c>
      <c r="D5" s="20"/>
      <c r="E5" s="20"/>
      <c r="F5" s="20"/>
      <c r="G5" s="20"/>
      <c r="H5" s="20"/>
      <c r="I5" s="20"/>
      <c r="J5" s="20"/>
      <c r="K5" s="20"/>
    </row>
    <row r="6" spans="1:11" x14ac:dyDescent="0.2">
      <c r="B6" s="41" t="s">
        <v>34</v>
      </c>
      <c r="C6" s="43">
        <f>C5-C7+C8</f>
        <v>226491.29759999996</v>
      </c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41" t="s">
        <v>35</v>
      </c>
      <c r="C7" s="42">
        <v>3400</v>
      </c>
      <c r="D7" s="21"/>
      <c r="E7" s="21"/>
      <c r="F7" s="21"/>
      <c r="G7" s="21"/>
      <c r="H7" s="21"/>
      <c r="I7" s="21"/>
      <c r="J7" s="21"/>
      <c r="K7" s="21"/>
    </row>
    <row r="8" spans="1:11" x14ac:dyDescent="0.2">
      <c r="B8" s="41" t="s">
        <v>36</v>
      </c>
      <c r="C8" s="43">
        <v>23185</v>
      </c>
      <c r="D8" s="21"/>
      <c r="E8" s="21"/>
      <c r="F8" s="21"/>
      <c r="G8" s="21"/>
      <c r="H8" s="21"/>
      <c r="I8" s="21"/>
      <c r="J8" s="21"/>
      <c r="K8" s="21"/>
    </row>
    <row r="9" spans="1:11" x14ac:dyDescent="0.2">
      <c r="B9" s="41" t="s">
        <v>37</v>
      </c>
      <c r="C9" s="43">
        <v>3600</v>
      </c>
      <c r="D9" s="21"/>
      <c r="E9" s="21"/>
      <c r="F9" s="21"/>
      <c r="G9" s="21"/>
      <c r="H9" s="21"/>
      <c r="I9" s="21"/>
      <c r="J9" s="21"/>
      <c r="K9" s="21"/>
    </row>
    <row r="10" spans="1:11" ht="16" thickBot="1" x14ac:dyDescent="0.25">
      <c r="B10" s="44" t="s">
        <v>38</v>
      </c>
      <c r="C10" s="45">
        <f>C6/C9</f>
        <v>62.914249333333323</v>
      </c>
      <c r="D10" s="22"/>
      <c r="E10" s="22"/>
      <c r="F10" s="22"/>
      <c r="G10" s="22"/>
      <c r="H10" s="22"/>
      <c r="I10" s="22"/>
      <c r="J10" s="22"/>
      <c r="K10" s="22"/>
    </row>
    <row r="11" spans="1:11" x14ac:dyDescent="0.2">
      <c r="B11" s="81" t="s">
        <v>48</v>
      </c>
      <c r="C11" s="80"/>
      <c r="D11" s="22"/>
      <c r="E11" s="22"/>
      <c r="F11" s="22"/>
      <c r="G11" s="22"/>
      <c r="H11" s="22"/>
      <c r="I11" s="22"/>
      <c r="J11" s="22"/>
      <c r="K11" s="22"/>
    </row>
    <row r="12" spans="1:11" x14ac:dyDescent="0.2">
      <c r="B12" s="41" t="s">
        <v>46</v>
      </c>
      <c r="C12" s="42">
        <f>DCF!D31</f>
        <v>17943.254999999997</v>
      </c>
      <c r="D12" s="23"/>
      <c r="E12" s="23"/>
      <c r="F12" s="23"/>
      <c r="G12" s="23"/>
      <c r="H12" s="23"/>
      <c r="I12" s="23"/>
      <c r="J12" s="23"/>
      <c r="K12" s="23"/>
    </row>
    <row r="13" spans="1:11" x14ac:dyDescent="0.2">
      <c r="B13" s="41" t="s">
        <v>49</v>
      </c>
      <c r="C13" s="42">
        <v>26.09</v>
      </c>
      <c r="D13" s="21"/>
      <c r="E13" s="21"/>
      <c r="F13" s="21"/>
      <c r="G13" s="21"/>
      <c r="H13" s="21"/>
      <c r="I13" s="21"/>
      <c r="J13" s="21"/>
      <c r="K13" s="21"/>
    </row>
    <row r="14" spans="1:11" x14ac:dyDescent="0.2">
      <c r="B14" s="41" t="s">
        <v>33</v>
      </c>
      <c r="C14" s="42">
        <f>C12*C13</f>
        <v>468139.52294999996</v>
      </c>
      <c r="F14" s="21"/>
      <c r="G14" s="21"/>
      <c r="H14" s="21"/>
      <c r="I14" s="21"/>
      <c r="J14" s="21"/>
      <c r="K14" s="21"/>
    </row>
    <row r="15" spans="1:11" x14ac:dyDescent="0.2">
      <c r="B15" s="41" t="s">
        <v>34</v>
      </c>
      <c r="C15" s="43">
        <f>C14-C16+C17</f>
        <v>487924.52294999996</v>
      </c>
      <c r="D15" s="21"/>
      <c r="E15" s="21"/>
    </row>
    <row r="16" spans="1:11" x14ac:dyDescent="0.2">
      <c r="B16" s="41" t="s">
        <v>35</v>
      </c>
      <c r="C16" s="42">
        <v>3400</v>
      </c>
    </row>
    <row r="17" spans="1:11" x14ac:dyDescent="0.2">
      <c r="B17" s="41" t="s">
        <v>36</v>
      </c>
      <c r="C17" s="43">
        <v>23185</v>
      </c>
    </row>
    <row r="18" spans="1:11" x14ac:dyDescent="0.2">
      <c r="B18" s="41" t="s">
        <v>37</v>
      </c>
      <c r="C18" s="43">
        <v>3600</v>
      </c>
    </row>
    <row r="19" spans="1:11" ht="16" thickBot="1" x14ac:dyDescent="0.25">
      <c r="B19" s="44" t="s">
        <v>38</v>
      </c>
      <c r="C19" s="45">
        <f>C15/C18</f>
        <v>135.53458970833333</v>
      </c>
    </row>
    <row r="20" spans="1:11" x14ac:dyDescent="0.2">
      <c r="B20" s="81" t="s">
        <v>50</v>
      </c>
      <c r="C20" s="80"/>
    </row>
    <row r="21" spans="1:11" x14ac:dyDescent="0.2">
      <c r="B21" s="46" t="s">
        <v>51</v>
      </c>
      <c r="C21" s="47"/>
    </row>
    <row r="22" spans="1:11" x14ac:dyDescent="0.2">
      <c r="A22" s="16"/>
      <c r="B22" s="48" t="s">
        <v>52</v>
      </c>
      <c r="C22" s="49">
        <v>7.4</v>
      </c>
      <c r="D22" s="17"/>
      <c r="E22" s="17"/>
      <c r="F22" s="17"/>
      <c r="G22" s="17"/>
      <c r="H22" s="17"/>
      <c r="I22" s="17"/>
      <c r="J22" s="17"/>
      <c r="K22" s="17"/>
    </row>
    <row r="23" spans="1:11" x14ac:dyDescent="0.2">
      <c r="A23" s="16"/>
      <c r="B23" s="50" t="s">
        <v>53</v>
      </c>
      <c r="C23" s="49">
        <v>40.67</v>
      </c>
    </row>
    <row r="24" spans="1:11" x14ac:dyDescent="0.2">
      <c r="A24" s="16"/>
      <c r="B24" s="51" t="s">
        <v>54</v>
      </c>
      <c r="C24" s="49">
        <v>15.97</v>
      </c>
    </row>
    <row r="25" spans="1:11" x14ac:dyDescent="0.2">
      <c r="A25" s="16"/>
      <c r="B25" s="51" t="s">
        <v>55</v>
      </c>
      <c r="C25" s="49">
        <v>15.18</v>
      </c>
    </row>
    <row r="26" spans="1:11" x14ac:dyDescent="0.2">
      <c r="A26" s="16"/>
      <c r="B26" s="50" t="s">
        <v>56</v>
      </c>
      <c r="C26" s="49">
        <v>16.86</v>
      </c>
    </row>
    <row r="27" spans="1:11" x14ac:dyDescent="0.2">
      <c r="A27" s="16"/>
      <c r="B27" s="51" t="s">
        <v>57</v>
      </c>
      <c r="C27" s="52">
        <v>26.08</v>
      </c>
    </row>
    <row r="28" spans="1:11" x14ac:dyDescent="0.2">
      <c r="B28" s="53" t="s">
        <v>58</v>
      </c>
      <c r="C28" s="54">
        <v>6.81</v>
      </c>
    </row>
    <row r="29" spans="1:11" x14ac:dyDescent="0.2">
      <c r="B29" s="41" t="s">
        <v>46</v>
      </c>
      <c r="C29" s="42">
        <f>DCF!D31</f>
        <v>17943.254999999997</v>
      </c>
    </row>
    <row r="30" spans="1:11" x14ac:dyDescent="0.2">
      <c r="B30" s="41" t="s">
        <v>59</v>
      </c>
      <c r="C30" s="42">
        <f>AVERAGE(C22:C28)</f>
        <v>18.424285714285713</v>
      </c>
    </row>
    <row r="31" spans="1:11" x14ac:dyDescent="0.2">
      <c r="B31" s="41" t="s">
        <v>33</v>
      </c>
      <c r="C31" s="42">
        <f>C29*C30</f>
        <v>330591.65676428564</v>
      </c>
    </row>
    <row r="32" spans="1:11" x14ac:dyDescent="0.2">
      <c r="B32" s="41" t="s">
        <v>34</v>
      </c>
      <c r="C32" s="43">
        <f>C31-C33+C34</f>
        <v>350376.65676428564</v>
      </c>
    </row>
    <row r="33" spans="2:3" x14ac:dyDescent="0.2">
      <c r="B33" s="41" t="s">
        <v>35</v>
      </c>
      <c r="C33" s="42">
        <v>3400</v>
      </c>
    </row>
    <row r="34" spans="2:3" x14ac:dyDescent="0.2">
      <c r="B34" s="41" t="s">
        <v>36</v>
      </c>
      <c r="C34" s="43">
        <v>23185</v>
      </c>
    </row>
    <row r="35" spans="2:3" x14ac:dyDescent="0.2">
      <c r="B35" s="41" t="s">
        <v>37</v>
      </c>
      <c r="C35" s="43">
        <v>3600</v>
      </c>
    </row>
    <row r="36" spans="2:3" ht="16" thickBot="1" x14ac:dyDescent="0.25">
      <c r="B36" s="44" t="s">
        <v>38</v>
      </c>
      <c r="C36" s="45">
        <f>C32/C35</f>
        <v>97.326849101190462</v>
      </c>
    </row>
    <row r="47" spans="2:3" x14ac:dyDescent="0.2">
      <c r="B47" s="11"/>
    </row>
    <row r="48" spans="2:3" x14ac:dyDescent="0.2">
      <c r="B48" s="11"/>
    </row>
    <row r="49" spans="2:2" x14ac:dyDescent="0.2">
      <c r="B49" s="10"/>
    </row>
  </sheetData>
  <mergeCells count="3">
    <mergeCell ref="B2:C2"/>
    <mergeCell ref="B11:C11"/>
    <mergeCell ref="B20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59A0-2939-4C34-8F05-81BD280EB45B}">
  <dimension ref="B2:D13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3" max="3" width="25.1640625" bestFit="1" customWidth="1"/>
  </cols>
  <sheetData>
    <row r="2" spans="2:4" x14ac:dyDescent="0.2">
      <c r="C2" s="60" t="s">
        <v>60</v>
      </c>
      <c r="D2" s="61"/>
    </row>
    <row r="3" spans="2:4" x14ac:dyDescent="0.2">
      <c r="C3" s="62" t="s">
        <v>61</v>
      </c>
      <c r="D3" s="63">
        <f>DCF!B46</f>
        <v>79.939445908117605</v>
      </c>
    </row>
    <row r="4" spans="2:4" x14ac:dyDescent="0.2">
      <c r="C4" s="62" t="s">
        <v>62</v>
      </c>
      <c r="D4" s="64">
        <f>AVERAGE('Sensitivity Analysis'!AX47,'Sensitivity Analysis'!AL47,'Sensitivity Analysis'!Z47,'Sensitivity Analysis'!B47,'Sensitivity Analysis'!N47)</f>
        <v>128.70602205258109</v>
      </c>
    </row>
    <row r="5" spans="2:4" x14ac:dyDescent="0.2">
      <c r="C5" s="65" t="s">
        <v>63</v>
      </c>
      <c r="D5" s="66">
        <f>AVERAGE(Multiples!C10,Multiples!C19,Multiples!C36)</f>
        <v>98.591896047619045</v>
      </c>
    </row>
    <row r="6" spans="2:4" x14ac:dyDescent="0.2">
      <c r="C6" s="67" t="s">
        <v>64</v>
      </c>
      <c r="D6" s="68">
        <f>100%/3</f>
        <v>0.33333333333333331</v>
      </c>
    </row>
    <row r="7" spans="2:4" x14ac:dyDescent="0.2">
      <c r="C7" s="67"/>
      <c r="D7" s="68"/>
    </row>
    <row r="8" spans="2:4" x14ac:dyDescent="0.2">
      <c r="B8" s="10"/>
      <c r="C8" s="69" t="s">
        <v>65</v>
      </c>
      <c r="D8" s="70">
        <f>D6*D3+D6*D4+D6*D5</f>
        <v>102.41245466943923</v>
      </c>
    </row>
    <row r="13" spans="2:4" x14ac:dyDescent="0.2">
      <c r="D13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DCF</vt:lpstr>
      <vt:lpstr>Sensitivity Analysis</vt:lpstr>
      <vt:lpstr>Multiples</vt:lpstr>
      <vt:lpstr>Final 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Pattapu, Shriya</cp:lastModifiedBy>
  <cp:revision/>
  <dcterms:created xsi:type="dcterms:W3CDTF">2025-08-31T23:45:28Z</dcterms:created>
  <dcterms:modified xsi:type="dcterms:W3CDTF">2025-09-04T17:38:17Z</dcterms:modified>
  <cp:category/>
  <cp:contentStatus/>
</cp:coreProperties>
</file>