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Drive\_Betaflight\Filter Analizer\"/>
    </mc:Choice>
  </mc:AlternateContent>
  <bookViews>
    <workbookView xWindow="0" yWindow="0" windowWidth="10650" windowHeight="8820"/>
  </bookViews>
  <sheets>
    <sheet name="BF Filter Latency" sheetId="2" r:id="rId1"/>
    <sheet name="FKF-Cutoff Calcs" sheetId="5" r:id="rId2"/>
    <sheet name="&lt;spacer&gt;" sheetId="7" r:id="rId3"/>
    <sheet name="Attenuation-DRAFT" sheetId="4" r:id="rId4"/>
  </sheets>
  <definedNames>
    <definedName name="solver_adj" localSheetId="1" hidden="1">'FKF-Cutoff Calcs'!$A$21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'FKF-Cutoff Calcs'!$F$21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1" hidden="1">1</definedName>
    <definedName name="solver_opt" localSheetId="0" hidden="1">'BF Filter Latency'!$X$32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150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4" l="1"/>
  <c r="B31" i="4"/>
  <c r="B32" i="4"/>
  <c r="B33" i="4"/>
  <c r="K27" i="4"/>
  <c r="K26" i="4" s="1"/>
  <c r="F26" i="4"/>
  <c r="F27" i="4"/>
  <c r="D27" i="4"/>
  <c r="I26" i="4" l="1"/>
  <c r="L30" i="2"/>
  <c r="AB31" i="2" l="1"/>
  <c r="AQ34" i="2" l="1"/>
  <c r="AP34" i="2" s="1"/>
  <c r="AQ35" i="2"/>
  <c r="AP35" i="2" s="1"/>
  <c r="AQ36" i="2"/>
  <c r="AP36" i="2" s="1"/>
  <c r="AQ37" i="2"/>
  <c r="AP37" i="2" s="1"/>
  <c r="AQ38" i="2"/>
  <c r="AP38" i="2" s="1"/>
  <c r="AQ39" i="2"/>
  <c r="AP39" i="2" s="1"/>
  <c r="AQ40" i="2"/>
  <c r="AP40" i="2" s="1"/>
  <c r="AQ41" i="2"/>
  <c r="AP41" i="2" s="1"/>
  <c r="AQ42" i="2"/>
  <c r="AP42" i="2" s="1"/>
  <c r="AQ43" i="2"/>
  <c r="AP43" i="2" s="1"/>
  <c r="AQ44" i="2"/>
  <c r="AP44" i="2" s="1"/>
  <c r="AQ45" i="2"/>
  <c r="AP45" i="2" s="1"/>
  <c r="AQ46" i="2"/>
  <c r="AP46" i="2" s="1"/>
  <c r="AQ47" i="2"/>
  <c r="AP47" i="2" s="1"/>
  <c r="AQ48" i="2"/>
  <c r="AP48" i="2" s="1"/>
  <c r="AQ49" i="2"/>
  <c r="AP49" i="2" s="1"/>
  <c r="AQ50" i="2"/>
  <c r="AP50" i="2" s="1"/>
  <c r="AQ51" i="2"/>
  <c r="AP51" i="2" s="1"/>
  <c r="AQ52" i="2"/>
  <c r="AP52" i="2" s="1"/>
  <c r="AQ53" i="2"/>
  <c r="AP53" i="2" s="1"/>
  <c r="AQ54" i="2"/>
  <c r="AP54" i="2" s="1"/>
  <c r="AQ55" i="2"/>
  <c r="AP55" i="2" s="1"/>
  <c r="AQ56" i="2"/>
  <c r="AP56" i="2" s="1"/>
  <c r="AQ57" i="2"/>
  <c r="AP57" i="2" s="1"/>
  <c r="AQ58" i="2"/>
  <c r="AP58" i="2" s="1"/>
  <c r="AQ59" i="2"/>
  <c r="AP59" i="2" s="1"/>
  <c r="AQ60" i="2"/>
  <c r="AP60" i="2" s="1"/>
  <c r="AQ61" i="2"/>
  <c r="AP61" i="2" s="1"/>
  <c r="AQ62" i="2"/>
  <c r="AP62" i="2" s="1"/>
  <c r="AQ63" i="2"/>
  <c r="AP63" i="2" s="1"/>
  <c r="AQ64" i="2"/>
  <c r="AP64" i="2" s="1"/>
  <c r="AQ65" i="2"/>
  <c r="AP65" i="2" s="1"/>
  <c r="AQ66" i="2"/>
  <c r="AP66" i="2" s="1"/>
  <c r="AQ67" i="2"/>
  <c r="AP67" i="2" s="1"/>
  <c r="AQ68" i="2"/>
  <c r="AP68" i="2" s="1"/>
  <c r="AQ69" i="2"/>
  <c r="AP69" i="2" s="1"/>
  <c r="AQ70" i="2"/>
  <c r="AP70" i="2" s="1"/>
  <c r="AQ71" i="2"/>
  <c r="AP71" i="2" s="1"/>
  <c r="AQ72" i="2"/>
  <c r="AP72" i="2" s="1"/>
  <c r="AQ73" i="2"/>
  <c r="AP73" i="2" s="1"/>
  <c r="AQ74" i="2"/>
  <c r="AP74" i="2" s="1"/>
  <c r="AQ75" i="2"/>
  <c r="AP75" i="2" s="1"/>
  <c r="AQ76" i="2"/>
  <c r="AP76" i="2" s="1"/>
  <c r="AQ77" i="2"/>
  <c r="AP77" i="2" s="1"/>
  <c r="AQ78" i="2"/>
  <c r="AP78" i="2" s="1"/>
  <c r="AQ79" i="2"/>
  <c r="AP79" i="2" s="1"/>
  <c r="AQ80" i="2"/>
  <c r="AP80" i="2" s="1"/>
  <c r="AQ81" i="2"/>
  <c r="AP81" i="2" s="1"/>
  <c r="AQ82" i="2"/>
  <c r="AP82" i="2" s="1"/>
  <c r="AQ83" i="2"/>
  <c r="AP83" i="2" s="1"/>
  <c r="AQ84" i="2"/>
  <c r="AP84" i="2" s="1"/>
  <c r="AQ85" i="2"/>
  <c r="AP85" i="2" s="1"/>
  <c r="AQ86" i="2"/>
  <c r="AP86" i="2" s="1"/>
  <c r="AQ87" i="2"/>
  <c r="AP87" i="2" s="1"/>
  <c r="AQ88" i="2"/>
  <c r="AP88" i="2" s="1"/>
  <c r="AQ89" i="2"/>
  <c r="AP89" i="2" s="1"/>
  <c r="AQ90" i="2"/>
  <c r="AP90" i="2" s="1"/>
  <c r="AQ91" i="2"/>
  <c r="AP91" i="2" s="1"/>
  <c r="AQ92" i="2"/>
  <c r="AP92" i="2" s="1"/>
  <c r="AQ93" i="2"/>
  <c r="AP93" i="2" s="1"/>
  <c r="AQ94" i="2"/>
  <c r="AP94" i="2" s="1"/>
  <c r="AQ33" i="2"/>
  <c r="AP33" i="2" s="1"/>
  <c r="BE5" i="2" l="1"/>
  <c r="B28" i="2"/>
  <c r="B31" i="2" s="1"/>
  <c r="E30" i="2"/>
  <c r="E31" i="2"/>
  <c r="C3" i="5"/>
  <c r="D3" i="5" s="1"/>
  <c r="C8" i="5"/>
  <c r="D8" i="5" s="1"/>
  <c r="G8" i="5" s="1"/>
  <c r="B9" i="5"/>
  <c r="B10" i="5" s="1"/>
  <c r="B11" i="5" s="1"/>
  <c r="AB34" i="2" l="1"/>
  <c r="AA34" i="2" s="1"/>
  <c r="AB53" i="2"/>
  <c r="AA53" i="2" s="1"/>
  <c r="AB37" i="2"/>
  <c r="AB77" i="2"/>
  <c r="AA77" i="2" s="1"/>
  <c r="AB92" i="2"/>
  <c r="AA92" i="2" s="1"/>
  <c r="AB60" i="2"/>
  <c r="AA60" i="2" s="1"/>
  <c r="AB33" i="2"/>
  <c r="AA33" i="2" s="1"/>
  <c r="AB79" i="2"/>
  <c r="AA79" i="2" s="1"/>
  <c r="AB63" i="2"/>
  <c r="AA63" i="2" s="1"/>
  <c r="AB47" i="2"/>
  <c r="AA47" i="2" s="1"/>
  <c r="AB88" i="2"/>
  <c r="AA88" i="2" s="1"/>
  <c r="AB56" i="2"/>
  <c r="AA56" i="2" s="1"/>
  <c r="AB90" i="2"/>
  <c r="AA90" i="2" s="1"/>
  <c r="AB74" i="2"/>
  <c r="AA74" i="2" s="1"/>
  <c r="AB58" i="2"/>
  <c r="AA58" i="2" s="1"/>
  <c r="AB42" i="2"/>
  <c r="AA42" i="2" s="1"/>
  <c r="AB85" i="2"/>
  <c r="AA85" i="2" s="1"/>
  <c r="AB49" i="2"/>
  <c r="AA49" i="2" s="1"/>
  <c r="AB93" i="2"/>
  <c r="AB69" i="2"/>
  <c r="AA69" i="2" s="1"/>
  <c r="AB84" i="2"/>
  <c r="AA84" i="2" s="1"/>
  <c r="AB52" i="2"/>
  <c r="AB91" i="2"/>
  <c r="AA91" i="2" s="1"/>
  <c r="AB75" i="2"/>
  <c r="AA75" i="2" s="1"/>
  <c r="AB59" i="2"/>
  <c r="AA59" i="2" s="1"/>
  <c r="AB43" i="2"/>
  <c r="AA43" i="2" s="1"/>
  <c r="AB80" i="2"/>
  <c r="AA80" i="2" s="1"/>
  <c r="AB48" i="2"/>
  <c r="AA48" i="2" s="1"/>
  <c r="AB86" i="2"/>
  <c r="AA86" i="2" s="1"/>
  <c r="AB70" i="2"/>
  <c r="AA70" i="2" s="1"/>
  <c r="AB54" i="2"/>
  <c r="AA54" i="2" s="1"/>
  <c r="AB38" i="2"/>
  <c r="AA38" i="2" s="1"/>
  <c r="AB73" i="2"/>
  <c r="AA73" i="2" s="1"/>
  <c r="AB45" i="2"/>
  <c r="AA45" i="2" s="1"/>
  <c r="AB65" i="2"/>
  <c r="AA65" i="2" s="1"/>
  <c r="AB44" i="2"/>
  <c r="AA44" i="2" s="1"/>
  <c r="AB71" i="2"/>
  <c r="AA71" i="2" s="1"/>
  <c r="AB39" i="2"/>
  <c r="AA39" i="2" s="1"/>
  <c r="AB40" i="2"/>
  <c r="AA40" i="2" s="1"/>
  <c r="AB57" i="2"/>
  <c r="AA57" i="2" s="1"/>
  <c r="AB41" i="2"/>
  <c r="AA41" i="2" s="1"/>
  <c r="AB81" i="2"/>
  <c r="AA81" i="2" s="1"/>
  <c r="AB61" i="2"/>
  <c r="AA61" i="2" s="1"/>
  <c r="AB68" i="2"/>
  <c r="AA68" i="2" s="1"/>
  <c r="AB36" i="2"/>
  <c r="AA36" i="2" s="1"/>
  <c r="AB83" i="2"/>
  <c r="AA83" i="2" s="1"/>
  <c r="AB67" i="2"/>
  <c r="AA67" i="2" s="1"/>
  <c r="AB51" i="2"/>
  <c r="AA51" i="2" s="1"/>
  <c r="AB35" i="2"/>
  <c r="AA35" i="2" s="1"/>
  <c r="AB64" i="2"/>
  <c r="AA64" i="2" s="1"/>
  <c r="AB94" i="2"/>
  <c r="AA94" i="2" s="1"/>
  <c r="AB78" i="2"/>
  <c r="AA78" i="2" s="1"/>
  <c r="AB62" i="2"/>
  <c r="AA62" i="2" s="1"/>
  <c r="AB46" i="2"/>
  <c r="AA46" i="2" s="1"/>
  <c r="AB89" i="2"/>
  <c r="AA89" i="2" s="1"/>
  <c r="AB76" i="2"/>
  <c r="AA76" i="2" s="1"/>
  <c r="AB87" i="2"/>
  <c r="AA87" i="2" s="1"/>
  <c r="AB55" i="2"/>
  <c r="AA55" i="2" s="1"/>
  <c r="AB72" i="2"/>
  <c r="AA72" i="2" s="1"/>
  <c r="AB82" i="2"/>
  <c r="AA82" i="2" s="1"/>
  <c r="AB66" i="2"/>
  <c r="AA66" i="2" s="1"/>
  <c r="AB50" i="2"/>
  <c r="AA50" i="2" s="1"/>
  <c r="AA52" i="2"/>
  <c r="AA37" i="2"/>
  <c r="AA93" i="2"/>
  <c r="E3" i="5"/>
  <c r="H3" i="5"/>
  <c r="G3" i="5"/>
  <c r="F3" i="5"/>
  <c r="C9" i="5"/>
  <c r="D9" i="5" s="1"/>
  <c r="H9" i="5"/>
  <c r="E9" i="5"/>
  <c r="F9" i="5"/>
  <c r="G9" i="5"/>
  <c r="C11" i="5"/>
  <c r="D11" i="5" s="1"/>
  <c r="B12" i="5"/>
  <c r="F8" i="5"/>
  <c r="C10" i="5"/>
  <c r="D10" i="5" s="1"/>
  <c r="E8" i="5"/>
  <c r="H8" i="5"/>
  <c r="E10" i="5" l="1"/>
  <c r="F10" i="5"/>
  <c r="G10" i="5"/>
  <c r="H10" i="5"/>
  <c r="C12" i="5"/>
  <c r="D12" i="5" s="1"/>
  <c r="B13" i="5"/>
  <c r="F11" i="5"/>
  <c r="G11" i="5"/>
  <c r="H11" i="5"/>
  <c r="E11" i="5"/>
  <c r="B14" i="5" l="1"/>
  <c r="C13" i="5"/>
  <c r="D13" i="5" s="1"/>
  <c r="G12" i="5"/>
  <c r="H12" i="5"/>
  <c r="E12" i="5"/>
  <c r="F12" i="5"/>
  <c r="AK30" i="2"/>
  <c r="H13" i="5" l="1"/>
  <c r="E13" i="5"/>
  <c r="F13" i="5"/>
  <c r="G13" i="5"/>
  <c r="B15" i="5"/>
  <c r="C14" i="5"/>
  <c r="D14" i="5" s="1"/>
  <c r="Q30" i="2"/>
  <c r="AD29" i="2"/>
  <c r="H29" i="2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E14" i="5" l="1"/>
  <c r="F14" i="5"/>
  <c r="G14" i="5"/>
  <c r="H14" i="5"/>
  <c r="C15" i="5"/>
  <c r="D15" i="5" s="1"/>
  <c r="B16" i="5"/>
  <c r="V30" i="2"/>
  <c r="C16" i="5" l="1"/>
  <c r="D16" i="5" s="1"/>
  <c r="B17" i="5"/>
  <c r="F15" i="5"/>
  <c r="H15" i="5"/>
  <c r="E15" i="5"/>
  <c r="G15" i="5"/>
  <c r="AO34" i="2"/>
  <c r="AR34" i="2"/>
  <c r="AO35" i="2"/>
  <c r="AR35" i="2"/>
  <c r="AO36" i="2"/>
  <c r="AR36" i="2"/>
  <c r="AO37" i="2"/>
  <c r="AR37" i="2"/>
  <c r="AO38" i="2"/>
  <c r="AR38" i="2"/>
  <c r="AO39" i="2"/>
  <c r="AR39" i="2"/>
  <c r="AO40" i="2"/>
  <c r="AR40" i="2"/>
  <c r="AO41" i="2"/>
  <c r="AR41" i="2"/>
  <c r="AO42" i="2"/>
  <c r="AR42" i="2"/>
  <c r="AO43" i="2"/>
  <c r="AR43" i="2"/>
  <c r="AO44" i="2"/>
  <c r="AR44" i="2"/>
  <c r="AO45" i="2"/>
  <c r="AR45" i="2"/>
  <c r="AO46" i="2"/>
  <c r="AR46" i="2"/>
  <c r="AO47" i="2"/>
  <c r="AR47" i="2"/>
  <c r="AO48" i="2"/>
  <c r="AR48" i="2"/>
  <c r="AO49" i="2"/>
  <c r="AR49" i="2"/>
  <c r="AO57" i="2"/>
  <c r="AR57" i="2"/>
  <c r="AO58" i="2"/>
  <c r="AR58" i="2"/>
  <c r="AO59" i="2"/>
  <c r="AR59" i="2"/>
  <c r="AO60" i="2"/>
  <c r="AR60" i="2"/>
  <c r="AO61" i="2"/>
  <c r="AR61" i="2"/>
  <c r="AO62" i="2"/>
  <c r="AR62" i="2"/>
  <c r="AO63" i="2"/>
  <c r="AR63" i="2"/>
  <c r="AC34" i="2"/>
  <c r="Y34" i="2" s="1"/>
  <c r="AC35" i="2"/>
  <c r="Y35" i="2" s="1"/>
  <c r="AC36" i="2"/>
  <c r="Y36" i="2" s="1"/>
  <c r="AC37" i="2"/>
  <c r="Y37" i="2" s="1"/>
  <c r="AC38" i="2"/>
  <c r="Y38" i="2" s="1"/>
  <c r="AC39" i="2"/>
  <c r="Y39" i="2" s="1"/>
  <c r="AC40" i="2"/>
  <c r="Y40" i="2" s="1"/>
  <c r="AC41" i="2"/>
  <c r="Y41" i="2" s="1"/>
  <c r="AC42" i="2"/>
  <c r="Y42" i="2" s="1"/>
  <c r="AC43" i="2"/>
  <c r="Y43" i="2" s="1"/>
  <c r="AC44" i="2"/>
  <c r="Y44" i="2" s="1"/>
  <c r="AC45" i="2"/>
  <c r="Y45" i="2" s="1"/>
  <c r="AC46" i="2"/>
  <c r="Y46" i="2" s="1"/>
  <c r="AC47" i="2"/>
  <c r="Y47" i="2" s="1"/>
  <c r="AC48" i="2"/>
  <c r="Y48" i="2" s="1"/>
  <c r="AC49" i="2"/>
  <c r="Y49" i="2" s="1"/>
  <c r="AC57" i="2"/>
  <c r="Y57" i="2" s="1"/>
  <c r="AC58" i="2"/>
  <c r="Y58" i="2" s="1"/>
  <c r="AC59" i="2"/>
  <c r="Y59" i="2" s="1"/>
  <c r="AC60" i="2"/>
  <c r="Y60" i="2" s="1"/>
  <c r="AC61" i="2"/>
  <c r="Y61" i="2" s="1"/>
  <c r="AC62" i="2"/>
  <c r="Y62" i="2" s="1"/>
  <c r="AC63" i="2"/>
  <c r="Y63" i="2" s="1"/>
  <c r="AC33" i="2"/>
  <c r="Y33" i="2" s="1"/>
  <c r="AR33" i="2"/>
  <c r="AO33" i="2"/>
  <c r="AI30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7" i="2"/>
  <c r="Z58" i="2"/>
  <c r="Z59" i="2"/>
  <c r="Z60" i="2"/>
  <c r="Z61" i="2"/>
  <c r="Z62" i="2"/>
  <c r="Z63" i="2"/>
  <c r="Z33" i="2"/>
  <c r="E33" i="2"/>
  <c r="D33" i="2" s="1"/>
  <c r="C17" i="5" l="1"/>
  <c r="D17" i="5" s="1"/>
  <c r="B18" i="5"/>
  <c r="G16" i="5"/>
  <c r="E16" i="5"/>
  <c r="F16" i="5"/>
  <c r="H16" i="5"/>
  <c r="AN63" i="2"/>
  <c r="AS63" i="2" s="1"/>
  <c r="AN61" i="2"/>
  <c r="AS61" i="2" s="1"/>
  <c r="AN59" i="2"/>
  <c r="AS59" i="2" s="1"/>
  <c r="AN57" i="2"/>
  <c r="AS57" i="2" s="1"/>
  <c r="AN48" i="2"/>
  <c r="AS48" i="2" s="1"/>
  <c r="AN46" i="2"/>
  <c r="AS46" i="2" s="1"/>
  <c r="AN44" i="2"/>
  <c r="AS44" i="2" s="1"/>
  <c r="AN42" i="2"/>
  <c r="AS42" i="2" s="1"/>
  <c r="AN40" i="2"/>
  <c r="AS40" i="2" s="1"/>
  <c r="AN38" i="2"/>
  <c r="AS38" i="2" s="1"/>
  <c r="AN36" i="2"/>
  <c r="AS36" i="2" s="1"/>
  <c r="AN34" i="2"/>
  <c r="AS34" i="2" s="1"/>
  <c r="AN33" i="2"/>
  <c r="AS33" i="2" s="1"/>
  <c r="AD33" i="2"/>
  <c r="AJ30" i="2"/>
  <c r="AN62" i="2"/>
  <c r="AS62" i="2" s="1"/>
  <c r="AN60" i="2"/>
  <c r="AS60" i="2" s="1"/>
  <c r="AN58" i="2"/>
  <c r="AS58" i="2" s="1"/>
  <c r="AN49" i="2"/>
  <c r="AS49" i="2" s="1"/>
  <c r="AN47" i="2"/>
  <c r="AS47" i="2" s="1"/>
  <c r="AN45" i="2"/>
  <c r="AS45" i="2" s="1"/>
  <c r="AN43" i="2"/>
  <c r="AS43" i="2" s="1"/>
  <c r="AN41" i="2"/>
  <c r="AS41" i="2" s="1"/>
  <c r="AN39" i="2"/>
  <c r="AS39" i="2" s="1"/>
  <c r="AN37" i="2"/>
  <c r="AS37" i="2" s="1"/>
  <c r="AN35" i="2"/>
  <c r="AS35" i="2" s="1"/>
  <c r="AJ31" i="2"/>
  <c r="AJ60" i="2" s="1"/>
  <c r="A64" i="2"/>
  <c r="B19" i="5" l="1"/>
  <c r="C18" i="5"/>
  <c r="D18" i="5" s="1"/>
  <c r="H17" i="5"/>
  <c r="F17" i="5"/>
  <c r="G17" i="5"/>
  <c r="E17" i="5"/>
  <c r="AJ46" i="2"/>
  <c r="AJ38" i="2"/>
  <c r="AJ58" i="2"/>
  <c r="AJ45" i="2"/>
  <c r="AJ43" i="2"/>
  <c r="AJ40" i="2"/>
  <c r="AJ49" i="2"/>
  <c r="AJ57" i="2"/>
  <c r="AJ34" i="2"/>
  <c r="AJ48" i="2"/>
  <c r="AJ41" i="2"/>
  <c r="AJ42" i="2"/>
  <c r="AJ33" i="2"/>
  <c r="AJ62" i="2"/>
  <c r="AJ61" i="2"/>
  <c r="AJ44" i="2"/>
  <c r="AJ35" i="2"/>
  <c r="AJ63" i="2"/>
  <c r="AJ39" i="2"/>
  <c r="AJ59" i="2"/>
  <c r="Z64" i="2"/>
  <c r="AO64" i="2"/>
  <c r="AR64" i="2"/>
  <c r="AC64" i="2"/>
  <c r="Y64" i="2" s="1"/>
  <c r="AJ64" i="2"/>
  <c r="AI34" i="2"/>
  <c r="AK34" i="2" s="1"/>
  <c r="AL34" i="2" s="1"/>
  <c r="AU34" i="2" s="1"/>
  <c r="AI38" i="2"/>
  <c r="AK38" i="2" s="1"/>
  <c r="AL38" i="2" s="1"/>
  <c r="AU38" i="2" s="1"/>
  <c r="AI42" i="2"/>
  <c r="AK42" i="2" s="1"/>
  <c r="AL42" i="2" s="1"/>
  <c r="AU42" i="2" s="1"/>
  <c r="AI46" i="2"/>
  <c r="AK46" i="2" s="1"/>
  <c r="AL46" i="2" s="1"/>
  <c r="AU46" i="2" s="1"/>
  <c r="AI58" i="2"/>
  <c r="AK58" i="2" s="1"/>
  <c r="AL58" i="2" s="1"/>
  <c r="AU58" i="2" s="1"/>
  <c r="AI62" i="2"/>
  <c r="AK62" i="2" s="1"/>
  <c r="AL62" i="2" s="1"/>
  <c r="AU62" i="2" s="1"/>
  <c r="AI35" i="2"/>
  <c r="AK35" i="2" s="1"/>
  <c r="AL35" i="2" s="1"/>
  <c r="AU35" i="2" s="1"/>
  <c r="AI39" i="2"/>
  <c r="AK39" i="2" s="1"/>
  <c r="AL39" i="2" s="1"/>
  <c r="AU39" i="2" s="1"/>
  <c r="AI43" i="2"/>
  <c r="AK43" i="2" s="1"/>
  <c r="AL43" i="2" s="1"/>
  <c r="AU43" i="2" s="1"/>
  <c r="AI47" i="2"/>
  <c r="AK47" i="2" s="1"/>
  <c r="AL47" i="2" s="1"/>
  <c r="AU47" i="2" s="1"/>
  <c r="AI59" i="2"/>
  <c r="AK59" i="2" s="1"/>
  <c r="AL59" i="2" s="1"/>
  <c r="AU59" i="2" s="1"/>
  <c r="AI63" i="2"/>
  <c r="AK63" i="2" s="1"/>
  <c r="AL63" i="2" s="1"/>
  <c r="AU63" i="2" s="1"/>
  <c r="AI36" i="2"/>
  <c r="AK36" i="2" s="1"/>
  <c r="AL36" i="2" s="1"/>
  <c r="AU36" i="2" s="1"/>
  <c r="AI44" i="2"/>
  <c r="AK44" i="2" s="1"/>
  <c r="AL44" i="2" s="1"/>
  <c r="AU44" i="2" s="1"/>
  <c r="AI60" i="2"/>
  <c r="AK60" i="2" s="1"/>
  <c r="AL60" i="2" s="1"/>
  <c r="AU60" i="2" s="1"/>
  <c r="AI33" i="2"/>
  <c r="AK33" i="2" s="1"/>
  <c r="AL33" i="2" s="1"/>
  <c r="AU33" i="2" s="1"/>
  <c r="AI37" i="2"/>
  <c r="AK37" i="2" s="1"/>
  <c r="AL37" i="2" s="1"/>
  <c r="AU37" i="2" s="1"/>
  <c r="AI45" i="2"/>
  <c r="AK45" i="2" s="1"/>
  <c r="AL45" i="2" s="1"/>
  <c r="AU45" i="2" s="1"/>
  <c r="AI61" i="2"/>
  <c r="AK61" i="2" s="1"/>
  <c r="AL61" i="2" s="1"/>
  <c r="AU61" i="2" s="1"/>
  <c r="AJ37" i="2"/>
  <c r="AI41" i="2"/>
  <c r="AK41" i="2" s="1"/>
  <c r="AL41" i="2" s="1"/>
  <c r="AU41" i="2" s="1"/>
  <c r="AI49" i="2"/>
  <c r="AK49" i="2" s="1"/>
  <c r="AL49" i="2" s="1"/>
  <c r="AU49" i="2" s="1"/>
  <c r="AJ47" i="2"/>
  <c r="AI40" i="2"/>
  <c r="AK40" i="2" s="1"/>
  <c r="AL40" i="2" s="1"/>
  <c r="AU40" i="2" s="1"/>
  <c r="AI48" i="2"/>
  <c r="AK48" i="2" s="1"/>
  <c r="AL48" i="2" s="1"/>
  <c r="AU48" i="2" s="1"/>
  <c r="AI64" i="2"/>
  <c r="AK64" i="2" s="1"/>
  <c r="AL64" i="2" s="1"/>
  <c r="AJ36" i="2"/>
  <c r="AI57" i="2"/>
  <c r="AK57" i="2" s="1"/>
  <c r="AL57" i="2" s="1"/>
  <c r="AU57" i="2" s="1"/>
  <c r="E18" i="5" l="1"/>
  <c r="G18" i="5"/>
  <c r="H18" i="5"/>
  <c r="F18" i="5"/>
  <c r="B20" i="5"/>
  <c r="C19" i="5"/>
  <c r="D19" i="5" s="1"/>
  <c r="AN64" i="2"/>
  <c r="AS64" i="2" s="1"/>
  <c r="AU64" i="2" s="1"/>
  <c r="P30" i="2"/>
  <c r="O30" i="2"/>
  <c r="F19" i="5" l="1"/>
  <c r="H19" i="5"/>
  <c r="E19" i="5"/>
  <c r="G19" i="5"/>
  <c r="C20" i="5"/>
  <c r="D20" i="5" s="1"/>
  <c r="B21" i="5"/>
  <c r="P31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7" i="2"/>
  <c r="AD58" i="2"/>
  <c r="AD59" i="2"/>
  <c r="AD60" i="2"/>
  <c r="AD61" i="2"/>
  <c r="AD62" i="2"/>
  <c r="AD63" i="2"/>
  <c r="AD64" i="2"/>
  <c r="C21" i="5" l="1"/>
  <c r="D21" i="5" s="1"/>
  <c r="B22" i="5"/>
  <c r="G20" i="5"/>
  <c r="E20" i="5"/>
  <c r="F20" i="5"/>
  <c r="H20" i="5"/>
  <c r="O34" i="2"/>
  <c r="Q34" i="2" s="1"/>
  <c r="O38" i="2"/>
  <c r="Q38" i="2" s="1"/>
  <c r="O42" i="2"/>
  <c r="Q42" i="2" s="1"/>
  <c r="O46" i="2"/>
  <c r="O58" i="2"/>
  <c r="Q58" i="2" s="1"/>
  <c r="O62" i="2"/>
  <c r="Q62" i="2" s="1"/>
  <c r="O35" i="2"/>
  <c r="Q35" i="2" s="1"/>
  <c r="O43" i="2"/>
  <c r="Q43" i="2" s="1"/>
  <c r="O63" i="2"/>
  <c r="Q63" i="2" s="1"/>
  <c r="O33" i="2"/>
  <c r="O40" i="2"/>
  <c r="Q40" i="2" s="1"/>
  <c r="O44" i="2"/>
  <c r="Q44" i="2" s="1"/>
  <c r="O60" i="2"/>
  <c r="Q60" i="2" s="1"/>
  <c r="O37" i="2"/>
  <c r="Q37" i="2" s="1"/>
  <c r="O41" i="2"/>
  <c r="Q41" i="2" s="1"/>
  <c r="O45" i="2"/>
  <c r="Q45" i="2" s="1"/>
  <c r="O49" i="2"/>
  <c r="Q49" i="2" s="1"/>
  <c r="O57" i="2"/>
  <c r="Q57" i="2" s="1"/>
  <c r="O61" i="2"/>
  <c r="Q61" i="2" s="1"/>
  <c r="O39" i="2"/>
  <c r="O47" i="2"/>
  <c r="Q47" i="2" s="1"/>
  <c r="O59" i="2"/>
  <c r="Q59" i="2" s="1"/>
  <c r="O36" i="2"/>
  <c r="Q36" i="2" s="1"/>
  <c r="O48" i="2"/>
  <c r="O64" i="2"/>
  <c r="Q64" i="2" s="1"/>
  <c r="P64" i="2"/>
  <c r="P61" i="2"/>
  <c r="P58" i="2"/>
  <c r="Q48" i="2"/>
  <c r="P62" i="2"/>
  <c r="P59" i="2"/>
  <c r="P49" i="2"/>
  <c r="P46" i="2"/>
  <c r="P44" i="2"/>
  <c r="P41" i="2"/>
  <c r="P38" i="2"/>
  <c r="P36" i="2"/>
  <c r="P33" i="2"/>
  <c r="P60" i="2"/>
  <c r="P57" i="2"/>
  <c r="Q46" i="2"/>
  <c r="P63" i="2"/>
  <c r="P48" i="2"/>
  <c r="P45" i="2"/>
  <c r="P42" i="2"/>
  <c r="P40" i="2"/>
  <c r="Q39" i="2"/>
  <c r="P37" i="2"/>
  <c r="P34" i="2"/>
  <c r="P43" i="2"/>
  <c r="P35" i="2"/>
  <c r="P47" i="2"/>
  <c r="P39" i="2"/>
  <c r="Q33" i="2"/>
  <c r="K30" i="2"/>
  <c r="J30" i="2"/>
  <c r="U30" i="2"/>
  <c r="T30" i="2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33" i="2"/>
  <c r="H33" i="2" s="1"/>
  <c r="B23" i="5" l="1"/>
  <c r="C22" i="5"/>
  <c r="D22" i="5" s="1"/>
  <c r="H21" i="5"/>
  <c r="F21" i="5"/>
  <c r="G21" i="5"/>
  <c r="E21" i="5"/>
  <c r="U31" i="2"/>
  <c r="T37" i="2" s="1"/>
  <c r="K31" i="2"/>
  <c r="C33" i="2"/>
  <c r="A65" i="2"/>
  <c r="O65" i="2" l="1"/>
  <c r="T34" i="2"/>
  <c r="V34" i="2" s="1"/>
  <c r="T39" i="2"/>
  <c r="V39" i="2" s="1"/>
  <c r="E22" i="5"/>
  <c r="G22" i="5"/>
  <c r="H22" i="5"/>
  <c r="F22" i="5"/>
  <c r="B24" i="5"/>
  <c r="C23" i="5"/>
  <c r="D23" i="5" s="1"/>
  <c r="J35" i="2"/>
  <c r="L35" i="2" s="1"/>
  <c r="M35" i="2" s="1"/>
  <c r="J39" i="2"/>
  <c r="L39" i="2" s="1"/>
  <c r="M39" i="2" s="1"/>
  <c r="J43" i="2"/>
  <c r="L43" i="2" s="1"/>
  <c r="M43" i="2" s="1"/>
  <c r="J47" i="2"/>
  <c r="L47" i="2" s="1"/>
  <c r="M47" i="2" s="1"/>
  <c r="J59" i="2"/>
  <c r="L59" i="2" s="1"/>
  <c r="M59" i="2" s="1"/>
  <c r="J63" i="2"/>
  <c r="J33" i="2"/>
  <c r="L33" i="2" s="1"/>
  <c r="M33" i="2" s="1"/>
  <c r="K36" i="2"/>
  <c r="K40" i="2"/>
  <c r="K44" i="2"/>
  <c r="K48" i="2"/>
  <c r="K60" i="2"/>
  <c r="K64" i="2"/>
  <c r="J38" i="2"/>
  <c r="L38" i="2" s="1"/>
  <c r="M38" i="2" s="1"/>
  <c r="J62" i="2"/>
  <c r="L62" i="2" s="1"/>
  <c r="M62" i="2" s="1"/>
  <c r="K35" i="2"/>
  <c r="J36" i="2"/>
  <c r="L36" i="2" s="1"/>
  <c r="M36" i="2" s="1"/>
  <c r="J40" i="2"/>
  <c r="L40" i="2" s="1"/>
  <c r="M40" i="2" s="1"/>
  <c r="J44" i="2"/>
  <c r="L44" i="2" s="1"/>
  <c r="M44" i="2" s="1"/>
  <c r="J48" i="2"/>
  <c r="L48" i="2" s="1"/>
  <c r="M48" i="2" s="1"/>
  <c r="J60" i="2"/>
  <c r="L60" i="2" s="1"/>
  <c r="M60" i="2" s="1"/>
  <c r="J64" i="2"/>
  <c r="L64" i="2" s="1"/>
  <c r="M64" i="2" s="1"/>
  <c r="K33" i="2"/>
  <c r="K37" i="2"/>
  <c r="K41" i="2"/>
  <c r="K45" i="2"/>
  <c r="K49" i="2"/>
  <c r="K57" i="2"/>
  <c r="K61" i="2"/>
  <c r="K65" i="2"/>
  <c r="K34" i="2"/>
  <c r="K46" i="2"/>
  <c r="K58" i="2"/>
  <c r="K62" i="2"/>
  <c r="J34" i="2"/>
  <c r="L34" i="2" s="1"/>
  <c r="M34" i="2" s="1"/>
  <c r="J46" i="2"/>
  <c r="L46" i="2" s="1"/>
  <c r="M46" i="2" s="1"/>
  <c r="K39" i="2"/>
  <c r="K47" i="2"/>
  <c r="K59" i="2"/>
  <c r="J37" i="2"/>
  <c r="L37" i="2" s="1"/>
  <c r="M37" i="2" s="1"/>
  <c r="J41" i="2"/>
  <c r="L41" i="2" s="1"/>
  <c r="M41" i="2" s="1"/>
  <c r="J45" i="2"/>
  <c r="L45" i="2" s="1"/>
  <c r="M45" i="2" s="1"/>
  <c r="J49" i="2"/>
  <c r="L49" i="2" s="1"/>
  <c r="M49" i="2" s="1"/>
  <c r="J57" i="2"/>
  <c r="L57" i="2" s="1"/>
  <c r="M57" i="2" s="1"/>
  <c r="J61" i="2"/>
  <c r="L61" i="2" s="1"/>
  <c r="M61" i="2" s="1"/>
  <c r="J65" i="2"/>
  <c r="L65" i="2" s="1"/>
  <c r="M65" i="2" s="1"/>
  <c r="K38" i="2"/>
  <c r="K42" i="2"/>
  <c r="J42" i="2"/>
  <c r="L42" i="2" s="1"/>
  <c r="M42" i="2" s="1"/>
  <c r="J58" i="2"/>
  <c r="L58" i="2" s="1"/>
  <c r="M58" i="2" s="1"/>
  <c r="K43" i="2"/>
  <c r="K63" i="2"/>
  <c r="T36" i="2"/>
  <c r="V36" i="2" s="1"/>
  <c r="T35" i="2"/>
  <c r="V35" i="2" s="1"/>
  <c r="T44" i="2"/>
  <c r="V44" i="2" s="1"/>
  <c r="T42" i="2"/>
  <c r="V42" i="2" s="1"/>
  <c r="T41" i="2"/>
  <c r="V41" i="2" s="1"/>
  <c r="T43" i="2"/>
  <c r="V43" i="2" s="1"/>
  <c r="T38" i="2"/>
  <c r="V38" i="2" s="1"/>
  <c r="T33" i="2"/>
  <c r="V33" i="2" s="1"/>
  <c r="T40" i="2"/>
  <c r="V40" i="2" s="1"/>
  <c r="V37" i="2"/>
  <c r="T45" i="2"/>
  <c r="V45" i="2" s="1"/>
  <c r="T49" i="2"/>
  <c r="V49" i="2" s="1"/>
  <c r="T57" i="2"/>
  <c r="V57" i="2" s="1"/>
  <c r="T61" i="2"/>
  <c r="T65" i="2"/>
  <c r="T46" i="2"/>
  <c r="V46" i="2" s="1"/>
  <c r="T58" i="2"/>
  <c r="V58" i="2" s="1"/>
  <c r="T62" i="2"/>
  <c r="T47" i="2"/>
  <c r="V47" i="2" s="1"/>
  <c r="T63" i="2"/>
  <c r="V63" i="2" s="1"/>
  <c r="T48" i="2"/>
  <c r="V48" i="2" s="1"/>
  <c r="T64" i="2"/>
  <c r="T60" i="2"/>
  <c r="V60" i="2" s="1"/>
  <c r="T59" i="2"/>
  <c r="V59" i="2" s="1"/>
  <c r="Z65" i="2"/>
  <c r="AO65" i="2"/>
  <c r="AR65" i="2"/>
  <c r="AC65" i="2"/>
  <c r="Y65" i="2" s="1"/>
  <c r="AD65" i="2" s="1"/>
  <c r="AJ65" i="2"/>
  <c r="AI65" i="2"/>
  <c r="AK65" i="2" s="1"/>
  <c r="AL65" i="2" s="1"/>
  <c r="P65" i="2"/>
  <c r="Q65" i="2"/>
  <c r="U42" i="2"/>
  <c r="U35" i="2"/>
  <c r="U39" i="2"/>
  <c r="U43" i="2"/>
  <c r="U47" i="2"/>
  <c r="U59" i="2"/>
  <c r="U63" i="2"/>
  <c r="U33" i="2"/>
  <c r="U40" i="2"/>
  <c r="U48" i="2"/>
  <c r="U37" i="2"/>
  <c r="U41" i="2"/>
  <c r="U45" i="2"/>
  <c r="U49" i="2"/>
  <c r="U57" i="2"/>
  <c r="U61" i="2"/>
  <c r="U65" i="2"/>
  <c r="U34" i="2"/>
  <c r="U38" i="2"/>
  <c r="U46" i="2"/>
  <c r="U58" i="2"/>
  <c r="U62" i="2"/>
  <c r="U36" i="2"/>
  <c r="U44" i="2"/>
  <c r="U60" i="2"/>
  <c r="U64" i="2"/>
  <c r="R33" i="2"/>
  <c r="G65" i="2"/>
  <c r="H65" i="2" s="1"/>
  <c r="A66" i="2"/>
  <c r="L63" i="2" l="1"/>
  <c r="M63" i="2" s="1"/>
  <c r="O66" i="2"/>
  <c r="K66" i="2"/>
  <c r="J66" i="2"/>
  <c r="L66" i="2" s="1"/>
  <c r="M66" i="2" s="1"/>
  <c r="F23" i="5"/>
  <c r="H23" i="5"/>
  <c r="E23" i="5"/>
  <c r="G23" i="5"/>
  <c r="C24" i="5"/>
  <c r="D24" i="5" s="1"/>
  <c r="B25" i="5"/>
  <c r="T66" i="2"/>
  <c r="A67" i="2"/>
  <c r="V61" i="2"/>
  <c r="V62" i="2"/>
  <c r="W62" i="2" s="1"/>
  <c r="V64" i="2"/>
  <c r="W64" i="2" s="1"/>
  <c r="AN65" i="2"/>
  <c r="AS65" i="2" s="1"/>
  <c r="AU65" i="2" s="1"/>
  <c r="AO66" i="2"/>
  <c r="AC66" i="2"/>
  <c r="Y66" i="2" s="1"/>
  <c r="AD66" i="2" s="1"/>
  <c r="AR66" i="2"/>
  <c r="AJ66" i="2"/>
  <c r="AI66" i="2"/>
  <c r="Z66" i="2"/>
  <c r="V65" i="2"/>
  <c r="W65" i="2" s="1"/>
  <c r="P66" i="2"/>
  <c r="U66" i="2"/>
  <c r="R59" i="2"/>
  <c r="R49" i="2"/>
  <c r="R43" i="2"/>
  <c r="R61" i="2"/>
  <c r="R41" i="2"/>
  <c r="R57" i="2"/>
  <c r="R44" i="2"/>
  <c r="R47" i="2"/>
  <c r="R39" i="2"/>
  <c r="R37" i="2"/>
  <c r="R35" i="2"/>
  <c r="R48" i="2"/>
  <c r="R34" i="2"/>
  <c r="R36" i="2"/>
  <c r="R42" i="2"/>
  <c r="R40" i="2"/>
  <c r="R63" i="2"/>
  <c r="R45" i="2"/>
  <c r="R60" i="2"/>
  <c r="R38" i="2"/>
  <c r="R62" i="2"/>
  <c r="R46" i="2"/>
  <c r="R58" i="2"/>
  <c r="W49" i="2"/>
  <c r="W48" i="2"/>
  <c r="W38" i="2"/>
  <c r="W47" i="2"/>
  <c r="W61" i="2"/>
  <c r="W63" i="2"/>
  <c r="W39" i="2"/>
  <c r="W58" i="2"/>
  <c r="W45" i="2"/>
  <c r="W33" i="2"/>
  <c r="W35" i="2"/>
  <c r="W60" i="2"/>
  <c r="W43" i="2"/>
  <c r="W57" i="2"/>
  <c r="W41" i="2"/>
  <c r="W42" i="2"/>
  <c r="W46" i="2"/>
  <c r="G66" i="2"/>
  <c r="H66" i="2" s="1"/>
  <c r="O67" i="2" l="1"/>
  <c r="Q67" i="2" s="1"/>
  <c r="R67" i="2" s="1"/>
  <c r="K67" i="2"/>
  <c r="J67" i="2"/>
  <c r="C25" i="5"/>
  <c r="D25" i="5" s="1"/>
  <c r="B26" i="5"/>
  <c r="G24" i="5"/>
  <c r="E24" i="5"/>
  <c r="F24" i="5"/>
  <c r="H24" i="5"/>
  <c r="V66" i="2"/>
  <c r="AK66" i="2"/>
  <c r="AL66" i="2" s="1"/>
  <c r="A68" i="2"/>
  <c r="T67" i="2"/>
  <c r="Q66" i="2"/>
  <c r="R66" i="2" s="1"/>
  <c r="AN66" i="2"/>
  <c r="AS66" i="2" s="1"/>
  <c r="Z67" i="2"/>
  <c r="AO67" i="2"/>
  <c r="AR67" i="2"/>
  <c r="AC67" i="2"/>
  <c r="Y67" i="2" s="1"/>
  <c r="AD67" i="2" s="1"/>
  <c r="AJ67" i="2"/>
  <c r="AI67" i="2"/>
  <c r="W66" i="2"/>
  <c r="P67" i="2"/>
  <c r="U67" i="2"/>
  <c r="R65" i="2"/>
  <c r="R64" i="2"/>
  <c r="W37" i="2"/>
  <c r="W40" i="2"/>
  <c r="W44" i="2"/>
  <c r="W34" i="2"/>
  <c r="W36" i="2"/>
  <c r="W59" i="2"/>
  <c r="G67" i="2"/>
  <c r="H67" i="2" s="1"/>
  <c r="O68" i="2" l="1"/>
  <c r="K68" i="2"/>
  <c r="J68" i="2"/>
  <c r="B27" i="5"/>
  <c r="C26" i="5"/>
  <c r="D26" i="5" s="1"/>
  <c r="H25" i="5"/>
  <c r="F25" i="5"/>
  <c r="G25" i="5"/>
  <c r="E25" i="5"/>
  <c r="AU66" i="2"/>
  <c r="V67" i="2"/>
  <c r="W67" i="2" s="1"/>
  <c r="AN67" i="2"/>
  <c r="AS67" i="2" s="1"/>
  <c r="AK67" i="2"/>
  <c r="AL67" i="2" s="1"/>
  <c r="Z68" i="2"/>
  <c r="AO68" i="2"/>
  <c r="AC68" i="2"/>
  <c r="Y68" i="2" s="1"/>
  <c r="AD68" i="2" s="1"/>
  <c r="AR68" i="2"/>
  <c r="AJ68" i="2"/>
  <c r="AK68" i="2" s="1"/>
  <c r="AL68" i="2" s="1"/>
  <c r="AI68" i="2"/>
  <c r="T68" i="2"/>
  <c r="L67" i="2"/>
  <c r="M67" i="2" s="1"/>
  <c r="P68" i="2"/>
  <c r="U68" i="2"/>
  <c r="G68" i="2"/>
  <c r="H68" i="2" s="1"/>
  <c r="A69" i="2"/>
  <c r="O69" i="2" l="1"/>
  <c r="J69" i="2"/>
  <c r="K69" i="2"/>
  <c r="E26" i="5"/>
  <c r="G26" i="5"/>
  <c r="H26" i="5"/>
  <c r="F26" i="5"/>
  <c r="B28" i="5"/>
  <c r="C27" i="5"/>
  <c r="D27" i="5" s="1"/>
  <c r="L68" i="2"/>
  <c r="M68" i="2" s="1"/>
  <c r="Q68" i="2"/>
  <c r="R68" i="2" s="1"/>
  <c r="V68" i="2"/>
  <c r="W68" i="2" s="1"/>
  <c r="AU67" i="2"/>
  <c r="AN68" i="2"/>
  <c r="AS68" i="2" s="1"/>
  <c r="AU68" i="2" s="1"/>
  <c r="Z69" i="2"/>
  <c r="AO69" i="2"/>
  <c r="AR69" i="2"/>
  <c r="AC69" i="2"/>
  <c r="Y69" i="2" s="1"/>
  <c r="AD69" i="2" s="1"/>
  <c r="AI69" i="2"/>
  <c r="AJ69" i="2"/>
  <c r="AK69" i="2" s="1"/>
  <c r="AL69" i="2" s="1"/>
  <c r="T69" i="2"/>
  <c r="P69" i="2"/>
  <c r="U69" i="2"/>
  <c r="G69" i="2"/>
  <c r="H69" i="2" s="1"/>
  <c r="A70" i="2"/>
  <c r="O70" i="2" l="1"/>
  <c r="J70" i="2"/>
  <c r="K70" i="2"/>
  <c r="F27" i="5"/>
  <c r="H27" i="5"/>
  <c r="E27" i="5"/>
  <c r="G27" i="5"/>
  <c r="C28" i="5"/>
  <c r="D28" i="5" s="1"/>
  <c r="B29" i="5"/>
  <c r="Q69" i="2"/>
  <c r="R69" i="2" s="1"/>
  <c r="V69" i="2"/>
  <c r="W69" i="2" s="1"/>
  <c r="AN69" i="2"/>
  <c r="AS69" i="2" s="1"/>
  <c r="AU69" i="2" s="1"/>
  <c r="Z70" i="2"/>
  <c r="AO70" i="2"/>
  <c r="AC70" i="2"/>
  <c r="Y70" i="2" s="1"/>
  <c r="AD70" i="2" s="1"/>
  <c r="AR70" i="2"/>
  <c r="AJ70" i="2"/>
  <c r="AK70" i="2" s="1"/>
  <c r="AL70" i="2" s="1"/>
  <c r="AI70" i="2"/>
  <c r="T70" i="2"/>
  <c r="L69" i="2"/>
  <c r="M69" i="2" s="1"/>
  <c r="P70" i="2"/>
  <c r="U70" i="2"/>
  <c r="V70" i="2" s="1"/>
  <c r="G70" i="2"/>
  <c r="H70" i="2" s="1"/>
  <c r="A71" i="2"/>
  <c r="O71" i="2" l="1"/>
  <c r="J71" i="2"/>
  <c r="K71" i="2"/>
  <c r="C29" i="5"/>
  <c r="D29" i="5" s="1"/>
  <c r="B30" i="5"/>
  <c r="G28" i="5"/>
  <c r="E28" i="5"/>
  <c r="F28" i="5"/>
  <c r="H28" i="5"/>
  <c r="Q70" i="2"/>
  <c r="R70" i="2" s="1"/>
  <c r="L70" i="2"/>
  <c r="M70" i="2" s="1"/>
  <c r="AN70" i="2"/>
  <c r="AS70" i="2" s="1"/>
  <c r="AU70" i="2" s="1"/>
  <c r="Z71" i="2"/>
  <c r="AO71" i="2"/>
  <c r="AR71" i="2"/>
  <c r="AC71" i="2"/>
  <c r="Y71" i="2" s="1"/>
  <c r="AD71" i="2" s="1"/>
  <c r="AJ71" i="2"/>
  <c r="AK71" i="2" s="1"/>
  <c r="AL71" i="2" s="1"/>
  <c r="AI71" i="2"/>
  <c r="T71" i="2"/>
  <c r="W70" i="2"/>
  <c r="P71" i="2"/>
  <c r="Q71" i="2" s="1"/>
  <c r="R71" i="2" s="1"/>
  <c r="U71" i="2"/>
  <c r="V71" i="2" s="1"/>
  <c r="G71" i="2"/>
  <c r="H71" i="2" s="1"/>
  <c r="A72" i="2"/>
  <c r="O72" i="2" l="1"/>
  <c r="K72" i="2"/>
  <c r="J72" i="2"/>
  <c r="B31" i="5"/>
  <c r="C30" i="5"/>
  <c r="D30" i="5" s="1"/>
  <c r="H29" i="5"/>
  <c r="F29" i="5"/>
  <c r="G29" i="5"/>
  <c r="E29" i="5"/>
  <c r="L71" i="2"/>
  <c r="M71" i="2" s="1"/>
  <c r="AN71" i="2"/>
  <c r="AS71" i="2" s="1"/>
  <c r="AU71" i="2" s="1"/>
  <c r="Z72" i="2"/>
  <c r="AO72" i="2"/>
  <c r="AR72" i="2"/>
  <c r="AC72" i="2"/>
  <c r="Y72" i="2" s="1"/>
  <c r="AD72" i="2" s="1"/>
  <c r="AJ72" i="2"/>
  <c r="AK72" i="2" s="1"/>
  <c r="AL72" i="2" s="1"/>
  <c r="AI72" i="2"/>
  <c r="T72" i="2"/>
  <c r="W71" i="2"/>
  <c r="P72" i="2"/>
  <c r="Q72" i="2" s="1"/>
  <c r="R72" i="2" s="1"/>
  <c r="U72" i="2"/>
  <c r="V72" i="2" s="1"/>
  <c r="G72" i="2"/>
  <c r="H72" i="2" s="1"/>
  <c r="A73" i="2"/>
  <c r="L72" i="2" l="1"/>
  <c r="M72" i="2" s="1"/>
  <c r="O73" i="2"/>
  <c r="K73" i="2"/>
  <c r="J73" i="2"/>
  <c r="E30" i="5"/>
  <c r="G30" i="5"/>
  <c r="H30" i="5"/>
  <c r="F30" i="5"/>
  <c r="B32" i="5"/>
  <c r="C31" i="5"/>
  <c r="D31" i="5" s="1"/>
  <c r="AN72" i="2"/>
  <c r="AS72" i="2" s="1"/>
  <c r="AU72" i="2" s="1"/>
  <c r="Z73" i="2"/>
  <c r="AO73" i="2"/>
  <c r="AR73" i="2"/>
  <c r="AC73" i="2"/>
  <c r="Y73" i="2" s="1"/>
  <c r="AD73" i="2" s="1"/>
  <c r="AI73" i="2"/>
  <c r="AJ73" i="2"/>
  <c r="AK73" i="2" s="1"/>
  <c r="AL73" i="2" s="1"/>
  <c r="T73" i="2"/>
  <c r="W72" i="2"/>
  <c r="P73" i="2"/>
  <c r="U73" i="2"/>
  <c r="G73" i="2"/>
  <c r="H73" i="2" s="1"/>
  <c r="A74" i="2"/>
  <c r="L73" i="2" l="1"/>
  <c r="M73" i="2" s="1"/>
  <c r="O74" i="2"/>
  <c r="K74" i="2"/>
  <c r="J74" i="2"/>
  <c r="F31" i="5"/>
  <c r="H31" i="5"/>
  <c r="E31" i="5"/>
  <c r="G31" i="5"/>
  <c r="C32" i="5"/>
  <c r="D32" i="5" s="1"/>
  <c r="B33" i="5"/>
  <c r="V73" i="2"/>
  <c r="W73" i="2" s="1"/>
  <c r="AN73" i="2"/>
  <c r="AS73" i="2" s="1"/>
  <c r="AU73" i="2" s="1"/>
  <c r="Z74" i="2"/>
  <c r="AO74" i="2"/>
  <c r="AC74" i="2"/>
  <c r="Y74" i="2" s="1"/>
  <c r="AD74" i="2" s="1"/>
  <c r="AR74" i="2"/>
  <c r="AJ74" i="2"/>
  <c r="AK74" i="2" s="1"/>
  <c r="AL74" i="2" s="1"/>
  <c r="AI74" i="2"/>
  <c r="T74" i="2"/>
  <c r="Q73" i="2"/>
  <c r="R73" i="2" s="1"/>
  <c r="P74" i="2"/>
  <c r="U74" i="2"/>
  <c r="V74" i="2" s="1"/>
  <c r="G74" i="2"/>
  <c r="H74" i="2" s="1"/>
  <c r="A75" i="2"/>
  <c r="L74" i="2" l="1"/>
  <c r="M74" i="2" s="1"/>
  <c r="O75" i="2"/>
  <c r="J75" i="2"/>
  <c r="K75" i="2"/>
  <c r="L75" i="2" s="1"/>
  <c r="M75" i="2" s="1"/>
  <c r="C33" i="5"/>
  <c r="D33" i="5" s="1"/>
  <c r="B34" i="5"/>
  <c r="G32" i="5"/>
  <c r="E32" i="5"/>
  <c r="F32" i="5"/>
  <c r="H32" i="5"/>
  <c r="Q74" i="2"/>
  <c r="R74" i="2" s="1"/>
  <c r="Z75" i="2"/>
  <c r="AO75" i="2"/>
  <c r="AR75" i="2"/>
  <c r="AC75" i="2"/>
  <c r="Y75" i="2" s="1"/>
  <c r="AD75" i="2" s="1"/>
  <c r="AJ75" i="2"/>
  <c r="AK75" i="2" s="1"/>
  <c r="AL75" i="2" s="1"/>
  <c r="AI75" i="2"/>
  <c r="T75" i="2"/>
  <c r="AN74" i="2"/>
  <c r="AS74" i="2" s="1"/>
  <c r="AU74" i="2" s="1"/>
  <c r="W74" i="2"/>
  <c r="P75" i="2"/>
  <c r="Q75" i="2" s="1"/>
  <c r="R75" i="2" s="1"/>
  <c r="U75" i="2"/>
  <c r="G75" i="2"/>
  <c r="H75" i="2" s="1"/>
  <c r="A76" i="2"/>
  <c r="O76" i="2" l="1"/>
  <c r="K76" i="2"/>
  <c r="J76" i="2"/>
  <c r="B35" i="5"/>
  <c r="C34" i="5"/>
  <c r="D34" i="5" s="1"/>
  <c r="H33" i="5"/>
  <c r="F33" i="5"/>
  <c r="G33" i="5"/>
  <c r="E33" i="5"/>
  <c r="AN75" i="2"/>
  <c r="AS75" i="2" s="1"/>
  <c r="AU75" i="2" s="1"/>
  <c r="V75" i="2"/>
  <c r="W75" i="2" s="1"/>
  <c r="Z76" i="2"/>
  <c r="AO76" i="2"/>
  <c r="AC76" i="2"/>
  <c r="Y76" i="2" s="1"/>
  <c r="AD76" i="2" s="1"/>
  <c r="AR76" i="2"/>
  <c r="AJ76" i="2"/>
  <c r="AK76" i="2" s="1"/>
  <c r="AL76" i="2" s="1"/>
  <c r="AI76" i="2"/>
  <c r="T76" i="2"/>
  <c r="P76" i="2"/>
  <c r="Q76" i="2" s="1"/>
  <c r="R76" i="2" s="1"/>
  <c r="U76" i="2"/>
  <c r="G76" i="2"/>
  <c r="H76" i="2" s="1"/>
  <c r="A77" i="2"/>
  <c r="L76" i="2" l="1"/>
  <c r="M76" i="2" s="1"/>
  <c r="O77" i="2"/>
  <c r="K77" i="2"/>
  <c r="J77" i="2"/>
  <c r="E34" i="5"/>
  <c r="G34" i="5"/>
  <c r="H34" i="5"/>
  <c r="F34" i="5"/>
  <c r="B36" i="5"/>
  <c r="C35" i="5"/>
  <c r="D35" i="5" s="1"/>
  <c r="V76" i="2"/>
  <c r="W76" i="2" s="1"/>
  <c r="AN76" i="2"/>
  <c r="AS76" i="2" s="1"/>
  <c r="AU76" i="2" s="1"/>
  <c r="Z77" i="2"/>
  <c r="AO77" i="2"/>
  <c r="AR77" i="2"/>
  <c r="AC77" i="2"/>
  <c r="Y77" i="2" s="1"/>
  <c r="AD77" i="2" s="1"/>
  <c r="AJ77" i="2"/>
  <c r="AK77" i="2" s="1"/>
  <c r="AL77" i="2" s="1"/>
  <c r="AI77" i="2"/>
  <c r="T77" i="2"/>
  <c r="P77" i="2"/>
  <c r="Q77" i="2" s="1"/>
  <c r="R77" i="2" s="1"/>
  <c r="U77" i="2"/>
  <c r="V77" i="2" s="1"/>
  <c r="G77" i="2"/>
  <c r="H77" i="2" s="1"/>
  <c r="A78" i="2"/>
  <c r="L77" i="2" l="1"/>
  <c r="M77" i="2" s="1"/>
  <c r="AN77" i="2"/>
  <c r="AS77" i="2" s="1"/>
  <c r="AU77" i="2" s="1"/>
  <c r="O78" i="2"/>
  <c r="K78" i="2"/>
  <c r="L78" i="2" s="1"/>
  <c r="M78" i="2" s="1"/>
  <c r="J78" i="2"/>
  <c r="F35" i="5"/>
  <c r="H35" i="5"/>
  <c r="E35" i="5"/>
  <c r="G35" i="5"/>
  <c r="C36" i="5"/>
  <c r="D36" i="5" s="1"/>
  <c r="B37" i="5"/>
  <c r="Z78" i="2"/>
  <c r="AO78" i="2"/>
  <c r="AC78" i="2"/>
  <c r="Y78" i="2" s="1"/>
  <c r="AD78" i="2" s="1"/>
  <c r="AR78" i="2"/>
  <c r="AJ78" i="2"/>
  <c r="AK78" i="2" s="1"/>
  <c r="AL78" i="2" s="1"/>
  <c r="AI78" i="2"/>
  <c r="T78" i="2"/>
  <c r="W77" i="2"/>
  <c r="G78" i="2"/>
  <c r="H78" i="2" s="1"/>
  <c r="P78" i="2"/>
  <c r="Q78" i="2" s="1"/>
  <c r="R78" i="2" s="1"/>
  <c r="U78" i="2"/>
  <c r="A79" i="2"/>
  <c r="O79" i="2" l="1"/>
  <c r="J79" i="2"/>
  <c r="K79" i="2"/>
  <c r="L79" i="2" s="1"/>
  <c r="M79" i="2" s="1"/>
  <c r="B38" i="5"/>
  <c r="C37" i="5"/>
  <c r="D37" i="5" s="1"/>
  <c r="G36" i="5"/>
  <c r="E36" i="5"/>
  <c r="F36" i="5"/>
  <c r="H36" i="5"/>
  <c r="V78" i="2"/>
  <c r="W78" i="2" s="1"/>
  <c r="AN78" i="2"/>
  <c r="AS78" i="2" s="1"/>
  <c r="AU78" i="2" s="1"/>
  <c r="Z79" i="2"/>
  <c r="AO79" i="2"/>
  <c r="AR79" i="2"/>
  <c r="AC79" i="2"/>
  <c r="Y79" i="2" s="1"/>
  <c r="AD79" i="2" s="1"/>
  <c r="AJ79" i="2"/>
  <c r="AK79" i="2" s="1"/>
  <c r="AL79" i="2" s="1"/>
  <c r="AI79" i="2"/>
  <c r="T79" i="2"/>
  <c r="G79" i="2"/>
  <c r="H79" i="2" s="1"/>
  <c r="P79" i="2"/>
  <c r="Q79" i="2" s="1"/>
  <c r="R79" i="2" s="1"/>
  <c r="U79" i="2"/>
  <c r="V79" i="2" s="1"/>
  <c r="A80" i="2"/>
  <c r="O80" i="2" l="1"/>
  <c r="K80" i="2"/>
  <c r="L80" i="2" s="1"/>
  <c r="M80" i="2" s="1"/>
  <c r="J80" i="2"/>
  <c r="H37" i="5"/>
  <c r="F37" i="5"/>
  <c r="G37" i="5"/>
  <c r="E37" i="5"/>
  <c r="B39" i="5"/>
  <c r="C39" i="5" s="1"/>
  <c r="D39" i="5" s="1"/>
  <c r="C38" i="5"/>
  <c r="D38" i="5" s="1"/>
  <c r="AN79" i="2"/>
  <c r="AS79" i="2" s="1"/>
  <c r="AU79" i="2" s="1"/>
  <c r="Z80" i="2"/>
  <c r="AO80" i="2"/>
  <c r="AR80" i="2"/>
  <c r="AC80" i="2"/>
  <c r="Y80" i="2" s="1"/>
  <c r="AD80" i="2" s="1"/>
  <c r="AJ80" i="2"/>
  <c r="AK80" i="2" s="1"/>
  <c r="AL80" i="2" s="1"/>
  <c r="AI80" i="2"/>
  <c r="T80" i="2"/>
  <c r="W79" i="2"/>
  <c r="G80" i="2"/>
  <c r="H80" i="2" s="1"/>
  <c r="P80" i="2"/>
  <c r="Q80" i="2" s="1"/>
  <c r="R80" i="2" s="1"/>
  <c r="U80" i="2"/>
  <c r="V80" i="2" s="1"/>
  <c r="A81" i="2"/>
  <c r="A50" i="2"/>
  <c r="O50" i="2" l="1"/>
  <c r="K50" i="2"/>
  <c r="J50" i="2"/>
  <c r="L50" i="2" s="1"/>
  <c r="M50" i="2" s="1"/>
  <c r="N38" i="2" s="1"/>
  <c r="O81" i="2"/>
  <c r="K81" i="2"/>
  <c r="J81" i="2"/>
  <c r="E38" i="5"/>
  <c r="G38" i="5"/>
  <c r="H38" i="5"/>
  <c r="F38" i="5"/>
  <c r="F39" i="5"/>
  <c r="H39" i="5"/>
  <c r="E39" i="5"/>
  <c r="G39" i="5"/>
  <c r="AN80" i="2"/>
  <c r="AS80" i="2" s="1"/>
  <c r="AU80" i="2" s="1"/>
  <c r="Z81" i="2"/>
  <c r="AO81" i="2"/>
  <c r="AR81" i="2"/>
  <c r="AC81" i="2"/>
  <c r="Y81" i="2" s="1"/>
  <c r="AD81" i="2" s="1"/>
  <c r="AJ81" i="2"/>
  <c r="AK81" i="2" s="1"/>
  <c r="AL81" i="2" s="1"/>
  <c r="AI81" i="2"/>
  <c r="T81" i="2"/>
  <c r="AO50" i="2"/>
  <c r="AC50" i="2"/>
  <c r="Y50" i="2" s="1"/>
  <c r="AR50" i="2"/>
  <c r="AJ50" i="2"/>
  <c r="AI50" i="2"/>
  <c r="AK50" i="2" s="1"/>
  <c r="AL50" i="2" s="1"/>
  <c r="T50" i="2"/>
  <c r="V50" i="2" s="1"/>
  <c r="W80" i="2"/>
  <c r="Z50" i="2"/>
  <c r="G81" i="2"/>
  <c r="H81" i="2" s="1"/>
  <c r="P81" i="2"/>
  <c r="Q81" i="2" s="1"/>
  <c r="R81" i="2" s="1"/>
  <c r="L81" i="2"/>
  <c r="M81" i="2" s="1"/>
  <c r="U81" i="2"/>
  <c r="Q50" i="2"/>
  <c r="R50" i="2" s="1"/>
  <c r="P50" i="2"/>
  <c r="U50" i="2"/>
  <c r="G50" i="2"/>
  <c r="H50" i="2" s="1"/>
  <c r="I38" i="2" s="1"/>
  <c r="A82" i="2"/>
  <c r="A51" i="2"/>
  <c r="O82" i="2" l="1"/>
  <c r="K82" i="2"/>
  <c r="J82" i="2"/>
  <c r="O51" i="2"/>
  <c r="Q51" i="2" s="1"/>
  <c r="R51" i="2" s="1"/>
  <c r="J51" i="2"/>
  <c r="L51" i="2" s="1"/>
  <c r="M51" i="2" s="1"/>
  <c r="K51" i="2"/>
  <c r="V81" i="2"/>
  <c r="W81" i="2" s="1"/>
  <c r="AN81" i="2"/>
  <c r="AS81" i="2" s="1"/>
  <c r="AU81" i="2" s="1"/>
  <c r="AM38" i="2"/>
  <c r="Z82" i="2"/>
  <c r="AO82" i="2"/>
  <c r="AC82" i="2"/>
  <c r="Y82" i="2" s="1"/>
  <c r="AD82" i="2" s="1"/>
  <c r="AR82" i="2"/>
  <c r="AJ82" i="2"/>
  <c r="AK82" i="2" s="1"/>
  <c r="AL82" i="2" s="1"/>
  <c r="AI82" i="2"/>
  <c r="T82" i="2"/>
  <c r="AN50" i="2"/>
  <c r="AS50" i="2" s="1"/>
  <c r="AT38" i="2" s="1"/>
  <c r="AO51" i="2"/>
  <c r="AR51" i="2"/>
  <c r="AC51" i="2"/>
  <c r="Y51" i="2" s="1"/>
  <c r="AJ51" i="2"/>
  <c r="AI51" i="2"/>
  <c r="AK51" i="2" s="1"/>
  <c r="AL51" i="2" s="1"/>
  <c r="T51" i="2"/>
  <c r="V51" i="2" s="1"/>
  <c r="W51" i="2" s="1"/>
  <c r="Z51" i="2"/>
  <c r="AD50" i="2"/>
  <c r="AE38" i="2" s="1"/>
  <c r="P51" i="2"/>
  <c r="U51" i="2"/>
  <c r="G82" i="2"/>
  <c r="H82" i="2" s="1"/>
  <c r="P82" i="2"/>
  <c r="Q82" i="2" s="1"/>
  <c r="R82" i="2" s="1"/>
  <c r="L82" i="2"/>
  <c r="M82" i="2" s="1"/>
  <c r="U82" i="2"/>
  <c r="V82" i="2" s="1"/>
  <c r="W50" i="2"/>
  <c r="S38" i="2"/>
  <c r="G51" i="2"/>
  <c r="H51" i="2" s="1"/>
  <c r="A83" i="2"/>
  <c r="A52" i="2"/>
  <c r="O52" i="2" l="1"/>
  <c r="K52" i="2"/>
  <c r="J52" i="2"/>
  <c r="L52" i="2" s="1"/>
  <c r="M52" i="2" s="1"/>
  <c r="O83" i="2"/>
  <c r="K83" i="2"/>
  <c r="L83" i="2" s="1"/>
  <c r="M83" i="2" s="1"/>
  <c r="J83" i="2"/>
  <c r="AN82" i="2"/>
  <c r="AS82" i="2" s="1"/>
  <c r="AU82" i="2" s="1"/>
  <c r="AN51" i="2"/>
  <c r="AS51" i="2" s="1"/>
  <c r="AU51" i="2" s="1"/>
  <c r="AO52" i="2"/>
  <c r="AR52" i="2"/>
  <c r="AC52" i="2"/>
  <c r="Y52" i="2" s="1"/>
  <c r="AJ52" i="2"/>
  <c r="AI52" i="2"/>
  <c r="AK52" i="2" s="1"/>
  <c r="AL52" i="2" s="1"/>
  <c r="T52" i="2"/>
  <c r="V52" i="2" s="1"/>
  <c r="Z83" i="2"/>
  <c r="AO83" i="2"/>
  <c r="AR83" i="2"/>
  <c r="AC83" i="2"/>
  <c r="Y83" i="2" s="1"/>
  <c r="AD83" i="2" s="1"/>
  <c r="AJ83" i="2"/>
  <c r="AK83" i="2" s="1"/>
  <c r="AL83" i="2" s="1"/>
  <c r="AI83" i="2"/>
  <c r="T83" i="2"/>
  <c r="AU50" i="2"/>
  <c r="W82" i="2"/>
  <c r="AD51" i="2"/>
  <c r="Z52" i="2"/>
  <c r="Q52" i="2"/>
  <c r="R52" i="2" s="1"/>
  <c r="P52" i="2"/>
  <c r="U52" i="2"/>
  <c r="G83" i="2"/>
  <c r="H83" i="2" s="1"/>
  <c r="P83" i="2"/>
  <c r="Q83" i="2" s="1"/>
  <c r="R83" i="2" s="1"/>
  <c r="U83" i="2"/>
  <c r="X38" i="2"/>
  <c r="G52" i="2"/>
  <c r="H52" i="2" s="1"/>
  <c r="A84" i="2"/>
  <c r="A53" i="2"/>
  <c r="O53" i="2" l="1"/>
  <c r="J53" i="2"/>
  <c r="L53" i="2" s="1"/>
  <c r="M53" i="2" s="1"/>
  <c r="K53" i="2"/>
  <c r="O84" i="2"/>
  <c r="K84" i="2"/>
  <c r="L84" i="2" s="1"/>
  <c r="M84" i="2" s="1"/>
  <c r="J84" i="2"/>
  <c r="AN52" i="2"/>
  <c r="AS52" i="2" s="1"/>
  <c r="AU52" i="2" s="1"/>
  <c r="V83" i="2"/>
  <c r="AN83" i="2"/>
  <c r="AS83" i="2" s="1"/>
  <c r="AU83" i="2" s="1"/>
  <c r="Z84" i="2"/>
  <c r="AO84" i="2"/>
  <c r="AC84" i="2"/>
  <c r="Y84" i="2" s="1"/>
  <c r="AD84" i="2" s="1"/>
  <c r="AR84" i="2"/>
  <c r="AJ84" i="2"/>
  <c r="AK84" i="2" s="1"/>
  <c r="AL84" i="2" s="1"/>
  <c r="AI84" i="2"/>
  <c r="T84" i="2"/>
  <c r="AO53" i="2"/>
  <c r="AR53" i="2"/>
  <c r="AC53" i="2"/>
  <c r="Y53" i="2" s="1"/>
  <c r="AI53" i="2"/>
  <c r="AK53" i="2" s="1"/>
  <c r="AL53" i="2" s="1"/>
  <c r="AJ53" i="2"/>
  <c r="T53" i="2"/>
  <c r="V53" i="2" s="1"/>
  <c r="W83" i="2"/>
  <c r="W52" i="2"/>
  <c r="AD52" i="2"/>
  <c r="Z53" i="2"/>
  <c r="P53" i="2"/>
  <c r="Q53" i="2"/>
  <c r="R53" i="2" s="1"/>
  <c r="U53" i="2"/>
  <c r="G84" i="2"/>
  <c r="H84" i="2" s="1"/>
  <c r="P84" i="2"/>
  <c r="Q84" i="2" s="1"/>
  <c r="R84" i="2" s="1"/>
  <c r="U84" i="2"/>
  <c r="V84" i="2" s="1"/>
  <c r="G53" i="2"/>
  <c r="H53" i="2" s="1"/>
  <c r="A85" i="2"/>
  <c r="A54" i="2"/>
  <c r="O54" i="2" l="1"/>
  <c r="J54" i="2"/>
  <c r="K54" i="2"/>
  <c r="O85" i="2"/>
  <c r="J85" i="2"/>
  <c r="K85" i="2"/>
  <c r="L85" i="2" s="1"/>
  <c r="M85" i="2" s="1"/>
  <c r="AN53" i="2"/>
  <c r="AS53" i="2" s="1"/>
  <c r="AU53" i="2" s="1"/>
  <c r="AN84" i="2"/>
  <c r="AS84" i="2" s="1"/>
  <c r="AU84" i="2" s="1"/>
  <c r="Z85" i="2"/>
  <c r="AO85" i="2"/>
  <c r="AR85" i="2"/>
  <c r="AC85" i="2"/>
  <c r="Y85" i="2" s="1"/>
  <c r="AD85" i="2" s="1"/>
  <c r="AJ85" i="2"/>
  <c r="AK85" i="2" s="1"/>
  <c r="AL85" i="2" s="1"/>
  <c r="AI85" i="2"/>
  <c r="T85" i="2"/>
  <c r="AO54" i="2"/>
  <c r="AC54" i="2"/>
  <c r="Y54" i="2" s="1"/>
  <c r="AD54" i="2" s="1"/>
  <c r="AR54" i="2"/>
  <c r="AJ54" i="2"/>
  <c r="AI54" i="2"/>
  <c r="AK54" i="2" s="1"/>
  <c r="AL54" i="2" s="1"/>
  <c r="T54" i="2"/>
  <c r="V54" i="2" s="1"/>
  <c r="W53" i="2"/>
  <c r="W84" i="2"/>
  <c r="AD53" i="2"/>
  <c r="Z54" i="2"/>
  <c r="G85" i="2"/>
  <c r="H85" i="2" s="1"/>
  <c r="P85" i="2"/>
  <c r="Q85" i="2" s="1"/>
  <c r="R85" i="2" s="1"/>
  <c r="U85" i="2"/>
  <c r="V85" i="2" s="1"/>
  <c r="Q54" i="2"/>
  <c r="R54" i="2" s="1"/>
  <c r="P54" i="2"/>
  <c r="L54" i="2"/>
  <c r="M54" i="2" s="1"/>
  <c r="U54" i="2"/>
  <c r="G54" i="2"/>
  <c r="H54" i="2" s="1"/>
  <c r="A86" i="2"/>
  <c r="A55" i="2"/>
  <c r="O86" i="2" l="1"/>
  <c r="K86" i="2"/>
  <c r="J86" i="2"/>
  <c r="O55" i="2"/>
  <c r="Q55" i="2" s="1"/>
  <c r="R55" i="2" s="1"/>
  <c r="J55" i="2"/>
  <c r="K55" i="2"/>
  <c r="AN85" i="2"/>
  <c r="AS85" i="2" s="1"/>
  <c r="AU85" i="2" s="1"/>
  <c r="AO55" i="2"/>
  <c r="AR55" i="2"/>
  <c r="AC55" i="2"/>
  <c r="Y55" i="2" s="1"/>
  <c r="AD55" i="2" s="1"/>
  <c r="AJ55" i="2"/>
  <c r="AI55" i="2"/>
  <c r="AK55" i="2" s="1"/>
  <c r="AL55" i="2" s="1"/>
  <c r="T55" i="2"/>
  <c r="V55" i="2" s="1"/>
  <c r="Z86" i="2"/>
  <c r="AO86" i="2"/>
  <c r="AC86" i="2"/>
  <c r="Y86" i="2" s="1"/>
  <c r="AD86" i="2" s="1"/>
  <c r="AR86" i="2"/>
  <c r="AJ86" i="2"/>
  <c r="AK86" i="2" s="1"/>
  <c r="AL86" i="2" s="1"/>
  <c r="AI86" i="2"/>
  <c r="T86" i="2"/>
  <c r="AN54" i="2"/>
  <c r="AS54" i="2" s="1"/>
  <c r="W54" i="2"/>
  <c r="W85" i="2"/>
  <c r="Z55" i="2"/>
  <c r="P86" i="2"/>
  <c r="Q86" i="2" s="1"/>
  <c r="R86" i="2" s="1"/>
  <c r="L86" i="2"/>
  <c r="M86" i="2" s="1"/>
  <c r="U86" i="2"/>
  <c r="V86" i="2" s="1"/>
  <c r="P55" i="2"/>
  <c r="L55" i="2"/>
  <c r="M55" i="2" s="1"/>
  <c r="U55" i="2"/>
  <c r="G55" i="2"/>
  <c r="H55" i="2" s="1"/>
  <c r="A87" i="2"/>
  <c r="A56" i="2"/>
  <c r="O56" i="2" l="1"/>
  <c r="K56" i="2"/>
  <c r="J56" i="2"/>
  <c r="L56" i="2" s="1"/>
  <c r="M56" i="2" s="1"/>
  <c r="N51" i="2" s="1"/>
  <c r="O87" i="2"/>
  <c r="J87" i="2"/>
  <c r="K87" i="2"/>
  <c r="L87" i="2" s="1"/>
  <c r="M87" i="2" s="1"/>
  <c r="AN86" i="2"/>
  <c r="AS86" i="2" s="1"/>
  <c r="AU86" i="2" s="1"/>
  <c r="AO56" i="2"/>
  <c r="AR56" i="2"/>
  <c r="AC56" i="2"/>
  <c r="Y56" i="2" s="1"/>
  <c r="AJ56" i="2"/>
  <c r="AI56" i="2"/>
  <c r="AK56" i="2" s="1"/>
  <c r="AL56" i="2" s="1"/>
  <c r="T56" i="2"/>
  <c r="V56" i="2" s="1"/>
  <c r="AN55" i="2"/>
  <c r="AS55" i="2" s="1"/>
  <c r="AU55" i="2" s="1"/>
  <c r="Z87" i="2"/>
  <c r="AO87" i="2"/>
  <c r="AR87" i="2"/>
  <c r="AC87" i="2"/>
  <c r="Y87" i="2" s="1"/>
  <c r="AD87" i="2" s="1"/>
  <c r="AJ87" i="2"/>
  <c r="AK87" i="2" s="1"/>
  <c r="AL87" i="2" s="1"/>
  <c r="AI87" i="2"/>
  <c r="T87" i="2"/>
  <c r="AU54" i="2"/>
  <c r="W55" i="2"/>
  <c r="W86" i="2"/>
  <c r="Z56" i="2"/>
  <c r="P56" i="2"/>
  <c r="Q56" i="2"/>
  <c r="R56" i="2" s="1"/>
  <c r="U56" i="2"/>
  <c r="P87" i="2"/>
  <c r="Q87" i="2" s="1"/>
  <c r="R87" i="2" s="1"/>
  <c r="U87" i="2"/>
  <c r="V87" i="2" s="1"/>
  <c r="G56" i="2"/>
  <c r="H56" i="2" s="1"/>
  <c r="I51" i="2" s="1"/>
  <c r="A88" i="2"/>
  <c r="O88" i="2" l="1"/>
  <c r="K88" i="2"/>
  <c r="L88" i="2" s="1"/>
  <c r="M88" i="2" s="1"/>
  <c r="J88" i="2"/>
  <c r="AN87" i="2"/>
  <c r="AS87" i="2" s="1"/>
  <c r="AU87" i="2" s="1"/>
  <c r="Z88" i="2"/>
  <c r="AO88" i="2"/>
  <c r="AR88" i="2"/>
  <c r="AC88" i="2"/>
  <c r="Y88" i="2" s="1"/>
  <c r="AD88" i="2" s="1"/>
  <c r="AJ88" i="2"/>
  <c r="AK88" i="2" s="1"/>
  <c r="AL88" i="2" s="1"/>
  <c r="AI88" i="2"/>
  <c r="T88" i="2"/>
  <c r="AN56" i="2"/>
  <c r="AS56" i="2" s="1"/>
  <c r="AT51" i="2" s="1"/>
  <c r="AM51" i="2"/>
  <c r="W87" i="2"/>
  <c r="W56" i="2"/>
  <c r="X51" i="2" s="1"/>
  <c r="AD56" i="2"/>
  <c r="AE51" i="2" s="1"/>
  <c r="P88" i="2"/>
  <c r="Q88" i="2" s="1"/>
  <c r="R88" i="2" s="1"/>
  <c r="U88" i="2"/>
  <c r="V88" i="2" s="1"/>
  <c r="S51" i="2"/>
  <c r="A89" i="2"/>
  <c r="O89" i="2" l="1"/>
  <c r="K89" i="2"/>
  <c r="L89" i="2" s="1"/>
  <c r="M89" i="2" s="1"/>
  <c r="J89" i="2"/>
  <c r="AN88" i="2"/>
  <c r="AS88" i="2" s="1"/>
  <c r="AU88" i="2" s="1"/>
  <c r="AU56" i="2"/>
  <c r="Z89" i="2"/>
  <c r="AO89" i="2"/>
  <c r="AN89" i="2" s="1"/>
  <c r="AS89" i="2" s="1"/>
  <c r="AR89" i="2"/>
  <c r="AC89" i="2"/>
  <c r="Y89" i="2" s="1"/>
  <c r="AD89" i="2" s="1"/>
  <c r="AJ89" i="2"/>
  <c r="AK89" i="2" s="1"/>
  <c r="AL89" i="2" s="1"/>
  <c r="AI89" i="2"/>
  <c r="T89" i="2"/>
  <c r="W88" i="2"/>
  <c r="P89" i="2"/>
  <c r="Q89" i="2" s="1"/>
  <c r="R89" i="2" s="1"/>
  <c r="U89" i="2"/>
  <c r="V89" i="2" s="1"/>
  <c r="A90" i="2"/>
  <c r="O90" i="2" l="1"/>
  <c r="K90" i="2"/>
  <c r="L90" i="2" s="1"/>
  <c r="M90" i="2" s="1"/>
  <c r="J90" i="2"/>
  <c r="AU89" i="2"/>
  <c r="Z90" i="2"/>
  <c r="AO90" i="2"/>
  <c r="AC90" i="2"/>
  <c r="Y90" i="2" s="1"/>
  <c r="AD90" i="2" s="1"/>
  <c r="AR90" i="2"/>
  <c r="AJ90" i="2"/>
  <c r="AK90" i="2" s="1"/>
  <c r="AL90" i="2" s="1"/>
  <c r="AI90" i="2"/>
  <c r="T90" i="2"/>
  <c r="W89" i="2"/>
  <c r="P90" i="2"/>
  <c r="Q90" i="2" s="1"/>
  <c r="R90" i="2" s="1"/>
  <c r="U90" i="2"/>
  <c r="V90" i="2" s="1"/>
  <c r="A91" i="2"/>
  <c r="O91" i="2" l="1"/>
  <c r="J91" i="2"/>
  <c r="K91" i="2"/>
  <c r="L91" i="2" s="1"/>
  <c r="M91" i="2" s="1"/>
  <c r="AN90" i="2"/>
  <c r="AS90" i="2" s="1"/>
  <c r="AU90" i="2" s="1"/>
  <c r="Z91" i="2"/>
  <c r="AO91" i="2"/>
  <c r="AR91" i="2"/>
  <c r="AC91" i="2"/>
  <c r="Y91" i="2" s="1"/>
  <c r="AD91" i="2" s="1"/>
  <c r="AJ91" i="2"/>
  <c r="AK91" i="2" s="1"/>
  <c r="AL91" i="2" s="1"/>
  <c r="AI91" i="2"/>
  <c r="T91" i="2"/>
  <c r="W90" i="2"/>
  <c r="P91" i="2"/>
  <c r="Q91" i="2" s="1"/>
  <c r="R91" i="2" s="1"/>
  <c r="U91" i="2"/>
  <c r="V91" i="2" s="1"/>
  <c r="A92" i="2"/>
  <c r="O92" i="2" l="1"/>
  <c r="K92" i="2"/>
  <c r="L92" i="2" s="1"/>
  <c r="M92" i="2" s="1"/>
  <c r="J92" i="2"/>
  <c r="AN91" i="2"/>
  <c r="AS91" i="2" s="1"/>
  <c r="AU91" i="2" s="1"/>
  <c r="Z92" i="2"/>
  <c r="AO92" i="2"/>
  <c r="AC92" i="2"/>
  <c r="Y92" i="2" s="1"/>
  <c r="AD92" i="2" s="1"/>
  <c r="AR92" i="2"/>
  <c r="AJ92" i="2"/>
  <c r="AK92" i="2" s="1"/>
  <c r="AL92" i="2" s="1"/>
  <c r="AI92" i="2"/>
  <c r="T92" i="2"/>
  <c r="W91" i="2"/>
  <c r="P92" i="2"/>
  <c r="Q92" i="2" s="1"/>
  <c r="R92" i="2" s="1"/>
  <c r="U92" i="2"/>
  <c r="V92" i="2" s="1"/>
  <c r="A93" i="2"/>
  <c r="O93" i="2" l="1"/>
  <c r="K93" i="2"/>
  <c r="L93" i="2" s="1"/>
  <c r="M93" i="2" s="1"/>
  <c r="J93" i="2"/>
  <c r="Z93" i="2"/>
  <c r="AO93" i="2"/>
  <c r="AR93" i="2"/>
  <c r="AC93" i="2"/>
  <c r="Y93" i="2" s="1"/>
  <c r="AD93" i="2" s="1"/>
  <c r="AJ93" i="2"/>
  <c r="AK93" i="2" s="1"/>
  <c r="AL93" i="2" s="1"/>
  <c r="AI93" i="2"/>
  <c r="T93" i="2"/>
  <c r="AN92" i="2"/>
  <c r="AS92" i="2" s="1"/>
  <c r="AU92" i="2" s="1"/>
  <c r="W92" i="2"/>
  <c r="P93" i="2"/>
  <c r="Q93" i="2" s="1"/>
  <c r="R93" i="2" s="1"/>
  <c r="U93" i="2"/>
  <c r="V93" i="2" s="1"/>
  <c r="A94" i="2"/>
  <c r="O94" i="2" l="1"/>
  <c r="J94" i="2"/>
  <c r="K94" i="2"/>
  <c r="L94" i="2" s="1"/>
  <c r="M94" i="2" s="1"/>
  <c r="AN93" i="2"/>
  <c r="AS93" i="2" s="1"/>
  <c r="AU93" i="2" s="1"/>
  <c r="Z94" i="2"/>
  <c r="AO94" i="2"/>
  <c r="AC94" i="2"/>
  <c r="Y94" i="2" s="1"/>
  <c r="AD94" i="2" s="1"/>
  <c r="AR94" i="2"/>
  <c r="AJ94" i="2"/>
  <c r="AK94" i="2" s="1"/>
  <c r="AL94" i="2" s="1"/>
  <c r="AI94" i="2"/>
  <c r="T94" i="2"/>
  <c r="W93" i="2"/>
  <c r="P94" i="2"/>
  <c r="Q94" i="2" s="1"/>
  <c r="R94" i="2" s="1"/>
  <c r="U94" i="2"/>
  <c r="V94" i="2" s="1"/>
  <c r="AF33" i="2"/>
  <c r="AV33" i="2" s="1"/>
  <c r="E34" i="2"/>
  <c r="D34" i="2" s="1"/>
  <c r="AN94" i="2" l="1"/>
  <c r="AS94" i="2" s="1"/>
  <c r="AU94" i="2" s="1"/>
  <c r="W94" i="2"/>
  <c r="AF34" i="2"/>
  <c r="AV34" i="2" s="1"/>
  <c r="E35" i="2"/>
  <c r="AF35" i="2" l="1"/>
  <c r="AV35" i="2" s="1"/>
  <c r="D35" i="2"/>
  <c r="E36" i="2"/>
  <c r="D36" i="2" s="1"/>
  <c r="E37" i="2" l="1"/>
  <c r="D37" i="2" s="1"/>
  <c r="AF36" i="2"/>
  <c r="AV36" i="2" s="1"/>
  <c r="AF37" i="2" l="1"/>
  <c r="AV37" i="2" s="1"/>
  <c r="E38" i="2"/>
  <c r="D38" i="2" s="1"/>
  <c r="AF38" i="2" l="1"/>
  <c r="AV38" i="2" s="1"/>
  <c r="E39" i="2"/>
  <c r="D39" i="2" s="1"/>
  <c r="AF39" i="2" l="1"/>
  <c r="AV39" i="2" s="1"/>
  <c r="E40" i="2"/>
  <c r="D40" i="2" s="1"/>
  <c r="E41" i="2" l="1"/>
  <c r="D41" i="2" s="1"/>
  <c r="AF40" i="2"/>
  <c r="AV40" i="2" s="1"/>
  <c r="E42" i="2" l="1"/>
  <c r="D42" i="2" s="1"/>
  <c r="AF41" i="2"/>
  <c r="AV41" i="2" s="1"/>
  <c r="E43" i="2" l="1"/>
  <c r="D43" i="2" s="1"/>
  <c r="AF42" i="2"/>
  <c r="AV42" i="2" s="1"/>
  <c r="E44" i="2" l="1"/>
  <c r="D44" i="2" s="1"/>
  <c r="AF43" i="2"/>
  <c r="AV43" i="2" s="1"/>
  <c r="AF44" i="2" l="1"/>
  <c r="AV44" i="2" s="1"/>
  <c r="E45" i="2"/>
  <c r="D45" i="2" s="1"/>
  <c r="AF45" i="2" l="1"/>
  <c r="AV45" i="2" s="1"/>
  <c r="E46" i="2"/>
  <c r="D46" i="2" s="1"/>
  <c r="AF46" i="2" l="1"/>
  <c r="AV46" i="2" s="1"/>
  <c r="E47" i="2"/>
  <c r="D47" i="2" s="1"/>
  <c r="AF47" i="2" l="1"/>
  <c r="AV47" i="2" s="1"/>
  <c r="E48" i="2"/>
  <c r="D48" i="2" s="1"/>
  <c r="E49" i="2" l="1"/>
  <c r="D49" i="2" s="1"/>
  <c r="AF48" i="2"/>
  <c r="AV48" i="2" s="1"/>
  <c r="AF49" i="2" l="1"/>
  <c r="AV49" i="2" s="1"/>
  <c r="E50" i="2"/>
  <c r="D50" i="2" s="1"/>
  <c r="E51" i="2" l="1"/>
  <c r="D51" i="2" s="1"/>
  <c r="F38" i="2"/>
  <c r="AG38" i="2" s="1"/>
  <c r="AF50" i="2"/>
  <c r="AV50" i="2" s="1"/>
  <c r="E52" i="2" l="1"/>
  <c r="D52" i="2" s="1"/>
  <c r="AF51" i="2"/>
  <c r="AV51" i="2" s="1"/>
  <c r="E53" i="2" l="1"/>
  <c r="D53" i="2" s="1"/>
  <c r="AF52" i="2"/>
  <c r="AV52" i="2" s="1"/>
  <c r="E54" i="2" l="1"/>
  <c r="D54" i="2" s="1"/>
  <c r="AF53" i="2"/>
  <c r="AV53" i="2" s="1"/>
  <c r="E55" i="2" l="1"/>
  <c r="D55" i="2" s="1"/>
  <c r="AF54" i="2"/>
  <c r="AV54" i="2" s="1"/>
  <c r="AF55" i="2" l="1"/>
  <c r="AV55" i="2" s="1"/>
  <c r="E56" i="2"/>
  <c r="D56" i="2" s="1"/>
  <c r="AF56" i="2" l="1"/>
  <c r="AV56" i="2" s="1"/>
  <c r="E57" i="2"/>
  <c r="D57" i="2" s="1"/>
  <c r="E58" i="2" l="1"/>
  <c r="D58" i="2" s="1"/>
  <c r="AF57" i="2"/>
  <c r="AV57" i="2" s="1"/>
  <c r="AF58" i="2" l="1"/>
  <c r="AV58" i="2" s="1"/>
  <c r="E59" i="2"/>
  <c r="D59" i="2" s="1"/>
  <c r="AF59" i="2" l="1"/>
  <c r="AV59" i="2" s="1"/>
  <c r="E60" i="2"/>
  <c r="F51" i="2" l="1"/>
  <c r="AG51" i="2" s="1"/>
  <c r="D60" i="2"/>
  <c r="E61" i="2"/>
  <c r="D61" i="2" s="1"/>
  <c r="AF60" i="2"/>
  <c r="AV60" i="2" s="1"/>
  <c r="AF61" i="2" l="1"/>
  <c r="AV61" i="2" s="1"/>
  <c r="E62" i="2"/>
  <c r="D62" i="2" s="1"/>
  <c r="AF62" i="2" l="1"/>
  <c r="AV62" i="2" s="1"/>
  <c r="E63" i="2"/>
  <c r="D63" i="2" s="1"/>
  <c r="E64" i="2" l="1"/>
  <c r="D64" i="2" s="1"/>
  <c r="AF63" i="2"/>
  <c r="AV63" i="2" s="1"/>
  <c r="E65" i="2" l="1"/>
  <c r="D65" i="2" s="1"/>
  <c r="AF64" i="2"/>
  <c r="AV64" i="2" s="1"/>
  <c r="E66" i="2" l="1"/>
  <c r="D66" i="2" s="1"/>
  <c r="AF65" i="2"/>
  <c r="AV65" i="2" s="1"/>
  <c r="AF66" i="2" l="1"/>
  <c r="AV66" i="2" s="1"/>
  <c r="E67" i="2"/>
  <c r="D67" i="2" s="1"/>
  <c r="E68" i="2" l="1"/>
  <c r="D68" i="2" s="1"/>
  <c r="AF67" i="2"/>
  <c r="AV67" i="2" s="1"/>
  <c r="E69" i="2" l="1"/>
  <c r="D69" i="2" s="1"/>
  <c r="AF68" i="2"/>
  <c r="AV68" i="2" s="1"/>
  <c r="E70" i="2" l="1"/>
  <c r="D70" i="2" s="1"/>
  <c r="AF69" i="2"/>
  <c r="AV69" i="2" s="1"/>
  <c r="E71" i="2" l="1"/>
  <c r="D71" i="2" s="1"/>
  <c r="AF70" i="2"/>
  <c r="AV70" i="2" s="1"/>
  <c r="E72" i="2" l="1"/>
  <c r="D72" i="2" s="1"/>
  <c r="AF71" i="2"/>
  <c r="AV71" i="2" s="1"/>
  <c r="AF72" i="2" l="1"/>
  <c r="AV72" i="2" s="1"/>
  <c r="E73" i="2"/>
  <c r="D73" i="2" s="1"/>
  <c r="E74" i="2" l="1"/>
  <c r="D74" i="2" s="1"/>
  <c r="AF73" i="2"/>
  <c r="AV73" i="2" s="1"/>
  <c r="AF74" i="2" l="1"/>
  <c r="AV74" i="2" s="1"/>
  <c r="E75" i="2"/>
  <c r="D75" i="2" s="1"/>
  <c r="E76" i="2" l="1"/>
  <c r="D76" i="2" s="1"/>
  <c r="AF75" i="2"/>
  <c r="AV75" i="2" s="1"/>
  <c r="E77" i="2" l="1"/>
  <c r="D77" i="2" s="1"/>
  <c r="AF76" i="2"/>
  <c r="AV76" i="2" s="1"/>
  <c r="E78" i="2" l="1"/>
  <c r="D78" i="2" s="1"/>
  <c r="AF77" i="2"/>
  <c r="AV77" i="2" s="1"/>
  <c r="E79" i="2" l="1"/>
  <c r="D79" i="2" s="1"/>
  <c r="AF78" i="2"/>
  <c r="AV78" i="2" s="1"/>
  <c r="E80" i="2" l="1"/>
  <c r="D80" i="2" s="1"/>
  <c r="AF79" i="2"/>
  <c r="AV79" i="2" s="1"/>
  <c r="AF80" i="2" l="1"/>
  <c r="AV80" i="2" s="1"/>
  <c r="E81" i="2"/>
  <c r="D81" i="2" s="1"/>
  <c r="E82" i="2" l="1"/>
  <c r="D82" i="2" s="1"/>
  <c r="AF81" i="2"/>
  <c r="AV81" i="2" s="1"/>
  <c r="AF82" i="2" l="1"/>
  <c r="AV82" i="2" s="1"/>
  <c r="E83" i="2"/>
  <c r="D83" i="2" s="1"/>
  <c r="AF83" i="2" l="1"/>
  <c r="AV83" i="2" s="1"/>
  <c r="E84" i="2"/>
  <c r="D84" i="2" s="1"/>
  <c r="AF84" i="2" l="1"/>
  <c r="AV84" i="2" s="1"/>
  <c r="E85" i="2"/>
  <c r="E86" i="2" l="1"/>
  <c r="D86" i="2" s="1"/>
  <c r="D85" i="2"/>
  <c r="AF85" i="2"/>
  <c r="AV85" i="2" s="1"/>
  <c r="E87" i="2" l="1"/>
  <c r="D87" i="2" s="1"/>
  <c r="AF86" i="2"/>
  <c r="AV86" i="2" s="1"/>
  <c r="E88" i="2" l="1"/>
  <c r="D88" i="2" s="1"/>
  <c r="AF87" i="2"/>
  <c r="AV87" i="2" s="1"/>
  <c r="E89" i="2" l="1"/>
  <c r="D89" i="2" s="1"/>
  <c r="AF88" i="2"/>
  <c r="AV88" i="2" s="1"/>
  <c r="E90" i="2" l="1"/>
  <c r="D90" i="2" s="1"/>
  <c r="AF89" i="2"/>
  <c r="AV89" i="2" s="1"/>
  <c r="E91" i="2" l="1"/>
  <c r="D91" i="2" s="1"/>
  <c r="AF90" i="2"/>
  <c r="AV90" i="2" s="1"/>
  <c r="E92" i="2" l="1"/>
  <c r="D92" i="2" s="1"/>
  <c r="AF91" i="2"/>
  <c r="AV91" i="2" s="1"/>
  <c r="E93" i="2" l="1"/>
  <c r="D93" i="2" s="1"/>
  <c r="AF92" i="2"/>
  <c r="AV92" i="2" s="1"/>
  <c r="E94" i="2" l="1"/>
  <c r="D94" i="2" s="1"/>
  <c r="AF93" i="2"/>
  <c r="AV93" i="2" s="1"/>
  <c r="AF94" i="2" l="1"/>
  <c r="AV94" i="2" s="1"/>
  <c r="B29" i="4"/>
</calcChain>
</file>

<file path=xl/comments1.xml><?xml version="1.0" encoding="utf-8"?>
<comments xmlns="http://schemas.openxmlformats.org/spreadsheetml/2006/main">
  <authors>
    <author>Spatz, Mark</author>
  </authors>
  <commentList>
    <comment ref="BD6" authorId="0" shapeId="0">
      <text>
        <r>
          <rPr>
            <b/>
            <sz val="9"/>
            <color indexed="81"/>
            <rFont val="Tahoma"/>
            <family val="2"/>
          </rPr>
          <t>Spatz, Mark:</t>
        </r>
        <r>
          <rPr>
            <sz val="9"/>
            <color indexed="81"/>
            <rFont val="Tahoma"/>
            <family val="2"/>
          </rPr>
          <t xml:space="preserve">
guessed.</t>
        </r>
      </text>
    </comment>
    <comment ref="G27" authorId="0" shapeId="0">
      <text>
        <r>
          <rPr>
            <sz val="9"/>
            <color indexed="81"/>
            <rFont val="Tahoma"/>
            <family val="2"/>
          </rPr>
          <t>See
https://github.com/betaflight/betaflight/pull/4965#issuecomment-364606583
for details.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MIN. 130hz
MAX. 500hz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MIN. 120hz
MAX. 200hz</t>
        </r>
      </text>
    </comment>
  </commentList>
</comments>
</file>

<file path=xl/sharedStrings.xml><?xml version="1.0" encoding="utf-8"?>
<sst xmlns="http://schemas.openxmlformats.org/spreadsheetml/2006/main" count="150" uniqueCount="101">
  <si>
    <t>Frequency</t>
  </si>
  <si>
    <t>Cut-off Freq.</t>
  </si>
  <si>
    <t>On</t>
  </si>
  <si>
    <r>
      <t>Gyro LPF
Phase Delay
(deg</t>
    </r>
    <r>
      <rPr>
        <b/>
        <sz val="8.8000000000000007"/>
        <color theme="1"/>
        <rFont val="Calibri"/>
        <family val="2"/>
      </rPr>
      <t>)</t>
    </r>
  </si>
  <si>
    <t>PT1 LPF
Phase Delay
(deg)</t>
  </si>
  <si>
    <t>BQRCF2 LPF
Phase Delay
(deg)</t>
  </si>
  <si>
    <t>Notch 1
Phase Shift
(deg)</t>
  </si>
  <si>
    <t>Static
Notch 2</t>
  </si>
  <si>
    <t>Static
Notch 1</t>
  </si>
  <si>
    <t>Dynamic
Notch</t>
  </si>
  <si>
    <t>Gyro LPF</t>
  </si>
  <si>
    <t>Notch 1 LPF Phase Shift
(deg)</t>
  </si>
  <si>
    <t>Notch 1 HPF Phase Shift
(deg)</t>
  </si>
  <si>
    <t>Center Freq.</t>
  </si>
  <si>
    <t xml:space="preserve">                                                      DATA PASSED TO PID LOOP</t>
  </si>
  <si>
    <t xml:space="preserve">Q = </t>
  </si>
  <si>
    <t>Notch 2 LPF Phase Shift
(deg)</t>
  </si>
  <si>
    <t>Notch 2 HPF Phase Shift
(deg)</t>
  </si>
  <si>
    <t>Notch 2
Phase Shift
(deg)</t>
  </si>
  <si>
    <t>Off</t>
  </si>
  <si>
    <t>Dyn. Notch
Phase Shift
(deg)</t>
  </si>
  <si>
    <t>Stage 1 LPF Latency
(ms)</t>
  </si>
  <si>
    <t>Gyro ype</t>
  </si>
  <si>
    <t>MPU6000</t>
  </si>
  <si>
    <t>Gyro Setting</t>
  </si>
  <si>
    <t>Experimental</t>
  </si>
  <si>
    <t>MPU6500</t>
  </si>
  <si>
    <t>IMC20XX</t>
  </si>
  <si>
    <t>N/A</t>
  </si>
  <si>
    <t>DELAY (ms)</t>
  </si>
  <si>
    <t>BF Setting</t>
  </si>
  <si>
    <t>DLPF Cutoff</t>
  </si>
  <si>
    <t>delay =</t>
  </si>
  <si>
    <t>Filter Type</t>
  </si>
  <si>
    <t>PT1</t>
  </si>
  <si>
    <t>BiQUAD Phase Delay
(deg)</t>
  </si>
  <si>
    <t>FIR Phase Delay
(deg)</t>
  </si>
  <si>
    <t>Stage 1 LPF Phase Delay (deg)</t>
  </si>
  <si>
    <t>D-Term Notch</t>
  </si>
  <si>
    <t>D-Term LPF</t>
  </si>
  <si>
    <t>Stage 1 LPF</t>
  </si>
  <si>
    <t>Gyro Latency (ms)</t>
  </si>
  <si>
    <t>D-Term Latency (ms)</t>
  </si>
  <si>
    <t>TOTAL Latency (ms)</t>
  </si>
  <si>
    <t>Dyn. Notch Latency (ms)</t>
  </si>
  <si>
    <t>Stage 2 LPF (BQRC) Latency (ms)</t>
  </si>
  <si>
    <t>Notch 1 Latency (ms)</t>
  </si>
  <si>
    <t>Notch 2 Latency (ms)</t>
  </si>
  <si>
    <t>Gyro LPF Latency (ms)</t>
  </si>
  <si>
    <t>D-Term LPF Phase Delay (deg)</t>
  </si>
  <si>
    <t>D-Term Notch Phase Shift (deg)</t>
  </si>
  <si>
    <t>D-Term LPF Latency (ms)</t>
  </si>
  <si>
    <t>D-Term Notch Latency (ms)</t>
  </si>
  <si>
    <t>Unknown</t>
  </si>
  <si>
    <t>Change Log</t>
  </si>
  <si>
    <t>V2</t>
  </si>
  <si>
    <t>- Added delays associated with 32k mode for IMC20xx gyro</t>
  </si>
  <si>
    <t>- Added note on Total Filter Delay chart</t>
  </si>
  <si>
    <t>V1</t>
  </si>
  <si>
    <t>Released</t>
  </si>
  <si>
    <t>- reduced sig. figs on phase and delay display numbers.</t>
  </si>
  <si>
    <t>V3</t>
  </si>
  <si>
    <t>- flipped 32k mode cutoff frequencies per https://github.com/betaflight/betaflight/issues/5353#issuecomment-370083896</t>
  </si>
  <si>
    <r>
      <t xml:space="preserve">Stage 2 LPF
</t>
    </r>
    <r>
      <rPr>
        <b/>
        <sz val="16"/>
        <color theme="0"/>
        <rFont val="Calibri"/>
        <family val="2"/>
        <scheme val="minor"/>
      </rPr>
      <t>(BQRCF2/FKF)</t>
    </r>
  </si>
  <si>
    <t>Note: BQRCF2 / FKF phase delay calced as PT1.</t>
  </si>
  <si>
    <t>actual --&gt;</t>
  </si>
  <si>
    <t>-added vertical lines to graph to represent LPF cutoff frequency selected.</t>
  </si>
  <si>
    <t>dB</t>
  </si>
  <si>
    <t>32k</t>
  </si>
  <si>
    <t>16k</t>
  </si>
  <si>
    <t>8k</t>
  </si>
  <si>
    <t>4k</t>
  </si>
  <si>
    <t>filter gain</t>
  </si>
  <si>
    <t>Q/R</t>
  </si>
  <si>
    <t>R</t>
  </si>
  <si>
    <t>Q</t>
  </si>
  <si>
    <r>
      <rPr>
        <b/>
        <u/>
        <sz val="12"/>
        <color rgb="FF000000"/>
        <rFont val="Calibri"/>
        <family val="2"/>
      </rPr>
      <t>For Cutoff Chart</t>
    </r>
    <r>
      <rPr>
        <b/>
        <sz val="12"/>
        <color rgb="FF000000"/>
        <rFont val="Calibri"/>
        <family val="2"/>
      </rPr>
      <t xml:space="preserve">
FKF cutoff frequency in Hz (based on Gyro sampling rate)</t>
    </r>
  </si>
  <si>
    <r>
      <rPr>
        <b/>
        <u/>
        <sz val="12"/>
        <color rgb="FF000000"/>
        <rFont val="Calibri"/>
        <family val="2"/>
      </rPr>
      <t>For Filter Latency Calc</t>
    </r>
    <r>
      <rPr>
        <b/>
        <sz val="12"/>
        <color rgb="FF000000"/>
        <rFont val="Calibri"/>
        <family val="2"/>
      </rPr>
      <t xml:space="preserve">
FKF cutoff frequency in Hz (based on Gyro sampling rate)</t>
    </r>
  </si>
  <si>
    <t>32k-Normal</t>
  </si>
  <si>
    <t>32k-Low</t>
  </si>
  <si>
    <t>Sample Rate</t>
  </si>
  <si>
    <t>FIR Phase Delay (ms)</t>
  </si>
  <si>
    <t>PID Rate</t>
  </si>
  <si>
    <t>V4</t>
  </si>
  <si>
    <t>-revised gyro cut-off values for 32k mode</t>
  </si>
  <si>
    <t>-revised FIR filter latency calc.</t>
  </si>
  <si>
    <t>BF Gyro Rate</t>
  </si>
  <si>
    <t>Gyro Sample Frequency (ms)</t>
  </si>
  <si>
    <t>Hardware Rate</t>
  </si>
  <si>
    <t>Gyro Sample Rate</t>
  </si>
  <si>
    <t>Digital Filtering: https://youtu.be/loHy8v9A8LY</t>
  </si>
  <si>
    <t>IIR vs. FIR: https://youtu.be/GIkTmrR9vfc</t>
  </si>
  <si>
    <t>Resources:</t>
  </si>
  <si>
    <t>Phase Delay: http://www.sengpielaudio.com/calculator-timedelayphase.htm</t>
  </si>
  <si>
    <t>CPU Type</t>
  </si>
  <si>
    <t>Taps</t>
  </si>
  <si>
    <t>F4</t>
  </si>
  <si>
    <t>-updated Dynamic Filter cut-off to be self setting based on con·straints.</t>
  </si>
  <si>
    <t>Noise Reduction &gt;&gt;</t>
  </si>
  <si>
    <t>Amplitude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</si>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</sst>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&quot;hz&quot;"/>
    <numFmt numFmtId="166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8"/>
      <name val="Calibri"/>
      <family val="2"/>
      <scheme val="minor"/>
    </font>
    <font>
      <i/>
      <sz val="2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sz val="12"/>
      <color theme="0" tint="-0.34998626667073579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name val="Calibri"/>
      <family val="2"/>
    </font>
    <font>
      <sz val="11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4" fillId="9" borderId="0" applyNumberFormat="0" applyBorder="0" applyAlignment="0" applyProtection="0"/>
    <xf numFmtId="0" fontId="19" fillId="0" borderId="0"/>
  </cellStyleXfs>
  <cellXfs count="143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/>
    <xf numFmtId="2" fontId="0" fillId="0" borderId="0" xfId="0" applyNumberFormat="1" applyFill="1"/>
    <xf numFmtId="0" fontId="0" fillId="0" borderId="0" xfId="0" applyFill="1"/>
    <xf numFmtId="0" fontId="0" fillId="4" borderId="0" xfId="0" applyFill="1"/>
    <xf numFmtId="0" fontId="1" fillId="4" borderId="0" xfId="0" applyFont="1" applyFill="1" applyAlignment="1">
      <alignment horizontal="center" vertical="top" wrapText="1"/>
    </xf>
    <xf numFmtId="2" fontId="0" fillId="4" borderId="0" xfId="0" applyNumberFormat="1" applyFill="1"/>
    <xf numFmtId="0" fontId="6" fillId="4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 vertical="top" wrapText="1"/>
    </xf>
    <xf numFmtId="0" fontId="6" fillId="5" borderId="0" xfId="0" applyFont="1" applyFill="1"/>
    <xf numFmtId="2" fontId="0" fillId="4" borderId="0" xfId="0" applyNumberFormat="1" applyFill="1" applyAlignment="1"/>
    <xf numFmtId="0" fontId="0" fillId="4" borderId="0" xfId="0" applyFill="1" applyAlignment="1"/>
    <xf numFmtId="2" fontId="7" fillId="0" borderId="0" xfId="0" applyNumberFormat="1" applyFont="1"/>
    <xf numFmtId="0" fontId="7" fillId="0" borderId="0" xfId="0" applyFont="1"/>
    <xf numFmtId="0" fontId="7" fillId="4" borderId="0" xfId="0" applyFont="1" applyFill="1"/>
    <xf numFmtId="0" fontId="3" fillId="0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3" borderId="0" xfId="0" applyFont="1" applyFill="1"/>
    <xf numFmtId="0" fontId="4" fillId="8" borderId="0" xfId="0" applyFont="1" applyFill="1"/>
    <xf numFmtId="0" fontId="4" fillId="0" borderId="0" xfId="0" applyFont="1" applyFill="1"/>
    <xf numFmtId="0" fontId="1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10" borderId="0" xfId="0" applyFill="1"/>
    <xf numFmtId="0" fontId="1" fillId="10" borderId="0" xfId="0" applyFont="1" applyFill="1" applyAlignment="1">
      <alignment horizontal="center" vertical="top" wrapText="1"/>
    </xf>
    <xf numFmtId="2" fontId="3" fillId="10" borderId="0" xfId="0" applyNumberFormat="1" applyFont="1" applyFill="1" applyAlignment="1">
      <alignment vertical="center" textRotation="90" wrapText="1"/>
    </xf>
    <xf numFmtId="0" fontId="4" fillId="5" borderId="0" xfId="0" applyFont="1" applyFill="1"/>
    <xf numFmtId="0" fontId="14" fillId="4" borderId="0" xfId="1" applyFill="1"/>
    <xf numFmtId="0" fontId="4" fillId="4" borderId="0" xfId="0" applyFont="1" applyFill="1"/>
    <xf numFmtId="0" fontId="14" fillId="4" borderId="0" xfId="1" applyFill="1" applyAlignment="1">
      <alignment horizontal="center" vertical="top" wrapText="1"/>
    </xf>
    <xf numFmtId="2" fontId="6" fillId="4" borderId="0" xfId="0" applyNumberFormat="1" applyFont="1" applyFill="1"/>
    <xf numFmtId="0" fontId="8" fillId="12" borderId="0" xfId="0" applyFont="1" applyFill="1" applyAlignment="1">
      <alignment horizontal="center" vertical="center" wrapText="1"/>
    </xf>
    <xf numFmtId="0" fontId="4" fillId="12" borderId="0" xfId="0" applyFont="1" applyFill="1"/>
    <xf numFmtId="0" fontId="0" fillId="12" borderId="0" xfId="0" applyFill="1"/>
    <xf numFmtId="0" fontId="1" fillId="12" borderId="0" xfId="0" applyFont="1" applyFill="1" applyAlignment="1">
      <alignment horizontal="center" vertical="top" wrapText="1"/>
    </xf>
    <xf numFmtId="0" fontId="8" fillId="13" borderId="0" xfId="0" applyFont="1" applyFill="1" applyAlignment="1">
      <alignment horizontal="center" vertical="center" wrapText="1"/>
    </xf>
    <xf numFmtId="0" fontId="4" fillId="13" borderId="0" xfId="0" applyFont="1" applyFill="1"/>
    <xf numFmtId="0" fontId="0" fillId="13" borderId="0" xfId="0" applyFill="1"/>
    <xf numFmtId="0" fontId="1" fillId="13" borderId="0" xfId="0" applyFont="1" applyFill="1" applyAlignment="1">
      <alignment horizontal="center" vertical="top" wrapText="1"/>
    </xf>
    <xf numFmtId="0" fontId="8" fillId="14" borderId="0" xfId="0" applyFont="1" applyFill="1" applyAlignment="1">
      <alignment horizontal="center" vertical="center" wrapText="1"/>
    </xf>
    <xf numFmtId="0" fontId="4" fillId="14" borderId="0" xfId="0" applyFont="1" applyFill="1"/>
    <xf numFmtId="0" fontId="0" fillId="14" borderId="0" xfId="0" applyFill="1"/>
    <xf numFmtId="0" fontId="1" fillId="14" borderId="0" xfId="0" applyFont="1" applyFill="1" applyAlignment="1">
      <alignment horizontal="center" vertical="top" wrapText="1"/>
    </xf>
    <xf numFmtId="164" fontId="0" fillId="13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164" fontId="7" fillId="0" borderId="0" xfId="0" applyNumberFormat="1" applyFont="1"/>
    <xf numFmtId="164" fontId="0" fillId="4" borderId="0" xfId="0" applyNumberFormat="1" applyFill="1"/>
    <xf numFmtId="164" fontId="0" fillId="4" borderId="0" xfId="0" applyNumberFormat="1" applyFill="1" applyAlignment="1"/>
    <xf numFmtId="164" fontId="0" fillId="14" borderId="0" xfId="0" applyNumberFormat="1" applyFill="1" applyAlignment="1">
      <alignment horizontal="center"/>
    </xf>
    <xf numFmtId="164" fontId="7" fillId="4" borderId="0" xfId="0" applyNumberFormat="1" applyFont="1" applyFill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6" borderId="0" xfId="0" applyFont="1" applyFill="1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  <protection locked="0"/>
    </xf>
    <xf numFmtId="0" fontId="8" fillId="6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15" borderId="0" xfId="0" applyFill="1"/>
    <xf numFmtId="0" fontId="0" fillId="15" borderId="0" xfId="0" applyFill="1" applyAlignment="1">
      <alignment horizontal="right"/>
    </xf>
    <xf numFmtId="0" fontId="15" fillId="15" borderId="0" xfId="0" applyFont="1" applyFill="1" applyAlignment="1">
      <alignment horizontal="right"/>
    </xf>
    <xf numFmtId="0" fontId="0" fillId="15" borderId="0" xfId="0" applyFill="1" applyAlignment="1">
      <alignment horizontal="left"/>
    </xf>
    <xf numFmtId="2" fontId="15" fillId="15" borderId="0" xfId="0" applyNumberFormat="1" applyFont="1" applyFill="1" applyAlignment="1">
      <alignment horizontal="right"/>
    </xf>
    <xf numFmtId="0" fontId="0" fillId="15" borderId="0" xfId="0" applyFill="1" applyAlignment="1">
      <alignment horizontal="center"/>
    </xf>
    <xf numFmtId="0" fontId="1" fillId="15" borderId="0" xfId="0" applyFont="1" applyFill="1" applyAlignment="1">
      <alignment horizontal="center" vertical="top" wrapText="1"/>
    </xf>
    <xf numFmtId="0" fontId="0" fillId="15" borderId="0" xfId="0" quotePrefix="1" applyFill="1"/>
    <xf numFmtId="0" fontId="6" fillId="15" borderId="0" xfId="0" applyFont="1" applyFill="1"/>
    <xf numFmtId="2" fontId="6" fillId="15" borderId="0" xfId="0" applyNumberFormat="1" applyFont="1" applyFill="1"/>
    <xf numFmtId="2" fontId="0" fillId="15" borderId="0" xfId="0" applyNumberFormat="1" applyFill="1"/>
    <xf numFmtId="166" fontId="0" fillId="16" borderId="0" xfId="0" applyNumberFormat="1" applyFill="1"/>
    <xf numFmtId="0" fontId="19" fillId="0" borderId="0" xfId="2" applyFont="1" applyAlignment="1"/>
    <xf numFmtId="0" fontId="19" fillId="0" borderId="0" xfId="2" applyFont="1" applyFill="1" applyAlignment="1"/>
    <xf numFmtId="164" fontId="19" fillId="0" borderId="0" xfId="2" applyNumberFormat="1" applyFont="1" applyBorder="1"/>
    <xf numFmtId="164" fontId="19" fillId="0" borderId="0" xfId="2" applyNumberFormat="1" applyFont="1" applyFill="1" applyBorder="1"/>
    <xf numFmtId="166" fontId="19" fillId="0" borderId="0" xfId="2" applyNumberFormat="1" applyFont="1" applyBorder="1"/>
    <xf numFmtId="2" fontId="19" fillId="0" borderId="0" xfId="2" applyNumberFormat="1" applyFont="1" applyBorder="1"/>
    <xf numFmtId="0" fontId="19" fillId="0" borderId="0" xfId="2" applyFont="1" applyBorder="1" applyAlignment="1"/>
    <xf numFmtId="164" fontId="19" fillId="0" borderId="1" xfId="2" applyNumberFormat="1" applyFont="1" applyFill="1" applyBorder="1"/>
    <xf numFmtId="166" fontId="20" fillId="0" borderId="1" xfId="2" applyNumberFormat="1" applyFont="1" applyFill="1" applyBorder="1"/>
    <xf numFmtId="2" fontId="20" fillId="0" borderId="1" xfId="2" applyNumberFormat="1" applyFont="1" applyFill="1" applyBorder="1"/>
    <xf numFmtId="0" fontId="19" fillId="16" borderId="1" xfId="2" applyFont="1" applyFill="1" applyBorder="1" applyAlignment="1">
      <alignment horizontal="right" wrapText="1"/>
    </xf>
    <xf numFmtId="164" fontId="19" fillId="12" borderId="1" xfId="2" applyNumberFormat="1" applyFont="1" applyFill="1" applyBorder="1"/>
    <xf numFmtId="166" fontId="20" fillId="12" borderId="1" xfId="2" applyNumberFormat="1" applyFont="1" applyFill="1" applyBorder="1"/>
    <xf numFmtId="2" fontId="20" fillId="12" borderId="1" xfId="2" applyNumberFormat="1" applyFont="1" applyFill="1" applyBorder="1"/>
    <xf numFmtId="0" fontId="19" fillId="12" borderId="1" xfId="2" applyFont="1" applyFill="1" applyBorder="1" applyAlignment="1">
      <alignment horizontal="right" wrapText="1"/>
    </xf>
    <xf numFmtId="1" fontId="19" fillId="17" borderId="1" xfId="2" applyNumberFormat="1" applyFont="1" applyFill="1" applyBorder="1"/>
    <xf numFmtId="1" fontId="19" fillId="17" borderId="1" xfId="2" applyNumberFormat="1" applyFont="1" applyFill="1" applyBorder="1" applyAlignment="1"/>
    <xf numFmtId="0" fontId="20" fillId="0" borderId="1" xfId="2" applyFont="1" applyFill="1" applyBorder="1"/>
    <xf numFmtId="0" fontId="20" fillId="0" borderId="1" xfId="2" applyFont="1" applyFill="1" applyBorder="1" applyAlignment="1"/>
    <xf numFmtId="0" fontId="19" fillId="17" borderId="1" xfId="2" applyFont="1" applyFill="1" applyBorder="1" applyAlignment="1"/>
    <xf numFmtId="0" fontId="23" fillId="17" borderId="1" xfId="2" applyFont="1" applyFill="1" applyBorder="1" applyAlignment="1"/>
    <xf numFmtId="1" fontId="8" fillId="6" borderId="0" xfId="0" applyNumberFormat="1" applyFont="1" applyFill="1" applyAlignment="1" applyProtection="1">
      <alignment horizontal="center"/>
      <protection locked="0"/>
    </xf>
    <xf numFmtId="0" fontId="24" fillId="15" borderId="0" xfId="0" applyFont="1" applyFill="1"/>
    <xf numFmtId="0" fontId="1" fillId="0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1" fillId="2" borderId="0" xfId="0" applyFont="1" applyFill="1" applyAlignment="1">
      <alignment vertical="center" textRotation="90"/>
    </xf>
    <xf numFmtId="0" fontId="1" fillId="2" borderId="0" xfId="0" applyFont="1" applyFill="1" applyAlignment="1">
      <alignment horizontal="center"/>
    </xf>
    <xf numFmtId="0" fontId="4" fillId="18" borderId="0" xfId="0" applyFont="1" applyFill="1"/>
    <xf numFmtId="0" fontId="0" fillId="0" borderId="0" xfId="0" applyFont="1" applyFill="1" applyAlignment="1">
      <alignment horizontal="center"/>
    </xf>
    <xf numFmtId="0" fontId="8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2" fontId="3" fillId="10" borderId="0" xfId="0" applyNumberFormat="1" applyFont="1" applyFill="1" applyAlignment="1">
      <alignment horizontal="center" vertical="center" textRotation="90"/>
    </xf>
    <xf numFmtId="2" fontId="2" fillId="11" borderId="0" xfId="1" applyNumberFormat="1" applyFont="1" applyFill="1" applyAlignment="1">
      <alignment horizontal="left" vertical="center" textRotation="90" wrapText="1"/>
    </xf>
    <xf numFmtId="2" fontId="4" fillId="12" borderId="0" xfId="1" applyNumberFormat="1" applyFont="1" applyFill="1" applyAlignment="1">
      <alignment horizontal="left" vertical="center" textRotation="90" wrapText="1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textRotation="90" wrapText="1"/>
    </xf>
    <xf numFmtId="164" fontId="3" fillId="4" borderId="0" xfId="0" applyNumberFormat="1" applyFont="1" applyFill="1" applyAlignment="1">
      <alignment horizontal="center" vertical="center" textRotation="90" wrapText="1"/>
    </xf>
    <xf numFmtId="0" fontId="3" fillId="5" borderId="0" xfId="0" applyFont="1" applyFill="1" applyAlignment="1">
      <alignment horizontal="center" vertical="center" textRotation="90"/>
    </xf>
    <xf numFmtId="0" fontId="21" fillId="0" borderId="2" xfId="2" applyFont="1" applyBorder="1" applyAlignment="1">
      <alignment horizontal="center" wrapText="1"/>
    </xf>
    <xf numFmtId="0" fontId="21" fillId="0" borderId="2" xfId="2" applyFont="1" applyBorder="1" applyAlignment="1">
      <alignment horizontal="center"/>
    </xf>
    <xf numFmtId="0" fontId="0" fillId="0" borderId="0" xfId="0" applyAlignment="1"/>
    <xf numFmtId="164" fontId="0" fillId="16" borderId="0" xfId="0" applyNumberFormat="1" applyFill="1"/>
    <xf numFmtId="164" fontId="0" fillId="0" borderId="0" xfId="0" applyNumberFormat="1" applyFill="1"/>
    <xf numFmtId="166" fontId="0" fillId="0" borderId="0" xfId="0" applyNumberFormat="1"/>
  </cellXfs>
  <cellStyles count="3">
    <cellStyle name="Neutral" xfId="1" builtinId="28"/>
    <cellStyle name="Normal" xfId="0" builtinId="0"/>
    <cellStyle name="Normal 2" xfId="2"/>
  </cellStyles>
  <dxfs count="3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2825896762905"/>
          <c:y val="2.5428331875182269E-2"/>
          <c:w val="0.81923840769903766"/>
          <c:h val="0.841674686497521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'BF Filter Latency'!$D$26:$E$26</c:f>
              <c:strCache>
                <c:ptCount val="1"/>
                <c:pt idx="0">
                  <c:v>Gyro LPF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Latency'!$D$33:$D$94</c:f>
              <c:numCache>
                <c:formatCode>0.0</c:formatCode>
                <c:ptCount val="62"/>
                <c:pt idx="0">
                  <c:v>-3.5280000000000001E-4</c:v>
                </c:pt>
                <c:pt idx="1">
                  <c:v>-3.5279999999999999E-2</c:v>
                </c:pt>
                <c:pt idx="2">
                  <c:v>-0.1764</c:v>
                </c:pt>
                <c:pt idx="3">
                  <c:v>-3.5279999999999999E-2</c:v>
                </c:pt>
                <c:pt idx="4">
                  <c:v>-0.1764</c:v>
                </c:pt>
                <c:pt idx="5">
                  <c:v>-0.3528</c:v>
                </c:pt>
                <c:pt idx="6">
                  <c:v>-0.7056</c:v>
                </c:pt>
                <c:pt idx="7">
                  <c:v>-1.0584</c:v>
                </c:pt>
                <c:pt idx="8">
                  <c:v>-1.4112</c:v>
                </c:pt>
                <c:pt idx="9">
                  <c:v>-1.764</c:v>
                </c:pt>
                <c:pt idx="10">
                  <c:v>-2.1168</c:v>
                </c:pt>
                <c:pt idx="11">
                  <c:v>-2.4695999999999998</c:v>
                </c:pt>
                <c:pt idx="12">
                  <c:v>-2.8224</c:v>
                </c:pt>
                <c:pt idx="13">
                  <c:v>-3.1752000000000002</c:v>
                </c:pt>
                <c:pt idx="14">
                  <c:v>-3.528</c:v>
                </c:pt>
                <c:pt idx="15">
                  <c:v>-4.2336</c:v>
                </c:pt>
                <c:pt idx="16">
                  <c:v>-5.2919999999999998</c:v>
                </c:pt>
                <c:pt idx="17">
                  <c:v>-7.056</c:v>
                </c:pt>
                <c:pt idx="18">
                  <c:v>-8.82</c:v>
                </c:pt>
                <c:pt idx="19">
                  <c:v>-10.584</c:v>
                </c:pt>
                <c:pt idx="20">
                  <c:v>-12.348000000000001</c:v>
                </c:pt>
                <c:pt idx="21">
                  <c:v>-14.112</c:v>
                </c:pt>
                <c:pt idx="22">
                  <c:v>-15.875999999999999</c:v>
                </c:pt>
                <c:pt idx="23">
                  <c:v>-17.64</c:v>
                </c:pt>
                <c:pt idx="24">
                  <c:v>-21.167999999999999</c:v>
                </c:pt>
                <c:pt idx="25">
                  <c:v>-24.696000000000002</c:v>
                </c:pt>
                <c:pt idx="26">
                  <c:v>-28.224</c:v>
                </c:pt>
                <c:pt idx="27">
                  <c:v>-31.751999999999999</c:v>
                </c:pt>
                <c:pt idx="28">
                  <c:v>-35.28</c:v>
                </c:pt>
                <c:pt idx="29">
                  <c:v>-44.1</c:v>
                </c:pt>
                <c:pt idx="30">
                  <c:v>-52.92</c:v>
                </c:pt>
                <c:pt idx="31">
                  <c:v>-61.74</c:v>
                </c:pt>
                <c:pt idx="32">
                  <c:v>-70.56</c:v>
                </c:pt>
                <c:pt idx="33">
                  <c:v>-79.38</c:v>
                </c:pt>
                <c:pt idx="34">
                  <c:v>-88.2</c:v>
                </c:pt>
                <c:pt idx="35">
                  <c:v>-97.02</c:v>
                </c:pt>
                <c:pt idx="36">
                  <c:v>-105.84</c:v>
                </c:pt>
                <c:pt idx="37">
                  <c:v>-114.66</c:v>
                </c:pt>
                <c:pt idx="38">
                  <c:v>-123.48</c:v>
                </c:pt>
                <c:pt idx="39">
                  <c:v>-132.30000000000001</c:v>
                </c:pt>
                <c:pt idx="40">
                  <c:v>-141.12</c:v>
                </c:pt>
                <c:pt idx="41">
                  <c:v>-149.94</c:v>
                </c:pt>
                <c:pt idx="42">
                  <c:v>-158.76</c:v>
                </c:pt>
                <c:pt idx="43">
                  <c:v>-167.58</c:v>
                </c:pt>
                <c:pt idx="44">
                  <c:v>-176.4</c:v>
                </c:pt>
                <c:pt idx="45">
                  <c:v>-185.22</c:v>
                </c:pt>
                <c:pt idx="46">
                  <c:v>-194.04</c:v>
                </c:pt>
                <c:pt idx="47">
                  <c:v>-202.86</c:v>
                </c:pt>
                <c:pt idx="48">
                  <c:v>-211.68</c:v>
                </c:pt>
                <c:pt idx="49">
                  <c:v>-246.96</c:v>
                </c:pt>
                <c:pt idx="50">
                  <c:v>-282.24</c:v>
                </c:pt>
                <c:pt idx="51">
                  <c:v>-317.52</c:v>
                </c:pt>
                <c:pt idx="52">
                  <c:v>-352.8</c:v>
                </c:pt>
                <c:pt idx="53">
                  <c:v>-705.6</c:v>
                </c:pt>
                <c:pt idx="54">
                  <c:v>-1058.4000000000001</c:v>
                </c:pt>
                <c:pt idx="55">
                  <c:v>-1411.2</c:v>
                </c:pt>
                <c:pt idx="56">
                  <c:v>-1764</c:v>
                </c:pt>
                <c:pt idx="57">
                  <c:v>-2116.8000000000002</c:v>
                </c:pt>
                <c:pt idx="58">
                  <c:v>-2469.6</c:v>
                </c:pt>
                <c:pt idx="59">
                  <c:v>-2822.4</c:v>
                </c:pt>
                <c:pt idx="60">
                  <c:v>-3175.2</c:v>
                </c:pt>
                <c:pt idx="61">
                  <c:v>-3528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'BF Filter Latency'!$G$26:$H$26</c:f>
              <c:strCache>
                <c:ptCount val="1"/>
                <c:pt idx="0">
                  <c:v>Stage 2 LPF
(BQRCF2/FKF)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Latency'!$G$33:$G$94</c:f>
              <c:numCache>
                <c:formatCode>0.0</c:formatCode>
                <c:ptCount val="62"/>
                <c:pt idx="0">
                  <c:v>-1.1459155902601187E-4</c:v>
                </c:pt>
                <c:pt idx="1">
                  <c:v>-1.1459155749827723E-2</c:v>
                </c:pt>
                <c:pt idx="2">
                  <c:v>-5.7295760414500616E-2</c:v>
                </c:pt>
                <c:pt idx="3">
                  <c:v>-1.1459155749827723E-2</c:v>
                </c:pt>
                <c:pt idx="4">
                  <c:v>-5.7295760414500616E-2</c:v>
                </c:pt>
                <c:pt idx="5">
                  <c:v>-0.11459140623778596</c:v>
                </c:pt>
                <c:pt idx="6">
                  <c:v>-0.22918189575410039</c:v>
                </c:pt>
                <c:pt idx="7">
                  <c:v>-0.3437705518714731</c:v>
                </c:pt>
                <c:pt idx="8">
                  <c:v>-0.45835645800043151</c:v>
                </c:pt>
                <c:pt idx="9">
                  <c:v>-0.57293869768348593</c:v>
                </c:pt>
                <c:pt idx="10">
                  <c:v>-0.68751635463909977</c:v>
                </c:pt>
                <c:pt idx="11">
                  <c:v>-0.80208851280563753</c:v>
                </c:pt>
                <c:pt idx="12">
                  <c:v>-0.91665425638528786</c:v>
                </c:pt>
                <c:pt idx="13">
                  <c:v>-1.0312126698879529</c:v>
                </c:pt>
                <c:pt idx="14">
                  <c:v>-1.1457628381751035</c:v>
                </c:pt>
                <c:pt idx="15">
                  <c:v>-1.3748347805694054</c:v>
                </c:pt>
                <c:pt idx="16">
                  <c:v>-1.7183580016554572</c:v>
                </c:pt>
                <c:pt idx="17">
                  <c:v>-2.2906100426385296</c:v>
                </c:pt>
                <c:pt idx="18">
                  <c:v>-2.8624052261117474</c:v>
                </c:pt>
                <c:pt idx="19">
                  <c:v>-3.4336303624505224</c:v>
                </c:pt>
                <c:pt idx="20">
                  <c:v>-4.0041729407093882</c:v>
                </c:pt>
                <c:pt idx="21">
                  <c:v>-4.5739212599008612</c:v>
                </c:pt>
                <c:pt idx="22">
                  <c:v>-5.1427645578842416</c:v>
                </c:pt>
                <c:pt idx="23">
                  <c:v>-5.710593137499643</c:v>
                </c:pt>
                <c:pt idx="24">
                  <c:v>-6.8427734126309403</c:v>
                </c:pt>
                <c:pt idx="25">
                  <c:v>-7.9696103943213599</c:v>
                </c:pt>
                <c:pt idx="26">
                  <c:v>-9.0902769208223226</c:v>
                </c:pt>
                <c:pt idx="27">
                  <c:v>-10.203973721731684</c:v>
                </c:pt>
                <c:pt idx="28">
                  <c:v>-11.309932474020213</c:v>
                </c:pt>
                <c:pt idx="29">
                  <c:v>-14.036243467926477</c:v>
                </c:pt>
                <c:pt idx="30">
                  <c:v>-16.699244233993621</c:v>
                </c:pt>
                <c:pt idx="31">
                  <c:v>-19.290046219188735</c:v>
                </c:pt>
                <c:pt idx="32">
                  <c:v>-21.801409486351812</c:v>
                </c:pt>
                <c:pt idx="33">
                  <c:v>-24.22774531795417</c:v>
                </c:pt>
                <c:pt idx="34">
                  <c:v>-26.56505117707799</c:v>
                </c:pt>
                <c:pt idx="35">
                  <c:v>-28.810793742973068</c:v>
                </c:pt>
                <c:pt idx="36">
                  <c:v>-30.963756532073521</c:v>
                </c:pt>
                <c:pt idx="37">
                  <c:v>-33.023867555796649</c:v>
                </c:pt>
                <c:pt idx="38">
                  <c:v>-34.992020198558656</c:v>
                </c:pt>
                <c:pt idx="39">
                  <c:v>-36.86989764584402</c:v>
                </c:pt>
                <c:pt idx="40">
                  <c:v>-38.659808254090095</c:v>
                </c:pt>
                <c:pt idx="41">
                  <c:v>-40.364536573097361</c:v>
                </c:pt>
                <c:pt idx="42">
                  <c:v>-41.987212495816664</c:v>
                </c:pt>
                <c:pt idx="43">
                  <c:v>-43.531199285614171</c:v>
                </c:pt>
                <c:pt idx="44">
                  <c:v>-45</c:v>
                </c:pt>
                <c:pt idx="45">
                  <c:v>-46.397181027296376</c:v>
                </c:pt>
                <c:pt idx="46">
                  <c:v>-47.726310993906267</c:v>
                </c:pt>
                <c:pt idx="47">
                  <c:v>-48.990913098429786</c:v>
                </c:pt>
                <c:pt idx="48">
                  <c:v>-50.19442890773481</c:v>
                </c:pt>
                <c:pt idx="49">
                  <c:v>-54.462322208025618</c:v>
                </c:pt>
                <c:pt idx="50">
                  <c:v>-57.994616791916499</c:v>
                </c:pt>
                <c:pt idx="51">
                  <c:v>-60.945395900922861</c:v>
                </c:pt>
                <c:pt idx="52">
                  <c:v>-63.43494882292201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'BF Filter Latency'!$L$26:$M$26</c:f>
              <c:strCache>
                <c:ptCount val="1"/>
                <c:pt idx="0">
                  <c:v>Dynamic
Notch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Latency'!$L$33:$L$94</c:f>
              <c:numCache>
                <c:formatCode>0.0</c:formatCode>
                <c:ptCount val="62"/>
                <c:pt idx="0">
                  <c:v>-1.4616270283162561E-4</c:v>
                </c:pt>
                <c:pt idx="1">
                  <c:v>-1.4616271831214857E-2</c:v>
                </c:pt>
                <c:pt idx="2">
                  <c:v>-7.3081544827505757E-2</c:v>
                </c:pt>
                <c:pt idx="3">
                  <c:v>-1.4616271831214857E-2</c:v>
                </c:pt>
                <c:pt idx="4">
                  <c:v>-7.3081544827505757E-2</c:v>
                </c:pt>
                <c:pt idx="5">
                  <c:v>-0.14616425011131476</c:v>
                </c:pt>
                <c:pt idx="6">
                  <c:v>-0.29233778416277856</c:v>
                </c:pt>
                <c:pt idx="7">
                  <c:v>-0.43852988764090073</c:v>
                </c:pt>
                <c:pt idx="8">
                  <c:v>-0.58474984912516548</c:v>
                </c:pt>
                <c:pt idx="9">
                  <c:v>-0.73100696183538449</c:v>
                </c:pt>
                <c:pt idx="10">
                  <c:v>-0.87731052518011832</c:v>
                </c:pt>
                <c:pt idx="11">
                  <c:v>-1.0236698463062932</c:v>
                </c:pt>
                <c:pt idx="12">
                  <c:v>-1.1700942416506632</c:v>
                </c:pt>
                <c:pt idx="13">
                  <c:v>-1.316593038493155</c:v>
                </c:pt>
                <c:pt idx="14">
                  <c:v>-1.4631755765127694</c:v>
                </c:pt>
                <c:pt idx="15">
                  <c:v>-1.7566293061480147</c:v>
                </c:pt>
                <c:pt idx="16">
                  <c:v>-2.1976723375953928</c:v>
                </c:pt>
                <c:pt idx="17">
                  <c:v>-2.9356734464211769</c:v>
                </c:pt>
                <c:pt idx="18">
                  <c:v>-3.6783697316872415</c:v>
                </c:pt>
                <c:pt idx="19">
                  <c:v>-4.426971647479383</c:v>
                </c:pt>
                <c:pt idx="20">
                  <c:v>-5.1827143751822149</c:v>
                </c:pt>
                <c:pt idx="21">
                  <c:v>-5.9468630539735026</c:v>
                </c:pt>
                <c:pt idx="22">
                  <c:v>-6.7207181635302202</c:v>
                </c:pt>
                <c:pt idx="23">
                  <c:v>-7.5056210810355886</c:v>
                </c:pt>
                <c:pt idx="24">
                  <c:v>-9.1141750547912253</c:v>
                </c:pt>
                <c:pt idx="25">
                  <c:v>-10.784297867562607</c:v>
                </c:pt>
                <c:pt idx="26">
                  <c:v>-12.528807709151522</c:v>
                </c:pt>
                <c:pt idx="27">
                  <c:v>-14.361784166585778</c:v>
                </c:pt>
                <c:pt idx="28">
                  <c:v>-16.298796381537318</c:v>
                </c:pt>
                <c:pt idx="29">
                  <c:v>-21.714806519031516</c:v>
                </c:pt>
                <c:pt idx="30">
                  <c:v>-28.221237814106342</c:v>
                </c:pt>
                <c:pt idx="31">
                  <c:v>-36.226532364049028</c:v>
                </c:pt>
                <c:pt idx="32">
                  <c:v>-46.169139327907438</c:v>
                </c:pt>
                <c:pt idx="33">
                  <c:v>-58.3161933353134</c:v>
                </c:pt>
                <c:pt idx="34">
                  <c:v>-72.35933599289784</c:v>
                </c:pt>
                <c:pt idx="35">
                  <c:v>-87.111616774937033</c:v>
                </c:pt>
                <c:pt idx="36">
                  <c:v>79.057814590990617</c:v>
                </c:pt>
                <c:pt idx="37">
                  <c:v>67.273814720811231</c:v>
                </c:pt>
                <c:pt idx="38">
                  <c:v>57.789072276326237</c:v>
                </c:pt>
                <c:pt idx="39">
                  <c:v>50.318637005092938</c:v>
                </c:pt>
                <c:pt idx="40">
                  <c:v>44.43273359014205</c:v>
                </c:pt>
                <c:pt idx="41">
                  <c:v>39.743494021209472</c:v>
                </c:pt>
                <c:pt idx="42">
                  <c:v>35.950433149045551</c:v>
                </c:pt>
                <c:pt idx="43">
                  <c:v>32.832973722182572</c:v>
                </c:pt>
                <c:pt idx="44">
                  <c:v>30.231518733882695</c:v>
                </c:pt>
                <c:pt idx="45">
                  <c:v>28.030250939255012</c:v>
                </c:pt>
                <c:pt idx="46">
                  <c:v>26.1442190888298</c:v>
                </c:pt>
                <c:pt idx="47">
                  <c:v>24.510240107687594</c:v>
                </c:pt>
                <c:pt idx="48">
                  <c:v>23.08061721534375</c:v>
                </c:pt>
                <c:pt idx="49">
                  <c:v>18.785020512595423</c:v>
                </c:pt>
                <c:pt idx="50">
                  <c:v>15.902267734801796</c:v>
                </c:pt>
                <c:pt idx="51">
                  <c:v>13.822289066344553</c:v>
                </c:pt>
                <c:pt idx="52">
                  <c:v>12.244123624442466</c:v>
                </c:pt>
                <c:pt idx="53">
                  <c:v>5.8239812445686141</c:v>
                </c:pt>
                <c:pt idx="54">
                  <c:v>3.8474914013058878</c:v>
                </c:pt>
                <c:pt idx="55">
                  <c:v>2.8764764627782142</c:v>
                </c:pt>
                <c:pt idx="56">
                  <c:v>2.2978082816780159</c:v>
                </c:pt>
                <c:pt idx="57">
                  <c:v>1.9133161234383067</c:v>
                </c:pt>
                <c:pt idx="58">
                  <c:v>1.6391983314850904</c:v>
                </c:pt>
                <c:pt idx="59">
                  <c:v>1.4338519208536979</c:v>
                </c:pt>
                <c:pt idx="60">
                  <c:v>1.2742629746955743</c:v>
                </c:pt>
                <c:pt idx="61">
                  <c:v>1.1466615811150689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'BF Filter Latency'!$Q$26:$R$26</c:f>
              <c:strCache>
                <c:ptCount val="1"/>
                <c:pt idx="0">
                  <c:v>Static
Notch 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Latency'!$A$33:$A$133</c:f>
              <c:numCache>
                <c:formatCode>General</c:formatCode>
                <c:ptCount val="98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Latency'!$Q$33:$Q$133</c:f>
              <c:numCache>
                <c:formatCode>0.0</c:formatCode>
                <c:ptCount val="98"/>
                <c:pt idx="0">
                  <c:v>-7.1619724401363757E-5</c:v>
                </c:pt>
                <c:pt idx="1">
                  <c:v>-7.1619728494610414E-3</c:v>
                </c:pt>
                <c:pt idx="2">
                  <c:v>-3.5809913485904787E-2</c:v>
                </c:pt>
                <c:pt idx="3">
                  <c:v>-7.1619728494610414E-3</c:v>
                </c:pt>
                <c:pt idx="4">
                  <c:v>-3.5809913485904787E-2</c:v>
                </c:pt>
                <c:pt idx="5">
                  <c:v>-7.1620134714812614E-2</c:v>
                </c:pt>
                <c:pt idx="6">
                  <c:v>-0.14324273142167587</c:v>
                </c:pt>
                <c:pt idx="7">
                  <c:v>-0.21487025236856064</c:v>
                </c:pt>
                <c:pt idx="8">
                  <c:v>-0.28650516031558332</c:v>
                </c:pt>
                <c:pt idx="9">
                  <c:v>-0.3581499187910025</c:v>
                </c:pt>
                <c:pt idx="10">
                  <c:v>-0.42980699234759706</c:v>
                </c:pt>
                <c:pt idx="11">
                  <c:v>-0.50147884681913335</c:v>
                </c:pt>
                <c:pt idx="12">
                  <c:v>-0.57316794957711215</c:v>
                </c:pt>
                <c:pt idx="13">
                  <c:v>-0.64487676978780872</c:v>
                </c:pt>
                <c:pt idx="14">
                  <c:v>-0.71660777866965586</c:v>
                </c:pt>
                <c:pt idx="15">
                  <c:v>-0.86014625912850684</c:v>
                </c:pt>
                <c:pt idx="16">
                  <c:v>-1.0756823219624323</c:v>
                </c:pt>
                <c:pt idx="17">
                  <c:v>-1.4356838973417398</c:v>
                </c:pt>
                <c:pt idx="18">
                  <c:v>-1.7969252726959686</c:v>
                </c:pt>
                <c:pt idx="19">
                  <c:v>-2.1597224597100335</c:v>
                </c:pt>
                <c:pt idx="20">
                  <c:v>-2.5243955541834815</c:v>
                </c:pt>
                <c:pt idx="21">
                  <c:v>-2.8912695962205626</c:v>
                </c:pt>
                <c:pt idx="22">
                  <c:v>-3.260675454561476</c:v>
                </c:pt>
                <c:pt idx="23">
                  <c:v>-3.6329507394882015</c:v>
                </c:pt>
                <c:pt idx="24">
                  <c:v>-4.3874994526324365</c:v>
                </c:pt>
                <c:pt idx="25">
                  <c:v>-5.15778839330377</c:v>
                </c:pt>
                <c:pt idx="26">
                  <c:v>-5.9468630539734901</c:v>
                </c:pt>
                <c:pt idx="27">
                  <c:v>-6.7579789936274262</c:v>
                </c:pt>
                <c:pt idx="28">
                  <c:v>-7.5946433685914396</c:v>
                </c:pt>
                <c:pt idx="29">
                  <c:v>-9.8239317234158481</c:v>
                </c:pt>
                <c:pt idx="30">
                  <c:v>-12.308015817427933</c:v>
                </c:pt>
                <c:pt idx="31">
                  <c:v>-15.137949583132851</c:v>
                </c:pt>
                <c:pt idx="32">
                  <c:v>-18.434948822922006</c:v>
                </c:pt>
                <c:pt idx="33">
                  <c:v>-22.363666015473473</c:v>
                </c:pt>
                <c:pt idx="34">
                  <c:v>-27.149681697783162</c:v>
                </c:pt>
                <c:pt idx="35">
                  <c:v>-33.098393761832426</c:v>
                </c:pt>
                <c:pt idx="36">
                  <c:v>-40.601294645004472</c:v>
                </c:pt>
                <c:pt idx="37">
                  <c:v>-50.086221709634628</c:v>
                </c:pt>
                <c:pt idx="38">
                  <c:v>-61.821409890040826</c:v>
                </c:pt>
                <c:pt idx="39">
                  <c:v>-75.515266439677021</c:v>
                </c:pt>
                <c:pt idx="40">
                  <c:v>-90</c:v>
                </c:pt>
                <c:pt idx="41">
                  <c:v>76.360947947627963</c:v>
                </c:pt>
                <c:pt idx="42">
                  <c:v>64.722277764447057</c:v>
                </c:pt>
                <c:pt idx="43">
                  <c:v>55.363691822447109</c:v>
                </c:pt>
                <c:pt idx="44">
                  <c:v>48.012787504183336</c:v>
                </c:pt>
                <c:pt idx="45">
                  <c:v>42.242843367343937</c:v>
                </c:pt>
                <c:pt idx="46">
                  <c:v>37.665621198583324</c:v>
                </c:pt>
                <c:pt idx="47">
                  <c:v>33.979681468052718</c:v>
                </c:pt>
                <c:pt idx="48">
                  <c:v>30.963756532073518</c:v>
                </c:pt>
                <c:pt idx="49">
                  <c:v>22.988716802080631</c:v>
                </c:pt>
                <c:pt idx="50">
                  <c:v>18.434948822922024</c:v>
                </c:pt>
                <c:pt idx="51">
                  <c:v>15.478638165418374</c:v>
                </c:pt>
                <c:pt idx="52">
                  <c:v>13.392497753751115</c:v>
                </c:pt>
                <c:pt idx="53">
                  <c:v>5.946863053973459</c:v>
                </c:pt>
                <c:pt idx="54">
                  <c:v>3.8828985603636568</c:v>
                </c:pt>
                <c:pt idx="55">
                  <c:v>2.8912695962205532</c:v>
                </c:pt>
                <c:pt idx="56">
                  <c:v>2.3053485064968413</c:v>
                </c:pt>
                <c:pt idx="57">
                  <c:v>1.9176690854067999</c:v>
                </c:pt>
                <c:pt idx="58">
                  <c:v>1.6419355433091027</c:v>
                </c:pt>
                <c:pt idx="59">
                  <c:v>1.4356838973417609</c:v>
                </c:pt>
                <c:pt idx="60">
                  <c:v>1.2755487926460489</c:v>
                </c:pt>
                <c:pt idx="61">
                  <c:v>1.1475985059201719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'BF Filter Latency'!$V$26:$W$26</c:f>
              <c:strCache>
                <c:ptCount val="1"/>
                <c:pt idx="0">
                  <c:v>Static
Notch 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Latency'!$V$33:$V$94</c:f>
              <c:numCache>
                <c:formatCode>0.0</c:formatCode>
                <c:ptCount val="62"/>
                <c:pt idx="0">
                  <c:v>-2.864788975672884E-4</c:v>
                </c:pt>
                <c:pt idx="1">
                  <c:v>-2.8647894531186695E-2</c:v>
                </c:pt>
                <c:pt idx="2">
                  <c:v>-0.1432400456148574</c:v>
                </c:pt>
                <c:pt idx="3">
                  <c:v>-2.8647894531186695E-2</c:v>
                </c:pt>
                <c:pt idx="4">
                  <c:v>-0.1432400456148574</c:v>
                </c:pt>
                <c:pt idx="5">
                  <c:v>-0.28648367224951199</c:v>
                </c:pt>
                <c:pt idx="6">
                  <c:v>-0.57299599346299779</c:v>
                </c:pt>
                <c:pt idx="7">
                  <c:v>-0.85956561690053357</c:v>
                </c:pt>
                <c:pt idx="8">
                  <c:v>-1.1462212044111946</c:v>
                </c:pt>
                <c:pt idx="9">
                  <c:v>-1.4329914307194755</c:v>
                </c:pt>
                <c:pt idx="10">
                  <c:v>-1.7199049877019281</c:v>
                </c:pt>
                <c:pt idx="11">
                  <c:v>-2.0069905886510262</c:v>
                </c:pt>
                <c:pt idx="12">
                  <c:v>-2.2942769725223622</c:v>
                </c:pt>
                <c:pt idx="13">
                  <c:v>-2.5817929081625097</c:v>
                </c:pt>
                <c:pt idx="14">
                  <c:v>-2.8695671985135878</c:v>
                </c:pt>
                <c:pt idx="15">
                  <c:v>-3.4460062506328843</c:v>
                </c:pt>
                <c:pt idx="16">
                  <c:v>-4.3133249843670818</c:v>
                </c:pt>
                <c:pt idx="17">
                  <c:v>-5.7678888979141396</c:v>
                </c:pt>
                <c:pt idx="18">
                  <c:v>-7.236922025968008</c:v>
                </c:pt>
                <c:pt idx="19">
                  <c:v>-8.7241381315957227</c:v>
                </c:pt>
                <c:pt idx="20">
                  <c:v>-10.233312135054085</c:v>
                </c:pt>
                <c:pt idx="21">
                  <c:v>-11.768288932020647</c:v>
                </c:pt>
                <c:pt idx="22">
                  <c:v>-13.33299000687736</c:v>
                </c:pt>
                <c:pt idx="23">
                  <c:v>-14.931417178137549</c:v>
                </c:pt>
                <c:pt idx="24">
                  <c:v>-18.245854527578253</c:v>
                </c:pt>
                <c:pt idx="25">
                  <c:v>-21.745099156066015</c:v>
                </c:pt>
                <c:pt idx="26">
                  <c:v>-25.463345061871625</c:v>
                </c:pt>
                <c:pt idx="27">
                  <c:v>-29.434443267311327</c:v>
                </c:pt>
                <c:pt idx="28">
                  <c:v>-33.690067525979792</c:v>
                </c:pt>
                <c:pt idx="29">
                  <c:v>-45.725224299059263</c:v>
                </c:pt>
                <c:pt idx="30">
                  <c:v>-59.743562836470737</c:v>
                </c:pt>
                <c:pt idx="31">
                  <c:v>-75.004920870824037</c:v>
                </c:pt>
                <c:pt idx="32">
                  <c:v>-90.000000000000014</c:v>
                </c:pt>
                <c:pt idx="33">
                  <c:v>76.715133515097804</c:v>
                </c:pt>
                <c:pt idx="34">
                  <c:v>65.772254682045812</c:v>
                </c:pt>
                <c:pt idx="35">
                  <c:v>57.067768958653318</c:v>
                </c:pt>
                <c:pt idx="36">
                  <c:v>50.194428907734789</c:v>
                </c:pt>
                <c:pt idx="37">
                  <c:v>44.725859606266795</c:v>
                </c:pt>
                <c:pt idx="38">
                  <c:v>40.314100160497304</c:v>
                </c:pt>
                <c:pt idx="39">
                  <c:v>36.698695626938985</c:v>
                </c:pt>
                <c:pt idx="40">
                  <c:v>33.690067525979771</c:v>
                </c:pt>
                <c:pt idx="41">
                  <c:v>31.150630557988563</c:v>
                </c:pt>
                <c:pt idx="42">
                  <c:v>28.979707697928774</c:v>
                </c:pt>
                <c:pt idx="43">
                  <c:v>27.102663356825843</c:v>
                </c:pt>
                <c:pt idx="44">
                  <c:v>25.463345061871621</c:v>
                </c:pt>
                <c:pt idx="45">
                  <c:v>24.018868567218163</c:v>
                </c:pt>
                <c:pt idx="46">
                  <c:v>22.736004882581454</c:v>
                </c:pt>
                <c:pt idx="47">
                  <c:v>21.588652278152466</c:v>
                </c:pt>
                <c:pt idx="48">
                  <c:v>20.556045219583467</c:v>
                </c:pt>
                <c:pt idx="49">
                  <c:v>17.28149837181661</c:v>
                </c:pt>
                <c:pt idx="50">
                  <c:v>14.931417178137536</c:v>
                </c:pt>
                <c:pt idx="51">
                  <c:v>13.157542740014776</c:v>
                </c:pt>
                <c:pt idx="52">
                  <c:v>11.768288932020653</c:v>
                </c:pt>
                <c:pt idx="53">
                  <c:v>5.7678888979141334</c:v>
                </c:pt>
                <c:pt idx="54">
                  <c:v>3.8310513610566659</c:v>
                </c:pt>
                <c:pt idx="55">
                  <c:v>2.8695671985135505</c:v>
                </c:pt>
                <c:pt idx="56">
                  <c:v>2.2942769725223684</c:v>
                </c:pt>
                <c:pt idx="57">
                  <c:v>1.9112744989032819</c:v>
                </c:pt>
                <c:pt idx="58">
                  <c:v>1.6379133863281652</c:v>
                </c:pt>
                <c:pt idx="59">
                  <c:v>1.4329914307194827</c:v>
                </c:pt>
                <c:pt idx="60">
                  <c:v>1.2736587803256612</c:v>
                </c:pt>
                <c:pt idx="61">
                  <c:v>1.1462212044111766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'BF Filter Latency'!$Y$26:$AD$26</c:f>
              <c:strCache>
                <c:ptCount val="1"/>
                <c:pt idx="0">
                  <c:v>Stage 1 LPF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Latency'!$A$33:$A$133</c:f>
              <c:numCache>
                <c:formatCode>General</c:formatCode>
                <c:ptCount val="98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Latency'!$Y$95:$Y$133</c:f>
              <c:numCache>
                <c:formatCode>0.00</c:formatCode>
                <c:ptCount val="36"/>
              </c:numCache>
            </c:numRef>
          </c:yVal>
          <c:smooth val="1"/>
        </c:ser>
        <c:ser>
          <c:idx val="1"/>
          <c:order val="6"/>
          <c:tx>
            <c:strRef>
              <c:f>'BF Filter Latency'!$Y$32</c:f>
              <c:strCache>
                <c:ptCount val="1"/>
                <c:pt idx="0">
                  <c:v>Stage 1 LPF Phase Delay (deg)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Latency'!$Y$33:$Y$94</c:f>
              <c:numCache>
                <c:formatCode>0.0</c:formatCode>
                <c:ptCount val="62"/>
                <c:pt idx="0">
                  <c:v>-6.3661977234138307E-4</c:v>
                </c:pt>
                <c:pt idx="1">
                  <c:v>-6.3661951038433001E-2</c:v>
                </c:pt>
                <c:pt idx="2">
                  <c:v>-0.31830661145136596</c:v>
                </c:pt>
                <c:pt idx="3">
                  <c:v>-6.3661951038433001E-2</c:v>
                </c:pt>
                <c:pt idx="4">
                  <c:v>-0.31830661145136596</c:v>
                </c:pt>
                <c:pt idx="5">
                  <c:v>-0.63659357596348642</c:v>
                </c:pt>
                <c:pt idx="6">
                  <c:v>-1.2730300200567113</c:v>
                </c:pt>
                <c:pt idx="7">
                  <c:v>-1.9091524329963763</c:v>
                </c:pt>
                <c:pt idx="8">
                  <c:v>-2.5448043798130957</c:v>
                </c:pt>
                <c:pt idx="9">
                  <c:v>-3.179830119864234</c:v>
                </c:pt>
                <c:pt idx="10">
                  <c:v>-3.8140748342903548</c:v>
                </c:pt>
                <c:pt idx="11">
                  <c:v>-4.44738485009049</c:v>
                </c:pt>
                <c:pt idx="12">
                  <c:v>-5.0796078600145709</c:v>
                </c:pt>
                <c:pt idx="13">
                  <c:v>-5.710593137499643</c:v>
                </c:pt>
                <c:pt idx="14">
                  <c:v>-6.3401917459099089</c:v>
                </c:pt>
                <c:pt idx="15">
                  <c:v>-7.594643368591445</c:v>
                </c:pt>
                <c:pt idx="16">
                  <c:v>-9.4623222080256166</c:v>
                </c:pt>
                <c:pt idx="17">
                  <c:v>-12.528807709151511</c:v>
                </c:pt>
                <c:pt idx="18">
                  <c:v>-15.524110996754256</c:v>
                </c:pt>
                <c:pt idx="19">
                  <c:v>-18.43494882292201</c:v>
                </c:pt>
                <c:pt idx="20">
                  <c:v>-21.250505507133241</c:v>
                </c:pt>
                <c:pt idx="21">
                  <c:v>-23.962488974578182</c:v>
                </c:pt>
                <c:pt idx="22">
                  <c:v>-26.56505117707799</c:v>
                </c:pt>
                <c:pt idx="23">
                  <c:v>-29.054604099077146</c:v>
                </c:pt>
                <c:pt idx="24">
                  <c:v>-33.690067525979785</c:v>
                </c:pt>
                <c:pt idx="25">
                  <c:v>-37.874983651098205</c:v>
                </c:pt>
                <c:pt idx="26">
                  <c:v>-41.633539336570202</c:v>
                </c:pt>
                <c:pt idx="27">
                  <c:v>-45</c:v>
                </c:pt>
                <c:pt idx="28">
                  <c:v>-48.012787504183336</c:v>
                </c:pt>
                <c:pt idx="29">
                  <c:v>-54.246112745563259</c:v>
                </c:pt>
                <c:pt idx="30">
                  <c:v>-59.036243467926482</c:v>
                </c:pt>
                <c:pt idx="31">
                  <c:v>-62.783888442692529</c:v>
                </c:pt>
                <c:pt idx="32">
                  <c:v>-65.772254682045826</c:v>
                </c:pt>
                <c:pt idx="33">
                  <c:v>-68.198590513648185</c:v>
                </c:pt>
                <c:pt idx="34">
                  <c:v>-70.201123645475079</c:v>
                </c:pt>
                <c:pt idx="35">
                  <c:v>-71.878139752098647</c:v>
                </c:pt>
                <c:pt idx="36">
                  <c:v>-73.300755766006375</c:v>
                </c:pt>
                <c:pt idx="37">
                  <c:v>-74.52136183458164</c:v>
                </c:pt>
                <c:pt idx="38">
                  <c:v>-75.579226872489031</c:v>
                </c:pt>
                <c:pt idx="39">
                  <c:v>-76.504266719204196</c:v>
                </c:pt>
                <c:pt idx="40">
                  <c:v>-77.319616508180175</c:v>
                </c:pt>
                <c:pt idx="41">
                  <c:v>-78.043415756850877</c:v>
                </c:pt>
                <c:pt idx="42">
                  <c:v>-78.690067525979785</c:v>
                </c:pt>
                <c:pt idx="43">
                  <c:v>-79.27114070198995</c:v>
                </c:pt>
                <c:pt idx="44">
                  <c:v>-79.796026278268315</c:v>
                </c:pt>
                <c:pt idx="45">
                  <c:v>-80.272421448598394</c:v>
                </c:pt>
                <c:pt idx="46">
                  <c:v>-80.706691400602878</c:v>
                </c:pt>
                <c:pt idx="47">
                  <c:v>-81.104143030336701</c:v>
                </c:pt>
                <c:pt idx="48">
                  <c:v>-81.469234390051881</c:v>
                </c:pt>
                <c:pt idx="49">
                  <c:v>-82.673593339830461</c:v>
                </c:pt>
                <c:pt idx="50">
                  <c:v>-83.581213269761221</c:v>
                </c:pt>
                <c:pt idx="51">
                  <c:v>-84.289406862500371</c:v>
                </c:pt>
                <c:pt idx="52">
                  <c:v>-84.857235442115766</c:v>
                </c:pt>
                <c:pt idx="53">
                  <c:v>-87.423428169731181</c:v>
                </c:pt>
                <c:pt idx="54">
                  <c:v>-88.281641998344554</c:v>
                </c:pt>
                <c:pt idx="55">
                  <c:v>-88.711062439813119</c:v>
                </c:pt>
                <c:pt idx="56">
                  <c:v>-88.96878733011205</c:v>
                </c:pt>
                <c:pt idx="57">
                  <c:v>-89.140627756355329</c:v>
                </c:pt>
                <c:pt idx="58">
                  <c:v>-89.263380565134028</c:v>
                </c:pt>
                <c:pt idx="59">
                  <c:v>-89.35544967152714</c:v>
                </c:pt>
                <c:pt idx="60">
                  <c:v>-89.427061302316531</c:v>
                </c:pt>
                <c:pt idx="61">
                  <c:v>-89.484351906580073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73744"/>
        <c:axId val="220874136"/>
      </c:scatterChart>
      <c:valAx>
        <c:axId val="22087374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4136"/>
        <c:crossesAt val="-180"/>
        <c:crossBetween val="midCat"/>
      </c:valAx>
      <c:valAx>
        <c:axId val="220874136"/>
        <c:scaling>
          <c:orientation val="minMax"/>
          <c:max val="9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3744"/>
        <c:crossesAt val="0.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11022582965691"/>
          <c:y val="2.0213619130941981E-3"/>
          <c:w val="0.34164375302915889"/>
          <c:h val="0.89410542432195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2825896762905"/>
          <c:y val="2.5428331875182269E-2"/>
          <c:w val="0.8192384076990376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'BF Filter Latency'!$T$32</c:f>
              <c:strCache>
                <c:ptCount val="1"/>
                <c:pt idx="0">
                  <c:v>Notch 2 LPF Phase Shift
(deg)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Latency'!$T$33:$T$94</c:f>
            </c:numRef>
          </c:yVal>
          <c:smooth val="1"/>
        </c:ser>
        <c:ser>
          <c:idx val="1"/>
          <c:order val="1"/>
          <c:tx>
            <c:strRef>
              <c:f>'BF Filter Latency'!$U$32</c:f>
              <c:strCache>
                <c:ptCount val="1"/>
                <c:pt idx="0">
                  <c:v>Notch 2 HPF Phase Shift
(deg)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Latency'!$U$33:$U$94</c:f>
            </c:numRef>
          </c:yVal>
          <c:smooth val="1"/>
        </c:ser>
        <c:ser>
          <c:idx val="2"/>
          <c:order val="2"/>
          <c:tx>
            <c:strRef>
              <c:f>'BF Filter Latency'!$L$32</c:f>
              <c:strCache>
                <c:ptCount val="1"/>
                <c:pt idx="0">
                  <c:v>Dyn. Notch
Phase Shift
(deg)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Latency'!$L$33:$L$94</c:f>
              <c:numCache>
                <c:formatCode>0.0</c:formatCode>
                <c:ptCount val="62"/>
                <c:pt idx="0">
                  <c:v>-1.4616270283162561E-4</c:v>
                </c:pt>
                <c:pt idx="1">
                  <c:v>-1.4616271831214857E-2</c:v>
                </c:pt>
                <c:pt idx="2">
                  <c:v>-7.3081544827505757E-2</c:v>
                </c:pt>
                <c:pt idx="3">
                  <c:v>-1.4616271831214857E-2</c:v>
                </c:pt>
                <c:pt idx="4">
                  <c:v>-7.3081544827505757E-2</c:v>
                </c:pt>
                <c:pt idx="5">
                  <c:v>-0.14616425011131476</c:v>
                </c:pt>
                <c:pt idx="6">
                  <c:v>-0.29233778416277856</c:v>
                </c:pt>
                <c:pt idx="7">
                  <c:v>-0.43852988764090073</c:v>
                </c:pt>
                <c:pt idx="8">
                  <c:v>-0.58474984912516548</c:v>
                </c:pt>
                <c:pt idx="9">
                  <c:v>-0.73100696183538449</c:v>
                </c:pt>
                <c:pt idx="10">
                  <c:v>-0.87731052518011832</c:v>
                </c:pt>
                <c:pt idx="11">
                  <c:v>-1.0236698463062932</c:v>
                </c:pt>
                <c:pt idx="12">
                  <c:v>-1.1700942416506632</c:v>
                </c:pt>
                <c:pt idx="13">
                  <c:v>-1.316593038493155</c:v>
                </c:pt>
                <c:pt idx="14">
                  <c:v>-1.4631755765127694</c:v>
                </c:pt>
                <c:pt idx="15">
                  <c:v>-1.7566293061480147</c:v>
                </c:pt>
                <c:pt idx="16">
                  <c:v>-2.1976723375953928</c:v>
                </c:pt>
                <c:pt idx="17">
                  <c:v>-2.9356734464211769</c:v>
                </c:pt>
                <c:pt idx="18">
                  <c:v>-3.6783697316872415</c:v>
                </c:pt>
                <c:pt idx="19">
                  <c:v>-4.426971647479383</c:v>
                </c:pt>
                <c:pt idx="20">
                  <c:v>-5.1827143751822149</c:v>
                </c:pt>
                <c:pt idx="21">
                  <c:v>-5.9468630539735026</c:v>
                </c:pt>
                <c:pt idx="22">
                  <c:v>-6.7207181635302202</c:v>
                </c:pt>
                <c:pt idx="23">
                  <c:v>-7.5056210810355886</c:v>
                </c:pt>
                <c:pt idx="24">
                  <c:v>-9.1141750547912253</c:v>
                </c:pt>
                <c:pt idx="25">
                  <c:v>-10.784297867562607</c:v>
                </c:pt>
                <c:pt idx="26">
                  <c:v>-12.528807709151522</c:v>
                </c:pt>
                <c:pt idx="27">
                  <c:v>-14.361784166585778</c:v>
                </c:pt>
                <c:pt idx="28">
                  <c:v>-16.298796381537318</c:v>
                </c:pt>
                <c:pt idx="29">
                  <c:v>-21.714806519031516</c:v>
                </c:pt>
                <c:pt idx="30">
                  <c:v>-28.221237814106342</c:v>
                </c:pt>
                <c:pt idx="31">
                  <c:v>-36.226532364049028</c:v>
                </c:pt>
                <c:pt idx="32">
                  <c:v>-46.169139327907438</c:v>
                </c:pt>
                <c:pt idx="33">
                  <c:v>-58.3161933353134</c:v>
                </c:pt>
                <c:pt idx="34">
                  <c:v>-72.35933599289784</c:v>
                </c:pt>
                <c:pt idx="35">
                  <c:v>-87.111616774937033</c:v>
                </c:pt>
                <c:pt idx="36">
                  <c:v>79.057814590990617</c:v>
                </c:pt>
                <c:pt idx="37">
                  <c:v>67.273814720811231</c:v>
                </c:pt>
                <c:pt idx="38">
                  <c:v>57.789072276326237</c:v>
                </c:pt>
                <c:pt idx="39">
                  <c:v>50.318637005092938</c:v>
                </c:pt>
                <c:pt idx="40">
                  <c:v>44.43273359014205</c:v>
                </c:pt>
                <c:pt idx="41">
                  <c:v>39.743494021209472</c:v>
                </c:pt>
                <c:pt idx="42">
                  <c:v>35.950433149045551</c:v>
                </c:pt>
                <c:pt idx="43">
                  <c:v>32.832973722182572</c:v>
                </c:pt>
                <c:pt idx="44">
                  <c:v>30.231518733882695</c:v>
                </c:pt>
                <c:pt idx="45">
                  <c:v>28.030250939255012</c:v>
                </c:pt>
                <c:pt idx="46">
                  <c:v>26.1442190888298</c:v>
                </c:pt>
                <c:pt idx="47">
                  <c:v>24.510240107687594</c:v>
                </c:pt>
                <c:pt idx="48">
                  <c:v>23.08061721534375</c:v>
                </c:pt>
                <c:pt idx="49">
                  <c:v>18.785020512595423</c:v>
                </c:pt>
                <c:pt idx="50">
                  <c:v>15.902267734801796</c:v>
                </c:pt>
                <c:pt idx="51">
                  <c:v>13.822289066344553</c:v>
                </c:pt>
                <c:pt idx="52">
                  <c:v>12.244123624442466</c:v>
                </c:pt>
                <c:pt idx="53">
                  <c:v>5.8239812445686141</c:v>
                </c:pt>
                <c:pt idx="54">
                  <c:v>3.8474914013058878</c:v>
                </c:pt>
                <c:pt idx="55">
                  <c:v>2.8764764627782142</c:v>
                </c:pt>
                <c:pt idx="56">
                  <c:v>2.2978082816780159</c:v>
                </c:pt>
                <c:pt idx="57">
                  <c:v>1.9133161234383067</c:v>
                </c:pt>
                <c:pt idx="58">
                  <c:v>1.6391983314850904</c:v>
                </c:pt>
                <c:pt idx="59">
                  <c:v>1.4338519208536979</c:v>
                </c:pt>
                <c:pt idx="60">
                  <c:v>1.2742629746955743</c:v>
                </c:pt>
                <c:pt idx="61">
                  <c:v>1.1466615811150689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74920"/>
        <c:axId val="220875312"/>
      </c:scatterChart>
      <c:valAx>
        <c:axId val="220874920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5312"/>
        <c:crossesAt val="-180"/>
        <c:crossBetween val="midCat"/>
      </c:valAx>
      <c:valAx>
        <c:axId val="220875312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4920"/>
        <c:crossesAt val="0.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994653073643"/>
          <c:y val="0.61224147800579543"/>
          <c:w val="0.28662999672715511"/>
          <c:h val="0.38775852199420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Filter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89976078865149E-2"/>
          <c:y val="0.10641388122328767"/>
          <c:w val="0.760382774709218"/>
          <c:h val="0.80585625126428306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'BF Filter Latency'!$E$32</c:f>
              <c:strCache>
                <c:ptCount val="1"/>
                <c:pt idx="0">
                  <c:v>Gyro LPF Latency (ms)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Latency'!$E$33:$E$94</c:f>
              <c:numCache>
                <c:formatCode>0.00</c:formatCode>
                <c:ptCount val="62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'BF Filter Latency'!$H$32</c:f>
              <c:strCache>
                <c:ptCount val="1"/>
                <c:pt idx="0">
                  <c:v>Stage 2 LPF (BQRC) Latency (ms)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Latency'!$H$33:$H$94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'BF Filter Latency'!$M$32</c:f>
              <c:strCache>
                <c:ptCount val="1"/>
                <c:pt idx="0">
                  <c:v>Dyn. Notch Latency (ms)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Latency'!$M$33:$M$94</c:f>
              <c:numCache>
                <c:formatCode>0.0</c:formatCode>
                <c:ptCount val="62"/>
                <c:pt idx="0">
                  <c:v>0.40600750786562673</c:v>
                </c:pt>
                <c:pt idx="1">
                  <c:v>0.4060075508670794</c:v>
                </c:pt>
                <c:pt idx="2">
                  <c:v>0.40600858237503201</c:v>
                </c:pt>
                <c:pt idx="3">
                  <c:v>0.4060075508670794</c:v>
                </c:pt>
                <c:pt idx="4">
                  <c:v>0.40600858237503201</c:v>
                </c:pt>
                <c:pt idx="5">
                  <c:v>0.40601180586476321</c:v>
                </c:pt>
                <c:pt idx="6">
                  <c:v>0.40602470022608134</c:v>
                </c:pt>
                <c:pt idx="7">
                  <c:v>0.40604619226009331</c:v>
                </c:pt>
                <c:pt idx="8">
                  <c:v>0.40607628411469826</c:v>
                </c:pt>
                <c:pt idx="9">
                  <c:v>0.40611497879743585</c:v>
                </c:pt>
                <c:pt idx="10">
                  <c:v>0.40616228017598072</c:v>
                </c:pt>
                <c:pt idx="11">
                  <c:v>0.40621819297868778</c:v>
                </c:pt>
                <c:pt idx="12">
                  <c:v>0.4062827227953692</c:v>
                </c:pt>
                <c:pt idx="13">
                  <c:v>0.40635587607813428</c:v>
                </c:pt>
                <c:pt idx="14">
                  <c:v>0.40643766014243593</c:v>
                </c:pt>
                <c:pt idx="15">
                  <c:v>0.40662715420092932</c:v>
                </c:pt>
                <c:pt idx="16">
                  <c:v>0.40697635881396166</c:v>
                </c:pt>
                <c:pt idx="17">
                  <c:v>0.40773242311405239</c:v>
                </c:pt>
                <c:pt idx="18">
                  <c:v>0.40870774796524906</c:v>
                </c:pt>
                <c:pt idx="19">
                  <c:v>0.40990478217401694</c:v>
                </c:pt>
                <c:pt idx="20">
                  <c:v>0.4113265377128742</c:v>
                </c:pt>
                <c:pt idx="21">
                  <c:v>0.41297660097038214</c:v>
                </c:pt>
                <c:pt idx="22">
                  <c:v>0.41485914589692718</c:v>
                </c:pt>
                <c:pt idx="23">
                  <c:v>0.41697894894642157</c:v>
                </c:pt>
                <c:pt idx="24">
                  <c:v>0.4219525488329271</c:v>
                </c:pt>
                <c:pt idx="25">
                  <c:v>0.42794832807788125</c:v>
                </c:pt>
                <c:pt idx="26">
                  <c:v>0.43502804545665008</c:v>
                </c:pt>
                <c:pt idx="27">
                  <c:v>0.44326494341314132</c:v>
                </c:pt>
                <c:pt idx="28">
                  <c:v>0.45274434393159219</c:v>
                </c:pt>
                <c:pt idx="29">
                  <c:v>0.48255125597847809</c:v>
                </c:pt>
                <c:pt idx="30">
                  <c:v>0.52261551507604342</c:v>
                </c:pt>
                <c:pt idx="31">
                  <c:v>0.57502432323887342</c:v>
                </c:pt>
                <c:pt idx="32">
                  <c:v>0.64123804622093661</c:v>
                </c:pt>
                <c:pt idx="33">
                  <c:v>0.71995300413967167</c:v>
                </c:pt>
                <c:pt idx="34">
                  <c:v>0.80399262214330935</c:v>
                </c:pt>
                <c:pt idx="35">
                  <c:v>0.87991532095895997</c:v>
                </c:pt>
                <c:pt idx="36">
                  <c:v>0.73201680176843165</c:v>
                </c:pt>
                <c:pt idx="37">
                  <c:v>0.57498986940864294</c:v>
                </c:pt>
                <c:pt idx="38">
                  <c:v>0.45864343076449399</c:v>
                </c:pt>
                <c:pt idx="39">
                  <c:v>0.37273064448216991</c:v>
                </c:pt>
                <c:pt idx="40">
                  <c:v>0.30856064993154197</c:v>
                </c:pt>
                <c:pt idx="41">
                  <c:v>0.25976139883143445</c:v>
                </c:pt>
                <c:pt idx="42">
                  <c:v>0.22191625400645401</c:v>
                </c:pt>
                <c:pt idx="43">
                  <c:v>0.19200569428176942</c:v>
                </c:pt>
                <c:pt idx="44">
                  <c:v>0.16795288185490384</c:v>
                </c:pt>
                <c:pt idx="45">
                  <c:v>0.14830820602780428</c:v>
                </c:pt>
                <c:pt idx="46">
                  <c:v>0.13204151054964544</c:v>
                </c:pt>
                <c:pt idx="47">
                  <c:v>0.11840695704196905</c:v>
                </c:pt>
                <c:pt idx="48">
                  <c:v>0.10685470933029513</c:v>
                </c:pt>
                <c:pt idx="49">
                  <c:v>7.4543732192838982E-2</c:v>
                </c:pt>
                <c:pt idx="50">
                  <c:v>5.5216207412506241E-2</c:v>
                </c:pt>
                <c:pt idx="51">
                  <c:v>4.2661386007236277E-2</c:v>
                </c:pt>
                <c:pt idx="52">
                  <c:v>3.4011454512340181E-2</c:v>
                </c:pt>
                <c:pt idx="53">
                  <c:v>8.0888628396786309E-3</c:v>
                </c:pt>
                <c:pt idx="54">
                  <c:v>3.5624920382461927E-3</c:v>
                </c:pt>
                <c:pt idx="55">
                  <c:v>1.9975530991515377E-3</c:v>
                </c:pt>
                <c:pt idx="56">
                  <c:v>1.2765601564877866E-3</c:v>
                </c:pt>
                <c:pt idx="57">
                  <c:v>8.8579450159180875E-4</c:v>
                </c:pt>
                <c:pt idx="58">
                  <c:v>6.5047552836709928E-4</c:v>
                </c:pt>
                <c:pt idx="59">
                  <c:v>4.9786525029642281E-4</c:v>
                </c:pt>
                <c:pt idx="60">
                  <c:v>3.932910415727081E-4</c:v>
                </c:pt>
                <c:pt idx="61">
                  <c:v>3.1851710586529688E-4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'BF Filter Latency'!$R$32</c:f>
              <c:strCache>
                <c:ptCount val="1"/>
                <c:pt idx="0">
                  <c:v>Notch 1 Latency 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Latency'!$R$33:$R$94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'BF Filter Latency'!$W$32</c:f>
              <c:strCache>
                <c:ptCount val="1"/>
                <c:pt idx="0">
                  <c:v>Notch 2 Latency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Latency'!$W$33:$W$94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'BF Filter Latency'!$AD$32</c:f>
              <c:strCache>
                <c:ptCount val="1"/>
                <c:pt idx="0">
                  <c:v>Stage 1 LPF Latency
(ms)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Latency'!$AD$33:$AD$94</c:f>
              <c:numCache>
                <c:formatCode>0.0</c:formatCode>
                <c:ptCount val="62"/>
                <c:pt idx="0">
                  <c:v>1.7683882565038418</c:v>
                </c:pt>
                <c:pt idx="1">
                  <c:v>1.7683875288453612</c:v>
                </c:pt>
                <c:pt idx="2">
                  <c:v>1.7683700636186996</c:v>
                </c:pt>
                <c:pt idx="3">
                  <c:v>1.7683875288453612</c:v>
                </c:pt>
                <c:pt idx="4">
                  <c:v>1.7683700636186996</c:v>
                </c:pt>
                <c:pt idx="5">
                  <c:v>1.7683154887874621</c:v>
                </c:pt>
                <c:pt idx="6">
                  <c:v>1.7680972500787655</c:v>
                </c:pt>
                <c:pt idx="7">
                  <c:v>1.7677337342559041</c:v>
                </c:pt>
                <c:pt idx="8">
                  <c:v>1.7672252637590944</c:v>
                </c:pt>
                <c:pt idx="9">
                  <c:v>1.7665722888134632</c:v>
                </c:pt>
                <c:pt idx="10">
                  <c:v>1.7657753862455348</c:v>
                </c:pt>
                <c:pt idx="11">
                  <c:v>1.7648352579724167</c:v>
                </c:pt>
                <c:pt idx="12">
                  <c:v>1.7637527291717259</c:v>
                </c:pt>
                <c:pt idx="13">
                  <c:v>1.7625287461418651</c:v>
                </c:pt>
                <c:pt idx="14">
                  <c:v>1.7611643738638636</c:v>
                </c:pt>
                <c:pt idx="15">
                  <c:v>1.7580192982850569</c:v>
                </c:pt>
                <c:pt idx="16">
                  <c:v>1.7522818903751143</c:v>
                </c:pt>
                <c:pt idx="17">
                  <c:v>1.7401121818265988</c:v>
                </c:pt>
                <c:pt idx="18">
                  <c:v>1.724901221861584</c:v>
                </c:pt>
                <c:pt idx="19">
                  <c:v>1.706939705826112</c:v>
                </c:pt>
                <c:pt idx="20">
                  <c:v>1.6865480561216859</c:v>
                </c:pt>
                <c:pt idx="21">
                  <c:v>1.6640617343457071</c:v>
                </c:pt>
                <c:pt idx="22">
                  <c:v>1.6398179738937031</c:v>
                </c:pt>
                <c:pt idx="23">
                  <c:v>1.6141446721709525</c:v>
                </c:pt>
                <c:pt idx="24">
                  <c:v>1.5597253484249902</c:v>
                </c:pt>
                <c:pt idx="25">
                  <c:v>1.5029755417102462</c:v>
                </c:pt>
                <c:pt idx="26">
                  <c:v>1.4456090047420209</c:v>
                </c:pt>
                <c:pt idx="27">
                  <c:v>1.3888888888888888</c:v>
                </c:pt>
                <c:pt idx="28">
                  <c:v>1.3336885417828706</c:v>
                </c:pt>
                <c:pt idx="29">
                  <c:v>1.2054691721236279</c:v>
                </c:pt>
                <c:pt idx="30">
                  <c:v>1.0932637679245645</c:v>
                </c:pt>
                <c:pt idx="31">
                  <c:v>0.99656965782051621</c:v>
                </c:pt>
                <c:pt idx="32">
                  <c:v>0.91350353725063649</c:v>
                </c:pt>
                <c:pt idx="33">
                  <c:v>0.8419579075759035</c:v>
                </c:pt>
                <c:pt idx="34">
                  <c:v>0.78001248494972308</c:v>
                </c:pt>
                <c:pt idx="35">
                  <c:v>0.72604181567776416</c:v>
                </c:pt>
                <c:pt idx="36">
                  <c:v>0.67871070153709612</c:v>
                </c:pt>
                <c:pt idx="37">
                  <c:v>0.63693471653488576</c:v>
                </c:pt>
                <c:pt idx="38">
                  <c:v>0.59983513390864318</c:v>
                </c:pt>
                <c:pt idx="39">
                  <c:v>0.56669827199410516</c:v>
                </c:pt>
                <c:pt idx="40">
                  <c:v>0.53694178130680681</c:v>
                </c:pt>
                <c:pt idx="41">
                  <c:v>0.51008768468529986</c:v>
                </c:pt>
                <c:pt idx="42">
                  <c:v>0.48574115756777647</c:v>
                </c:pt>
                <c:pt idx="43">
                  <c:v>0.4635739222338594</c:v>
                </c:pt>
                <c:pt idx="44">
                  <c:v>0.44331125710149066</c:v>
                </c:pt>
                <c:pt idx="45">
                  <c:v>0.42472180660634073</c:v>
                </c:pt>
                <c:pt idx="46">
                  <c:v>0.40760955252829739</c:v>
                </c:pt>
                <c:pt idx="47">
                  <c:v>0.39180745425283425</c:v>
                </c:pt>
                <c:pt idx="48">
                  <c:v>0.37717238143542542</c:v>
                </c:pt>
                <c:pt idx="49">
                  <c:v>0.32806981484059705</c:v>
                </c:pt>
                <c:pt idx="50">
                  <c:v>0.2902125460755598</c:v>
                </c:pt>
                <c:pt idx="51">
                  <c:v>0.26015249031635918</c:v>
                </c:pt>
                <c:pt idx="52">
                  <c:v>0.23571454289476601</c:v>
                </c:pt>
                <c:pt idx="53">
                  <c:v>0.12142142801351553</c:v>
                </c:pt>
                <c:pt idx="54">
                  <c:v>8.1742261109578288E-2</c:v>
                </c:pt>
                <c:pt idx="55">
                  <c:v>6.1604904472092437E-2</c:v>
                </c:pt>
                <c:pt idx="56">
                  <c:v>4.9427104072284476E-2</c:v>
                </c:pt>
                <c:pt idx="57">
                  <c:v>4.1268809146460798E-2</c:v>
                </c:pt>
                <c:pt idx="58">
                  <c:v>3.5421976414735726E-2</c:v>
                </c:pt>
                <c:pt idx="59">
                  <c:v>3.1026197802613589E-2</c:v>
                </c:pt>
                <c:pt idx="60">
                  <c:v>2.7600944846393992E-2</c:v>
                </c:pt>
                <c:pt idx="61">
                  <c:v>2.4856764418494465E-2</c:v>
                </c:pt>
              </c:numCache>
            </c:numRef>
          </c:yVal>
          <c:smooth val="1"/>
        </c:ser>
        <c:ser>
          <c:idx val="6"/>
          <c:order val="6"/>
          <c:tx>
            <c:v>100 MARKER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7"/>
          <c:order val="7"/>
          <c:tx>
            <c:v>20 MARKER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8"/>
          <c:order val="8"/>
          <c:tx>
            <c:strRef>
              <c:f>'BF Filter Latency'!$AL$32</c:f>
              <c:strCache>
                <c:ptCount val="1"/>
                <c:pt idx="0">
                  <c:v>D-Term Notch Latency (ms)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Latency'!$AL$33:$AL$94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'BF Filter Latency'!$AS$32</c:f>
              <c:strCache>
                <c:ptCount val="1"/>
                <c:pt idx="0">
                  <c:v>D-Term LPF Latency (ms)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Latency'!$AS$33:$AS$94</c:f>
              <c:numCache>
                <c:formatCode>0.0</c:formatCode>
                <c:ptCount val="62"/>
                <c:pt idx="0">
                  <c:v>1.5915494308659019</c:v>
                </c:pt>
                <c:pt idx="1">
                  <c:v>1.5915489004027947</c:v>
                </c:pt>
                <c:pt idx="2">
                  <c:v>1.5915361682059694</c:v>
                </c:pt>
                <c:pt idx="3">
                  <c:v>1.5915489004027947</c:v>
                </c:pt>
                <c:pt idx="4">
                  <c:v>1.5915361682059694</c:v>
                </c:pt>
                <c:pt idx="5">
                  <c:v>1.5914963824541275</c:v>
                </c:pt>
                <c:pt idx="6">
                  <c:v>1.5913372752431993</c:v>
                </c:pt>
                <c:pt idx="7">
                  <c:v>1.591072223755053</c:v>
                </c:pt>
                <c:pt idx="8">
                  <c:v>1.5907014184989789</c:v>
                </c:pt>
                <c:pt idx="9">
                  <c:v>1.5902251256176374</c:v>
                </c:pt>
                <c:pt idx="10">
                  <c:v>1.5896436863196863</c:v>
                </c:pt>
                <c:pt idx="11">
                  <c:v>1.5889575161545191</c:v>
                </c:pt>
                <c:pt idx="12">
                  <c:v>1.5881671041322436</c:v>
                </c:pt>
                <c:pt idx="13">
                  <c:v>1.5872730116926672</c:v>
                </c:pt>
                <c:pt idx="14">
                  <c:v>1.5862758715276786</c:v>
                </c:pt>
                <c:pt idx="15">
                  <c:v>1.5839753269979027</c:v>
                </c:pt>
                <c:pt idx="16">
                  <c:v>1.5797714092496544</c:v>
                </c:pt>
                <c:pt idx="17">
                  <c:v>1.5708239547250296</c:v>
                </c:pt>
                <c:pt idx="18">
                  <c:v>1.5595826075473864</c:v>
                </c:pt>
                <c:pt idx="19">
                  <c:v>1.5462263179623723</c:v>
                </c:pt>
                <c:pt idx="20">
                  <c:v>1.5309560491419631</c:v>
                </c:pt>
                <c:pt idx="21">
                  <c:v>1.5139867698855425</c:v>
                </c:pt>
                <c:pt idx="22">
                  <c:v>1.4955398344416153</c:v>
                </c:pt>
                <c:pt idx="23">
                  <c:v>1.4758361765043329</c:v>
                </c:pt>
                <c:pt idx="24">
                  <c:v>1.4335072468552554</c:v>
                </c:pt>
                <c:pt idx="25">
                  <c:v>1.388572230101534</c:v>
                </c:pt>
                <c:pt idx="26">
                  <c:v>1.3423544532670173</c:v>
                </c:pt>
                <c:pt idx="27">
                  <c:v>1.295901620241255</c:v>
                </c:pt>
                <c:pt idx="28">
                  <c:v>1.25</c:v>
                </c:pt>
                <c:pt idx="29">
                  <c:v>1.1408931499091093</c:v>
                </c:pt>
                <c:pt idx="30">
                  <c:v>1.0427765272966705</c:v>
                </c:pt>
                <c:pt idx="31">
                  <c:v>0.9564304556040919</c:v>
                </c:pt>
                <c:pt idx="32">
                  <c:v>0.88104095587391684</c:v>
                </c:pt>
                <c:pt idx="33">
                  <c:v>0.81527791389409654</c:v>
                </c:pt>
                <c:pt idx="34">
                  <c:v>0.75776211681831318</c:v>
                </c:pt>
                <c:pt idx="35">
                  <c:v>0.7072413482636366</c:v>
                </c:pt>
                <c:pt idx="36">
                  <c:v>0.66263936275072222</c:v>
                </c:pt>
                <c:pt idx="37">
                  <c:v>0.623053598555108</c:v>
                </c:pt>
                <c:pt idx="38">
                  <c:v>0.58773495316727897</c:v>
                </c:pt>
                <c:pt idx="39">
                  <c:v>0.55606357645824023</c:v>
                </c:pt>
                <c:pt idx="40">
                  <c:v>0.5275260870282884</c:v>
                </c:pt>
                <c:pt idx="41">
                  <c:v>0.50169594826675046</c:v>
                </c:pt>
                <c:pt idx="42">
                  <c:v>0.4782172363632623</c:v>
                </c:pt>
                <c:pt idx="43">
                  <c:v>0.45679147345246801</c:v>
                </c:pt>
                <c:pt idx="44">
                  <c:v>0.4371670418109988</c:v>
                </c:pt>
                <c:pt idx="45">
                  <c:v>0.41913069911342549</c:v>
                </c:pt>
                <c:pt idx="46">
                  <c:v>0.40250077541027257</c:v>
                </c:pt>
                <c:pt idx="47">
                  <c:v>0.38712170558896442</c:v>
                </c:pt>
                <c:pt idx="48">
                  <c:v>0.37285961940728884</c:v>
                </c:pt>
                <c:pt idx="49">
                  <c:v>0.3248805462136668</c:v>
                </c:pt>
                <c:pt idx="50">
                  <c:v>0.28776035989964649</c:v>
                </c:pt>
                <c:pt idx="51">
                  <c:v>0.25820928473484595</c:v>
                </c:pt>
                <c:pt idx="52">
                  <c:v>0.23413724128472324</c:v>
                </c:pt>
                <c:pt idx="53">
                  <c:v>0.1210244371859559</c:v>
                </c:pt>
                <c:pt idx="54">
                  <c:v>8.1565599599077429E-2</c:v>
                </c:pt>
                <c:pt idx="55">
                  <c:v>6.1505488760996777E-2</c:v>
                </c:pt>
                <c:pt idx="56">
                  <c:v>4.9363465089902719E-2</c:v>
                </c:pt>
                <c:pt idx="57">
                  <c:v>4.1224610530614735E-2</c:v>
                </c:pt>
                <c:pt idx="58">
                  <c:v>3.5389501800917218E-2</c:v>
                </c:pt>
                <c:pt idx="59">
                  <c:v>3.1001333352267221E-2</c:v>
                </c:pt>
                <c:pt idx="60">
                  <c:v>2.7581298279023617E-2</c:v>
                </c:pt>
                <c:pt idx="61">
                  <c:v>2.4840850361754593E-2</c:v>
                </c:pt>
              </c:numCache>
            </c:numRef>
          </c:yVal>
          <c:smooth val="1"/>
        </c:ser>
        <c:ser>
          <c:idx val="10"/>
          <c:order val="10"/>
          <c:tx>
            <c:v>Stage 2 Cutoff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 cmpd="sng">
                <a:solidFill>
                  <a:srgbClr val="FFC000"/>
                </a:solidFill>
                <a:prstDash val="lgDash"/>
                <a:round/>
                <a:headEnd type="none"/>
                <a:tailEnd type="none"/>
              </a:ln>
              <a:effectLst>
                <a:glow rad="38100">
                  <a:schemeClr val="accent4">
                    <a:alpha val="20000"/>
                  </a:schemeClr>
                </a:glow>
              </a:effectLst>
            </c:spPr>
          </c:errBars>
          <c:xVal>
            <c:numRef>
              <c:f>'BF Filter Latency'!$H$29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1"/>
          <c:order val="11"/>
          <c:tx>
            <c:v>Stage 1 Cutoff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>
                <a:solidFill>
                  <a:srgbClr val="00B0F0"/>
                </a:solidFill>
                <a:prstDash val="dash"/>
                <a:round/>
              </a:ln>
              <a:effectLst>
                <a:glow rad="63500">
                  <a:schemeClr val="accent1">
                    <a:satMod val="175000"/>
                    <a:alpha val="20000"/>
                  </a:schemeClr>
                </a:glow>
              </a:effectLst>
            </c:spPr>
          </c:errBars>
          <c:xVal>
            <c:numRef>
              <c:f>'BF Filter Latency'!$AD$29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2"/>
          <c:order val="12"/>
          <c:tx>
            <c:v>D-Term Cutoff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>
                <a:glow rad="63500">
                  <a:schemeClr val="accent3">
                    <a:satMod val="175000"/>
                    <a:alpha val="20000"/>
                  </a:schemeClr>
                </a:glow>
              </a:effectLst>
            </c:spPr>
          </c:errBars>
          <c:xVal>
            <c:numRef>
              <c:f>'BF Filter Latency'!$AN$30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76096"/>
        <c:axId val="220876488"/>
      </c:scatterChart>
      <c:valAx>
        <c:axId val="220876096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Motion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6488"/>
        <c:crosses val="autoZero"/>
        <c:crossBetween val="midCat"/>
      </c:valAx>
      <c:valAx>
        <c:axId val="220876488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60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4491156423016933"/>
          <c:y val="3.8217996707760882E-2"/>
          <c:w val="0.15508843576983072"/>
          <c:h val="0.91625111581666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Filtering</a:t>
            </a:r>
            <a:r>
              <a:rPr lang="en-US" baseline="0"/>
              <a:t>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'BF Filter Latency'!$AV$26</c:f>
              <c:strCache>
                <c:ptCount val="1"/>
                <c:pt idx="0">
                  <c:v>TOTAL Latency (ms)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C000"/>
                </a:solidFill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Latency'!$AV$33:$AV$94</c:f>
              <c:numCache>
                <c:formatCode>0.0</c:formatCode>
                <c:ptCount val="62"/>
                <c:pt idx="0">
                  <c:v>4.87094519523537</c:v>
                </c:pt>
                <c:pt idx="1">
                  <c:v>4.8709439801152348</c:v>
                </c:pt>
                <c:pt idx="2">
                  <c:v>4.8709148141997014</c:v>
                </c:pt>
                <c:pt idx="3">
                  <c:v>4.8709439801152348</c:v>
                </c:pt>
                <c:pt idx="4">
                  <c:v>4.8709148141997014</c:v>
                </c:pt>
                <c:pt idx="5">
                  <c:v>4.8708236771063529</c:v>
                </c:pt>
                <c:pt idx="6">
                  <c:v>4.8704592255480463</c:v>
                </c:pt>
                <c:pt idx="7">
                  <c:v>4.8698521502710506</c:v>
                </c:pt>
                <c:pt idx="8">
                  <c:v>4.8690029663727712</c:v>
                </c:pt>
                <c:pt idx="9">
                  <c:v>4.8679123932285364</c:v>
                </c:pt>
                <c:pt idx="10">
                  <c:v>4.8665813527412016</c:v>
                </c:pt>
                <c:pt idx="11">
                  <c:v>4.865010967105623</c:v>
                </c:pt>
                <c:pt idx="12">
                  <c:v>4.8632025560993384</c:v>
                </c:pt>
                <c:pt idx="13">
                  <c:v>4.8611576339126668</c:v>
                </c:pt>
                <c:pt idx="14">
                  <c:v>4.8588779055339781</c:v>
                </c:pt>
                <c:pt idx="15">
                  <c:v>4.8536217794838894</c:v>
                </c:pt>
                <c:pt idx="16">
                  <c:v>4.8440296584387301</c:v>
                </c:pt>
                <c:pt idx="17">
                  <c:v>4.8236685596656805</c:v>
                </c:pt>
                <c:pt idx="18">
                  <c:v>4.7981915773742196</c:v>
                </c:pt>
                <c:pt idx="19">
                  <c:v>4.7680708059625019</c:v>
                </c:pt>
                <c:pt idx="20">
                  <c:v>4.7338306429765229</c:v>
                </c:pt>
                <c:pt idx="21">
                  <c:v>4.6960251052016311</c:v>
                </c:pt>
                <c:pt idx="22">
                  <c:v>4.6552169542322455</c:v>
                </c:pt>
                <c:pt idx="23">
                  <c:v>4.611959797621707</c:v>
                </c:pt>
                <c:pt idx="24">
                  <c:v>4.5201851441131726</c:v>
                </c:pt>
                <c:pt idx="25">
                  <c:v>4.4244960998896614</c:v>
                </c:pt>
                <c:pt idx="26">
                  <c:v>4.3279915034656877</c:v>
                </c:pt>
                <c:pt idx="27">
                  <c:v>4.2330554525432849</c:v>
                </c:pt>
                <c:pt idx="28">
                  <c:v>4.1414328857144627</c:v>
                </c:pt>
                <c:pt idx="29">
                  <c:v>3.9339135780112153</c:v>
                </c:pt>
                <c:pt idx="30">
                  <c:v>3.7636558102972781</c:v>
                </c:pt>
                <c:pt idx="31">
                  <c:v>3.6330244366634816</c:v>
                </c:pt>
                <c:pt idx="32">
                  <c:v>3.5407825393454901</c:v>
                </c:pt>
                <c:pt idx="33">
                  <c:v>3.4821888256096716</c:v>
                </c:pt>
                <c:pt idx="34">
                  <c:v>3.4467672239113458</c:v>
                </c:pt>
                <c:pt idx="35">
                  <c:v>3.4181984849003602</c:v>
                </c:pt>
                <c:pt idx="36">
                  <c:v>3.1783668660562503</c:v>
                </c:pt>
                <c:pt idx="37">
                  <c:v>2.9399781844986368</c:v>
                </c:pt>
                <c:pt idx="38">
                  <c:v>2.7512135178404162</c:v>
                </c:pt>
                <c:pt idx="39">
                  <c:v>2.6004924929345155</c:v>
                </c:pt>
                <c:pt idx="40">
                  <c:v>2.4780285182666373</c:v>
                </c:pt>
                <c:pt idx="41">
                  <c:v>2.3765450317834844</c:v>
                </c:pt>
                <c:pt idx="42">
                  <c:v>2.2908746479374926</c:v>
                </c:pt>
                <c:pt idx="43">
                  <c:v>2.2173710899680965</c:v>
                </c:pt>
                <c:pt idx="44">
                  <c:v>2.1534311807673934</c:v>
                </c:pt>
                <c:pt idx="45">
                  <c:v>2.0971607117475703</c:v>
                </c:pt>
                <c:pt idx="46">
                  <c:v>2.0471518384882157</c:v>
                </c:pt>
                <c:pt idx="47">
                  <c:v>2.0023361168837677</c:v>
                </c:pt>
                <c:pt idx="48">
                  <c:v>1.9618867101730093</c:v>
                </c:pt>
                <c:pt idx="49">
                  <c:v>1.8324940932471028</c:v>
                </c:pt>
                <c:pt idx="50">
                  <c:v>1.7381891133877125</c:v>
                </c:pt>
                <c:pt idx="51">
                  <c:v>1.6660231610584413</c:v>
                </c:pt>
                <c:pt idx="52">
                  <c:v>1.6088632386918293</c:v>
                </c:pt>
                <c:pt idx="53">
                  <c:v>1.3555347280391501</c:v>
                </c:pt>
                <c:pt idx="54">
                  <c:v>1.271870352746902</c:v>
                </c:pt>
                <c:pt idx="55">
                  <c:v>1.2301079463322406</c:v>
                </c:pt>
                <c:pt idx="56">
                  <c:v>1.2050671293186748</c:v>
                </c:pt>
                <c:pt idx="57">
                  <c:v>1.1883792141786673</c:v>
                </c:pt>
                <c:pt idx="58">
                  <c:v>1.17646195374402</c:v>
                </c:pt>
                <c:pt idx="59">
                  <c:v>1.1675253964051773</c:v>
                </c:pt>
                <c:pt idx="60">
                  <c:v>1.1605755341669903</c:v>
                </c:pt>
                <c:pt idx="61">
                  <c:v>1.1550161318861143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'BF Filter Latency'!$AF$26</c:f>
              <c:strCache>
                <c:ptCount val="1"/>
                <c:pt idx="0">
                  <c:v>Gyro Latency (ms)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92D050"/>
                </a:solidFill>
              </a:ln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Latency'!$AF$33:$AF$94</c:f>
              <c:numCache>
                <c:formatCode>0.0</c:formatCode>
                <c:ptCount val="62"/>
                <c:pt idx="0">
                  <c:v>3.2793957643694682</c:v>
                </c:pt>
                <c:pt idx="1">
                  <c:v>3.2793950797124403</c:v>
                </c:pt>
                <c:pt idx="2">
                  <c:v>3.2793786459937317</c:v>
                </c:pt>
                <c:pt idx="3">
                  <c:v>3.2793950797124403</c:v>
                </c:pt>
                <c:pt idx="4">
                  <c:v>3.2793786459937317</c:v>
                </c:pt>
                <c:pt idx="5">
                  <c:v>3.2793272946522256</c:v>
                </c:pt>
                <c:pt idx="6">
                  <c:v>3.2791219503048468</c:v>
                </c:pt>
                <c:pt idx="7">
                  <c:v>3.2787799265159974</c:v>
                </c:pt>
                <c:pt idx="8">
                  <c:v>3.2783015478737925</c:v>
                </c:pt>
                <c:pt idx="9">
                  <c:v>3.277687267610899</c:v>
                </c:pt>
                <c:pt idx="10">
                  <c:v>3.2769376664215155</c:v>
                </c:pt>
                <c:pt idx="11">
                  <c:v>3.2760534509511041</c:v>
                </c:pt>
                <c:pt idx="12">
                  <c:v>3.2750354519670948</c:v>
                </c:pt>
                <c:pt idx="13">
                  <c:v>3.2738846222199993</c:v>
                </c:pt>
                <c:pt idx="14">
                  <c:v>3.2726020340062996</c:v>
                </c:pt>
                <c:pt idx="15">
                  <c:v>3.2696464524859863</c:v>
                </c:pt>
                <c:pt idx="16">
                  <c:v>3.2642582491890759</c:v>
                </c:pt>
                <c:pt idx="17">
                  <c:v>3.252844604940651</c:v>
                </c:pt>
                <c:pt idx="18">
                  <c:v>3.2386089698268332</c:v>
                </c:pt>
                <c:pt idx="19">
                  <c:v>3.2218444880001291</c:v>
                </c:pt>
                <c:pt idx="20">
                  <c:v>3.2028745938345597</c:v>
                </c:pt>
                <c:pt idx="21">
                  <c:v>3.182038335316089</c:v>
                </c:pt>
                <c:pt idx="22">
                  <c:v>3.1596771197906302</c:v>
                </c:pt>
                <c:pt idx="23">
                  <c:v>3.136123621117374</c:v>
                </c:pt>
                <c:pt idx="24">
                  <c:v>3.0866778972579176</c:v>
                </c:pt>
                <c:pt idx="25">
                  <c:v>3.0359238697881272</c:v>
                </c:pt>
                <c:pt idx="26">
                  <c:v>2.9856370501986707</c:v>
                </c:pt>
                <c:pt idx="27">
                  <c:v>2.9371538323020303</c:v>
                </c:pt>
                <c:pt idx="28">
                  <c:v>2.8914328857144627</c:v>
                </c:pt>
                <c:pt idx="29">
                  <c:v>2.793020428102106</c:v>
                </c:pt>
                <c:pt idx="30">
                  <c:v>2.7208792830006079</c:v>
                </c:pt>
                <c:pt idx="31">
                  <c:v>2.6765939810593897</c:v>
                </c:pt>
                <c:pt idx="32">
                  <c:v>2.6597415834715732</c:v>
                </c:pt>
                <c:pt idx="33">
                  <c:v>2.6669109117155751</c:v>
                </c:pt>
                <c:pt idx="34">
                  <c:v>2.6890051070930325</c:v>
                </c:pt>
                <c:pt idx="35">
                  <c:v>2.7109571366367238</c:v>
                </c:pt>
                <c:pt idx="36">
                  <c:v>2.515727503305528</c:v>
                </c:pt>
                <c:pt idx="37">
                  <c:v>2.3169245859435286</c:v>
                </c:pt>
                <c:pt idx="38">
                  <c:v>2.1634785646731372</c:v>
                </c:pt>
                <c:pt idx="39">
                  <c:v>2.0444289164762752</c:v>
                </c:pt>
                <c:pt idx="40">
                  <c:v>1.9505024312383488</c:v>
                </c:pt>
                <c:pt idx="41">
                  <c:v>1.8748490835167342</c:v>
                </c:pt>
                <c:pt idx="42">
                  <c:v>1.8126574115742304</c:v>
                </c:pt>
                <c:pt idx="43">
                  <c:v>1.7605796165156287</c:v>
                </c:pt>
                <c:pt idx="44">
                  <c:v>1.7162641389563946</c:v>
                </c:pt>
                <c:pt idx="45">
                  <c:v>1.678030012634145</c:v>
                </c:pt>
                <c:pt idx="46">
                  <c:v>1.644651063077943</c:v>
                </c:pt>
                <c:pt idx="47">
                  <c:v>1.6152144112948033</c:v>
                </c:pt>
                <c:pt idx="48">
                  <c:v>1.5890270907657205</c:v>
                </c:pt>
                <c:pt idx="49">
                  <c:v>1.507613547033436</c:v>
                </c:pt>
                <c:pt idx="50">
                  <c:v>1.450428753488066</c:v>
                </c:pt>
                <c:pt idx="51">
                  <c:v>1.4078138763235954</c:v>
                </c:pt>
                <c:pt idx="52">
                  <c:v>1.3747259974071062</c:v>
                </c:pt>
                <c:pt idx="53">
                  <c:v>1.2345102908531942</c:v>
                </c:pt>
                <c:pt idx="54">
                  <c:v>1.1903047531478246</c:v>
                </c:pt>
                <c:pt idx="55">
                  <c:v>1.1686024575712439</c:v>
                </c:pt>
                <c:pt idx="56">
                  <c:v>1.1557036642287721</c:v>
                </c:pt>
                <c:pt idx="57">
                  <c:v>1.1471546036480527</c:v>
                </c:pt>
                <c:pt idx="58">
                  <c:v>1.1410724519431028</c:v>
                </c:pt>
                <c:pt idx="59">
                  <c:v>1.1365240630529101</c:v>
                </c:pt>
                <c:pt idx="60">
                  <c:v>1.1329942358879668</c:v>
                </c:pt>
                <c:pt idx="61">
                  <c:v>1.1301752815243598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'BF Filter Latency'!$AU$26</c:f>
              <c:strCache>
                <c:ptCount val="1"/>
                <c:pt idx="0">
                  <c:v>D-Term Latency (ms)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70C0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Latency'!$AU$33:$AU$94</c:f>
              <c:numCache>
                <c:formatCode>0.0</c:formatCode>
                <c:ptCount val="62"/>
                <c:pt idx="0">
                  <c:v>1.5915494308659019</c:v>
                </c:pt>
                <c:pt idx="1">
                  <c:v>1.5915489004027947</c:v>
                </c:pt>
                <c:pt idx="2">
                  <c:v>1.5915361682059694</c:v>
                </c:pt>
                <c:pt idx="3">
                  <c:v>1.5915489004027947</c:v>
                </c:pt>
                <c:pt idx="4">
                  <c:v>1.5915361682059694</c:v>
                </c:pt>
                <c:pt idx="5">
                  <c:v>1.5914963824541275</c:v>
                </c:pt>
                <c:pt idx="6">
                  <c:v>1.5913372752431993</c:v>
                </c:pt>
                <c:pt idx="7">
                  <c:v>1.591072223755053</c:v>
                </c:pt>
                <c:pt idx="8">
                  <c:v>1.5907014184989789</c:v>
                </c:pt>
                <c:pt idx="9">
                  <c:v>1.5902251256176374</c:v>
                </c:pt>
                <c:pt idx="10">
                  <c:v>1.5896436863196863</c:v>
                </c:pt>
                <c:pt idx="11">
                  <c:v>1.5889575161545191</c:v>
                </c:pt>
                <c:pt idx="12">
                  <c:v>1.5881671041322436</c:v>
                </c:pt>
                <c:pt idx="13">
                  <c:v>1.5872730116926672</c:v>
                </c:pt>
                <c:pt idx="14">
                  <c:v>1.5862758715276786</c:v>
                </c:pt>
                <c:pt idx="15">
                  <c:v>1.5839753269979027</c:v>
                </c:pt>
                <c:pt idx="16">
                  <c:v>1.5797714092496544</c:v>
                </c:pt>
                <c:pt idx="17">
                  <c:v>1.5708239547250296</c:v>
                </c:pt>
                <c:pt idx="18">
                  <c:v>1.5595826075473864</c:v>
                </c:pt>
                <c:pt idx="19">
                  <c:v>1.5462263179623723</c:v>
                </c:pt>
                <c:pt idx="20">
                  <c:v>1.5309560491419631</c:v>
                </c:pt>
                <c:pt idx="21">
                  <c:v>1.5139867698855425</c:v>
                </c:pt>
                <c:pt idx="22">
                  <c:v>1.4955398344416153</c:v>
                </c:pt>
                <c:pt idx="23">
                  <c:v>1.4758361765043329</c:v>
                </c:pt>
                <c:pt idx="24">
                  <c:v>1.4335072468552554</c:v>
                </c:pt>
                <c:pt idx="25">
                  <c:v>1.388572230101534</c:v>
                </c:pt>
                <c:pt idx="26">
                  <c:v>1.3423544532670173</c:v>
                </c:pt>
                <c:pt idx="27">
                  <c:v>1.295901620241255</c:v>
                </c:pt>
                <c:pt idx="28">
                  <c:v>1.25</c:v>
                </c:pt>
                <c:pt idx="29">
                  <c:v>1.1408931499091093</c:v>
                </c:pt>
                <c:pt idx="30">
                  <c:v>1.0427765272966705</c:v>
                </c:pt>
                <c:pt idx="31">
                  <c:v>0.9564304556040919</c:v>
                </c:pt>
                <c:pt idx="32">
                  <c:v>0.88104095587391684</c:v>
                </c:pt>
                <c:pt idx="33">
                  <c:v>0.81527791389409654</c:v>
                </c:pt>
                <c:pt idx="34">
                  <c:v>0.75776211681831318</c:v>
                </c:pt>
                <c:pt idx="35">
                  <c:v>0.7072413482636366</c:v>
                </c:pt>
                <c:pt idx="36">
                  <c:v>0.66263936275072222</c:v>
                </c:pt>
                <c:pt idx="37">
                  <c:v>0.623053598555108</c:v>
                </c:pt>
                <c:pt idx="38">
                  <c:v>0.58773495316727897</c:v>
                </c:pt>
                <c:pt idx="39">
                  <c:v>0.55606357645824023</c:v>
                </c:pt>
                <c:pt idx="40">
                  <c:v>0.5275260870282884</c:v>
                </c:pt>
                <c:pt idx="41">
                  <c:v>0.50169594826675046</c:v>
                </c:pt>
                <c:pt idx="42">
                  <c:v>0.4782172363632623</c:v>
                </c:pt>
                <c:pt idx="43">
                  <c:v>0.45679147345246801</c:v>
                </c:pt>
                <c:pt idx="44">
                  <c:v>0.4371670418109988</c:v>
                </c:pt>
                <c:pt idx="45">
                  <c:v>0.41913069911342549</c:v>
                </c:pt>
                <c:pt idx="46">
                  <c:v>0.40250077541027257</c:v>
                </c:pt>
                <c:pt idx="47">
                  <c:v>0.38712170558896442</c:v>
                </c:pt>
                <c:pt idx="48">
                  <c:v>0.37285961940728884</c:v>
                </c:pt>
                <c:pt idx="49">
                  <c:v>0.3248805462136668</c:v>
                </c:pt>
                <c:pt idx="50">
                  <c:v>0.28776035989964649</c:v>
                </c:pt>
                <c:pt idx="51">
                  <c:v>0.25820928473484595</c:v>
                </c:pt>
                <c:pt idx="52">
                  <c:v>0.23413724128472324</c:v>
                </c:pt>
                <c:pt idx="53">
                  <c:v>0.1210244371859559</c:v>
                </c:pt>
                <c:pt idx="54">
                  <c:v>8.1565599599077429E-2</c:v>
                </c:pt>
                <c:pt idx="55">
                  <c:v>6.1505488760996777E-2</c:v>
                </c:pt>
                <c:pt idx="56">
                  <c:v>4.9363465089902719E-2</c:v>
                </c:pt>
                <c:pt idx="57">
                  <c:v>4.1224610530614735E-2</c:v>
                </c:pt>
                <c:pt idx="58">
                  <c:v>3.5389501800917218E-2</c:v>
                </c:pt>
                <c:pt idx="59">
                  <c:v>3.1001333352267221E-2</c:v>
                </c:pt>
                <c:pt idx="60">
                  <c:v>2.7581298279023617E-2</c:v>
                </c:pt>
                <c:pt idx="61">
                  <c:v>2.4840850361754593E-2</c:v>
                </c:pt>
              </c:numCache>
            </c:numRef>
          </c:yVal>
          <c:smooth val="1"/>
        </c:ser>
        <c:ser>
          <c:idx val="1"/>
          <c:order val="3"/>
          <c:tx>
            <c:v>100 MARKER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'BF Filter Latency'!$AF$38</c:f>
              <c:numCache>
                <c:formatCode>0.0</c:formatCode>
                <c:ptCount val="1"/>
                <c:pt idx="0">
                  <c:v>3.2793272946522256</c:v>
                </c:pt>
              </c:numCache>
            </c:numRef>
          </c:yVal>
          <c:smooth val="1"/>
        </c:ser>
        <c:ser>
          <c:idx val="2"/>
          <c:order val="4"/>
          <c:tx>
            <c:v>20 MARKER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sq">
                <a:solidFill>
                  <a:schemeClr val="bg1"/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Ref>
              <c:f>'BF Filter Latency'!$AF$38</c:f>
              <c:numCache>
                <c:formatCode>0.0</c:formatCode>
                <c:ptCount val="1"/>
                <c:pt idx="0">
                  <c:v>3.2793272946522256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35064"/>
        <c:axId val="224335456"/>
      </c:scatterChart>
      <c:valAx>
        <c:axId val="22433506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35456"/>
        <c:crossesAt val="0"/>
        <c:crossBetween val="midCat"/>
        <c:minorUnit val="10"/>
      </c:valAx>
      <c:valAx>
        <c:axId val="22433545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3506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2811545208756121"/>
          <c:y val="3.3663724255890891E-2"/>
          <c:w val="0.15705737322707269"/>
          <c:h val="0.19145184209366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Fast Kalman Filter (FKF) Values</a:t>
            </a:r>
          </a:p>
        </c:rich>
      </c:tx>
      <c:layout>
        <c:manualLayout>
          <c:xMode val="edge"/>
          <c:yMode val="edge"/>
          <c:x val="0.11711361567858676"/>
          <c:y val="1.212520660190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82941186720619E-2"/>
          <c:y val="7.4953985477439561E-2"/>
          <c:w val="0.879357059037151"/>
          <c:h val="0.83777826115944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'FKF-Cutoff Calcs'!$E$7</c:f>
              <c:strCache>
                <c:ptCount val="1"/>
                <c:pt idx="0">
                  <c:v>4k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1"/>
              <c:layout>
                <c:manualLayout>
                  <c:x val="1.2896854360748881E-3"/>
                  <c:y val="4.05685226135897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Calcs'!$E$8:$E$41</c:f>
              <c:numCache>
                <c:formatCode>0.0</c:formatCode>
                <c:ptCount val="34"/>
                <c:pt idx="0">
                  <c:v>4.2993463824683271</c:v>
                </c:pt>
                <c:pt idx="1">
                  <c:v>6.0844635555280915</c:v>
                </c:pt>
                <c:pt idx="2">
                  <c:v>7.4559371589833283</c:v>
                </c:pt>
                <c:pt idx="3">
                  <c:v>8.6132966843503755</c:v>
                </c:pt>
                <c:pt idx="4">
                  <c:v>10.557166948824053</c:v>
                </c:pt>
                <c:pt idx="5">
                  <c:v>12.198248401776363</c:v>
                </c:pt>
                <c:pt idx="6">
                  <c:v>13.645837544508129</c:v>
                </c:pt>
                <c:pt idx="7">
                  <c:v>14.955987667387655</c:v>
                </c:pt>
                <c:pt idx="8">
                  <c:v>16.161996640174145</c:v>
                </c:pt>
                <c:pt idx="9">
                  <c:v>17.285559637303912</c:v>
                </c:pt>
                <c:pt idx="10">
                  <c:v>19.341527581990071</c:v>
                </c:pt>
                <c:pt idx="11">
                  <c:v>21.203159234378983</c:v>
                </c:pt>
                <c:pt idx="12">
                  <c:v>22.917542258831897</c:v>
                </c:pt>
                <c:pt idx="13">
                  <c:v>24.515356224901691</c:v>
                </c:pt>
                <c:pt idx="14">
                  <c:v>27.440721047396064</c:v>
                </c:pt>
                <c:pt idx="15">
                  <c:v>30.091345070434599</c:v>
                </c:pt>
                <c:pt idx="16">
                  <c:v>32.23825017376528</c:v>
                </c:pt>
                <c:pt idx="17">
                  <c:v>34.811506171242975</c:v>
                </c:pt>
                <c:pt idx="18">
                  <c:v>38.984902420621772</c:v>
                </c:pt>
                <c:pt idx="19">
                  <c:v>43.667537306356451</c:v>
                </c:pt>
                <c:pt idx="20">
                  <c:v>49.519224193828258</c:v>
                </c:pt>
                <c:pt idx="21">
                  <c:v>55.496061402588019</c:v>
                </c:pt>
                <c:pt idx="22">
                  <c:v>62.21288195512313</c:v>
                </c:pt>
                <c:pt idx="23">
                  <c:v>70.622723032218573</c:v>
                </c:pt>
                <c:pt idx="24">
                  <c:v>76.635550824124977</c:v>
                </c:pt>
                <c:pt idx="25">
                  <c:v>82.986879482812967</c:v>
                </c:pt>
                <c:pt idx="26">
                  <c:v>88.928601983823256</c:v>
                </c:pt>
                <c:pt idx="27">
                  <c:v>101.10545446448107</c:v>
                </c:pt>
                <c:pt idx="28">
                  <c:v>109.83609532121264</c:v>
                </c:pt>
                <c:pt idx="29">
                  <c:v>119.08088875587225</c:v>
                </c:pt>
                <c:pt idx="30">
                  <c:v>131.90487730966353</c:v>
                </c:pt>
                <c:pt idx="31">
                  <c:v>145.58561294149561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'FKF-Cutoff Calcs'!$F$7</c:f>
              <c:strCache>
                <c:ptCount val="1"/>
                <c:pt idx="0">
                  <c:v>8k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Calcs'!$F$8:$F$41</c:f>
              <c:numCache>
                <c:formatCode>0.0</c:formatCode>
                <c:ptCount val="34"/>
                <c:pt idx="0">
                  <c:v>8.5986927649366542</c:v>
                </c:pt>
                <c:pt idx="1">
                  <c:v>12.168927111056183</c:v>
                </c:pt>
                <c:pt idx="2">
                  <c:v>14.911874317966657</c:v>
                </c:pt>
                <c:pt idx="3">
                  <c:v>17.226593368700751</c:v>
                </c:pt>
                <c:pt idx="4">
                  <c:v>21.114333897648105</c:v>
                </c:pt>
                <c:pt idx="5">
                  <c:v>24.396496803552726</c:v>
                </c:pt>
                <c:pt idx="6">
                  <c:v>27.291675089016259</c:v>
                </c:pt>
                <c:pt idx="7">
                  <c:v>29.91197533477531</c:v>
                </c:pt>
                <c:pt idx="8">
                  <c:v>32.32399328034829</c:v>
                </c:pt>
                <c:pt idx="9">
                  <c:v>34.571119274607824</c:v>
                </c:pt>
                <c:pt idx="10">
                  <c:v>38.683055163980143</c:v>
                </c:pt>
                <c:pt idx="11">
                  <c:v>42.406318468757966</c:v>
                </c:pt>
                <c:pt idx="12">
                  <c:v>45.835084517663795</c:v>
                </c:pt>
                <c:pt idx="13">
                  <c:v>49.030712449803382</c:v>
                </c:pt>
                <c:pt idx="14">
                  <c:v>54.881442094792128</c:v>
                </c:pt>
                <c:pt idx="15">
                  <c:v>60.182690140869198</c:v>
                </c:pt>
                <c:pt idx="16">
                  <c:v>64.47650034753056</c:v>
                </c:pt>
                <c:pt idx="17">
                  <c:v>69.62301234248595</c:v>
                </c:pt>
                <c:pt idx="18">
                  <c:v>77.969804841243544</c:v>
                </c:pt>
                <c:pt idx="19">
                  <c:v>87.335074612712901</c:v>
                </c:pt>
                <c:pt idx="20">
                  <c:v>99.038448387656516</c:v>
                </c:pt>
                <c:pt idx="21">
                  <c:v>110.99212280517604</c:v>
                </c:pt>
                <c:pt idx="22">
                  <c:v>124.42576391024626</c:v>
                </c:pt>
                <c:pt idx="23">
                  <c:v>141.24544606443715</c:v>
                </c:pt>
                <c:pt idx="24">
                  <c:v>153.27110164824995</c:v>
                </c:pt>
                <c:pt idx="25">
                  <c:v>165.97375896562593</c:v>
                </c:pt>
                <c:pt idx="26">
                  <c:v>177.85720396764651</c:v>
                </c:pt>
                <c:pt idx="27">
                  <c:v>202.21090892896214</c:v>
                </c:pt>
                <c:pt idx="28">
                  <c:v>219.67219064242528</c:v>
                </c:pt>
                <c:pt idx="29">
                  <c:v>238.1617775117445</c:v>
                </c:pt>
                <c:pt idx="30">
                  <c:v>263.80975461932707</c:v>
                </c:pt>
                <c:pt idx="31">
                  <c:v>291.17122588299122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'FKF-Cutoff Calcs'!$G$7</c:f>
              <c:strCache>
                <c:ptCount val="1"/>
                <c:pt idx="0">
                  <c:v>16k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Calcs'!$G$8:$G$41</c:f>
              <c:numCache>
                <c:formatCode>0.0</c:formatCode>
                <c:ptCount val="34"/>
                <c:pt idx="0">
                  <c:v>17.197385529873308</c:v>
                </c:pt>
                <c:pt idx="1">
                  <c:v>24.337854222112366</c:v>
                </c:pt>
                <c:pt idx="2">
                  <c:v>29.823748635933313</c:v>
                </c:pt>
                <c:pt idx="3">
                  <c:v>34.453186737401502</c:v>
                </c:pt>
                <c:pt idx="4">
                  <c:v>42.228667795296211</c:v>
                </c:pt>
                <c:pt idx="5">
                  <c:v>48.792993607105451</c:v>
                </c:pt>
                <c:pt idx="6">
                  <c:v>54.583350178032518</c:v>
                </c:pt>
                <c:pt idx="7">
                  <c:v>59.823950669550619</c:v>
                </c:pt>
                <c:pt idx="8">
                  <c:v>64.64798656069658</c:v>
                </c:pt>
                <c:pt idx="9">
                  <c:v>69.142238549215648</c:v>
                </c:pt>
                <c:pt idx="10">
                  <c:v>77.366110327960286</c:v>
                </c:pt>
                <c:pt idx="11">
                  <c:v>84.812636937515933</c:v>
                </c:pt>
                <c:pt idx="12">
                  <c:v>91.670169035327589</c:v>
                </c:pt>
                <c:pt idx="13">
                  <c:v>98.061424899606763</c:v>
                </c:pt>
                <c:pt idx="14">
                  <c:v>109.76288418958426</c:v>
                </c:pt>
                <c:pt idx="15">
                  <c:v>120.3653802817384</c:v>
                </c:pt>
                <c:pt idx="16">
                  <c:v>128.95300069506112</c:v>
                </c:pt>
                <c:pt idx="17">
                  <c:v>139.2460246849719</c:v>
                </c:pt>
                <c:pt idx="18">
                  <c:v>155.93960968248709</c:v>
                </c:pt>
                <c:pt idx="19">
                  <c:v>174.6701492254258</c:v>
                </c:pt>
                <c:pt idx="20">
                  <c:v>198.07689677531303</c:v>
                </c:pt>
                <c:pt idx="21">
                  <c:v>221.98424561035208</c:v>
                </c:pt>
                <c:pt idx="22">
                  <c:v>248.85152782049252</c:v>
                </c:pt>
                <c:pt idx="23">
                  <c:v>282.49089212887429</c:v>
                </c:pt>
                <c:pt idx="24">
                  <c:v>306.54220329649991</c:v>
                </c:pt>
                <c:pt idx="25">
                  <c:v>331.94751793125187</c:v>
                </c:pt>
                <c:pt idx="26">
                  <c:v>355.71440793529302</c:v>
                </c:pt>
                <c:pt idx="27">
                  <c:v>404.42181785792428</c:v>
                </c:pt>
                <c:pt idx="28">
                  <c:v>439.34438128485056</c:v>
                </c:pt>
                <c:pt idx="29">
                  <c:v>476.32355502348901</c:v>
                </c:pt>
                <c:pt idx="30">
                  <c:v>527.61950923865413</c:v>
                </c:pt>
                <c:pt idx="31">
                  <c:v>582.34245176598245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'FKF-Cutoff Calcs'!$H$7</c:f>
              <c:strCache>
                <c:ptCount val="1"/>
                <c:pt idx="0">
                  <c:v>32k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Calcs'!$H$8:$H$41</c:f>
              <c:numCache>
                <c:formatCode>0.0</c:formatCode>
                <c:ptCount val="34"/>
                <c:pt idx="0">
                  <c:v>34.394771059746617</c:v>
                </c:pt>
                <c:pt idx="1">
                  <c:v>48.675708444224732</c:v>
                </c:pt>
                <c:pt idx="2">
                  <c:v>59.647497271866627</c:v>
                </c:pt>
                <c:pt idx="3">
                  <c:v>68.906373474803004</c:v>
                </c:pt>
                <c:pt idx="4">
                  <c:v>84.457335590592422</c:v>
                </c:pt>
                <c:pt idx="5">
                  <c:v>97.585987214210903</c:v>
                </c:pt>
                <c:pt idx="6">
                  <c:v>109.16670035606504</c:v>
                </c:pt>
                <c:pt idx="7">
                  <c:v>119.64790133910124</c:v>
                </c:pt>
                <c:pt idx="8">
                  <c:v>129.29597312139316</c:v>
                </c:pt>
                <c:pt idx="9">
                  <c:v>138.2844770984313</c:v>
                </c:pt>
                <c:pt idx="10">
                  <c:v>154.73222065592057</c:v>
                </c:pt>
                <c:pt idx="11">
                  <c:v>169.62527387503187</c:v>
                </c:pt>
                <c:pt idx="12">
                  <c:v>183.34033807065518</c:v>
                </c:pt>
                <c:pt idx="13">
                  <c:v>196.12284979921353</c:v>
                </c:pt>
                <c:pt idx="14">
                  <c:v>219.52576837916851</c:v>
                </c:pt>
                <c:pt idx="15">
                  <c:v>240.73076056347679</c:v>
                </c:pt>
                <c:pt idx="16">
                  <c:v>257.90600139012224</c:v>
                </c:pt>
                <c:pt idx="17">
                  <c:v>278.4920493699438</c:v>
                </c:pt>
                <c:pt idx="18">
                  <c:v>311.87921936497418</c:v>
                </c:pt>
                <c:pt idx="19">
                  <c:v>349.34029845085161</c:v>
                </c:pt>
                <c:pt idx="20">
                  <c:v>396.15379355062606</c:v>
                </c:pt>
                <c:pt idx="21">
                  <c:v>443.96849122070415</c:v>
                </c:pt>
                <c:pt idx="22">
                  <c:v>497.70305564098504</c:v>
                </c:pt>
                <c:pt idx="23">
                  <c:v>564.98178425774859</c:v>
                </c:pt>
                <c:pt idx="24">
                  <c:v>613.08440659299981</c:v>
                </c:pt>
                <c:pt idx="25">
                  <c:v>663.89503586250373</c:v>
                </c:pt>
                <c:pt idx="26">
                  <c:v>711.42881587058605</c:v>
                </c:pt>
                <c:pt idx="27">
                  <c:v>808.84363571584856</c:v>
                </c:pt>
                <c:pt idx="28">
                  <c:v>878.68876256970111</c:v>
                </c:pt>
                <c:pt idx="29">
                  <c:v>952.64711004697801</c:v>
                </c:pt>
                <c:pt idx="30">
                  <c:v>1055.2390184773083</c:v>
                </c:pt>
                <c:pt idx="31">
                  <c:v>1164.6849035319649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4"/>
          <c:order val="4"/>
          <c:tx>
            <c:v>Q=400 / R=88</c:v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'FKF-Cutoff Calcs'!$H$34</c:f>
              <c:numCache>
                <c:formatCode>0.0</c:formatCode>
                <c:ptCount val="1"/>
                <c:pt idx="0">
                  <c:v>711.42881587058605</c:v>
                </c:pt>
              </c:numCache>
            </c:numRef>
          </c:xVal>
          <c:yVal>
            <c:numRef>
              <c:f>'FKF-Cutoff Calcs'!$A$34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36632"/>
        <c:axId val="224337024"/>
      </c:scatterChart>
      <c:valAx>
        <c:axId val="224336632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Peak Motor Noise  (in 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37024"/>
        <c:crosses val="autoZero"/>
        <c:crossBetween val="midCat"/>
      </c:valAx>
      <c:valAx>
        <c:axId val="224337024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31750">
              <a:solidFill>
                <a:schemeClr val="bg1"/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cap="none" baseline="0"/>
                  <a:t>Q Setting with R = 88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1187501868001339"/>
          <c:y val="9.4903610176835435E-2"/>
          <c:w val="0.28869346678537045"/>
          <c:h val="4.630096237970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189976078865149E-2"/>
          <c:y val="0.10641388122328767"/>
          <c:w val="0.87264235660075851"/>
          <c:h val="0.805856251264283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'Attenuation-DRAFT'!$D$25</c:f>
              <c:strCache>
                <c:ptCount val="1"/>
                <c:pt idx="0">
                  <c:v>Amplitude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'Attenuation-DRAFT'!$A$29:$A$33</c:f>
              <c:numCache>
                <c:formatCode>General</c:formatCode>
                <c:ptCount val="5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</c:numCache>
            </c:numRef>
          </c:xVal>
          <c:yVal>
            <c:numRef>
              <c:f>'Attenuation-DRAFT'!$C$29:$C$33</c:f>
              <c:numCache>
                <c:formatCode>0.0</c:formatCode>
                <c:ptCount val="5"/>
                <c:pt idx="0">
                  <c:v>0</c:v>
                </c:pt>
                <c:pt idx="1">
                  <c:v>-3</c:v>
                </c:pt>
                <c:pt idx="2">
                  <c:v>-9</c:v>
                </c:pt>
                <c:pt idx="3">
                  <c:v>-15</c:v>
                </c:pt>
                <c:pt idx="4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37808"/>
        <c:axId val="224338200"/>
      </c:scatterChart>
      <c:valAx>
        <c:axId val="224337808"/>
        <c:scaling>
          <c:logBase val="10"/>
          <c:orientation val="minMax"/>
          <c:max val="10000"/>
        </c:scaling>
        <c:delete val="0"/>
        <c:axPos val="t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Motion/Noise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38200"/>
        <c:crosses val="max"/>
        <c:crossBetween val="midCat"/>
      </c:valAx>
      <c:valAx>
        <c:axId val="224338200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3780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'Attenuation-DRAFT'!$A$29:$A$33</c:f>
              <c:numCache>
                <c:formatCode>General</c:formatCode>
                <c:ptCount val="5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</c:numCache>
            </c:numRef>
          </c:xVal>
          <c:yVal>
            <c:numRef>
              <c:f>'Attenuation-DRAFT'!$C$29:$C$33</c:f>
              <c:numCache>
                <c:formatCode>0.0</c:formatCode>
                <c:ptCount val="5"/>
                <c:pt idx="0">
                  <c:v>0</c:v>
                </c:pt>
                <c:pt idx="1">
                  <c:v>-3</c:v>
                </c:pt>
                <c:pt idx="2">
                  <c:v>-9</c:v>
                </c:pt>
                <c:pt idx="3">
                  <c:v>-15</c:v>
                </c:pt>
                <c:pt idx="4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87256"/>
        <c:axId val="478505344"/>
      </c:scatterChart>
      <c:valAx>
        <c:axId val="47928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05344"/>
        <c:crosses val="autoZero"/>
        <c:crossBetween val="midCat"/>
      </c:valAx>
      <c:valAx>
        <c:axId val="4785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8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analog.com/en/analog-dialogue/articles/phase-response-in-active-filters-2.html" TargetMode="External"/><Relationship Id="rId6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23</xdr:row>
      <xdr:rowOff>81642</xdr:rowOff>
    </xdr:from>
    <xdr:to>
      <xdr:col>17</xdr:col>
      <xdr:colOff>517072</xdr:colOff>
      <xdr:row>23</xdr:row>
      <xdr:rowOff>312963</xdr:rowOff>
    </xdr:to>
    <xdr:sp macro="" textlink="">
      <xdr:nvSpPr>
        <xdr:cNvPr id="9" name="TextBox 8">
          <a:hlinkClick xmlns:r="http://schemas.openxmlformats.org/officeDocument/2006/relationships" r:id="rId1"/>
        </xdr:cNvPr>
        <xdr:cNvSpPr txBox="1"/>
      </xdr:nvSpPr>
      <xdr:spPr>
        <a:xfrm>
          <a:off x="59531" y="3510642"/>
          <a:ext cx="7614898" cy="231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Reference: http://www.analog.com/en/analog-dialogue/articles/phase-response-in-active-filters-2.html </a:t>
          </a:r>
        </a:p>
      </xdr:txBody>
    </xdr:sp>
    <xdr:clientData/>
  </xdr:twoCellAnchor>
  <xdr:twoCellAnchor>
    <xdr:from>
      <xdr:col>57</xdr:col>
      <xdr:colOff>72837</xdr:colOff>
      <xdr:row>0</xdr:row>
      <xdr:rowOff>0</xdr:rowOff>
    </xdr:from>
    <xdr:to>
      <xdr:col>66</xdr:col>
      <xdr:colOff>71437</xdr:colOff>
      <xdr:row>22</xdr:row>
      <xdr:rowOff>133070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83343</xdr:colOff>
      <xdr:row>0</xdr:row>
      <xdr:rowOff>0</xdr:rowOff>
    </xdr:from>
    <xdr:to>
      <xdr:col>75</xdr:col>
      <xdr:colOff>0</xdr:colOff>
      <xdr:row>22</xdr:row>
      <xdr:rowOff>133070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17</xdr:col>
      <xdr:colOff>168088</xdr:colOff>
      <xdr:row>22</xdr:row>
      <xdr:rowOff>119744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142875</xdr:colOff>
      <xdr:row>39</xdr:row>
      <xdr:rowOff>142876</xdr:rowOff>
    </xdr:from>
    <xdr:to>
      <xdr:col>32</xdr:col>
      <xdr:colOff>369092</xdr:colOff>
      <xdr:row>47</xdr:row>
      <xdr:rowOff>59532</xdr:rowOff>
    </xdr:to>
    <xdr:sp macro="" textlink="">
      <xdr:nvSpPr>
        <xdr:cNvPr id="3" name="TextBox 2"/>
        <xdr:cNvSpPr txBox="1"/>
      </xdr:nvSpPr>
      <xdr:spPr>
        <a:xfrm rot="16200000">
          <a:off x="11656219" y="8643939"/>
          <a:ext cx="1440656" cy="22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(Copter Motion Band)</a:t>
          </a:r>
        </a:p>
      </xdr:txBody>
    </xdr:sp>
    <xdr:clientData/>
  </xdr:twoCellAnchor>
  <xdr:twoCellAnchor>
    <xdr:from>
      <xdr:col>32</xdr:col>
      <xdr:colOff>166686</xdr:colOff>
      <xdr:row>51</xdr:row>
      <xdr:rowOff>11906</xdr:rowOff>
    </xdr:from>
    <xdr:to>
      <xdr:col>32</xdr:col>
      <xdr:colOff>416717</xdr:colOff>
      <xdr:row>58</xdr:row>
      <xdr:rowOff>119062</xdr:rowOff>
    </xdr:to>
    <xdr:sp macro="" textlink="">
      <xdr:nvSpPr>
        <xdr:cNvPr id="7" name="TextBox 6"/>
        <xdr:cNvSpPr txBox="1"/>
      </xdr:nvSpPr>
      <xdr:spPr>
        <a:xfrm rot="16200000">
          <a:off x="11691937" y="10787062"/>
          <a:ext cx="1440656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(Prop</a:t>
          </a:r>
          <a:r>
            <a:rPr lang="en-US" sz="1100" baseline="0">
              <a:solidFill>
                <a:schemeClr val="bg1"/>
              </a:solidFill>
            </a:rPr>
            <a:t> Wash</a:t>
          </a:r>
          <a:r>
            <a:rPr lang="en-US" sz="1100">
              <a:solidFill>
                <a:schemeClr val="bg1"/>
              </a:solidFill>
            </a:rPr>
            <a:t> Band)</a:t>
          </a:r>
        </a:p>
      </xdr:txBody>
    </xdr:sp>
    <xdr:clientData/>
  </xdr:twoCellAnchor>
  <xdr:twoCellAnchor>
    <xdr:from>
      <xdr:col>17</xdr:col>
      <xdr:colOff>189941</xdr:colOff>
      <xdr:row>0</xdr:row>
      <xdr:rowOff>0</xdr:rowOff>
    </xdr:from>
    <xdr:to>
      <xdr:col>46</xdr:col>
      <xdr:colOff>467844</xdr:colOff>
      <xdr:row>22</xdr:row>
      <xdr:rowOff>119744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97</xdr:row>
      <xdr:rowOff>67236</xdr:rowOff>
    </xdr:from>
    <xdr:to>
      <xdr:col>24</xdr:col>
      <xdr:colOff>29015</xdr:colOff>
      <xdr:row>129</xdr:row>
      <xdr:rowOff>180760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635383"/>
          <a:ext cx="9923809" cy="6209524"/>
        </a:xfrm>
        <a:prstGeom prst="rect">
          <a:avLst/>
        </a:prstGeom>
      </xdr:spPr>
    </xdr:pic>
    <xdr:clientData/>
  </xdr:twoCellAnchor>
  <xdr:twoCellAnchor>
    <xdr:from>
      <xdr:col>0</xdr:col>
      <xdr:colOff>59531</xdr:colOff>
      <xdr:row>23</xdr:row>
      <xdr:rowOff>302560</xdr:rowOff>
    </xdr:from>
    <xdr:to>
      <xdr:col>47</xdr:col>
      <xdr:colOff>559593</xdr:colOff>
      <xdr:row>24</xdr:row>
      <xdr:rowOff>324972</xdr:rowOff>
    </xdr:to>
    <xdr:sp macro="" textlink="">
      <xdr:nvSpPr>
        <xdr:cNvPr id="6" name="Right Arrow 5"/>
        <xdr:cNvSpPr/>
      </xdr:nvSpPr>
      <xdr:spPr>
        <a:xfrm>
          <a:off x="59531" y="3731560"/>
          <a:ext cx="17192625" cy="403412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Betaflight</a:t>
          </a:r>
          <a:r>
            <a:rPr lang="en-US" sz="1400" baseline="0"/>
            <a:t> Noise Filtering Sequence (high frequency noise to low frequency noise)</a:t>
          </a:r>
          <a:endParaRPr lang="en-US" sz="1400"/>
        </a:p>
      </xdr:txBody>
    </xdr:sp>
    <xdr:clientData/>
  </xdr:twoCellAnchor>
  <xdr:twoCellAnchor>
    <xdr:from>
      <xdr:col>24</xdr:col>
      <xdr:colOff>405813</xdr:colOff>
      <xdr:row>19</xdr:row>
      <xdr:rowOff>151279</xdr:rowOff>
    </xdr:from>
    <xdr:to>
      <xdr:col>33</xdr:col>
      <xdr:colOff>108857</xdr:colOff>
      <xdr:row>21</xdr:row>
      <xdr:rowOff>27214</xdr:rowOff>
    </xdr:to>
    <xdr:sp macro="" textlink="">
      <xdr:nvSpPr>
        <xdr:cNvPr id="11" name="TextBox 10"/>
        <xdr:cNvSpPr txBox="1"/>
      </xdr:nvSpPr>
      <xdr:spPr>
        <a:xfrm>
          <a:off x="10066884" y="3770779"/>
          <a:ext cx="2342830" cy="256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Prop. Wash Handling Freq. Zone</a:t>
          </a:r>
        </a:p>
      </xdr:txBody>
    </xdr:sp>
    <xdr:clientData/>
  </xdr:twoCellAnchor>
  <xdr:twoCellAnchor>
    <xdr:from>
      <xdr:col>18</xdr:col>
      <xdr:colOff>100952</xdr:colOff>
      <xdr:row>17</xdr:row>
      <xdr:rowOff>130170</xdr:rowOff>
    </xdr:from>
    <xdr:to>
      <xdr:col>22</xdr:col>
      <xdr:colOff>55329</xdr:colOff>
      <xdr:row>21</xdr:row>
      <xdr:rowOff>6905</xdr:rowOff>
    </xdr:to>
    <xdr:sp macro="" textlink="">
      <xdr:nvSpPr>
        <xdr:cNvPr id="12" name="TextBox 11"/>
        <xdr:cNvSpPr txBox="1"/>
      </xdr:nvSpPr>
      <xdr:spPr>
        <a:xfrm>
          <a:off x="7982890" y="3368670"/>
          <a:ext cx="978314" cy="63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Copter Base Motion Freq. Zone</a:t>
          </a:r>
        </a:p>
      </xdr:txBody>
    </xdr:sp>
    <xdr:clientData/>
  </xdr:twoCellAnchor>
  <xdr:twoCellAnchor>
    <xdr:from>
      <xdr:col>39</xdr:col>
      <xdr:colOff>488155</xdr:colOff>
      <xdr:row>6</xdr:row>
      <xdr:rowOff>130969</xdr:rowOff>
    </xdr:from>
    <xdr:to>
      <xdr:col>46</xdr:col>
      <xdr:colOff>428622</xdr:colOff>
      <xdr:row>15</xdr:row>
      <xdr:rowOff>107157</xdr:rowOff>
    </xdr:to>
    <xdr:sp macro="" textlink="">
      <xdr:nvSpPr>
        <xdr:cNvPr id="13" name="TextBox 12"/>
        <xdr:cNvSpPr txBox="1"/>
      </xdr:nvSpPr>
      <xdr:spPr>
        <a:xfrm>
          <a:off x="14858999" y="1273969"/>
          <a:ext cx="1547811" cy="1690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IMPORTANT NOTE:</a:t>
          </a:r>
        </a:p>
        <a:p>
          <a:pPr algn="l"/>
          <a:r>
            <a:rPr lang="en-US" sz="1100">
              <a:solidFill>
                <a:schemeClr val="bg1"/>
              </a:solidFill>
            </a:rPr>
            <a:t>Delay reported is for estimating purposes</a:t>
          </a:r>
          <a:r>
            <a:rPr lang="en-US" sz="1100" baseline="0">
              <a:solidFill>
                <a:schemeClr val="bg1"/>
              </a:solidFill>
            </a:rPr>
            <a:t> ONLY to compair differient filter combinations.  Field results may vary due to a number of very complicated factors.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6</xdr:row>
      <xdr:rowOff>9526</xdr:rowOff>
    </xdr:from>
    <xdr:to>
      <xdr:col>10</xdr:col>
      <xdr:colOff>619125</xdr:colOff>
      <xdr:row>9</xdr:row>
      <xdr:rowOff>38101</xdr:rowOff>
    </xdr:to>
    <xdr:sp macro="" textlink="">
      <xdr:nvSpPr>
        <xdr:cNvPr id="2" name="TextBox 1"/>
        <xdr:cNvSpPr txBox="1"/>
      </xdr:nvSpPr>
      <xdr:spPr>
        <a:xfrm>
          <a:off x="6915150" y="209551"/>
          <a:ext cx="22764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Feel free to change highlighted cells to calc new cutoff</a:t>
          </a:r>
          <a:r>
            <a:rPr lang="en-US" sz="1100" baseline="0"/>
            <a:t> frequency results. </a:t>
          </a:r>
          <a:endParaRPr lang="en-US" sz="1100"/>
        </a:p>
      </xdr:txBody>
    </xdr:sp>
    <xdr:clientData/>
  </xdr:twoCellAnchor>
  <xdr:twoCellAnchor>
    <xdr:from>
      <xdr:col>8</xdr:col>
      <xdr:colOff>76199</xdr:colOff>
      <xdr:row>9</xdr:row>
      <xdr:rowOff>85724</xdr:rowOff>
    </xdr:from>
    <xdr:to>
      <xdr:col>19</xdr:col>
      <xdr:colOff>353785</xdr:colOff>
      <xdr:row>35</xdr:row>
      <xdr:rowOff>190500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0.08551</cdr:x>
      <cdr:y>0.21736</cdr:y>
    </cdr:from>
    <cdr:to>
      <cdr:x>0.29527</cdr:x>
      <cdr:y>0.43499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193" y="1368506"/>
          <a:ext cx="1818147" cy="1370204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  <a:effectLst xmlns:a="http://schemas.openxmlformats.org/drawingml/2006/main">
          <a:softEdge rad="112500"/>
        </a:effectLst>
      </cdr:spPr>
    </cdr:pic>
  </cdr:relSizeAnchor>
  <cdr:relSizeAnchor xmlns:cdr="http://schemas.openxmlformats.org/drawingml/2006/chartDrawing">
    <cdr:from>
      <cdr:x>0.76374</cdr:x>
      <cdr:y>0.18853</cdr:y>
    </cdr:from>
    <cdr:to>
      <cdr:x>0.76374</cdr:x>
      <cdr:y>0.91528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6619875" y="1186962"/>
          <a:ext cx="0" cy="45756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0.63846</cdr:x>
      <cdr:y>0.18969</cdr:y>
    </cdr:from>
    <cdr:to>
      <cdr:x>0.63846</cdr:x>
      <cdr:y>0.91225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5534025" y="1194288"/>
          <a:ext cx="0" cy="45492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0.51209</cdr:x>
      <cdr:y>0.18853</cdr:y>
    </cdr:from>
    <cdr:to>
      <cdr:x>0.51209</cdr:x>
      <cdr:y>0.91074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4438650" y="1186962"/>
          <a:ext cx="0" cy="45470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0.60504</cdr:x>
      <cdr:y>0.55115</cdr:y>
    </cdr:from>
    <cdr:to>
      <cdr:x>0.92757</cdr:x>
      <cdr:y>0.87356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446971" y="2958198"/>
          <a:ext cx="2370549" cy="1730483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Example: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FKF cutoff result =  711.4hz @</a:t>
          </a:r>
          <a:r>
            <a:rPr lang="en-US" sz="1100" baseline="0">
              <a:solidFill>
                <a:schemeClr val="bg1"/>
              </a:solidFill>
            </a:rPr>
            <a:t> 32k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355.7hz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16k</a:t>
          </a:r>
        </a:p>
        <a:p xmlns:a="http://schemas.openxmlformats.org/drawingml/2006/main"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177.9hz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88.9hz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endParaRPr lang="en-US" sz="1100">
            <a:solidFill>
              <a:schemeClr val="bg1"/>
            </a:solidFill>
          </a:endParaRPr>
        </a:p>
        <a:p xmlns:a="http://schemas.openxmlformats.org/drawingml/2006/main">
          <a:r>
            <a:rPr lang="en-US" sz="1100">
              <a:solidFill>
                <a:schemeClr val="bg1"/>
              </a:solidFill>
            </a:rPr>
            <a:t>(see Cutoff Calcs</a:t>
          </a:r>
          <a:r>
            <a:rPr lang="en-US" sz="1100" baseline="0">
              <a:solidFill>
                <a:schemeClr val="bg1"/>
              </a:solidFill>
            </a:rPr>
            <a:t> tab)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0.2472</cdr:x>
      <cdr:y>0.19317</cdr:y>
    </cdr:from>
    <cdr:to>
      <cdr:x>0.40595</cdr:x>
      <cdr:y>0.24357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816896" y="1036810"/>
          <a:ext cx="1166796" cy="270498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</a:p>
      </cdr:txBody>
    </cdr:sp>
  </cdr:relSizeAnchor>
  <cdr:relSizeAnchor xmlns:cdr="http://schemas.openxmlformats.org/drawingml/2006/chartDrawing">
    <cdr:from>
      <cdr:x>0.89036</cdr:x>
      <cdr:y>0.19728</cdr:y>
    </cdr:from>
    <cdr:to>
      <cdr:x>0.89036</cdr:x>
      <cdr:y>0.91327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7709667" y="1240220"/>
          <a:ext cx="0" cy="45010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0.07484</cdr:x>
      <cdr:y>0.18902</cdr:y>
    </cdr:from>
    <cdr:to>
      <cdr:x>0.88577</cdr:x>
      <cdr:y>0.18902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648730" y="1190098"/>
          <a:ext cx="7028939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0.18791</cdr:x>
      <cdr:y>0.06354</cdr:y>
    </cdr:from>
    <cdr:to>
      <cdr:x>0.34066</cdr:x>
      <cdr:y>0.10741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8774" y="400050"/>
          <a:ext cx="1323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Gyro Sampling Rate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21981</xdr:colOff>
      <xdr:row>0</xdr:row>
      <xdr:rowOff>0</xdr:rowOff>
    </xdr:from>
    <xdr:to>
      <xdr:col>12</xdr:col>
      <xdr:colOff>173400</xdr:colOff>
      <xdr:row>22</xdr:row>
      <xdr:rowOff>119744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428749</xdr:colOff>
      <xdr:row>15</xdr:row>
      <xdr:rowOff>87923</xdr:rowOff>
    </xdr:from>
    <xdr:to>
      <xdr:col>2</xdr:col>
      <xdr:colOff>547545</xdr:colOff>
      <xdr:row>20</xdr:row>
      <xdr:rowOff>145073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749" y="2945423"/>
          <a:ext cx="1335065" cy="10096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11</xdr:col>
      <xdr:colOff>381000</xdr:colOff>
      <xdr:row>11</xdr:row>
      <xdr:rowOff>76200</xdr:rowOff>
    </xdr:from>
    <xdr:to>
      <xdr:col>18</xdr:col>
      <xdr:colOff>514350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</cdr:x>
      <cdr:y>0.10305</cdr:y>
    </cdr:from>
    <cdr:to>
      <cdr:x>0.71508</cdr:x>
      <cdr:y>0.91103</cdr:y>
    </cdr:to>
    <cdr:sp macro="" textlink="">
      <cdr:nvSpPr>
        <cdr:cNvPr id="5" name="Freeform 4"/>
        <cdr:cNvSpPr/>
      </cdr:nvSpPr>
      <cdr:spPr>
        <a:xfrm xmlns:a="http://schemas.openxmlformats.org/drawingml/2006/main">
          <a:off x="446942" y="444225"/>
          <a:ext cx="4879734" cy="3482995"/>
        </a:xfrm>
        <a:custGeom xmlns:a="http://schemas.openxmlformats.org/drawingml/2006/main">
          <a:avLst/>
          <a:gdLst>
            <a:gd name="connsiteX0" fmla="*/ 0 w 6491654"/>
            <a:gd name="connsiteY0" fmla="*/ 25381 h 1761862"/>
            <a:gd name="connsiteX1" fmla="*/ 1597270 w 6491654"/>
            <a:gd name="connsiteY1" fmla="*/ 25381 h 1761862"/>
            <a:gd name="connsiteX2" fmla="*/ 3245827 w 6491654"/>
            <a:gd name="connsiteY2" fmla="*/ 289150 h 1761862"/>
            <a:gd name="connsiteX3" fmla="*/ 6491654 w 6491654"/>
            <a:gd name="connsiteY3" fmla="*/ 1761862 h 1761862"/>
            <a:gd name="connsiteX0" fmla="*/ 0 w 6491654"/>
            <a:gd name="connsiteY0" fmla="*/ 21140 h 1757621"/>
            <a:gd name="connsiteX1" fmla="*/ 2388577 w 6491654"/>
            <a:gd name="connsiteY1" fmla="*/ 28467 h 1757621"/>
            <a:gd name="connsiteX2" fmla="*/ 3245827 w 6491654"/>
            <a:gd name="connsiteY2" fmla="*/ 284909 h 1757621"/>
            <a:gd name="connsiteX3" fmla="*/ 6491654 w 6491654"/>
            <a:gd name="connsiteY3" fmla="*/ 1757621 h 1757621"/>
            <a:gd name="connsiteX0" fmla="*/ 0 w 6491654"/>
            <a:gd name="connsiteY0" fmla="*/ 8175 h 1744656"/>
            <a:gd name="connsiteX1" fmla="*/ 2388577 w 6491654"/>
            <a:gd name="connsiteY1" fmla="*/ 15502 h 1744656"/>
            <a:gd name="connsiteX2" fmla="*/ 3245827 w 6491654"/>
            <a:gd name="connsiteY2" fmla="*/ 271944 h 1744656"/>
            <a:gd name="connsiteX3" fmla="*/ 6491654 w 6491654"/>
            <a:gd name="connsiteY3" fmla="*/ 1744656 h 1744656"/>
            <a:gd name="connsiteX0" fmla="*/ 0 w 6491654"/>
            <a:gd name="connsiteY0" fmla="*/ 15667 h 1752148"/>
            <a:gd name="connsiteX1" fmla="*/ 2388577 w 6491654"/>
            <a:gd name="connsiteY1" fmla="*/ 22994 h 1752148"/>
            <a:gd name="connsiteX2" fmla="*/ 3245827 w 6491654"/>
            <a:gd name="connsiteY2" fmla="*/ 279436 h 1752148"/>
            <a:gd name="connsiteX3" fmla="*/ 6491654 w 6491654"/>
            <a:gd name="connsiteY3" fmla="*/ 1752148 h 1752148"/>
            <a:gd name="connsiteX0" fmla="*/ 0 w 6491654"/>
            <a:gd name="connsiteY0" fmla="*/ 7675 h 1744156"/>
            <a:gd name="connsiteX1" fmla="*/ 2417885 w 6491654"/>
            <a:gd name="connsiteY1" fmla="*/ 44310 h 1744156"/>
            <a:gd name="connsiteX2" fmla="*/ 3245827 w 6491654"/>
            <a:gd name="connsiteY2" fmla="*/ 271444 h 1744156"/>
            <a:gd name="connsiteX3" fmla="*/ 6491654 w 6491654"/>
            <a:gd name="connsiteY3" fmla="*/ 1744156 h 1744156"/>
            <a:gd name="connsiteX0" fmla="*/ 0 w 6491654"/>
            <a:gd name="connsiteY0" fmla="*/ 15667 h 1752148"/>
            <a:gd name="connsiteX1" fmla="*/ 2432539 w 6491654"/>
            <a:gd name="connsiteY1" fmla="*/ 22994 h 1752148"/>
            <a:gd name="connsiteX2" fmla="*/ 3245827 w 6491654"/>
            <a:gd name="connsiteY2" fmla="*/ 279436 h 1752148"/>
            <a:gd name="connsiteX3" fmla="*/ 6491654 w 6491654"/>
            <a:gd name="connsiteY3" fmla="*/ 1752148 h 1752148"/>
            <a:gd name="connsiteX0" fmla="*/ 0 w 6491654"/>
            <a:gd name="connsiteY0" fmla="*/ 39564 h 1776045"/>
            <a:gd name="connsiteX1" fmla="*/ 2432539 w 6491654"/>
            <a:gd name="connsiteY1" fmla="*/ 46891 h 1776045"/>
            <a:gd name="connsiteX2" fmla="*/ 3245827 w 6491654"/>
            <a:gd name="connsiteY2" fmla="*/ 303333 h 1776045"/>
            <a:gd name="connsiteX3" fmla="*/ 6491654 w 6491654"/>
            <a:gd name="connsiteY3" fmla="*/ 1776045 h 1776045"/>
            <a:gd name="connsiteX0" fmla="*/ 0 w 6491654"/>
            <a:gd name="connsiteY0" fmla="*/ 10486 h 1746967"/>
            <a:gd name="connsiteX1" fmla="*/ 2725616 w 6491654"/>
            <a:gd name="connsiteY1" fmla="*/ 83755 h 1746967"/>
            <a:gd name="connsiteX2" fmla="*/ 3245827 w 6491654"/>
            <a:gd name="connsiteY2" fmla="*/ 274255 h 1746967"/>
            <a:gd name="connsiteX3" fmla="*/ 6491654 w 6491654"/>
            <a:gd name="connsiteY3" fmla="*/ 1746967 h 1746967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6491654 w 6491654"/>
            <a:gd name="connsiteY3" fmla="*/ 1756112 h 1756112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3201866 w 6491654"/>
            <a:gd name="connsiteY3" fmla="*/ 276074 h 1756112"/>
            <a:gd name="connsiteX4" fmla="*/ 6491654 w 6491654"/>
            <a:gd name="connsiteY4" fmla="*/ 1756112 h 1756112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3824654 w 6491654"/>
            <a:gd name="connsiteY3" fmla="*/ 532516 h 1756112"/>
            <a:gd name="connsiteX4" fmla="*/ 6491654 w 6491654"/>
            <a:gd name="connsiteY4" fmla="*/ 1756112 h 1756112"/>
            <a:gd name="connsiteX0" fmla="*/ 0 w 6491654"/>
            <a:gd name="connsiteY0" fmla="*/ 65769 h 1802250"/>
            <a:gd name="connsiteX1" fmla="*/ 1641231 w 6491654"/>
            <a:gd name="connsiteY1" fmla="*/ 58442 h 1802250"/>
            <a:gd name="connsiteX2" fmla="*/ 3245827 w 6491654"/>
            <a:gd name="connsiteY2" fmla="*/ 329538 h 1802250"/>
            <a:gd name="connsiteX3" fmla="*/ 3824654 w 6491654"/>
            <a:gd name="connsiteY3" fmla="*/ 578654 h 1802250"/>
            <a:gd name="connsiteX4" fmla="*/ 6491654 w 6491654"/>
            <a:gd name="connsiteY4" fmla="*/ 1802250 h 1802250"/>
            <a:gd name="connsiteX0" fmla="*/ 0 w 6491654"/>
            <a:gd name="connsiteY0" fmla="*/ 10067 h 1746548"/>
            <a:gd name="connsiteX1" fmla="*/ 1641231 w 6491654"/>
            <a:gd name="connsiteY1" fmla="*/ 2740 h 1746548"/>
            <a:gd name="connsiteX2" fmla="*/ 3245827 w 6491654"/>
            <a:gd name="connsiteY2" fmla="*/ 273836 h 1746548"/>
            <a:gd name="connsiteX3" fmla="*/ 3824654 w 6491654"/>
            <a:gd name="connsiteY3" fmla="*/ 522952 h 1746548"/>
            <a:gd name="connsiteX4" fmla="*/ 6491654 w 6491654"/>
            <a:gd name="connsiteY4" fmla="*/ 1746548 h 1746548"/>
            <a:gd name="connsiteX0" fmla="*/ 0 w 6491654"/>
            <a:gd name="connsiteY0" fmla="*/ 18041 h 1754522"/>
            <a:gd name="connsiteX1" fmla="*/ 1641231 w 6491654"/>
            <a:gd name="connsiteY1" fmla="*/ 10714 h 1754522"/>
            <a:gd name="connsiteX2" fmla="*/ 2894135 w 6491654"/>
            <a:gd name="connsiteY2" fmla="*/ 113290 h 1754522"/>
            <a:gd name="connsiteX3" fmla="*/ 3824654 w 6491654"/>
            <a:gd name="connsiteY3" fmla="*/ 530926 h 1754522"/>
            <a:gd name="connsiteX4" fmla="*/ 6491654 w 6491654"/>
            <a:gd name="connsiteY4" fmla="*/ 1754522 h 1754522"/>
            <a:gd name="connsiteX0" fmla="*/ 0 w 6491654"/>
            <a:gd name="connsiteY0" fmla="*/ 18041 h 1754522"/>
            <a:gd name="connsiteX1" fmla="*/ 1641231 w 6491654"/>
            <a:gd name="connsiteY1" fmla="*/ 10714 h 1754522"/>
            <a:gd name="connsiteX2" fmla="*/ 2894135 w 6491654"/>
            <a:gd name="connsiteY2" fmla="*/ 113290 h 1754522"/>
            <a:gd name="connsiteX3" fmla="*/ 3824654 w 6491654"/>
            <a:gd name="connsiteY3" fmla="*/ 530926 h 1754522"/>
            <a:gd name="connsiteX4" fmla="*/ 6491654 w 6491654"/>
            <a:gd name="connsiteY4" fmla="*/ 1754522 h 1754522"/>
            <a:gd name="connsiteX0" fmla="*/ 0 w 6491654"/>
            <a:gd name="connsiteY0" fmla="*/ 19055 h 1755536"/>
            <a:gd name="connsiteX1" fmla="*/ 1641231 w 6491654"/>
            <a:gd name="connsiteY1" fmla="*/ 11728 h 1755536"/>
            <a:gd name="connsiteX2" fmla="*/ 2952750 w 6491654"/>
            <a:gd name="connsiteY2" fmla="*/ 128958 h 1755536"/>
            <a:gd name="connsiteX3" fmla="*/ 3824654 w 6491654"/>
            <a:gd name="connsiteY3" fmla="*/ 531940 h 1755536"/>
            <a:gd name="connsiteX4" fmla="*/ 6491654 w 6491654"/>
            <a:gd name="connsiteY4" fmla="*/ 1755536 h 1755536"/>
            <a:gd name="connsiteX0" fmla="*/ 0 w 6491654"/>
            <a:gd name="connsiteY0" fmla="*/ 10046 h 1746527"/>
            <a:gd name="connsiteX1" fmla="*/ 1663212 w 6491654"/>
            <a:gd name="connsiteY1" fmla="*/ 24700 h 1746527"/>
            <a:gd name="connsiteX2" fmla="*/ 2952750 w 6491654"/>
            <a:gd name="connsiteY2" fmla="*/ 119949 h 1746527"/>
            <a:gd name="connsiteX3" fmla="*/ 3824654 w 6491654"/>
            <a:gd name="connsiteY3" fmla="*/ 522931 h 1746527"/>
            <a:gd name="connsiteX4" fmla="*/ 6491654 w 6491654"/>
            <a:gd name="connsiteY4" fmla="*/ 1746527 h 1746527"/>
            <a:gd name="connsiteX0" fmla="*/ 0 w 6491654"/>
            <a:gd name="connsiteY0" fmla="*/ 8631 h 1745112"/>
            <a:gd name="connsiteX1" fmla="*/ 1663212 w 6491654"/>
            <a:gd name="connsiteY1" fmla="*/ 23285 h 1745112"/>
            <a:gd name="connsiteX2" fmla="*/ 2952750 w 6491654"/>
            <a:gd name="connsiteY2" fmla="*/ 118534 h 1745112"/>
            <a:gd name="connsiteX3" fmla="*/ 3824654 w 6491654"/>
            <a:gd name="connsiteY3" fmla="*/ 521516 h 1745112"/>
            <a:gd name="connsiteX4" fmla="*/ 6491654 w 6491654"/>
            <a:gd name="connsiteY4" fmla="*/ 1745112 h 1745112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24654 w 6491654"/>
            <a:gd name="connsiteY3" fmla="*/ 523202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31981 w 6491654"/>
            <a:gd name="connsiteY3" fmla="*/ 493894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31981 w 6491654"/>
            <a:gd name="connsiteY3" fmla="*/ 493894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46635 w 6491654"/>
            <a:gd name="connsiteY3" fmla="*/ 501221 h 1746798"/>
            <a:gd name="connsiteX4" fmla="*/ 6491654 w 6491654"/>
            <a:gd name="connsiteY4" fmla="*/ 1746798 h 1746798"/>
            <a:gd name="connsiteX0" fmla="*/ 0 w 6491654"/>
            <a:gd name="connsiteY0" fmla="*/ 14836 h 1751317"/>
            <a:gd name="connsiteX1" fmla="*/ 1311520 w 6491654"/>
            <a:gd name="connsiteY1" fmla="*/ 22163 h 1751317"/>
            <a:gd name="connsiteX2" fmla="*/ 2857500 w 6491654"/>
            <a:gd name="connsiteY2" fmla="*/ 176028 h 1751317"/>
            <a:gd name="connsiteX3" fmla="*/ 3846635 w 6491654"/>
            <a:gd name="connsiteY3" fmla="*/ 505740 h 1751317"/>
            <a:gd name="connsiteX4" fmla="*/ 6491654 w 6491654"/>
            <a:gd name="connsiteY4" fmla="*/ 1751317 h 1751317"/>
            <a:gd name="connsiteX0" fmla="*/ 0 w 6491654"/>
            <a:gd name="connsiteY0" fmla="*/ 14836 h 1751317"/>
            <a:gd name="connsiteX1" fmla="*/ 1311520 w 6491654"/>
            <a:gd name="connsiteY1" fmla="*/ 22163 h 1751317"/>
            <a:gd name="connsiteX2" fmla="*/ 2857500 w 6491654"/>
            <a:gd name="connsiteY2" fmla="*/ 176028 h 1751317"/>
            <a:gd name="connsiteX3" fmla="*/ 3846635 w 6491654"/>
            <a:gd name="connsiteY3" fmla="*/ 505740 h 1751317"/>
            <a:gd name="connsiteX4" fmla="*/ 6491654 w 6491654"/>
            <a:gd name="connsiteY4" fmla="*/ 1751317 h 1751317"/>
            <a:gd name="connsiteX0" fmla="*/ 0 w 6491654"/>
            <a:gd name="connsiteY0" fmla="*/ 12195 h 1748676"/>
            <a:gd name="connsiteX1" fmla="*/ 1311520 w 6491654"/>
            <a:gd name="connsiteY1" fmla="*/ 19522 h 1748676"/>
            <a:gd name="connsiteX2" fmla="*/ 2923443 w 6491654"/>
            <a:gd name="connsiteY2" fmla="*/ 122098 h 1748676"/>
            <a:gd name="connsiteX3" fmla="*/ 3846635 w 6491654"/>
            <a:gd name="connsiteY3" fmla="*/ 503099 h 1748676"/>
            <a:gd name="connsiteX4" fmla="*/ 6491654 w 6491654"/>
            <a:gd name="connsiteY4" fmla="*/ 1748676 h 1748676"/>
            <a:gd name="connsiteX0" fmla="*/ 0 w 6491654"/>
            <a:gd name="connsiteY0" fmla="*/ 12195 h 1748676"/>
            <a:gd name="connsiteX1" fmla="*/ 1311520 w 6491654"/>
            <a:gd name="connsiteY1" fmla="*/ 19522 h 1748676"/>
            <a:gd name="connsiteX2" fmla="*/ 2923443 w 6491654"/>
            <a:gd name="connsiteY2" fmla="*/ 122098 h 1748676"/>
            <a:gd name="connsiteX3" fmla="*/ 3846635 w 6491654"/>
            <a:gd name="connsiteY3" fmla="*/ 503099 h 1748676"/>
            <a:gd name="connsiteX4" fmla="*/ 6491654 w 6491654"/>
            <a:gd name="connsiteY4" fmla="*/ 1748676 h 1748676"/>
            <a:gd name="connsiteX0" fmla="*/ 0 w 6491654"/>
            <a:gd name="connsiteY0" fmla="*/ 10318 h 1746799"/>
            <a:gd name="connsiteX1" fmla="*/ 1311520 w 6491654"/>
            <a:gd name="connsiteY1" fmla="*/ 17645 h 1746799"/>
            <a:gd name="connsiteX2" fmla="*/ 2923443 w 6491654"/>
            <a:gd name="connsiteY2" fmla="*/ 120221 h 1746799"/>
            <a:gd name="connsiteX3" fmla="*/ 3846635 w 6491654"/>
            <a:gd name="connsiteY3" fmla="*/ 501222 h 1746799"/>
            <a:gd name="connsiteX4" fmla="*/ 6491654 w 6491654"/>
            <a:gd name="connsiteY4" fmla="*/ 1746799 h 1746799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846635 w 6498981"/>
            <a:gd name="connsiteY3" fmla="*/ 501222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678116 w 6498981"/>
            <a:gd name="connsiteY3" fmla="*/ 603799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678116 w 6498981"/>
            <a:gd name="connsiteY3" fmla="*/ 603799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531577 w 6498981"/>
            <a:gd name="connsiteY3" fmla="*/ 655088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531577 w 6498981"/>
            <a:gd name="connsiteY3" fmla="*/ 655088 h 3497934"/>
            <a:gd name="connsiteX4" fmla="*/ 6498981 w 6498981"/>
            <a:gd name="connsiteY4" fmla="*/ 3497934 h 3497934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531577 w 6498981"/>
            <a:gd name="connsiteY3" fmla="*/ 656625 h 3499471"/>
            <a:gd name="connsiteX4" fmla="*/ 6498981 w 6498981"/>
            <a:gd name="connsiteY4" fmla="*/ 3499471 h 3499471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253154 w 6498981"/>
            <a:gd name="connsiteY3" fmla="*/ 451471 h 3499471"/>
            <a:gd name="connsiteX4" fmla="*/ 6498981 w 6498981"/>
            <a:gd name="connsiteY4" fmla="*/ 3499471 h 3499471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253154 w 6498981"/>
            <a:gd name="connsiteY3" fmla="*/ 451471 h 3499471"/>
            <a:gd name="connsiteX4" fmla="*/ 6498981 w 6498981"/>
            <a:gd name="connsiteY4" fmla="*/ 3499471 h 3499471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732943 w 6498981"/>
            <a:gd name="connsiteY2" fmla="*/ 76260 h 3497934"/>
            <a:gd name="connsiteX3" fmla="*/ 3253154 w 6498981"/>
            <a:gd name="connsiteY3" fmla="*/ 449934 h 3497934"/>
            <a:gd name="connsiteX4" fmla="*/ 6498981 w 6498981"/>
            <a:gd name="connsiteY4" fmla="*/ 3497934 h 3497934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53154 w 6498981"/>
            <a:gd name="connsiteY3" fmla="*/ 449657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53154 w 6498981"/>
            <a:gd name="connsiteY3" fmla="*/ 449657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60481 w 6498981"/>
            <a:gd name="connsiteY3" fmla="*/ 537580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60481 w 6498981"/>
            <a:gd name="connsiteY3" fmla="*/ 537580 h 3497657"/>
            <a:gd name="connsiteX4" fmla="*/ 6498981 w 6498981"/>
            <a:gd name="connsiteY4" fmla="*/ 3497657 h 3497657"/>
            <a:gd name="connsiteX0" fmla="*/ 0 w 6498981"/>
            <a:gd name="connsiteY0" fmla="*/ 10604 h 3498220"/>
            <a:gd name="connsiteX1" fmla="*/ 1311520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6498981"/>
            <a:gd name="connsiteY0" fmla="*/ 10604 h 3498220"/>
            <a:gd name="connsiteX1" fmla="*/ 827943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6498981"/>
            <a:gd name="connsiteY0" fmla="*/ 10604 h 3498220"/>
            <a:gd name="connsiteX1" fmla="*/ 827943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879732" h="3483003">
              <a:moveTo>
                <a:pt x="0" y="10041"/>
              </a:moveTo>
              <a:cubicBezTo>
                <a:pt x="528149" y="-11940"/>
                <a:pt x="373674" y="7599"/>
                <a:pt x="827943" y="17368"/>
              </a:cubicBezTo>
              <a:cubicBezTo>
                <a:pt x="1460500" y="34465"/>
                <a:pt x="2334846" y="-40025"/>
                <a:pt x="2725615" y="68658"/>
              </a:cubicBezTo>
              <a:cubicBezTo>
                <a:pt x="3116384" y="177341"/>
                <a:pt x="3100510" y="277474"/>
                <a:pt x="3260481" y="537580"/>
              </a:cubicBezTo>
              <a:cubicBezTo>
                <a:pt x="4823558" y="3392643"/>
                <a:pt x="3433887" y="818442"/>
                <a:pt x="4879732" y="3483003"/>
              </a:cubicBezTo>
            </a:path>
          </a:pathLst>
        </a:cu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0.32852</cdr:x>
      <cdr:y>0.66968</cdr:y>
    </cdr:from>
    <cdr:to>
      <cdr:x>0.63344</cdr:x>
      <cdr:y>0.66968</cdr:y>
    </cdr:to>
    <cdr:cxnSp macro="">
      <cdr:nvCxnSpPr>
        <cdr:cNvPr id="16" name="Straight Arrow Connector 15"/>
        <cdr:cNvCxnSpPr/>
      </cdr:nvCxnSpPr>
      <cdr:spPr>
        <a:xfrm xmlns:a="http://schemas.openxmlformats.org/drawingml/2006/main">
          <a:off x="2447193" y="2886808"/>
          <a:ext cx="2271346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0.49475</cdr:x>
      <cdr:y>0.5286</cdr:y>
    </cdr:from>
    <cdr:to>
      <cdr:x>0.49475</cdr:x>
      <cdr:y>0.80735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3685442" y="2278673"/>
          <a:ext cx="0" cy="120161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0.53213</cdr:x>
      <cdr:y>0.66798</cdr:y>
    </cdr:from>
    <cdr:to>
      <cdr:x>0.62361</cdr:x>
      <cdr:y>0.72577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963865" y="2879481"/>
          <a:ext cx="681404" cy="24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Noise</a:t>
          </a:r>
        </a:p>
      </cdr:txBody>
    </cdr:sp>
  </cdr:relSizeAnchor>
  <cdr:relSizeAnchor xmlns:cdr="http://schemas.openxmlformats.org/drawingml/2006/chartDrawing">
    <cdr:from>
      <cdr:x>0.37279</cdr:x>
      <cdr:y>0.66458</cdr:y>
    </cdr:from>
    <cdr:to>
      <cdr:x>0.47803</cdr:x>
      <cdr:y>0.71217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776904" y="2864827"/>
          <a:ext cx="783980" cy="2051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Motion</a:t>
          </a:r>
        </a:p>
      </cdr:txBody>
    </cdr:sp>
  </cdr:relSizeAnchor>
  <cdr:relSizeAnchor xmlns:cdr="http://schemas.openxmlformats.org/drawingml/2006/chartDrawing">
    <cdr:from>
      <cdr:x>0.47551</cdr:x>
      <cdr:y>0.7868</cdr:y>
    </cdr:from>
    <cdr:to>
      <cdr:x>0.50895</cdr:x>
      <cdr:y>1</cdr:y>
    </cdr:to>
    <cdr:sp macro="" textlink="">
      <cdr:nvSpPr>
        <cdr:cNvPr id="21" name="TextBox 1"/>
        <cdr:cNvSpPr txBox="1"/>
      </cdr:nvSpPr>
      <cdr:spPr>
        <a:xfrm xmlns:a="http://schemas.openxmlformats.org/drawingml/2006/main" rot="16200000">
          <a:off x="3207116" y="3726665"/>
          <a:ext cx="919040" cy="24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Cutoff Freq.</a:t>
          </a:r>
        </a:p>
      </cdr:txBody>
    </cdr:sp>
  </cdr:relSizeAnchor>
  <cdr:relSizeAnchor xmlns:cdr="http://schemas.openxmlformats.org/drawingml/2006/chartDrawing">
    <cdr:from>
      <cdr:x>0.19279</cdr:x>
      <cdr:y>0.19376</cdr:y>
    </cdr:from>
    <cdr:to>
      <cdr:x>0.26066</cdr:x>
      <cdr:y>0.25835</cdr:y>
    </cdr:to>
    <cdr:sp macro="" textlink="">
      <cdr:nvSpPr>
        <cdr:cNvPr id="23" name="Right Arrow 22"/>
        <cdr:cNvSpPr/>
      </cdr:nvSpPr>
      <cdr:spPr>
        <a:xfrm xmlns:a="http://schemas.openxmlformats.org/drawingml/2006/main">
          <a:off x="1436094" y="835250"/>
          <a:ext cx="505566" cy="27843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tIns="9144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-3dB</a:t>
          </a:r>
          <a:endParaRPr lang="en-US" sz="800">
            <a:effectLst/>
          </a:endParaRPr>
        </a:p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0.55869</cdr:x>
      <cdr:y>0.0061</cdr:y>
    </cdr:from>
    <cdr:to>
      <cdr:x>0.55869</cdr:x>
      <cdr:y>0.20566</cdr:y>
    </cdr:to>
    <cdr:cxnSp macro="">
      <cdr:nvCxnSpPr>
        <cdr:cNvPr id="26" name="Straight Connector 25"/>
        <cdr:cNvCxnSpPr/>
      </cdr:nvCxnSpPr>
      <cdr:spPr>
        <a:xfrm xmlns:a="http://schemas.openxmlformats.org/drawingml/2006/main">
          <a:off x="4180325" y="26276"/>
          <a:ext cx="0" cy="86028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0.62754</cdr:x>
      <cdr:y>0.0061</cdr:y>
    </cdr:from>
    <cdr:to>
      <cdr:x>0.62754</cdr:x>
      <cdr:y>0.21076</cdr:y>
    </cdr:to>
    <cdr:cxnSp macro="">
      <cdr:nvCxnSpPr>
        <cdr:cNvPr id="28" name="Straight Connector 27"/>
        <cdr:cNvCxnSpPr/>
      </cdr:nvCxnSpPr>
      <cdr:spPr>
        <a:xfrm xmlns:a="http://schemas.openxmlformats.org/drawingml/2006/main">
          <a:off x="4695506" y="26276"/>
          <a:ext cx="0" cy="8822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0.62854</cdr:x>
      <cdr:y>0</cdr:y>
    </cdr:from>
    <cdr:to>
      <cdr:x>0.7987</cdr:x>
      <cdr:y>0.06119</cdr:y>
    </cdr:to>
    <cdr:sp macro="" textlink="">
      <cdr:nvSpPr>
        <cdr:cNvPr id="29" name="Left Arrow 28"/>
        <cdr:cNvSpPr/>
      </cdr:nvSpPr>
      <cdr:spPr>
        <a:xfrm xmlns:a="http://schemas.openxmlformats.org/drawingml/2006/main">
          <a:off x="4702985" y="0"/>
          <a:ext cx="1273233" cy="263769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tIns="9144" bIns="9144"/>
        <a:lstStyle xmlns:a="http://schemas.openxmlformats.org/drawingml/2006/main"/>
        <a:p xmlns:a="http://schemas.openxmlformats.org/drawingml/2006/main">
          <a:r>
            <a:rPr lang="en-US" sz="800"/>
            <a:t>Motor Noise Peak Zone</a:t>
          </a:r>
        </a:p>
      </cdr:txBody>
    </cdr:sp>
  </cdr:relSizeAnchor>
  <cdr:relSizeAnchor xmlns:cdr="http://schemas.openxmlformats.org/drawingml/2006/chartDrawing">
    <cdr:from>
      <cdr:x>0.47213</cdr:x>
      <cdr:y>0.10538</cdr:y>
    </cdr:from>
    <cdr:to>
      <cdr:x>0.47213</cdr:x>
      <cdr:y>0.10538</cdr:y>
    </cdr:to>
    <cdr:sp macro="" textlink="">
      <cdr:nvSpPr>
        <cdr:cNvPr id="33" name="Freeform 32"/>
        <cdr:cNvSpPr/>
      </cdr:nvSpPr>
      <cdr:spPr>
        <a:xfrm xmlns:a="http://schemas.openxmlformats.org/drawingml/2006/main">
          <a:off x="3516923" y="454269"/>
          <a:ext cx="0" cy="0"/>
        </a:xfrm>
        <a:custGeom xmlns:a="http://schemas.openxmlformats.org/drawingml/2006/main">
          <a:avLst/>
          <a:gdLst>
            <a:gd name="connsiteX0" fmla="*/ 0 w 0"/>
            <a:gd name="connsiteY0" fmla="*/ 0 h 0"/>
            <a:gd name="connsiteX1" fmla="*/ 0 w 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>
              <a:moveTo>
                <a:pt x="0" y="0"/>
              </a:moveTo>
              <a:lnTo>
                <a:pt x="0" y="0"/>
              </a:ln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BW141"/>
  <sheetViews>
    <sheetView showGridLines="0" tabSelected="1" topLeftCell="A7" zoomScale="80" zoomScaleNormal="80" workbookViewId="0">
      <selection activeCell="W32" sqref="W32"/>
    </sheetView>
  </sheetViews>
  <sheetFormatPr defaultColWidth="0" defaultRowHeight="15" zeroHeight="1" x14ac:dyDescent="0.25"/>
  <cols>
    <col min="1" max="1" width="10.85546875" customWidth="1"/>
    <col min="2" max="2" width="12.7109375" customWidth="1"/>
    <col min="3" max="3" width="2.7109375" style="18" customWidth="1"/>
    <col min="4" max="4" width="11.7109375" customWidth="1"/>
    <col min="5" max="5" width="10.7109375" customWidth="1"/>
    <col min="6" max="6" width="2.7109375" style="14" customWidth="1"/>
    <col min="7" max="7" width="12.7109375" customWidth="1"/>
    <col min="8" max="8" width="8.7109375" customWidth="1"/>
    <col min="9" max="9" width="2.7109375" style="14" customWidth="1"/>
    <col min="10" max="11" width="12.7109375" hidden="1" customWidth="1"/>
    <col min="12" max="12" width="12.7109375" customWidth="1"/>
    <col min="13" max="13" width="8.7109375" customWidth="1"/>
    <col min="14" max="14" width="2.7109375" style="14" customWidth="1"/>
    <col min="15" max="16" width="12.7109375" hidden="1" customWidth="1"/>
    <col min="17" max="17" width="12.7109375" customWidth="1"/>
    <col min="18" max="18" width="8.7109375" customWidth="1"/>
    <col min="19" max="19" width="2.7109375" style="14" customWidth="1"/>
    <col min="20" max="20" width="12.7109375" style="13" hidden="1" customWidth="1"/>
    <col min="21" max="21" width="12.7109375" hidden="1" customWidth="1"/>
    <col min="22" max="22" width="12.7109375" customWidth="1"/>
    <col min="23" max="23" width="8.7109375" customWidth="1"/>
    <col min="24" max="24" width="2.7109375" style="14" customWidth="1"/>
    <col min="25" max="25" width="12.7109375" customWidth="1"/>
    <col min="26" max="27" width="12.7109375" hidden="1" customWidth="1"/>
    <col min="28" max="28" width="10.5703125" hidden="1" customWidth="1"/>
    <col min="29" max="29" width="12.7109375" hidden="1" customWidth="1"/>
    <col min="30" max="30" width="8.7109375" customWidth="1"/>
    <col min="31" max="31" width="2.7109375" style="14" customWidth="1"/>
    <col min="32" max="32" width="8.7109375" style="14" customWidth="1"/>
    <col min="33" max="33" width="6.7109375" style="14" customWidth="1"/>
    <col min="34" max="34" width="10.7109375" style="13" customWidth="1"/>
    <col min="35" max="35" width="12.7109375" style="13" hidden="1" customWidth="1"/>
    <col min="36" max="36" width="12.7109375" hidden="1" customWidth="1"/>
    <col min="37" max="37" width="12.7109375" customWidth="1"/>
    <col min="38" max="38" width="8.7109375" customWidth="1"/>
    <col min="39" max="39" width="2.7109375" style="14" customWidth="1"/>
    <col min="40" max="40" width="12.7109375" customWidth="1"/>
    <col min="41" max="42" width="12.7109375" hidden="1" customWidth="1"/>
    <col min="43" max="43" width="10.5703125" hidden="1" customWidth="1"/>
    <col min="44" max="44" width="12.7109375" hidden="1" customWidth="1"/>
    <col min="45" max="45" width="8.7109375" customWidth="1"/>
    <col min="46" max="46" width="2.7109375" style="14" customWidth="1"/>
    <col min="47" max="48" width="8.7109375" style="14" customWidth="1"/>
    <col min="49" max="49" width="2.7109375" style="40" customWidth="1"/>
    <col min="50" max="56" width="9.140625" style="81" customWidth="1"/>
    <col min="57" max="57" width="9.140625" style="86" customWidth="1"/>
    <col min="58" max="75" width="9.140625" style="81" customWidth="1"/>
    <col min="76" max="16384" width="9.140625" hidden="1"/>
  </cols>
  <sheetData>
    <row r="1" spans="1:57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/>
      <c r="AX1" s="81" t="s">
        <v>30</v>
      </c>
      <c r="AY1" s="82" t="s">
        <v>23</v>
      </c>
      <c r="AZ1" s="83" t="s">
        <v>29</v>
      </c>
      <c r="BA1" s="82" t="s">
        <v>26</v>
      </c>
      <c r="BB1" s="83" t="s">
        <v>29</v>
      </c>
      <c r="BC1" s="82" t="s">
        <v>27</v>
      </c>
      <c r="BD1" s="83" t="s">
        <v>29</v>
      </c>
      <c r="BE1" s="82" t="s">
        <v>80</v>
      </c>
    </row>
    <row r="2" spans="1:57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/>
      <c r="AX2" s="81" t="s">
        <v>78</v>
      </c>
      <c r="AY2" s="82" t="s">
        <v>28</v>
      </c>
      <c r="AZ2" s="83" t="s">
        <v>28</v>
      </c>
      <c r="BA2" s="82">
        <v>8800</v>
      </c>
      <c r="BB2" s="83">
        <v>6.4000000000000001E-2</v>
      </c>
      <c r="BC2" s="82">
        <v>8173</v>
      </c>
      <c r="BD2" s="83">
        <v>6.4000000000000001E-2</v>
      </c>
      <c r="BE2" s="82">
        <v>32000</v>
      </c>
    </row>
    <row r="3" spans="1:57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/>
      <c r="AX3" s="81" t="s">
        <v>79</v>
      </c>
      <c r="AY3" s="82" t="s">
        <v>28</v>
      </c>
      <c r="AZ3" s="83" t="s">
        <v>28</v>
      </c>
      <c r="BA3" s="82">
        <v>3600</v>
      </c>
      <c r="BB3" s="83">
        <v>0.11</v>
      </c>
      <c r="BC3" s="82">
        <v>3281</v>
      </c>
      <c r="BD3" s="85">
        <v>0.11</v>
      </c>
      <c r="BE3" s="82">
        <v>32000</v>
      </c>
    </row>
    <row r="4" spans="1:57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/>
      <c r="AX4" s="84" t="s">
        <v>25</v>
      </c>
      <c r="AY4" s="82" t="s">
        <v>53</v>
      </c>
      <c r="AZ4" s="83" t="s">
        <v>53</v>
      </c>
      <c r="BA4" s="82">
        <v>3600</v>
      </c>
      <c r="BB4" s="83">
        <v>0.11</v>
      </c>
      <c r="BC4" s="82">
        <v>3281</v>
      </c>
      <c r="BD4" s="85">
        <v>0.11</v>
      </c>
      <c r="BE4" s="82">
        <v>8000</v>
      </c>
    </row>
    <row r="5" spans="1:57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/>
      <c r="AX5" s="84" t="s">
        <v>19</v>
      </c>
      <c r="AY5" s="82">
        <v>256</v>
      </c>
      <c r="AZ5" s="83">
        <v>0.98</v>
      </c>
      <c r="BA5" s="82">
        <v>250</v>
      </c>
      <c r="BB5" s="83">
        <v>0.97</v>
      </c>
      <c r="BC5" s="82">
        <v>250</v>
      </c>
      <c r="BD5" s="83">
        <v>0.97</v>
      </c>
      <c r="BE5" s="82">
        <f>8000</f>
        <v>8000</v>
      </c>
    </row>
    <row r="6" spans="1:57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/>
      <c r="AX6" s="84">
        <v>188</v>
      </c>
      <c r="AY6" s="82">
        <v>188</v>
      </c>
      <c r="AZ6" s="83">
        <v>1.98</v>
      </c>
      <c r="BA6" s="82">
        <v>184</v>
      </c>
      <c r="BB6" s="83">
        <v>2.9</v>
      </c>
      <c r="BC6" s="82">
        <v>176</v>
      </c>
      <c r="BD6" s="83">
        <v>3.1</v>
      </c>
      <c r="BE6" s="82">
        <v>1000</v>
      </c>
    </row>
    <row r="7" spans="1:57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/>
      <c r="AX7" s="84">
        <v>98</v>
      </c>
      <c r="AY7" s="82">
        <v>98</v>
      </c>
      <c r="AZ7" s="83">
        <v>2.8</v>
      </c>
      <c r="BA7" s="82">
        <v>92</v>
      </c>
      <c r="BB7" s="83">
        <v>3.9</v>
      </c>
      <c r="BC7" s="82">
        <v>92</v>
      </c>
      <c r="BD7" s="83">
        <v>3.9</v>
      </c>
      <c r="BE7" s="82">
        <v>1000</v>
      </c>
    </row>
    <row r="8" spans="1:57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/>
      <c r="AX8" s="84">
        <v>42</v>
      </c>
      <c r="AY8" s="82">
        <v>42</v>
      </c>
      <c r="AZ8" s="83">
        <v>4.8</v>
      </c>
      <c r="BA8" s="82">
        <v>41</v>
      </c>
      <c r="BB8" s="83">
        <v>5.9</v>
      </c>
      <c r="BC8" s="82">
        <v>41</v>
      </c>
      <c r="BD8" s="83">
        <v>5.9</v>
      </c>
      <c r="BE8" s="82">
        <v>1000</v>
      </c>
    </row>
    <row r="9" spans="1:57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/>
      <c r="AX9" s="84">
        <v>20</v>
      </c>
      <c r="AY9" s="82">
        <v>20</v>
      </c>
      <c r="AZ9" s="83">
        <v>8.3000000000000007</v>
      </c>
      <c r="BA9" s="82">
        <v>20</v>
      </c>
      <c r="BB9" s="83">
        <v>9.9</v>
      </c>
      <c r="BC9" s="82">
        <v>20</v>
      </c>
      <c r="BD9" s="83">
        <v>9.9</v>
      </c>
      <c r="BE9" s="82">
        <v>1000</v>
      </c>
    </row>
    <row r="10" spans="1:57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/>
      <c r="AX10" s="84">
        <v>10</v>
      </c>
      <c r="AY10" s="82">
        <v>10</v>
      </c>
      <c r="AZ10" s="83">
        <v>13.4</v>
      </c>
      <c r="BA10" s="82">
        <v>10</v>
      </c>
      <c r="BB10" s="83">
        <v>17.850000000000001</v>
      </c>
      <c r="BC10" s="82">
        <v>10</v>
      </c>
      <c r="BD10" s="83">
        <v>17.850000000000001</v>
      </c>
      <c r="BE10" s="82">
        <v>1000</v>
      </c>
    </row>
    <row r="11" spans="1:57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/>
      <c r="AX11" s="84">
        <v>5</v>
      </c>
      <c r="AY11" s="82">
        <v>5</v>
      </c>
      <c r="AZ11" s="83">
        <v>18.600000000000001</v>
      </c>
      <c r="BA11" s="82">
        <v>5</v>
      </c>
      <c r="BB11" s="83">
        <v>33.479999999999997</v>
      </c>
      <c r="BC11" s="82">
        <v>5</v>
      </c>
      <c r="BD11" s="83">
        <v>33.479999999999997</v>
      </c>
      <c r="BE11" s="82">
        <v>1000</v>
      </c>
    </row>
    <row r="12" spans="1:57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/>
    </row>
    <row r="13" spans="1:5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/>
    </row>
    <row r="14" spans="1:5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/>
    </row>
    <row r="15" spans="1:57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/>
      <c r="AX15" s="115"/>
    </row>
    <row r="16" spans="1:57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/>
      <c r="AX16" s="115"/>
    </row>
    <row r="17" spans="1:7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/>
      <c r="AX17" s="115"/>
    </row>
    <row r="18" spans="1:7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/>
      <c r="AX18" s="115"/>
    </row>
    <row r="19" spans="1:75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/>
      <c r="AX19" s="115"/>
    </row>
    <row r="20" spans="1:75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/>
      <c r="AX20" s="115"/>
    </row>
    <row r="21" spans="1:7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/>
      <c r="AX21" s="115"/>
    </row>
    <row r="22" spans="1:7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/>
      <c r="AX22" s="115"/>
    </row>
    <row r="23" spans="1:7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/>
    </row>
    <row r="24" spans="1:75" ht="30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/>
    </row>
    <row r="25" spans="1:75" ht="30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/>
    </row>
    <row r="26" spans="1:75" ht="60" customHeight="1" x14ac:dyDescent="0.35">
      <c r="A26" s="31"/>
      <c r="B26" s="117" t="s">
        <v>89</v>
      </c>
      <c r="C26" s="43"/>
      <c r="D26" s="130" t="s">
        <v>10</v>
      </c>
      <c r="E26" s="130"/>
      <c r="F26" s="43"/>
      <c r="G26" s="131" t="s">
        <v>63</v>
      </c>
      <c r="H26" s="130"/>
      <c r="I26" s="43"/>
      <c r="J26" s="29"/>
      <c r="K26" s="29"/>
      <c r="L26" s="131" t="s">
        <v>9</v>
      </c>
      <c r="M26" s="130"/>
      <c r="N26" s="43"/>
      <c r="O26" s="29"/>
      <c r="P26" s="29"/>
      <c r="Q26" s="131" t="s">
        <v>8</v>
      </c>
      <c r="R26" s="130"/>
      <c r="S26" s="43"/>
      <c r="T26" s="30"/>
      <c r="U26" s="29"/>
      <c r="V26" s="131" t="s">
        <v>7</v>
      </c>
      <c r="W26" s="130"/>
      <c r="X26" s="43"/>
      <c r="Y26" s="131" t="s">
        <v>40</v>
      </c>
      <c r="Z26" s="131"/>
      <c r="AA26" s="131"/>
      <c r="AB26" s="131"/>
      <c r="AC26" s="131"/>
      <c r="AD26" s="130"/>
      <c r="AE26" s="43"/>
      <c r="AF26" s="56" t="s">
        <v>41</v>
      </c>
      <c r="AG26" s="44"/>
      <c r="AH26" s="121" t="s">
        <v>14</v>
      </c>
      <c r="AI26" s="30"/>
      <c r="AJ26" s="29"/>
      <c r="AK26" s="131" t="s">
        <v>38</v>
      </c>
      <c r="AL26" s="130"/>
      <c r="AM26" s="43"/>
      <c r="AN26" s="131" t="s">
        <v>39</v>
      </c>
      <c r="AO26" s="131"/>
      <c r="AP26" s="131"/>
      <c r="AQ26" s="131"/>
      <c r="AR26" s="131"/>
      <c r="AS26" s="130"/>
      <c r="AT26" s="45"/>
      <c r="AU26" s="52" t="s">
        <v>42</v>
      </c>
      <c r="AV26" s="48" t="s">
        <v>43</v>
      </c>
    </row>
    <row r="27" spans="1:75" ht="15" customHeight="1" x14ac:dyDescent="0.25">
      <c r="A27" s="31"/>
      <c r="B27" s="120" t="s">
        <v>88</v>
      </c>
      <c r="C27" s="43"/>
      <c r="D27" s="2" t="s">
        <v>22</v>
      </c>
      <c r="E27" s="39" t="s">
        <v>94</v>
      </c>
      <c r="F27" s="43"/>
      <c r="G27" s="132" t="s">
        <v>64</v>
      </c>
      <c r="H27" s="133"/>
      <c r="I27" s="43"/>
      <c r="J27" s="31"/>
      <c r="K27" s="31"/>
      <c r="L27" s="2" t="s">
        <v>13</v>
      </c>
      <c r="M27" s="32"/>
      <c r="N27" s="43"/>
      <c r="O27" s="31"/>
      <c r="P27" s="31"/>
      <c r="Q27" s="2" t="s">
        <v>13</v>
      </c>
      <c r="R27" s="32"/>
      <c r="S27" s="43"/>
      <c r="T27" s="31"/>
      <c r="U27" s="31"/>
      <c r="V27" s="2" t="s">
        <v>13</v>
      </c>
      <c r="W27" s="32"/>
      <c r="X27" s="43"/>
      <c r="Y27" s="2" t="s">
        <v>33</v>
      </c>
      <c r="Z27" s="2"/>
      <c r="AA27" s="2"/>
      <c r="AB27" s="2"/>
      <c r="AC27" s="2"/>
      <c r="AD27" s="32"/>
      <c r="AE27" s="43"/>
      <c r="AF27" s="57"/>
      <c r="AG27" s="44"/>
      <c r="AH27" s="121"/>
      <c r="AI27" s="31"/>
      <c r="AJ27" s="31"/>
      <c r="AK27" s="2" t="s">
        <v>13</v>
      </c>
      <c r="AL27" s="32"/>
      <c r="AM27" s="43"/>
      <c r="AN27" s="2" t="s">
        <v>33</v>
      </c>
      <c r="AO27" s="2"/>
      <c r="AP27" s="2"/>
      <c r="AQ27" s="2"/>
      <c r="AR27" s="2"/>
      <c r="AS27" s="32"/>
      <c r="AT27" s="45"/>
      <c r="AU27" s="53"/>
      <c r="AV27" s="49"/>
    </row>
    <row r="28" spans="1:75" ht="17.25" customHeight="1" x14ac:dyDescent="0.25">
      <c r="A28" s="31"/>
      <c r="B28" s="116">
        <f>INDEX($AY$2:$BE$11,MATCH($D$30,$AX$2:$AX$11,0),MATCH("Sample Rate",$AY$1:$BE$1,0))</f>
        <v>8000</v>
      </c>
      <c r="C28" s="43"/>
      <c r="D28" s="77" t="s">
        <v>23</v>
      </c>
      <c r="E28" s="77" t="s">
        <v>96</v>
      </c>
      <c r="F28" s="43"/>
      <c r="G28" s="133"/>
      <c r="H28" s="133"/>
      <c r="I28" s="43"/>
      <c r="J28" s="31"/>
      <c r="K28" s="31"/>
      <c r="L28" s="79">
        <v>280</v>
      </c>
      <c r="M28" s="32"/>
      <c r="N28" s="43"/>
      <c r="O28" s="31"/>
      <c r="P28" s="31"/>
      <c r="Q28" s="79">
        <v>400</v>
      </c>
      <c r="R28" s="32"/>
      <c r="S28" s="43"/>
      <c r="T28" s="31"/>
      <c r="U28" s="31"/>
      <c r="V28" s="79">
        <v>200</v>
      </c>
      <c r="W28" s="32"/>
      <c r="X28" s="43"/>
      <c r="Y28" s="77" t="s">
        <v>34</v>
      </c>
      <c r="Z28" s="39"/>
      <c r="AA28" s="39"/>
      <c r="AB28" s="39"/>
      <c r="AC28" s="39"/>
      <c r="AD28" s="32"/>
      <c r="AE28" s="43"/>
      <c r="AF28" s="57"/>
      <c r="AG28" s="44"/>
      <c r="AH28" s="121"/>
      <c r="AI28" s="31"/>
      <c r="AJ28" s="31"/>
      <c r="AK28" s="79">
        <v>260</v>
      </c>
      <c r="AL28" s="32"/>
      <c r="AM28" s="43"/>
      <c r="AN28" s="77" t="s">
        <v>34</v>
      </c>
      <c r="AO28" s="39"/>
      <c r="AP28" s="39"/>
      <c r="AQ28" s="39"/>
      <c r="AR28" s="39"/>
      <c r="AS28" s="32"/>
      <c r="AT28" s="45"/>
      <c r="AU28" s="53"/>
      <c r="AV28" s="49"/>
    </row>
    <row r="29" spans="1:75" x14ac:dyDescent="0.25">
      <c r="B29" s="119" t="s">
        <v>86</v>
      </c>
      <c r="C29" s="27"/>
      <c r="D29" s="2" t="s">
        <v>24</v>
      </c>
      <c r="E29" s="38" t="s">
        <v>31</v>
      </c>
      <c r="G29" s="2" t="s">
        <v>1</v>
      </c>
      <c r="H29" s="75">
        <f>IF(H30="on",G30,0)</f>
        <v>0</v>
      </c>
      <c r="L29" s="2" t="s">
        <v>1</v>
      </c>
      <c r="Q29" s="2" t="s">
        <v>1</v>
      </c>
      <c r="T29"/>
      <c r="V29" s="2" t="s">
        <v>1</v>
      </c>
      <c r="Y29" s="2" t="s">
        <v>1</v>
      </c>
      <c r="Z29" s="39"/>
      <c r="AA29" s="39"/>
      <c r="AB29" s="39"/>
      <c r="AC29" s="39"/>
      <c r="AD29" s="76">
        <f>IF(AD30="on",Y30,0)</f>
        <v>90</v>
      </c>
      <c r="AF29" s="58"/>
      <c r="AG29" s="44"/>
      <c r="AH29" s="122" t="s">
        <v>82</v>
      </c>
      <c r="AI29"/>
      <c r="AK29" s="2" t="s">
        <v>1</v>
      </c>
      <c r="AN29" s="2" t="s">
        <v>1</v>
      </c>
      <c r="AO29" s="39"/>
      <c r="AP29" s="39"/>
      <c r="AQ29" s="39"/>
      <c r="AR29" s="39"/>
      <c r="AU29" s="54"/>
      <c r="AV29" s="50"/>
    </row>
    <row r="30" spans="1:75" x14ac:dyDescent="0.25">
      <c r="B30" s="78">
        <v>8000</v>
      </c>
      <c r="C30" s="28"/>
      <c r="D30" s="77" t="s">
        <v>19</v>
      </c>
      <c r="E30" s="37">
        <f>INDEX($AY$2:$BD$11,MATCH($D$30,$AX$2:$AX$11,0),MATCH($D$28,$AY$1:$BD$1,0))</f>
        <v>256</v>
      </c>
      <c r="G30" s="114">
        <v>500</v>
      </c>
      <c r="H30" s="80" t="s">
        <v>19</v>
      </c>
      <c r="J30">
        <f>L30</f>
        <v>180</v>
      </c>
      <c r="K30">
        <f>L28+(L28-L30)</f>
        <v>380</v>
      </c>
      <c r="L30" s="125">
        <f>IF(AND(L28-100&gt;120,L28-100&lt;200),L28-100,IF(L28-100&lt;120,120,200))</f>
        <v>180</v>
      </c>
      <c r="M30" s="80" t="s">
        <v>2</v>
      </c>
      <c r="O30" s="10">
        <f>Q30</f>
        <v>300</v>
      </c>
      <c r="P30" s="10">
        <f>Q28+(Q28-Q30)</f>
        <v>500</v>
      </c>
      <c r="Q30" s="79">
        <f>Q28-100</f>
        <v>300</v>
      </c>
      <c r="R30" s="80" t="s">
        <v>19</v>
      </c>
      <c r="T30" s="10">
        <f>V30</f>
        <v>100</v>
      </c>
      <c r="U30" s="10">
        <f>V28+(V28-V30)</f>
        <v>300</v>
      </c>
      <c r="V30" s="79">
        <f>V28-100</f>
        <v>100</v>
      </c>
      <c r="W30" s="80" t="s">
        <v>19</v>
      </c>
      <c r="Y30" s="77">
        <v>90</v>
      </c>
      <c r="Z30" s="39"/>
      <c r="AA30" s="39"/>
      <c r="AB30" s="124" t="s">
        <v>95</v>
      </c>
      <c r="AC30" s="39"/>
      <c r="AD30" s="80" t="s">
        <v>2</v>
      </c>
      <c r="AF30" s="58"/>
      <c r="AG30" s="44"/>
      <c r="AH30" s="78">
        <v>16000</v>
      </c>
      <c r="AI30" s="10">
        <f>AK30</f>
        <v>160</v>
      </c>
      <c r="AJ30" s="10">
        <f>AK28+(AK28-AK30)</f>
        <v>360</v>
      </c>
      <c r="AK30" s="79">
        <f>AK28-100</f>
        <v>160</v>
      </c>
      <c r="AL30" s="80" t="s">
        <v>19</v>
      </c>
      <c r="AN30" s="77">
        <v>100</v>
      </c>
      <c r="AO30" s="39"/>
      <c r="AP30" s="39"/>
      <c r="AQ30" s="39"/>
      <c r="AR30" s="39"/>
      <c r="AS30" s="80" t="s">
        <v>2</v>
      </c>
      <c r="AU30" s="54"/>
      <c r="AV30" s="50"/>
    </row>
    <row r="31" spans="1:75" x14ac:dyDescent="0.25">
      <c r="A31" s="35" t="s">
        <v>65</v>
      </c>
      <c r="B31" s="10">
        <f>MIN(B28,B30)</f>
        <v>8000</v>
      </c>
      <c r="D31" s="35" t="s">
        <v>32</v>
      </c>
      <c r="E31" s="36">
        <f>INDEX($AY$2:$BD$11,MATCH($D$30,$AX$2:$AX$11,0),MATCH($D$28,$AY$1:$BD$1,0)+1)</f>
        <v>0.98</v>
      </c>
      <c r="J31" s="34" t="s">
        <v>15</v>
      </c>
      <c r="K31" s="33">
        <f>L28/(K30-J30)</f>
        <v>1.4</v>
      </c>
      <c r="L31" s="2"/>
      <c r="O31" s="34" t="s">
        <v>15</v>
      </c>
      <c r="P31" s="33">
        <f>Q28/(P30-O30)</f>
        <v>2</v>
      </c>
      <c r="T31" s="34" t="s">
        <v>15</v>
      </c>
      <c r="U31" s="33">
        <f>V28/(U30-T30)</f>
        <v>1</v>
      </c>
      <c r="Y31" s="9">
        <v>2</v>
      </c>
      <c r="Z31" s="9"/>
      <c r="AB31" s="118">
        <f>IF(OR($E$28="F4",$E$28="F7"),120,"unknown")</f>
        <v>120</v>
      </c>
      <c r="AF31" s="58"/>
      <c r="AG31" s="44"/>
      <c r="AH31" s="121"/>
      <c r="AI31" s="34" t="s">
        <v>15</v>
      </c>
      <c r="AJ31" s="33">
        <f>AK28/(AJ30-AI30)</f>
        <v>1.3</v>
      </c>
      <c r="AN31" s="9">
        <v>2</v>
      </c>
      <c r="AO31" s="9"/>
      <c r="AU31" s="54"/>
      <c r="AV31" s="50"/>
    </row>
    <row r="32" spans="1:75" s="1" customFormat="1" ht="60" customHeight="1" x14ac:dyDescent="0.25">
      <c r="A32" s="1" t="s">
        <v>0</v>
      </c>
      <c r="B32" s="1" t="s">
        <v>87</v>
      </c>
      <c r="C32" s="19"/>
      <c r="D32" s="1" t="s">
        <v>3</v>
      </c>
      <c r="E32" s="1" t="s">
        <v>48</v>
      </c>
      <c r="F32" s="15"/>
      <c r="G32" s="1" t="s">
        <v>5</v>
      </c>
      <c r="H32" s="1" t="s">
        <v>45</v>
      </c>
      <c r="I32" s="15"/>
      <c r="J32" s="1" t="s">
        <v>11</v>
      </c>
      <c r="K32" s="1" t="s">
        <v>12</v>
      </c>
      <c r="L32" s="1" t="s">
        <v>20</v>
      </c>
      <c r="M32" s="1" t="s">
        <v>44</v>
      </c>
      <c r="N32" s="15"/>
      <c r="O32" s="1" t="s">
        <v>11</v>
      </c>
      <c r="P32" s="1" t="s">
        <v>12</v>
      </c>
      <c r="Q32" s="1" t="s">
        <v>6</v>
      </c>
      <c r="R32" s="1" t="s">
        <v>46</v>
      </c>
      <c r="S32" s="15"/>
      <c r="T32" s="1" t="s">
        <v>16</v>
      </c>
      <c r="U32" s="1" t="s">
        <v>17</v>
      </c>
      <c r="V32" s="1" t="s">
        <v>18</v>
      </c>
      <c r="W32" s="1" t="s">
        <v>47</v>
      </c>
      <c r="X32" s="15"/>
      <c r="Y32" s="1" t="s">
        <v>37</v>
      </c>
      <c r="Z32" s="1" t="s">
        <v>35</v>
      </c>
      <c r="AA32" s="1" t="s">
        <v>36</v>
      </c>
      <c r="AB32" s="1" t="s">
        <v>81</v>
      </c>
      <c r="AC32" s="1" t="s">
        <v>4</v>
      </c>
      <c r="AD32" s="1" t="s">
        <v>21</v>
      </c>
      <c r="AE32" s="15"/>
      <c r="AF32" s="59"/>
      <c r="AG32" s="46"/>
      <c r="AH32" s="121"/>
      <c r="AI32" s="1" t="s">
        <v>16</v>
      </c>
      <c r="AJ32" s="1" t="s">
        <v>17</v>
      </c>
      <c r="AK32" s="1" t="s">
        <v>50</v>
      </c>
      <c r="AL32" s="1" t="s">
        <v>52</v>
      </c>
      <c r="AM32" s="15"/>
      <c r="AN32" s="1" t="s">
        <v>49</v>
      </c>
      <c r="AO32" s="1" t="s">
        <v>35</v>
      </c>
      <c r="AP32" s="1" t="s">
        <v>36</v>
      </c>
      <c r="AQ32" s="1" t="s">
        <v>81</v>
      </c>
      <c r="AR32" s="1" t="s">
        <v>4</v>
      </c>
      <c r="AS32" s="1" t="s">
        <v>51</v>
      </c>
      <c r="AT32" s="15"/>
      <c r="AU32" s="55"/>
      <c r="AV32" s="51"/>
      <c r="AW32" s="41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</row>
    <row r="33" spans="1:51" x14ac:dyDescent="0.25">
      <c r="A33">
        <v>1E-3</v>
      </c>
      <c r="B33" s="70">
        <f>1/$B$31*1000</f>
        <v>0.125</v>
      </c>
      <c r="C33" s="136">
        <f>AVERAGE(B33:B60)</f>
        <v>0.125</v>
      </c>
      <c r="D33" s="62">
        <f>-(E33*360*$A33)/1000</f>
        <v>-3.5280000000000001E-4</v>
      </c>
      <c r="E33" s="3">
        <f>E31</f>
        <v>0.98</v>
      </c>
      <c r="F33" s="66"/>
      <c r="G33" s="62">
        <f t="shared" ref="G33:G64" si="0">-ATAN(A33/$G$30)*180/PI()</f>
        <v>-1.1459155902601187E-4</v>
      </c>
      <c r="H33" s="62">
        <f t="shared" ref="H33:H64" si="1">IF(H$30="On",-(G33/(360*$A33))*1000,0)</f>
        <v>0</v>
      </c>
      <c r="I33" s="67"/>
      <c r="J33" s="62">
        <f t="shared" ref="J33:J64" si="2">(-ATAN(2*K$31*$A33/$L$28+SQRT(4*K$31^2-1))-ATAN(2*K$31*$A33/L$28-SQRT(4*K$31^2-1)))*180/PI()</f>
        <v>-1.4616270283162561E-4</v>
      </c>
      <c r="K33" s="62">
        <f t="shared" ref="K33:K64" si="3">(-ATAN(2*K$31*$A33/L$28+SQRT(4*K$31^2-1))-ATAN(2*K$31*$A33/L$28-SQRT(4*K$31^2-1)))*180/PI()+180</f>
        <v>179.99985383729717</v>
      </c>
      <c r="L33" s="62">
        <f>IF($A33&lt;=L$28,J33,K33)</f>
        <v>-1.4616270283162561E-4</v>
      </c>
      <c r="M33" s="62">
        <f>IF(M$30="On",ABS((L33/(360*$A33))*1000),0)</f>
        <v>0.40600750786562673</v>
      </c>
      <c r="N33" s="66"/>
      <c r="O33" s="62">
        <f t="shared" ref="O33:O64" si="4">(-ATAN(2*P$31*$A33/$Q$28+SQRT(4*P$31^2-1))-ATAN(2*P$31*$A33/Q$28-SQRT(4*P$31^2-1)))*180/PI()</f>
        <v>-7.1619724401363757E-5</v>
      </c>
      <c r="P33" s="62">
        <f t="shared" ref="P33:P64" si="5">(-ATAN(2*P$31*$A33/Q$28+SQRT(4*P$31^2-1))-ATAN(2*P$31*$A33/Q$28-SQRT(4*P$31^2-1)))*180/PI()+180</f>
        <v>179.99992838027561</v>
      </c>
      <c r="Q33" s="62">
        <f>IF($A33&lt;=Q$28,O33,P33)</f>
        <v>-7.1619724401363757E-5</v>
      </c>
      <c r="R33" s="62">
        <f>IF(R$30="On",ABS((Q33/(360*$A33))*1000),0)</f>
        <v>0</v>
      </c>
      <c r="S33" s="66"/>
      <c r="T33" s="62">
        <f t="shared" ref="T33:T64" si="6">(-ATAN(2*U$31*$A33/V$28+SQRT(4*U$31^2-1))-ATAN(2*U$31*$A33/V$28-SQRT(4*U$31^2-1)))*180/PI()</f>
        <v>-2.864788975672884E-4</v>
      </c>
      <c r="U33" s="62">
        <f t="shared" ref="U33:U64" si="7">(-ATAN(2*U$31*$A33/V$28+SQRT(4*U$31^2-1))-ATAN(2*U$31*$A33/V$28-SQRT(4*U$31^2-1)))*180/PI()+180</f>
        <v>179.99971352110242</v>
      </c>
      <c r="V33" s="62">
        <f>IF($A33&lt;=V$28,T33,U33)</f>
        <v>-2.864788975672884E-4</v>
      </c>
      <c r="W33" s="62">
        <f>IF(W$30="On",ABS((V33/(360*$A33))*1000),0)</f>
        <v>0</v>
      </c>
      <c r="X33" s="66"/>
      <c r="Y33" s="62">
        <f>IF(Y$28="PT1",AC33,IF(Y$28="BiQUAD",Z33,IF(Y$28="FIR",AA33,"N/A")))</f>
        <v>-6.3661977234138307E-4</v>
      </c>
      <c r="Z33" s="62">
        <f>(-ATAN(1/Y$31*(2*$A33/Y$30+SQRT(4-Y$31^2)))-ATAN(1/Y$31*(2*$A33/Y$30-SQRT(4-Y$31^2))))*180/PI()</f>
        <v>-1.2732395446827661E-3</v>
      </c>
      <c r="AA33" s="62">
        <f>-360*$A33*AB33/1000</f>
        <v>-2.6774999999999998E-3</v>
      </c>
      <c r="AB33" s="62">
        <f>($AB$31-1)/(2*$B$31)*1000</f>
        <v>7.4375</v>
      </c>
      <c r="AC33" s="62">
        <f>-ATAN($A33/Y$30)*180/PI()</f>
        <v>-6.3661977234138307E-4</v>
      </c>
      <c r="AD33" s="62">
        <f>IF(AD$30="On",ABS((Y33/(360*$A33))*1000),0)</f>
        <v>1.7683882565038418</v>
      </c>
      <c r="AE33" s="67"/>
      <c r="AF33" s="68">
        <f t="shared" ref="AF33:AF64" si="8">SUM(B33,E33,H33,M33,R33,W33,AD33)</f>
        <v>3.2793957643694682</v>
      </c>
      <c r="AG33" s="44"/>
      <c r="AH33" s="121"/>
      <c r="AI33" s="3">
        <f t="shared" ref="AI33:AI64" si="9">(-ATAN(2*AJ$31*$A33/AK$28+SQRT(4*AJ$31^2-1))-ATAN(2*AJ$31*$A33/AK$28-SQRT(4*AJ$31^2-1)))*180/PI()</f>
        <v>-1.6951414057665094E-4</v>
      </c>
      <c r="AJ33" s="3">
        <f t="shared" ref="AJ33:AJ64" si="10">(-ATAN(2*AJ$31*$A33/AK$28+SQRT(4*AJ$31^2-1))-ATAN(2*AJ$31*$A33/AK$28-SQRT(4*AJ$31^2-1)))*180/PI()+180</f>
        <v>179.99983048585943</v>
      </c>
      <c r="AK33" s="62">
        <f>IF($A33&lt;=AK$28,AI33,AJ33)</f>
        <v>-1.6951414057665094E-4</v>
      </c>
      <c r="AL33" s="62">
        <f>IF(AL$30="On",ABS((AK33/(360*$A33))*1000),0)</f>
        <v>0</v>
      </c>
      <c r="AN33" s="62">
        <f>IF(AN$28="PT1",AR33,IF(AN$28="BiQUAD",AO33,IF(AN$28="FIR",AP33,"N/A")))</f>
        <v>-5.7295779511172475E-4</v>
      </c>
      <c r="AO33" s="62">
        <f>(-ATAN(1/AN$31*(2*$A33/AN$30+SQRT(4-AN$31^2)))-ATAN(1/AN$31*(2*$A33/AN$30-SQRT(4-AN$31^2))))*180/PI()</f>
        <v>-1.1459155902234495E-3</v>
      </c>
      <c r="AP33" s="62">
        <f>-360*$A33*AQ33/1000</f>
        <v>-1.3387499999999999E-3</v>
      </c>
      <c r="AQ33" s="62">
        <f>(120-1)/(2*$AH$30)*1000</f>
        <v>3.71875</v>
      </c>
      <c r="AR33" s="62">
        <f>-ATAN($A33/AN$30)*180/PI()</f>
        <v>-5.7295779511172475E-4</v>
      </c>
      <c r="AS33" s="62">
        <f>IF(AS$30="On",ABS((AN33/(360*$A33))*1000),0)</f>
        <v>1.5915494308659019</v>
      </c>
      <c r="AT33" s="21"/>
      <c r="AU33" s="60">
        <f>SUM(AL33,AS33)</f>
        <v>1.5915494308659019</v>
      </c>
      <c r="AV33" s="61">
        <f>SUM(AF33,AU33)</f>
        <v>4.87094519523537</v>
      </c>
      <c r="AX33" s="81" t="s">
        <v>54</v>
      </c>
    </row>
    <row r="34" spans="1:51" x14ac:dyDescent="0.25">
      <c r="A34">
        <v>0.1</v>
      </c>
      <c r="B34" s="70">
        <f>B33</f>
        <v>0.125</v>
      </c>
      <c r="C34" s="136"/>
      <c r="D34" s="62">
        <f t="shared" ref="D34:D94" si="11">-(E34*360*$A34)/1000</f>
        <v>-3.5279999999999999E-2</v>
      </c>
      <c r="E34" s="3">
        <f>E33</f>
        <v>0.98</v>
      </c>
      <c r="F34" s="66"/>
      <c r="G34" s="62">
        <f t="shared" si="0"/>
        <v>-1.1459155749827723E-2</v>
      </c>
      <c r="H34" s="62">
        <f t="shared" si="1"/>
        <v>0</v>
      </c>
      <c r="I34" s="67"/>
      <c r="J34" s="62">
        <f t="shared" si="2"/>
        <v>-1.4616271831214857E-2</v>
      </c>
      <c r="K34" s="62">
        <f t="shared" si="3"/>
        <v>179.98538372816878</v>
      </c>
      <c r="L34" s="62">
        <f t="shared" ref="L34:L94" si="12">IF($A34&lt;=L$28,J34,K34)</f>
        <v>-1.4616271831214857E-2</v>
      </c>
      <c r="M34" s="62">
        <f t="shared" ref="M34:M94" si="13">IF(M$30="On",ABS((L34/(360*$A34))*1000),0)</f>
        <v>0.4060075508670794</v>
      </c>
      <c r="N34" s="66"/>
      <c r="O34" s="62">
        <f t="shared" si="4"/>
        <v>-7.1619728494610414E-3</v>
      </c>
      <c r="P34" s="62">
        <f t="shared" si="5"/>
        <v>179.99283802715053</v>
      </c>
      <c r="Q34" s="62">
        <f t="shared" ref="Q34:Q94" si="14">IF($A34&lt;=Q$28,O34,P34)</f>
        <v>-7.1619728494610414E-3</v>
      </c>
      <c r="R34" s="62">
        <f t="shared" ref="R34:R94" si="15">IF(R$30="On",ABS((Q34/(360*$A34))*1000),0)</f>
        <v>0</v>
      </c>
      <c r="S34" s="66"/>
      <c r="T34" s="62">
        <f t="shared" si="6"/>
        <v>-2.8647894531186695E-2</v>
      </c>
      <c r="U34" s="62">
        <f t="shared" si="7"/>
        <v>179.97135210546881</v>
      </c>
      <c r="V34" s="62">
        <f t="shared" ref="V34:V94" si="16">IF($A34&lt;=V$28,T34,U34)</f>
        <v>-2.8647894531186695E-2</v>
      </c>
      <c r="W34" s="62">
        <f t="shared" ref="W34:W94" si="17">IF(W$30="On",ABS((V34/(360*$A34))*1000),0)</f>
        <v>0</v>
      </c>
      <c r="X34" s="66"/>
      <c r="Y34" s="62">
        <f t="shared" ref="Y34:Y94" si="18">IF(Y$28="PT1",AC34,IF(Y$28="BiQUAD",Z34,IF(Y$28="FIR",AA34,"N/A")))</f>
        <v>-6.3661951038433001E-2</v>
      </c>
      <c r="Z34" s="62">
        <f t="shared" ref="Z34:Z94" si="19">(-ATAN(1/Y$31*(2*$A34/Y$30+SQRT(4-Y$31^2)))-ATAN(1/Y$31*(2*$A34/Y$30-SQRT(4-Y$31^2))))*180/PI()</f>
        <v>-0.127323902076866</v>
      </c>
      <c r="AA34" s="62">
        <f t="shared" ref="AA34:AA94" si="20">-360*$A34*AB34/1000</f>
        <v>-0.26774999999999999</v>
      </c>
      <c r="AB34" s="62">
        <f t="shared" ref="AB34:AB94" si="21">($AB$31-1)/(2*$B$31)*1000</f>
        <v>7.4375</v>
      </c>
      <c r="AC34" s="62">
        <f t="shared" ref="AC34:AC94" si="22">-ATAN($A34/Y$30)*180/PI()</f>
        <v>-6.3661951038433001E-2</v>
      </c>
      <c r="AD34" s="62">
        <f t="shared" ref="AD34:AD94" si="23">IF(AD$30="On",ABS((Y34/(360*$A34))*1000),0)</f>
        <v>1.7683875288453612</v>
      </c>
      <c r="AE34" s="67"/>
      <c r="AF34" s="68">
        <f t="shared" si="8"/>
        <v>3.2793950797124403</v>
      </c>
      <c r="AG34" s="44"/>
      <c r="AH34" s="121"/>
      <c r="AI34" s="3">
        <f t="shared" si="9"/>
        <v>-1.695141607012926E-2</v>
      </c>
      <c r="AJ34" s="3">
        <f t="shared" si="10"/>
        <v>179.98304858392987</v>
      </c>
      <c r="AK34" s="62">
        <f t="shared" ref="AK34:AK94" si="24">IF($A34&lt;=AK$28,AI34,AJ34)</f>
        <v>-1.695141607012926E-2</v>
      </c>
      <c r="AL34" s="62">
        <f t="shared" ref="AL34:AL94" si="25">IF(AL$30="On",ABS((AK34/(360*$A34))*1000),0)</f>
        <v>0</v>
      </c>
      <c r="AN34" s="62">
        <f t="shared" ref="AN34:AN94" si="26">IF(AN$28="PT1",AR34,IF(AN$28="BiQUAD",AO34,IF(AN$28="FIR",AP34,"N/A")))</f>
        <v>-5.7295760414500616E-2</v>
      </c>
      <c r="AO34" s="62">
        <f t="shared" ref="AO34:AO94" si="27">(-ATAN(1/AN$31*(2*$A34/AN$30+SQRT(4-AN$31^2)))-ATAN(1/AN$31*(2*$A34/AN$30-SQRT(4-AN$31^2))))*180/PI()</f>
        <v>-0.11459152082900123</v>
      </c>
      <c r="AP34" s="62">
        <f t="shared" ref="AP34:AP94" si="28">-360*$A34*AQ34/1000</f>
        <v>-0.13387499999999999</v>
      </c>
      <c r="AQ34" s="62">
        <f t="shared" ref="AQ34:AQ94" si="29">(120-1)/(2*$AH$30)*1000</f>
        <v>3.71875</v>
      </c>
      <c r="AR34" s="62">
        <f t="shared" ref="AR34:AR94" si="30">-ATAN($A34/AN$30)*180/PI()</f>
        <v>-5.7295760414500616E-2</v>
      </c>
      <c r="AS34" s="62">
        <f t="shared" ref="AS34:AS94" si="31">IF(AS$30="On",ABS((AN34/(360*$A34))*1000),0)</f>
        <v>1.5915489004027947</v>
      </c>
      <c r="AT34" s="22"/>
      <c r="AU34" s="60">
        <f t="shared" ref="AU34:AU94" si="32">SUM(AL34,AS34)</f>
        <v>1.5915489004027947</v>
      </c>
      <c r="AV34" s="61">
        <f t="shared" ref="AV34:AV94" si="33">SUM(AF34,AU34)</f>
        <v>4.8709439801152348</v>
      </c>
      <c r="AX34" s="81" t="s">
        <v>58</v>
      </c>
      <c r="AY34" s="81" t="s">
        <v>59</v>
      </c>
    </row>
    <row r="35" spans="1:51" x14ac:dyDescent="0.25">
      <c r="A35">
        <v>0.5</v>
      </c>
      <c r="B35" s="70">
        <f t="shared" ref="B35:B94" si="34">B34</f>
        <v>0.125</v>
      </c>
      <c r="C35" s="136"/>
      <c r="D35" s="62">
        <f t="shared" si="11"/>
        <v>-0.1764</v>
      </c>
      <c r="E35" s="3">
        <f t="shared" ref="E35:E85" si="35">E34</f>
        <v>0.98</v>
      </c>
      <c r="F35" s="66"/>
      <c r="G35" s="62">
        <f t="shared" si="0"/>
        <v>-5.7295760414500616E-2</v>
      </c>
      <c r="H35" s="62">
        <f t="shared" si="1"/>
        <v>0</v>
      </c>
      <c r="I35" s="67"/>
      <c r="J35" s="62">
        <f t="shared" si="2"/>
        <v>-7.3081544827505757E-2</v>
      </c>
      <c r="K35" s="62">
        <f t="shared" si="3"/>
        <v>179.92691845517248</v>
      </c>
      <c r="L35" s="62">
        <f t="shared" si="12"/>
        <v>-7.3081544827505757E-2</v>
      </c>
      <c r="M35" s="62">
        <f t="shared" si="13"/>
        <v>0.40600858237503201</v>
      </c>
      <c r="N35" s="66"/>
      <c r="O35" s="62">
        <f t="shared" si="4"/>
        <v>-3.5809913485904787E-2</v>
      </c>
      <c r="P35" s="62">
        <f t="shared" si="5"/>
        <v>179.96419008651409</v>
      </c>
      <c r="Q35" s="62">
        <f t="shared" si="14"/>
        <v>-3.5809913485904787E-2</v>
      </c>
      <c r="R35" s="62">
        <f t="shared" si="15"/>
        <v>0</v>
      </c>
      <c r="S35" s="66"/>
      <c r="T35" s="62">
        <f t="shared" si="6"/>
        <v>-0.1432400456148574</v>
      </c>
      <c r="U35" s="62">
        <f t="shared" si="7"/>
        <v>179.85675995438515</v>
      </c>
      <c r="V35" s="62">
        <f t="shared" si="16"/>
        <v>-0.1432400456148574</v>
      </c>
      <c r="W35" s="62">
        <f t="shared" si="17"/>
        <v>0</v>
      </c>
      <c r="X35" s="66"/>
      <c r="Y35" s="62">
        <f t="shared" si="18"/>
        <v>-0.31830661145136596</v>
      </c>
      <c r="Z35" s="62">
        <f t="shared" si="19"/>
        <v>-0.63661322290273192</v>
      </c>
      <c r="AA35" s="62">
        <f t="shared" si="20"/>
        <v>-1.3387500000000001</v>
      </c>
      <c r="AB35" s="62">
        <f t="shared" si="21"/>
        <v>7.4375</v>
      </c>
      <c r="AC35" s="62">
        <f t="shared" si="22"/>
        <v>-0.31830661145136596</v>
      </c>
      <c r="AD35" s="62">
        <f t="shared" si="23"/>
        <v>1.7683700636186996</v>
      </c>
      <c r="AE35" s="67"/>
      <c r="AF35" s="68">
        <f t="shared" si="8"/>
        <v>3.2793786459937317</v>
      </c>
      <c r="AG35" s="44"/>
      <c r="AH35" s="121"/>
      <c r="AI35" s="3">
        <f t="shared" si="9"/>
        <v>-8.4757321912285868E-2</v>
      </c>
      <c r="AJ35" s="3">
        <f t="shared" si="10"/>
        <v>179.91524267808771</v>
      </c>
      <c r="AK35" s="62">
        <f t="shared" si="24"/>
        <v>-8.4757321912285868E-2</v>
      </c>
      <c r="AL35" s="62">
        <f t="shared" si="25"/>
        <v>0</v>
      </c>
      <c r="AN35" s="62">
        <f t="shared" si="26"/>
        <v>-0.28647651027707449</v>
      </c>
      <c r="AO35" s="62">
        <f t="shared" si="27"/>
        <v>-0.57295302055414898</v>
      </c>
      <c r="AP35" s="62">
        <f t="shared" si="28"/>
        <v>-0.66937500000000005</v>
      </c>
      <c r="AQ35" s="62">
        <f t="shared" si="29"/>
        <v>3.71875</v>
      </c>
      <c r="AR35" s="62">
        <f t="shared" si="30"/>
        <v>-0.28647651027707449</v>
      </c>
      <c r="AS35" s="62">
        <f t="shared" si="31"/>
        <v>1.5915361682059694</v>
      </c>
      <c r="AT35" s="22"/>
      <c r="AU35" s="60">
        <f t="shared" si="32"/>
        <v>1.5915361682059694</v>
      </c>
      <c r="AV35" s="61">
        <f t="shared" si="33"/>
        <v>4.8709148141997014</v>
      </c>
      <c r="AX35" s="81" t="s">
        <v>55</v>
      </c>
      <c r="AY35" s="88" t="s">
        <v>56</v>
      </c>
    </row>
    <row r="36" spans="1:51" x14ac:dyDescent="0.25">
      <c r="A36">
        <v>0.1</v>
      </c>
      <c r="B36" s="70">
        <f t="shared" si="34"/>
        <v>0.125</v>
      </c>
      <c r="C36" s="136"/>
      <c r="D36" s="62">
        <f t="shared" si="11"/>
        <v>-3.5279999999999999E-2</v>
      </c>
      <c r="E36" s="3">
        <f t="shared" si="35"/>
        <v>0.98</v>
      </c>
      <c r="F36" s="66"/>
      <c r="G36" s="62">
        <f t="shared" si="0"/>
        <v>-1.1459155749827723E-2</v>
      </c>
      <c r="H36" s="62">
        <f t="shared" si="1"/>
        <v>0</v>
      </c>
      <c r="I36" s="67"/>
      <c r="J36" s="62">
        <f t="shared" si="2"/>
        <v>-1.4616271831214857E-2</v>
      </c>
      <c r="K36" s="62">
        <f t="shared" si="3"/>
        <v>179.98538372816878</v>
      </c>
      <c r="L36" s="62">
        <f t="shared" si="12"/>
        <v>-1.4616271831214857E-2</v>
      </c>
      <c r="M36" s="62">
        <f t="shared" si="13"/>
        <v>0.4060075508670794</v>
      </c>
      <c r="N36" s="66"/>
      <c r="O36" s="62">
        <f t="shared" si="4"/>
        <v>-7.1619728494610414E-3</v>
      </c>
      <c r="P36" s="62">
        <f t="shared" si="5"/>
        <v>179.99283802715053</v>
      </c>
      <c r="Q36" s="62">
        <f t="shared" si="14"/>
        <v>-7.1619728494610414E-3</v>
      </c>
      <c r="R36" s="62">
        <f t="shared" si="15"/>
        <v>0</v>
      </c>
      <c r="S36" s="66"/>
      <c r="T36" s="62">
        <f t="shared" si="6"/>
        <v>-2.8647894531186695E-2</v>
      </c>
      <c r="U36" s="62">
        <f t="shared" si="7"/>
        <v>179.97135210546881</v>
      </c>
      <c r="V36" s="62">
        <f t="shared" si="16"/>
        <v>-2.8647894531186695E-2</v>
      </c>
      <c r="W36" s="62">
        <f t="shared" si="17"/>
        <v>0</v>
      </c>
      <c r="X36" s="66"/>
      <c r="Y36" s="62">
        <f t="shared" si="18"/>
        <v>-6.3661951038433001E-2</v>
      </c>
      <c r="Z36" s="62">
        <f t="shared" si="19"/>
        <v>-0.127323902076866</v>
      </c>
      <c r="AA36" s="62">
        <f t="shared" si="20"/>
        <v>-0.26774999999999999</v>
      </c>
      <c r="AB36" s="62">
        <f t="shared" si="21"/>
        <v>7.4375</v>
      </c>
      <c r="AC36" s="62">
        <f t="shared" si="22"/>
        <v>-6.3661951038433001E-2</v>
      </c>
      <c r="AD36" s="62">
        <f t="shared" si="23"/>
        <v>1.7683875288453612</v>
      </c>
      <c r="AE36" s="67"/>
      <c r="AF36" s="68">
        <f t="shared" si="8"/>
        <v>3.2793950797124403</v>
      </c>
      <c r="AG36" s="44"/>
      <c r="AH36" s="121"/>
      <c r="AI36" s="3">
        <f t="shared" si="9"/>
        <v>-1.695141607012926E-2</v>
      </c>
      <c r="AJ36" s="3">
        <f t="shared" si="10"/>
        <v>179.98304858392987</v>
      </c>
      <c r="AK36" s="62">
        <f t="shared" si="24"/>
        <v>-1.695141607012926E-2</v>
      </c>
      <c r="AL36" s="62">
        <f t="shared" si="25"/>
        <v>0</v>
      </c>
      <c r="AN36" s="62">
        <f t="shared" si="26"/>
        <v>-5.7295760414500616E-2</v>
      </c>
      <c r="AO36" s="62">
        <f t="shared" si="27"/>
        <v>-0.11459152082900123</v>
      </c>
      <c r="AP36" s="62">
        <f t="shared" si="28"/>
        <v>-0.13387499999999999</v>
      </c>
      <c r="AQ36" s="62">
        <f t="shared" si="29"/>
        <v>3.71875</v>
      </c>
      <c r="AR36" s="62">
        <f t="shared" si="30"/>
        <v>-5.7295760414500616E-2</v>
      </c>
      <c r="AS36" s="62">
        <f t="shared" si="31"/>
        <v>1.5915489004027947</v>
      </c>
      <c r="AT36" s="22"/>
      <c r="AU36" s="60">
        <f t="shared" si="32"/>
        <v>1.5915489004027947</v>
      </c>
      <c r="AV36" s="61">
        <f t="shared" si="33"/>
        <v>4.8709439801152348</v>
      </c>
      <c r="AY36" s="88" t="s">
        <v>57</v>
      </c>
    </row>
    <row r="37" spans="1:51" x14ac:dyDescent="0.25">
      <c r="A37">
        <v>0.5</v>
      </c>
      <c r="B37" s="70">
        <f t="shared" si="34"/>
        <v>0.125</v>
      </c>
      <c r="C37" s="136"/>
      <c r="D37" s="62">
        <f t="shared" si="11"/>
        <v>-0.1764</v>
      </c>
      <c r="E37" s="3">
        <f t="shared" si="35"/>
        <v>0.98</v>
      </c>
      <c r="F37" s="66"/>
      <c r="G37" s="62">
        <f t="shared" si="0"/>
        <v>-5.7295760414500616E-2</v>
      </c>
      <c r="H37" s="62">
        <f t="shared" si="1"/>
        <v>0</v>
      </c>
      <c r="I37" s="67"/>
      <c r="J37" s="62">
        <f t="shared" si="2"/>
        <v>-7.3081544827505757E-2</v>
      </c>
      <c r="K37" s="62">
        <f t="shared" si="3"/>
        <v>179.92691845517248</v>
      </c>
      <c r="L37" s="62">
        <f t="shared" si="12"/>
        <v>-7.3081544827505757E-2</v>
      </c>
      <c r="M37" s="62">
        <f t="shared" si="13"/>
        <v>0.40600858237503201</v>
      </c>
      <c r="N37" s="66"/>
      <c r="O37" s="62">
        <f t="shared" si="4"/>
        <v>-3.5809913485904787E-2</v>
      </c>
      <c r="P37" s="62">
        <f t="shared" si="5"/>
        <v>179.96419008651409</v>
      </c>
      <c r="Q37" s="62">
        <f t="shared" si="14"/>
        <v>-3.5809913485904787E-2</v>
      </c>
      <c r="R37" s="62">
        <f t="shared" si="15"/>
        <v>0</v>
      </c>
      <c r="S37" s="66"/>
      <c r="T37" s="62">
        <f t="shared" si="6"/>
        <v>-0.1432400456148574</v>
      </c>
      <c r="U37" s="62">
        <f t="shared" si="7"/>
        <v>179.85675995438515</v>
      </c>
      <c r="V37" s="62">
        <f t="shared" si="16"/>
        <v>-0.1432400456148574</v>
      </c>
      <c r="W37" s="62">
        <f t="shared" si="17"/>
        <v>0</v>
      </c>
      <c r="X37" s="66"/>
      <c r="Y37" s="62">
        <f t="shared" si="18"/>
        <v>-0.31830661145136596</v>
      </c>
      <c r="Z37" s="62">
        <f t="shared" si="19"/>
        <v>-0.63661322290273192</v>
      </c>
      <c r="AA37" s="62">
        <f t="shared" si="20"/>
        <v>-1.3387500000000001</v>
      </c>
      <c r="AB37" s="62">
        <f t="shared" si="21"/>
        <v>7.4375</v>
      </c>
      <c r="AC37" s="62">
        <f t="shared" si="22"/>
        <v>-0.31830661145136596</v>
      </c>
      <c r="AD37" s="62">
        <f t="shared" si="23"/>
        <v>1.7683700636186996</v>
      </c>
      <c r="AE37" s="67"/>
      <c r="AF37" s="68">
        <f t="shared" si="8"/>
        <v>3.2793786459937317</v>
      </c>
      <c r="AG37" s="44"/>
      <c r="AH37" s="121"/>
      <c r="AI37" s="3">
        <f t="shared" si="9"/>
        <v>-8.4757321912285868E-2</v>
      </c>
      <c r="AJ37" s="3">
        <f t="shared" si="10"/>
        <v>179.91524267808771</v>
      </c>
      <c r="AK37" s="62">
        <f t="shared" si="24"/>
        <v>-8.4757321912285868E-2</v>
      </c>
      <c r="AL37" s="62">
        <f t="shared" si="25"/>
        <v>0</v>
      </c>
      <c r="AN37" s="62">
        <f t="shared" si="26"/>
        <v>-0.28647651027707449</v>
      </c>
      <c r="AO37" s="62">
        <f t="shared" si="27"/>
        <v>-0.57295302055414898</v>
      </c>
      <c r="AP37" s="62">
        <f t="shared" si="28"/>
        <v>-0.66937500000000005</v>
      </c>
      <c r="AQ37" s="62">
        <f t="shared" si="29"/>
        <v>3.71875</v>
      </c>
      <c r="AR37" s="62">
        <f t="shared" si="30"/>
        <v>-0.28647651027707449</v>
      </c>
      <c r="AS37" s="62">
        <f t="shared" si="31"/>
        <v>1.5915361682059694</v>
      </c>
      <c r="AT37" s="22"/>
      <c r="AU37" s="60">
        <f t="shared" si="32"/>
        <v>1.5915361682059694</v>
      </c>
      <c r="AV37" s="61">
        <f t="shared" si="33"/>
        <v>4.8709148141997014</v>
      </c>
      <c r="AY37" s="88" t="s">
        <v>60</v>
      </c>
    </row>
    <row r="38" spans="1:51" ht="15" customHeight="1" x14ac:dyDescent="0.25">
      <c r="A38" s="4">
        <v>1</v>
      </c>
      <c r="B38" s="71">
        <f t="shared" si="34"/>
        <v>0.125</v>
      </c>
      <c r="C38" s="136"/>
      <c r="D38" s="63">
        <f t="shared" si="11"/>
        <v>-0.3528</v>
      </c>
      <c r="E38" s="5">
        <f t="shared" si="35"/>
        <v>0.98</v>
      </c>
      <c r="F38" s="135">
        <f>AVERAGE(E38:E50)</f>
        <v>0.98000000000000032</v>
      </c>
      <c r="G38" s="63">
        <f t="shared" si="0"/>
        <v>-0.11459140623778596</v>
      </c>
      <c r="H38" s="63">
        <f t="shared" si="1"/>
        <v>0</v>
      </c>
      <c r="I38" s="135">
        <f>AVERAGE(H38:H50)</f>
        <v>0</v>
      </c>
      <c r="J38" s="63">
        <f t="shared" si="2"/>
        <v>-0.14616425011131476</v>
      </c>
      <c r="K38" s="63">
        <f t="shared" si="3"/>
        <v>179.85383574988867</v>
      </c>
      <c r="L38" s="63">
        <f t="shared" si="12"/>
        <v>-0.14616425011131476</v>
      </c>
      <c r="M38" s="63">
        <f t="shared" si="13"/>
        <v>0.40601180586476321</v>
      </c>
      <c r="N38" s="135">
        <f>AVERAGE(M38:M50)</f>
        <v>0.40638974073558648</v>
      </c>
      <c r="O38" s="63">
        <f t="shared" si="4"/>
        <v>-7.1620134714812614E-2</v>
      </c>
      <c r="P38" s="63">
        <f t="shared" si="5"/>
        <v>179.92837986528519</v>
      </c>
      <c r="Q38" s="63">
        <f t="shared" si="14"/>
        <v>-7.1620134714812614E-2</v>
      </c>
      <c r="R38" s="63">
        <f t="shared" si="15"/>
        <v>0</v>
      </c>
      <c r="S38" s="135">
        <f>AVERAGE(R38:R50)</f>
        <v>0</v>
      </c>
      <c r="T38" s="63">
        <f t="shared" si="6"/>
        <v>-0.28648367224951199</v>
      </c>
      <c r="U38" s="63">
        <f t="shared" si="7"/>
        <v>179.71351632775048</v>
      </c>
      <c r="V38" s="63">
        <f t="shared" si="16"/>
        <v>-0.28648367224951199</v>
      </c>
      <c r="W38" s="63">
        <f t="shared" si="17"/>
        <v>0</v>
      </c>
      <c r="X38" s="135">
        <f>AVERAGE(W38:W50)</f>
        <v>0</v>
      </c>
      <c r="Y38" s="63">
        <f t="shared" si="18"/>
        <v>-0.63659357596348642</v>
      </c>
      <c r="Z38" s="63">
        <f t="shared" si="19"/>
        <v>-1.2731871519269728</v>
      </c>
      <c r="AA38" s="63">
        <f t="shared" si="20"/>
        <v>-2.6775000000000002</v>
      </c>
      <c r="AB38" s="62">
        <f t="shared" si="21"/>
        <v>7.4375</v>
      </c>
      <c r="AC38" s="63">
        <f t="shared" si="22"/>
        <v>-0.63659357596348642</v>
      </c>
      <c r="AD38" s="63">
        <f t="shared" si="23"/>
        <v>1.7683154887874621</v>
      </c>
      <c r="AE38" s="135">
        <f>AVERAGE(AD38:AD50)</f>
        <v>1.762031837659759</v>
      </c>
      <c r="AF38" s="68">
        <f t="shared" si="8"/>
        <v>3.2793272946522256</v>
      </c>
      <c r="AG38" s="128">
        <f>SUM(C33,F38,AE38,I38,S38,X38,N38)</f>
        <v>3.2734215783953458</v>
      </c>
      <c r="AH38" s="121"/>
      <c r="AI38" s="5">
        <f t="shared" si="9"/>
        <v>-0.16951615359783698</v>
      </c>
      <c r="AJ38" s="5">
        <f t="shared" si="10"/>
        <v>179.83048384640216</v>
      </c>
      <c r="AK38" s="63">
        <f t="shared" si="24"/>
        <v>-0.16951615359783698</v>
      </c>
      <c r="AL38" s="63">
        <f t="shared" si="25"/>
        <v>0</v>
      </c>
      <c r="AM38" s="134">
        <f>AVERAGE(AL38:AL50)</f>
        <v>0</v>
      </c>
      <c r="AN38" s="63">
        <f t="shared" si="26"/>
        <v>-0.57293869768348593</v>
      </c>
      <c r="AO38" s="63">
        <f t="shared" si="27"/>
        <v>-1.1458773953669719</v>
      </c>
      <c r="AP38" s="63">
        <f t="shared" si="28"/>
        <v>-1.3387500000000001</v>
      </c>
      <c r="AQ38" s="63">
        <f t="shared" si="29"/>
        <v>3.71875</v>
      </c>
      <c r="AR38" s="63">
        <f t="shared" si="30"/>
        <v>-0.57293869768348593</v>
      </c>
      <c r="AS38" s="63">
        <f t="shared" si="31"/>
        <v>1.5914963824541275</v>
      </c>
      <c r="AT38" s="134">
        <f>AVERAGE(AS38:AS50)</f>
        <v>1.5869015620283369</v>
      </c>
      <c r="AU38" s="60">
        <f t="shared" si="32"/>
        <v>1.5914963824541275</v>
      </c>
      <c r="AV38" s="61">
        <f t="shared" si="33"/>
        <v>4.8708236771063529</v>
      </c>
      <c r="AW38" s="127"/>
      <c r="AX38" s="81" t="s">
        <v>61</v>
      </c>
      <c r="AY38" s="88" t="s">
        <v>62</v>
      </c>
    </row>
    <row r="39" spans="1:51" x14ac:dyDescent="0.25">
      <c r="A39" s="4">
        <v>2</v>
      </c>
      <c r="B39" s="71">
        <f t="shared" si="34"/>
        <v>0.125</v>
      </c>
      <c r="C39" s="136"/>
      <c r="D39" s="63">
        <f t="shared" si="11"/>
        <v>-0.7056</v>
      </c>
      <c r="E39" s="5">
        <f t="shared" si="35"/>
        <v>0.98</v>
      </c>
      <c r="F39" s="135"/>
      <c r="G39" s="63">
        <f t="shared" si="0"/>
        <v>-0.22918189575410039</v>
      </c>
      <c r="H39" s="63">
        <f t="shared" si="1"/>
        <v>0</v>
      </c>
      <c r="I39" s="135"/>
      <c r="J39" s="63">
        <f t="shared" si="2"/>
        <v>-0.29233778416277856</v>
      </c>
      <c r="K39" s="63">
        <f t="shared" si="3"/>
        <v>179.70766221583722</v>
      </c>
      <c r="L39" s="63">
        <f t="shared" si="12"/>
        <v>-0.29233778416277856</v>
      </c>
      <c r="M39" s="63">
        <f t="shared" si="13"/>
        <v>0.40602470022608134</v>
      </c>
      <c r="N39" s="135"/>
      <c r="O39" s="63">
        <f t="shared" si="4"/>
        <v>-0.14324273142167587</v>
      </c>
      <c r="P39" s="63">
        <f t="shared" si="5"/>
        <v>179.85675726857832</v>
      </c>
      <c r="Q39" s="63">
        <f t="shared" si="14"/>
        <v>-0.14324273142167587</v>
      </c>
      <c r="R39" s="63">
        <f t="shared" si="15"/>
        <v>0</v>
      </c>
      <c r="S39" s="135"/>
      <c r="T39" s="63">
        <f t="shared" si="6"/>
        <v>-0.57299599346299779</v>
      </c>
      <c r="U39" s="63">
        <f t="shared" si="7"/>
        <v>179.427004006537</v>
      </c>
      <c r="V39" s="63">
        <f t="shared" si="16"/>
        <v>-0.57299599346299779</v>
      </c>
      <c r="W39" s="63">
        <f t="shared" si="17"/>
        <v>0</v>
      </c>
      <c r="X39" s="135"/>
      <c r="Y39" s="63">
        <f t="shared" si="18"/>
        <v>-1.2730300200567113</v>
      </c>
      <c r="Z39" s="63">
        <f t="shared" si="19"/>
        <v>-2.5460600401134226</v>
      </c>
      <c r="AA39" s="63">
        <f t="shared" si="20"/>
        <v>-5.3550000000000004</v>
      </c>
      <c r="AB39" s="62">
        <f t="shared" si="21"/>
        <v>7.4375</v>
      </c>
      <c r="AC39" s="63">
        <f t="shared" si="22"/>
        <v>-1.2730300200567113</v>
      </c>
      <c r="AD39" s="63">
        <f t="shared" si="23"/>
        <v>1.7680972500787655</v>
      </c>
      <c r="AE39" s="135"/>
      <c r="AF39" s="68">
        <f t="shared" si="8"/>
        <v>3.2791219503048468</v>
      </c>
      <c r="AG39" s="128"/>
      <c r="AH39" s="121"/>
      <c r="AI39" s="5">
        <f t="shared" si="9"/>
        <v>-0.33904438578114637</v>
      </c>
      <c r="AJ39" s="5">
        <f t="shared" si="10"/>
        <v>179.66095561421886</v>
      </c>
      <c r="AK39" s="63">
        <f t="shared" si="24"/>
        <v>-0.33904438578114637</v>
      </c>
      <c r="AL39" s="63">
        <f t="shared" si="25"/>
        <v>0</v>
      </c>
      <c r="AM39" s="134"/>
      <c r="AN39" s="63">
        <f t="shared" si="26"/>
        <v>-1.1457628381751035</v>
      </c>
      <c r="AO39" s="63">
        <f t="shared" si="27"/>
        <v>-2.291525676350207</v>
      </c>
      <c r="AP39" s="63">
        <f t="shared" si="28"/>
        <v>-2.6775000000000002</v>
      </c>
      <c r="AQ39" s="63">
        <f t="shared" si="29"/>
        <v>3.71875</v>
      </c>
      <c r="AR39" s="63">
        <f t="shared" si="30"/>
        <v>-1.1457628381751035</v>
      </c>
      <c r="AS39" s="63">
        <f t="shared" si="31"/>
        <v>1.5913372752431993</v>
      </c>
      <c r="AT39" s="134"/>
      <c r="AU39" s="60">
        <f t="shared" si="32"/>
        <v>1.5913372752431993</v>
      </c>
      <c r="AV39" s="61">
        <f t="shared" si="33"/>
        <v>4.8704592255480463</v>
      </c>
      <c r="AW39" s="127"/>
      <c r="AY39" s="88" t="s">
        <v>66</v>
      </c>
    </row>
    <row r="40" spans="1:51" x14ac:dyDescent="0.25">
      <c r="A40" s="4">
        <v>3</v>
      </c>
      <c r="B40" s="71">
        <f t="shared" si="34"/>
        <v>0.125</v>
      </c>
      <c r="C40" s="136"/>
      <c r="D40" s="63">
        <f t="shared" si="11"/>
        <v>-1.0584</v>
      </c>
      <c r="E40" s="5">
        <f t="shared" si="35"/>
        <v>0.98</v>
      </c>
      <c r="F40" s="135"/>
      <c r="G40" s="63">
        <f t="shared" si="0"/>
        <v>-0.3437705518714731</v>
      </c>
      <c r="H40" s="63">
        <f t="shared" si="1"/>
        <v>0</v>
      </c>
      <c r="I40" s="135"/>
      <c r="J40" s="63">
        <f t="shared" si="2"/>
        <v>-0.43852988764090073</v>
      </c>
      <c r="K40" s="63">
        <f t="shared" si="3"/>
        <v>179.5614701123591</v>
      </c>
      <c r="L40" s="63">
        <f t="shared" si="12"/>
        <v>-0.43852988764090073</v>
      </c>
      <c r="M40" s="63">
        <f t="shared" si="13"/>
        <v>0.40604619226009331</v>
      </c>
      <c r="N40" s="135"/>
      <c r="O40" s="63">
        <f t="shared" si="4"/>
        <v>-0.21487025236856064</v>
      </c>
      <c r="P40" s="63">
        <f t="shared" si="5"/>
        <v>179.78512974763143</v>
      </c>
      <c r="Q40" s="63">
        <f t="shared" si="14"/>
        <v>-0.21487025236856064</v>
      </c>
      <c r="R40" s="63">
        <f t="shared" si="15"/>
        <v>0</v>
      </c>
      <c r="S40" s="135"/>
      <c r="T40" s="63">
        <f t="shared" si="6"/>
        <v>-0.85956561690053357</v>
      </c>
      <c r="U40" s="63">
        <f t="shared" si="7"/>
        <v>179.14043438309946</v>
      </c>
      <c r="V40" s="63">
        <f t="shared" si="16"/>
        <v>-0.85956561690053357</v>
      </c>
      <c r="W40" s="63">
        <f t="shared" si="17"/>
        <v>0</v>
      </c>
      <c r="X40" s="135"/>
      <c r="Y40" s="63">
        <f t="shared" si="18"/>
        <v>-1.9091524329963763</v>
      </c>
      <c r="Z40" s="63">
        <f t="shared" si="19"/>
        <v>-3.8183048659927525</v>
      </c>
      <c r="AA40" s="63">
        <f t="shared" si="20"/>
        <v>-8.0325000000000006</v>
      </c>
      <c r="AB40" s="62">
        <f t="shared" si="21"/>
        <v>7.4375</v>
      </c>
      <c r="AC40" s="63">
        <f t="shared" si="22"/>
        <v>-1.9091524329963763</v>
      </c>
      <c r="AD40" s="63">
        <f t="shared" si="23"/>
        <v>1.7677337342559041</v>
      </c>
      <c r="AE40" s="135"/>
      <c r="AF40" s="68">
        <f t="shared" si="8"/>
        <v>3.2787799265159974</v>
      </c>
      <c r="AG40" s="128"/>
      <c r="AH40" s="121"/>
      <c r="AI40" s="5">
        <f t="shared" si="9"/>
        <v>-0.50859677726459107</v>
      </c>
      <c r="AJ40" s="5">
        <f t="shared" si="10"/>
        <v>179.49140322273541</v>
      </c>
      <c r="AK40" s="63">
        <f t="shared" si="24"/>
        <v>-0.50859677726459107</v>
      </c>
      <c r="AL40" s="63">
        <f t="shared" si="25"/>
        <v>0</v>
      </c>
      <c r="AM40" s="134"/>
      <c r="AN40" s="63">
        <f t="shared" si="26"/>
        <v>-1.7183580016554572</v>
      </c>
      <c r="AO40" s="63">
        <f t="shared" si="27"/>
        <v>-3.4367160033109143</v>
      </c>
      <c r="AP40" s="63">
        <f t="shared" si="28"/>
        <v>-4.0162500000000003</v>
      </c>
      <c r="AQ40" s="63">
        <f t="shared" si="29"/>
        <v>3.71875</v>
      </c>
      <c r="AR40" s="63">
        <f t="shared" si="30"/>
        <v>-1.7183580016554572</v>
      </c>
      <c r="AS40" s="63">
        <f t="shared" si="31"/>
        <v>1.591072223755053</v>
      </c>
      <c r="AT40" s="134"/>
      <c r="AU40" s="60">
        <f t="shared" si="32"/>
        <v>1.591072223755053</v>
      </c>
      <c r="AV40" s="61">
        <f t="shared" si="33"/>
        <v>4.8698521502710506</v>
      </c>
      <c r="AW40" s="127"/>
      <c r="AX40" s="81" t="s">
        <v>83</v>
      </c>
      <c r="AY40" s="88" t="s">
        <v>84</v>
      </c>
    </row>
    <row r="41" spans="1:51" x14ac:dyDescent="0.25">
      <c r="A41" s="4">
        <v>4</v>
      </c>
      <c r="B41" s="71">
        <f t="shared" si="34"/>
        <v>0.125</v>
      </c>
      <c r="C41" s="136"/>
      <c r="D41" s="63">
        <f t="shared" si="11"/>
        <v>-1.4112</v>
      </c>
      <c r="E41" s="5">
        <f t="shared" si="35"/>
        <v>0.98</v>
      </c>
      <c r="F41" s="135"/>
      <c r="G41" s="63">
        <f t="shared" si="0"/>
        <v>-0.45835645800043151</v>
      </c>
      <c r="H41" s="63">
        <f t="shared" si="1"/>
        <v>0</v>
      </c>
      <c r="I41" s="135"/>
      <c r="J41" s="63">
        <f t="shared" si="2"/>
        <v>-0.58474984912516548</v>
      </c>
      <c r="K41" s="63">
        <f t="shared" si="3"/>
        <v>179.41525015087484</v>
      </c>
      <c r="L41" s="63">
        <f t="shared" si="12"/>
        <v>-0.58474984912516548</v>
      </c>
      <c r="M41" s="63">
        <f t="shared" si="13"/>
        <v>0.40607628411469826</v>
      </c>
      <c r="N41" s="135"/>
      <c r="O41" s="63">
        <f t="shared" si="4"/>
        <v>-0.28650516031558332</v>
      </c>
      <c r="P41" s="63">
        <f t="shared" si="5"/>
        <v>179.71349483968442</v>
      </c>
      <c r="Q41" s="63">
        <f t="shared" si="14"/>
        <v>-0.28650516031558332</v>
      </c>
      <c r="R41" s="63">
        <f t="shared" si="15"/>
        <v>0</v>
      </c>
      <c r="S41" s="135"/>
      <c r="T41" s="63">
        <f t="shared" si="6"/>
        <v>-1.1462212044111946</v>
      </c>
      <c r="U41" s="63">
        <f t="shared" si="7"/>
        <v>178.85377879558879</v>
      </c>
      <c r="V41" s="63">
        <f t="shared" si="16"/>
        <v>-1.1462212044111946</v>
      </c>
      <c r="W41" s="63">
        <f t="shared" si="17"/>
        <v>0</v>
      </c>
      <c r="X41" s="135"/>
      <c r="Y41" s="63">
        <f t="shared" si="18"/>
        <v>-2.5448043798130957</v>
      </c>
      <c r="Z41" s="63">
        <f t="shared" si="19"/>
        <v>-5.0896087596261914</v>
      </c>
      <c r="AA41" s="63">
        <f t="shared" si="20"/>
        <v>-10.71</v>
      </c>
      <c r="AB41" s="62">
        <f t="shared" si="21"/>
        <v>7.4375</v>
      </c>
      <c r="AC41" s="63">
        <f t="shared" si="22"/>
        <v>-2.5448043798130957</v>
      </c>
      <c r="AD41" s="63">
        <f t="shared" si="23"/>
        <v>1.7672252637590944</v>
      </c>
      <c r="AE41" s="135"/>
      <c r="AF41" s="68">
        <f t="shared" si="8"/>
        <v>3.2783015478737925</v>
      </c>
      <c r="AG41" s="128"/>
      <c r="AH41" s="121"/>
      <c r="AI41" s="5">
        <f t="shared" si="9"/>
        <v>-0.67818541302178759</v>
      </c>
      <c r="AJ41" s="5">
        <f t="shared" si="10"/>
        <v>179.32181458697821</v>
      </c>
      <c r="AK41" s="63">
        <f t="shared" si="24"/>
        <v>-0.67818541302178759</v>
      </c>
      <c r="AL41" s="63">
        <f t="shared" si="25"/>
        <v>0</v>
      </c>
      <c r="AM41" s="134"/>
      <c r="AN41" s="63">
        <f t="shared" si="26"/>
        <v>-2.2906100426385296</v>
      </c>
      <c r="AO41" s="63">
        <f t="shared" si="27"/>
        <v>-4.5812200852770593</v>
      </c>
      <c r="AP41" s="63">
        <f t="shared" si="28"/>
        <v>-5.3550000000000004</v>
      </c>
      <c r="AQ41" s="63">
        <f t="shared" si="29"/>
        <v>3.71875</v>
      </c>
      <c r="AR41" s="63">
        <f t="shared" si="30"/>
        <v>-2.2906100426385296</v>
      </c>
      <c r="AS41" s="63">
        <f t="shared" si="31"/>
        <v>1.5907014184989789</v>
      </c>
      <c r="AT41" s="134"/>
      <c r="AU41" s="60">
        <f t="shared" si="32"/>
        <v>1.5907014184989789</v>
      </c>
      <c r="AV41" s="61">
        <f t="shared" si="33"/>
        <v>4.8690029663727712</v>
      </c>
      <c r="AW41" s="127"/>
      <c r="AY41" s="88" t="s">
        <v>85</v>
      </c>
    </row>
    <row r="42" spans="1:51" x14ac:dyDescent="0.25">
      <c r="A42" s="4">
        <v>5</v>
      </c>
      <c r="B42" s="71">
        <f t="shared" si="34"/>
        <v>0.125</v>
      </c>
      <c r="C42" s="136"/>
      <c r="D42" s="63">
        <f t="shared" si="11"/>
        <v>-1.764</v>
      </c>
      <c r="E42" s="5">
        <f t="shared" si="35"/>
        <v>0.98</v>
      </c>
      <c r="F42" s="135"/>
      <c r="G42" s="63">
        <f t="shared" si="0"/>
        <v>-0.57293869768348593</v>
      </c>
      <c r="H42" s="63">
        <f t="shared" si="1"/>
        <v>0</v>
      </c>
      <c r="I42" s="135"/>
      <c r="J42" s="63">
        <f t="shared" si="2"/>
        <v>-0.73100696183538449</v>
      </c>
      <c r="K42" s="63">
        <f t="shared" si="3"/>
        <v>179.26899303816461</v>
      </c>
      <c r="L42" s="63">
        <f t="shared" si="12"/>
        <v>-0.73100696183538449</v>
      </c>
      <c r="M42" s="63">
        <f t="shared" si="13"/>
        <v>0.40611497879743585</v>
      </c>
      <c r="N42" s="135"/>
      <c r="O42" s="63">
        <f t="shared" si="4"/>
        <v>-0.3581499187910025</v>
      </c>
      <c r="P42" s="63">
        <f t="shared" si="5"/>
        <v>179.64185008120899</v>
      </c>
      <c r="Q42" s="63">
        <f t="shared" si="14"/>
        <v>-0.3581499187910025</v>
      </c>
      <c r="R42" s="63">
        <f t="shared" si="15"/>
        <v>0</v>
      </c>
      <c r="S42" s="135"/>
      <c r="T42" s="63">
        <f t="shared" si="6"/>
        <v>-1.4329914307194755</v>
      </c>
      <c r="U42" s="63">
        <f t="shared" si="7"/>
        <v>178.56700856928052</v>
      </c>
      <c r="V42" s="63">
        <f t="shared" si="16"/>
        <v>-1.4329914307194755</v>
      </c>
      <c r="W42" s="63">
        <f t="shared" si="17"/>
        <v>0</v>
      </c>
      <c r="X42" s="135"/>
      <c r="Y42" s="63">
        <f t="shared" si="18"/>
        <v>-3.179830119864234</v>
      </c>
      <c r="Z42" s="63">
        <f t="shared" si="19"/>
        <v>-6.3596602397284681</v>
      </c>
      <c r="AA42" s="63">
        <f t="shared" si="20"/>
        <v>-13.387499999999999</v>
      </c>
      <c r="AB42" s="62">
        <f t="shared" si="21"/>
        <v>7.4375</v>
      </c>
      <c r="AC42" s="63">
        <f t="shared" si="22"/>
        <v>-3.179830119864234</v>
      </c>
      <c r="AD42" s="63">
        <f t="shared" si="23"/>
        <v>1.7665722888134632</v>
      </c>
      <c r="AE42" s="135"/>
      <c r="AF42" s="68">
        <f t="shared" si="8"/>
        <v>3.277687267610899</v>
      </c>
      <c r="AG42" s="128"/>
      <c r="AH42" s="121"/>
      <c r="AI42" s="5">
        <f t="shared" si="9"/>
        <v>-0.84782238441562885</v>
      </c>
      <c r="AJ42" s="5">
        <f t="shared" si="10"/>
        <v>179.15217761558438</v>
      </c>
      <c r="AK42" s="63">
        <f t="shared" si="24"/>
        <v>-0.84782238441562885</v>
      </c>
      <c r="AL42" s="63">
        <f t="shared" si="25"/>
        <v>0</v>
      </c>
      <c r="AM42" s="134"/>
      <c r="AN42" s="63">
        <f t="shared" si="26"/>
        <v>-2.8624052261117474</v>
      </c>
      <c r="AO42" s="63">
        <f t="shared" si="27"/>
        <v>-5.7248104522234948</v>
      </c>
      <c r="AP42" s="63">
        <f t="shared" si="28"/>
        <v>-6.6937499999999996</v>
      </c>
      <c r="AQ42" s="63">
        <f t="shared" si="29"/>
        <v>3.71875</v>
      </c>
      <c r="AR42" s="63">
        <f t="shared" si="30"/>
        <v>-2.8624052261117474</v>
      </c>
      <c r="AS42" s="63">
        <f t="shared" si="31"/>
        <v>1.5902251256176374</v>
      </c>
      <c r="AT42" s="134"/>
      <c r="AU42" s="60">
        <f t="shared" si="32"/>
        <v>1.5902251256176374</v>
      </c>
      <c r="AV42" s="61">
        <f t="shared" si="33"/>
        <v>4.8679123932285364</v>
      </c>
      <c r="AW42" s="127"/>
      <c r="AY42" s="88" t="s">
        <v>97</v>
      </c>
    </row>
    <row r="43" spans="1:51" x14ac:dyDescent="0.25">
      <c r="A43" s="4">
        <v>6</v>
      </c>
      <c r="B43" s="71">
        <f t="shared" si="34"/>
        <v>0.125</v>
      </c>
      <c r="C43" s="136"/>
      <c r="D43" s="63">
        <f t="shared" si="11"/>
        <v>-2.1168</v>
      </c>
      <c r="E43" s="5">
        <f t="shared" si="35"/>
        <v>0.98</v>
      </c>
      <c r="F43" s="135"/>
      <c r="G43" s="63">
        <f t="shared" si="0"/>
        <v>-0.68751635463909977</v>
      </c>
      <c r="H43" s="63">
        <f t="shared" si="1"/>
        <v>0</v>
      </c>
      <c r="I43" s="135"/>
      <c r="J43" s="63">
        <f t="shared" si="2"/>
        <v>-0.87731052518011832</v>
      </c>
      <c r="K43" s="63">
        <f t="shared" si="3"/>
        <v>179.12268947481988</v>
      </c>
      <c r="L43" s="63">
        <f t="shared" si="12"/>
        <v>-0.87731052518011832</v>
      </c>
      <c r="M43" s="63">
        <f t="shared" si="13"/>
        <v>0.40616228017598072</v>
      </c>
      <c r="N43" s="135"/>
      <c r="O43" s="63">
        <f t="shared" si="4"/>
        <v>-0.42980699234759706</v>
      </c>
      <c r="P43" s="63">
        <f t="shared" si="5"/>
        <v>179.57019300765239</v>
      </c>
      <c r="Q43" s="63">
        <f t="shared" si="14"/>
        <v>-0.42980699234759706</v>
      </c>
      <c r="R43" s="63">
        <f t="shared" si="15"/>
        <v>0</v>
      </c>
      <c r="S43" s="135"/>
      <c r="T43" s="63">
        <f t="shared" si="6"/>
        <v>-1.7199049877019281</v>
      </c>
      <c r="U43" s="63">
        <f t="shared" si="7"/>
        <v>178.28009501229806</v>
      </c>
      <c r="V43" s="63">
        <f t="shared" si="16"/>
        <v>-1.7199049877019281</v>
      </c>
      <c r="W43" s="63">
        <f t="shared" si="17"/>
        <v>0</v>
      </c>
      <c r="X43" s="135"/>
      <c r="Y43" s="63">
        <f t="shared" si="18"/>
        <v>-3.8140748342903548</v>
      </c>
      <c r="Z43" s="63">
        <f t="shared" si="19"/>
        <v>-7.6281496685807095</v>
      </c>
      <c r="AA43" s="63">
        <f t="shared" si="20"/>
        <v>-16.065000000000001</v>
      </c>
      <c r="AB43" s="62">
        <f t="shared" si="21"/>
        <v>7.4375</v>
      </c>
      <c r="AC43" s="63">
        <f t="shared" si="22"/>
        <v>-3.8140748342903548</v>
      </c>
      <c r="AD43" s="63">
        <f t="shared" si="23"/>
        <v>1.7657753862455348</v>
      </c>
      <c r="AE43" s="135"/>
      <c r="AF43" s="68">
        <f t="shared" si="8"/>
        <v>3.2769376664215155</v>
      </c>
      <c r="AG43" s="128"/>
      <c r="AH43" s="121"/>
      <c r="AI43" s="5">
        <f t="shared" si="9"/>
        <v>-1.0175197913298535</v>
      </c>
      <c r="AJ43" s="5">
        <f t="shared" si="10"/>
        <v>178.98248020867015</v>
      </c>
      <c r="AK43" s="63">
        <f t="shared" si="24"/>
        <v>-1.0175197913298535</v>
      </c>
      <c r="AL43" s="63">
        <f t="shared" si="25"/>
        <v>0</v>
      </c>
      <c r="AM43" s="134"/>
      <c r="AN43" s="63">
        <f t="shared" si="26"/>
        <v>-3.4336303624505224</v>
      </c>
      <c r="AO43" s="63">
        <f t="shared" si="27"/>
        <v>-6.8672607249010449</v>
      </c>
      <c r="AP43" s="63">
        <f t="shared" si="28"/>
        <v>-8.0325000000000006</v>
      </c>
      <c r="AQ43" s="63">
        <f t="shared" si="29"/>
        <v>3.71875</v>
      </c>
      <c r="AR43" s="63">
        <f t="shared" si="30"/>
        <v>-3.4336303624505224</v>
      </c>
      <c r="AS43" s="63">
        <f t="shared" si="31"/>
        <v>1.5896436863196863</v>
      </c>
      <c r="AT43" s="134"/>
      <c r="AU43" s="60">
        <f t="shared" si="32"/>
        <v>1.5896436863196863</v>
      </c>
      <c r="AV43" s="61">
        <f t="shared" si="33"/>
        <v>4.8665813527412016</v>
      </c>
      <c r="AW43" s="127"/>
    </row>
    <row r="44" spans="1:51" x14ac:dyDescent="0.25">
      <c r="A44" s="4">
        <v>7</v>
      </c>
      <c r="B44" s="71">
        <f t="shared" si="34"/>
        <v>0.125</v>
      </c>
      <c r="C44" s="136"/>
      <c r="D44" s="63">
        <f t="shared" si="11"/>
        <v>-2.4695999999999998</v>
      </c>
      <c r="E44" s="5">
        <f t="shared" si="35"/>
        <v>0.98</v>
      </c>
      <c r="F44" s="135"/>
      <c r="G44" s="63">
        <f t="shared" si="0"/>
        <v>-0.80208851280563753</v>
      </c>
      <c r="H44" s="63">
        <f t="shared" si="1"/>
        <v>0</v>
      </c>
      <c r="I44" s="135"/>
      <c r="J44" s="63">
        <f t="shared" si="2"/>
        <v>-1.0236698463062932</v>
      </c>
      <c r="K44" s="63">
        <f t="shared" si="3"/>
        <v>178.97633015369371</v>
      </c>
      <c r="L44" s="63">
        <f t="shared" si="12"/>
        <v>-1.0236698463062932</v>
      </c>
      <c r="M44" s="63">
        <f t="shared" si="13"/>
        <v>0.40621819297868778</v>
      </c>
      <c r="N44" s="135"/>
      <c r="O44" s="63">
        <f t="shared" si="4"/>
        <v>-0.50147884681913335</v>
      </c>
      <c r="P44" s="63">
        <f t="shared" si="5"/>
        <v>179.49852115318086</v>
      </c>
      <c r="Q44" s="63">
        <f t="shared" si="14"/>
        <v>-0.50147884681913335</v>
      </c>
      <c r="R44" s="63">
        <f t="shared" si="15"/>
        <v>0</v>
      </c>
      <c r="S44" s="135"/>
      <c r="T44" s="63">
        <f t="shared" si="6"/>
        <v>-2.0069905886510262</v>
      </c>
      <c r="U44" s="63">
        <f t="shared" si="7"/>
        <v>177.99300941134896</v>
      </c>
      <c r="V44" s="63">
        <f t="shared" si="16"/>
        <v>-2.0069905886510262</v>
      </c>
      <c r="W44" s="63">
        <f t="shared" si="17"/>
        <v>0</v>
      </c>
      <c r="X44" s="135"/>
      <c r="Y44" s="63">
        <f t="shared" si="18"/>
        <v>-4.44738485009049</v>
      </c>
      <c r="Z44" s="63">
        <f t="shared" si="19"/>
        <v>-8.89476970018098</v>
      </c>
      <c r="AA44" s="63">
        <f t="shared" si="20"/>
        <v>-18.7425</v>
      </c>
      <c r="AB44" s="62">
        <f t="shared" si="21"/>
        <v>7.4375</v>
      </c>
      <c r="AC44" s="63">
        <f t="shared" si="22"/>
        <v>-4.44738485009049</v>
      </c>
      <c r="AD44" s="63">
        <f t="shared" si="23"/>
        <v>1.7648352579724167</v>
      </c>
      <c r="AE44" s="135"/>
      <c r="AF44" s="68">
        <f t="shared" si="8"/>
        <v>3.2760534509511041</v>
      </c>
      <c r="AG44" s="128"/>
      <c r="AH44" s="121"/>
      <c r="AI44" s="5">
        <f t="shared" si="9"/>
        <v>-1.1872897443020407</v>
      </c>
      <c r="AJ44" s="5">
        <f t="shared" si="10"/>
        <v>178.81271025569797</v>
      </c>
      <c r="AK44" s="63">
        <f t="shared" si="24"/>
        <v>-1.1872897443020407</v>
      </c>
      <c r="AL44" s="63">
        <f t="shared" si="25"/>
        <v>0</v>
      </c>
      <c r="AM44" s="134"/>
      <c r="AN44" s="63">
        <f t="shared" si="26"/>
        <v>-4.0041729407093882</v>
      </c>
      <c r="AO44" s="63">
        <f t="shared" si="27"/>
        <v>-8.0083458814187765</v>
      </c>
      <c r="AP44" s="63">
        <f t="shared" si="28"/>
        <v>-9.3712499999999999</v>
      </c>
      <c r="AQ44" s="63">
        <f t="shared" si="29"/>
        <v>3.71875</v>
      </c>
      <c r="AR44" s="63">
        <f t="shared" si="30"/>
        <v>-4.0041729407093882</v>
      </c>
      <c r="AS44" s="63">
        <f t="shared" si="31"/>
        <v>1.5889575161545191</v>
      </c>
      <c r="AT44" s="134"/>
      <c r="AU44" s="60">
        <f t="shared" si="32"/>
        <v>1.5889575161545191</v>
      </c>
      <c r="AV44" s="61">
        <f t="shared" si="33"/>
        <v>4.865010967105623</v>
      </c>
      <c r="AW44" s="127"/>
    </row>
    <row r="45" spans="1:51" x14ac:dyDescent="0.25">
      <c r="A45" s="4">
        <v>8</v>
      </c>
      <c r="B45" s="71">
        <f t="shared" si="34"/>
        <v>0.125</v>
      </c>
      <c r="C45" s="136"/>
      <c r="D45" s="63">
        <f t="shared" si="11"/>
        <v>-2.8224</v>
      </c>
      <c r="E45" s="5">
        <f t="shared" si="35"/>
        <v>0.98</v>
      </c>
      <c r="F45" s="135"/>
      <c r="G45" s="63">
        <f t="shared" si="0"/>
        <v>-0.91665425638528786</v>
      </c>
      <c r="H45" s="63">
        <f t="shared" si="1"/>
        <v>0</v>
      </c>
      <c r="I45" s="135"/>
      <c r="J45" s="63">
        <f t="shared" si="2"/>
        <v>-1.1700942416506632</v>
      </c>
      <c r="K45" s="63">
        <f t="shared" si="3"/>
        <v>178.82990575834933</v>
      </c>
      <c r="L45" s="63">
        <f t="shared" si="12"/>
        <v>-1.1700942416506632</v>
      </c>
      <c r="M45" s="63">
        <f t="shared" si="13"/>
        <v>0.4062827227953692</v>
      </c>
      <c r="N45" s="135"/>
      <c r="O45" s="63">
        <f t="shared" si="4"/>
        <v>-0.57316794957711215</v>
      </c>
      <c r="P45" s="63">
        <f t="shared" si="5"/>
        <v>179.42683205042289</v>
      </c>
      <c r="Q45" s="63">
        <f t="shared" si="14"/>
        <v>-0.57316794957711215</v>
      </c>
      <c r="R45" s="63">
        <f t="shared" si="15"/>
        <v>0</v>
      </c>
      <c r="S45" s="135"/>
      <c r="T45" s="63">
        <f t="shared" si="6"/>
        <v>-2.2942769725223622</v>
      </c>
      <c r="U45" s="63">
        <f t="shared" si="7"/>
        <v>177.70572302747763</v>
      </c>
      <c r="V45" s="63">
        <f t="shared" si="16"/>
        <v>-2.2942769725223622</v>
      </c>
      <c r="W45" s="63">
        <f t="shared" si="17"/>
        <v>0</v>
      </c>
      <c r="X45" s="135"/>
      <c r="Y45" s="63">
        <f t="shared" si="18"/>
        <v>-5.0796078600145709</v>
      </c>
      <c r="Z45" s="63">
        <f t="shared" si="19"/>
        <v>-10.159215720029142</v>
      </c>
      <c r="AA45" s="63">
        <f t="shared" si="20"/>
        <v>-21.42</v>
      </c>
      <c r="AB45" s="62">
        <f t="shared" si="21"/>
        <v>7.4375</v>
      </c>
      <c r="AC45" s="63">
        <f t="shared" si="22"/>
        <v>-5.0796078600145709</v>
      </c>
      <c r="AD45" s="63">
        <f t="shared" si="23"/>
        <v>1.7637527291717259</v>
      </c>
      <c r="AE45" s="135"/>
      <c r="AF45" s="68">
        <f t="shared" si="8"/>
        <v>3.2750354519670948</v>
      </c>
      <c r="AG45" s="128"/>
      <c r="AH45" s="121"/>
      <c r="AI45" s="5">
        <f t="shared" si="9"/>
        <v>-1.3571443666586021</v>
      </c>
      <c r="AJ45" s="5">
        <f t="shared" si="10"/>
        <v>178.64285563334141</v>
      </c>
      <c r="AK45" s="63">
        <f t="shared" si="24"/>
        <v>-1.3571443666586021</v>
      </c>
      <c r="AL45" s="63">
        <f t="shared" si="25"/>
        <v>0</v>
      </c>
      <c r="AM45" s="134"/>
      <c r="AN45" s="63">
        <f t="shared" si="26"/>
        <v>-4.5739212599008612</v>
      </c>
      <c r="AO45" s="63">
        <f t="shared" si="27"/>
        <v>-9.1478425198017224</v>
      </c>
      <c r="AP45" s="63">
        <f t="shared" si="28"/>
        <v>-10.71</v>
      </c>
      <c r="AQ45" s="63">
        <f t="shared" si="29"/>
        <v>3.71875</v>
      </c>
      <c r="AR45" s="63">
        <f t="shared" si="30"/>
        <v>-4.5739212599008612</v>
      </c>
      <c r="AS45" s="63">
        <f t="shared" si="31"/>
        <v>1.5881671041322436</v>
      </c>
      <c r="AT45" s="134"/>
      <c r="AU45" s="60">
        <f t="shared" si="32"/>
        <v>1.5881671041322436</v>
      </c>
      <c r="AV45" s="61">
        <f t="shared" si="33"/>
        <v>4.8632025560993384</v>
      </c>
      <c r="AW45" s="127"/>
    </row>
    <row r="46" spans="1:51" x14ac:dyDescent="0.25">
      <c r="A46" s="4">
        <v>9</v>
      </c>
      <c r="B46" s="71">
        <f t="shared" si="34"/>
        <v>0.125</v>
      </c>
      <c r="C46" s="136"/>
      <c r="D46" s="63">
        <f t="shared" si="11"/>
        <v>-3.1752000000000002</v>
      </c>
      <c r="E46" s="5">
        <f t="shared" si="35"/>
        <v>0.98</v>
      </c>
      <c r="F46" s="135"/>
      <c r="G46" s="63">
        <f t="shared" si="0"/>
        <v>-1.0312126698879529</v>
      </c>
      <c r="H46" s="63">
        <f t="shared" si="1"/>
        <v>0</v>
      </c>
      <c r="I46" s="135"/>
      <c r="J46" s="63">
        <f t="shared" si="2"/>
        <v>-1.316593038493155</v>
      </c>
      <c r="K46" s="63">
        <f t="shared" si="3"/>
        <v>178.68340696150685</v>
      </c>
      <c r="L46" s="63">
        <f t="shared" si="12"/>
        <v>-1.316593038493155</v>
      </c>
      <c r="M46" s="63">
        <f t="shared" si="13"/>
        <v>0.40635587607813428</v>
      </c>
      <c r="N46" s="135"/>
      <c r="O46" s="63">
        <f t="shared" si="4"/>
        <v>-0.64487676978780872</v>
      </c>
      <c r="P46" s="63">
        <f t="shared" si="5"/>
        <v>179.3551232302122</v>
      </c>
      <c r="Q46" s="63">
        <f t="shared" si="14"/>
        <v>-0.64487676978780872</v>
      </c>
      <c r="R46" s="63">
        <f t="shared" si="15"/>
        <v>0</v>
      </c>
      <c r="S46" s="135"/>
      <c r="T46" s="63">
        <f t="shared" si="6"/>
        <v>-2.5817929081625097</v>
      </c>
      <c r="U46" s="63">
        <f t="shared" si="7"/>
        <v>177.4182070918375</v>
      </c>
      <c r="V46" s="63">
        <f t="shared" si="16"/>
        <v>-2.5817929081625097</v>
      </c>
      <c r="W46" s="63">
        <f t="shared" si="17"/>
        <v>0</v>
      </c>
      <c r="X46" s="135"/>
      <c r="Y46" s="63">
        <f t="shared" si="18"/>
        <v>-5.710593137499643</v>
      </c>
      <c r="Z46" s="63">
        <f t="shared" si="19"/>
        <v>-11.421186274999286</v>
      </c>
      <c r="AA46" s="63">
        <f t="shared" si="20"/>
        <v>-24.0975</v>
      </c>
      <c r="AB46" s="62">
        <f t="shared" si="21"/>
        <v>7.4375</v>
      </c>
      <c r="AC46" s="63">
        <f t="shared" si="22"/>
        <v>-5.710593137499643</v>
      </c>
      <c r="AD46" s="63">
        <f t="shared" si="23"/>
        <v>1.7625287461418651</v>
      </c>
      <c r="AE46" s="135"/>
      <c r="AF46" s="68">
        <f t="shared" si="8"/>
        <v>3.2738846222199993</v>
      </c>
      <c r="AG46" s="128"/>
      <c r="AH46" s="121"/>
      <c r="AI46" s="5">
        <f t="shared" si="9"/>
        <v>-1.5270957966519358</v>
      </c>
      <c r="AJ46" s="5">
        <f t="shared" si="10"/>
        <v>178.47290420334807</v>
      </c>
      <c r="AK46" s="63">
        <f t="shared" si="24"/>
        <v>-1.5270957966519358</v>
      </c>
      <c r="AL46" s="63">
        <f t="shared" si="25"/>
        <v>0</v>
      </c>
      <c r="AM46" s="134"/>
      <c r="AN46" s="63">
        <f t="shared" si="26"/>
        <v>-5.1427645578842416</v>
      </c>
      <c r="AO46" s="63">
        <f t="shared" si="27"/>
        <v>-10.285529115768483</v>
      </c>
      <c r="AP46" s="63">
        <f t="shared" si="28"/>
        <v>-12.04875</v>
      </c>
      <c r="AQ46" s="63">
        <f t="shared" si="29"/>
        <v>3.71875</v>
      </c>
      <c r="AR46" s="63">
        <f t="shared" si="30"/>
        <v>-5.1427645578842416</v>
      </c>
      <c r="AS46" s="63">
        <f t="shared" si="31"/>
        <v>1.5872730116926672</v>
      </c>
      <c r="AT46" s="134"/>
      <c r="AU46" s="60">
        <f t="shared" si="32"/>
        <v>1.5872730116926672</v>
      </c>
      <c r="AV46" s="61">
        <f t="shared" si="33"/>
        <v>4.8611576339126668</v>
      </c>
      <c r="AW46" s="127"/>
    </row>
    <row r="47" spans="1:51" x14ac:dyDescent="0.25">
      <c r="A47" s="4">
        <v>10</v>
      </c>
      <c r="B47" s="71">
        <f t="shared" si="34"/>
        <v>0.125</v>
      </c>
      <c r="C47" s="136"/>
      <c r="D47" s="63">
        <f t="shared" si="11"/>
        <v>-3.528</v>
      </c>
      <c r="E47" s="5">
        <f t="shared" si="35"/>
        <v>0.98</v>
      </c>
      <c r="F47" s="135"/>
      <c r="G47" s="63">
        <f t="shared" si="0"/>
        <v>-1.1457628381751035</v>
      </c>
      <c r="H47" s="63">
        <f t="shared" si="1"/>
        <v>0</v>
      </c>
      <c r="I47" s="135"/>
      <c r="J47" s="63">
        <f t="shared" si="2"/>
        <v>-1.4631755765127694</v>
      </c>
      <c r="K47" s="63">
        <f t="shared" si="3"/>
        <v>178.53682442348722</v>
      </c>
      <c r="L47" s="63">
        <f t="shared" si="12"/>
        <v>-1.4631755765127694</v>
      </c>
      <c r="M47" s="63">
        <f t="shared" si="13"/>
        <v>0.40643766014243593</v>
      </c>
      <c r="N47" s="135"/>
      <c r="O47" s="63">
        <f t="shared" si="4"/>
        <v>-0.71660777866965586</v>
      </c>
      <c r="P47" s="63">
        <f t="shared" si="5"/>
        <v>179.28339222133033</v>
      </c>
      <c r="Q47" s="63">
        <f t="shared" si="14"/>
        <v>-0.71660777866965586</v>
      </c>
      <c r="R47" s="63">
        <f t="shared" si="15"/>
        <v>0</v>
      </c>
      <c r="S47" s="135"/>
      <c r="T47" s="63">
        <f t="shared" si="6"/>
        <v>-2.8695671985135878</v>
      </c>
      <c r="U47" s="63">
        <f t="shared" si="7"/>
        <v>177.13043280148642</v>
      </c>
      <c r="V47" s="63">
        <f t="shared" si="16"/>
        <v>-2.8695671985135878</v>
      </c>
      <c r="W47" s="63">
        <f t="shared" si="17"/>
        <v>0</v>
      </c>
      <c r="X47" s="135"/>
      <c r="Y47" s="63">
        <f t="shared" si="18"/>
        <v>-6.3401917459099089</v>
      </c>
      <c r="Z47" s="63">
        <f t="shared" si="19"/>
        <v>-12.680383491819818</v>
      </c>
      <c r="AA47" s="63">
        <f t="shared" si="20"/>
        <v>-26.774999999999999</v>
      </c>
      <c r="AB47" s="62">
        <f t="shared" si="21"/>
        <v>7.4375</v>
      </c>
      <c r="AC47" s="63">
        <f t="shared" si="22"/>
        <v>-6.3401917459099089</v>
      </c>
      <c r="AD47" s="63">
        <f t="shared" si="23"/>
        <v>1.7611643738638636</v>
      </c>
      <c r="AE47" s="135"/>
      <c r="AF47" s="68">
        <f t="shared" si="8"/>
        <v>3.2726020340062996</v>
      </c>
      <c r="AG47" s="128"/>
      <c r="AH47" s="121"/>
      <c r="AI47" s="5">
        <f t="shared" si="9"/>
        <v>-1.6971561896002916</v>
      </c>
      <c r="AJ47" s="5">
        <f t="shared" si="10"/>
        <v>178.30284381039971</v>
      </c>
      <c r="AK47" s="63">
        <f t="shared" si="24"/>
        <v>-1.6971561896002916</v>
      </c>
      <c r="AL47" s="63">
        <f t="shared" si="25"/>
        <v>0</v>
      </c>
      <c r="AM47" s="134"/>
      <c r="AN47" s="63">
        <f t="shared" si="26"/>
        <v>-5.710593137499643</v>
      </c>
      <c r="AO47" s="63">
        <f t="shared" si="27"/>
        <v>-11.421186274999286</v>
      </c>
      <c r="AP47" s="63">
        <f t="shared" si="28"/>
        <v>-13.387499999999999</v>
      </c>
      <c r="AQ47" s="63">
        <f t="shared" si="29"/>
        <v>3.71875</v>
      </c>
      <c r="AR47" s="63">
        <f t="shared" si="30"/>
        <v>-5.710593137499643</v>
      </c>
      <c r="AS47" s="63">
        <f t="shared" si="31"/>
        <v>1.5862758715276786</v>
      </c>
      <c r="AT47" s="134"/>
      <c r="AU47" s="60">
        <f t="shared" si="32"/>
        <v>1.5862758715276786</v>
      </c>
      <c r="AV47" s="61">
        <f t="shared" si="33"/>
        <v>4.8588779055339781</v>
      </c>
      <c r="AW47" s="127"/>
    </row>
    <row r="48" spans="1:51" ht="15" customHeight="1" x14ac:dyDescent="0.25">
      <c r="A48" s="26">
        <v>12</v>
      </c>
      <c r="B48" s="72">
        <f t="shared" si="34"/>
        <v>0.125</v>
      </c>
      <c r="C48" s="136"/>
      <c r="D48" s="63">
        <f t="shared" si="11"/>
        <v>-4.2336</v>
      </c>
      <c r="E48" s="5">
        <f t="shared" si="35"/>
        <v>0.98</v>
      </c>
      <c r="F48" s="135"/>
      <c r="G48" s="63">
        <f t="shared" si="0"/>
        <v>-1.3748347805694054</v>
      </c>
      <c r="H48" s="63">
        <f t="shared" si="1"/>
        <v>0</v>
      </c>
      <c r="I48" s="135"/>
      <c r="J48" s="63">
        <f t="shared" si="2"/>
        <v>-1.7566293061480147</v>
      </c>
      <c r="K48" s="63">
        <f t="shared" si="3"/>
        <v>178.24337069385197</v>
      </c>
      <c r="L48" s="63">
        <f t="shared" si="12"/>
        <v>-1.7566293061480147</v>
      </c>
      <c r="M48" s="63">
        <f t="shared" si="13"/>
        <v>0.40662715420092932</v>
      </c>
      <c r="N48" s="135"/>
      <c r="O48" s="63">
        <f t="shared" si="4"/>
        <v>-0.86014625912850684</v>
      </c>
      <c r="P48" s="63">
        <f t="shared" si="5"/>
        <v>179.1398537408715</v>
      </c>
      <c r="Q48" s="63">
        <f t="shared" si="14"/>
        <v>-0.86014625912850684</v>
      </c>
      <c r="R48" s="63">
        <f t="shared" si="15"/>
        <v>0</v>
      </c>
      <c r="S48" s="135"/>
      <c r="T48" s="63">
        <f t="shared" si="6"/>
        <v>-3.4460062506328843</v>
      </c>
      <c r="U48" s="63">
        <f t="shared" si="7"/>
        <v>176.55399374936712</v>
      </c>
      <c r="V48" s="63">
        <f t="shared" si="16"/>
        <v>-3.4460062506328843</v>
      </c>
      <c r="W48" s="63">
        <f t="shared" si="17"/>
        <v>0</v>
      </c>
      <c r="X48" s="135"/>
      <c r="Y48" s="63">
        <f t="shared" si="18"/>
        <v>-7.594643368591445</v>
      </c>
      <c r="Z48" s="63">
        <f t="shared" si="19"/>
        <v>-15.18928673718289</v>
      </c>
      <c r="AA48" s="63">
        <f t="shared" si="20"/>
        <v>-32.130000000000003</v>
      </c>
      <c r="AB48" s="62">
        <f t="shared" si="21"/>
        <v>7.4375</v>
      </c>
      <c r="AC48" s="63">
        <f t="shared" si="22"/>
        <v>-7.594643368591445</v>
      </c>
      <c r="AD48" s="63">
        <f t="shared" si="23"/>
        <v>1.7580192982850569</v>
      </c>
      <c r="AE48" s="135"/>
      <c r="AF48" s="68">
        <f t="shared" si="8"/>
        <v>3.2696464524859863</v>
      </c>
      <c r="AG48" s="128"/>
      <c r="AH48" s="121"/>
      <c r="AI48" s="5">
        <f t="shared" si="9"/>
        <v>-2.0376525838244528</v>
      </c>
      <c r="AJ48" s="5">
        <f t="shared" si="10"/>
        <v>177.96234741617556</v>
      </c>
      <c r="AK48" s="63">
        <f t="shared" si="24"/>
        <v>-2.0376525838244528</v>
      </c>
      <c r="AL48" s="63">
        <f t="shared" si="25"/>
        <v>0</v>
      </c>
      <c r="AM48" s="134"/>
      <c r="AN48" s="63">
        <f t="shared" si="26"/>
        <v>-6.8427734126309403</v>
      </c>
      <c r="AO48" s="63">
        <f t="shared" si="27"/>
        <v>-13.685546825261881</v>
      </c>
      <c r="AP48" s="63">
        <f t="shared" si="28"/>
        <v>-16.065000000000001</v>
      </c>
      <c r="AQ48" s="63">
        <f t="shared" si="29"/>
        <v>3.71875</v>
      </c>
      <c r="AR48" s="63">
        <f t="shared" si="30"/>
        <v>-6.8427734126309403</v>
      </c>
      <c r="AS48" s="63">
        <f t="shared" si="31"/>
        <v>1.5839753269979027</v>
      </c>
      <c r="AT48" s="134"/>
      <c r="AU48" s="60">
        <f t="shared" si="32"/>
        <v>1.5839753269979027</v>
      </c>
      <c r="AV48" s="61">
        <f t="shared" si="33"/>
        <v>4.8536217794838894</v>
      </c>
      <c r="AW48" s="127"/>
    </row>
    <row r="49" spans="1:49" x14ac:dyDescent="0.25">
      <c r="A49" s="26">
        <v>15</v>
      </c>
      <c r="B49" s="72">
        <f t="shared" si="34"/>
        <v>0.125</v>
      </c>
      <c r="C49" s="136"/>
      <c r="D49" s="63">
        <f t="shared" si="11"/>
        <v>-5.2919999999999998</v>
      </c>
      <c r="E49" s="5">
        <f t="shared" si="35"/>
        <v>0.98</v>
      </c>
      <c r="F49" s="135"/>
      <c r="G49" s="63">
        <f t="shared" si="0"/>
        <v>-1.7183580016554572</v>
      </c>
      <c r="H49" s="63">
        <f t="shared" si="1"/>
        <v>0</v>
      </c>
      <c r="I49" s="135"/>
      <c r="J49" s="63">
        <f t="shared" si="2"/>
        <v>-2.1976723375953928</v>
      </c>
      <c r="K49" s="63">
        <f t="shared" si="3"/>
        <v>177.80232766240459</v>
      </c>
      <c r="L49" s="63">
        <f t="shared" si="12"/>
        <v>-2.1976723375953928</v>
      </c>
      <c r="M49" s="63">
        <f t="shared" si="13"/>
        <v>0.40697635881396166</v>
      </c>
      <c r="N49" s="135"/>
      <c r="O49" s="63">
        <f t="shared" si="4"/>
        <v>-1.0756823219624323</v>
      </c>
      <c r="P49" s="63">
        <f t="shared" si="5"/>
        <v>178.92431767803757</v>
      </c>
      <c r="Q49" s="63">
        <f t="shared" si="14"/>
        <v>-1.0756823219624323</v>
      </c>
      <c r="R49" s="63">
        <f t="shared" si="15"/>
        <v>0</v>
      </c>
      <c r="S49" s="135"/>
      <c r="T49" s="63">
        <f t="shared" si="6"/>
        <v>-4.3133249843670818</v>
      </c>
      <c r="U49" s="63">
        <f t="shared" si="7"/>
        <v>175.68667501563291</v>
      </c>
      <c r="V49" s="63">
        <f t="shared" si="16"/>
        <v>-4.3133249843670818</v>
      </c>
      <c r="W49" s="63">
        <f t="shared" si="17"/>
        <v>0</v>
      </c>
      <c r="X49" s="135"/>
      <c r="Y49" s="63">
        <f t="shared" si="18"/>
        <v>-9.4623222080256166</v>
      </c>
      <c r="Z49" s="63">
        <f t="shared" si="19"/>
        <v>-18.924644416051233</v>
      </c>
      <c r="AA49" s="63">
        <f t="shared" si="20"/>
        <v>-40.162500000000001</v>
      </c>
      <c r="AB49" s="62">
        <f t="shared" si="21"/>
        <v>7.4375</v>
      </c>
      <c r="AC49" s="63">
        <f t="shared" si="22"/>
        <v>-9.4623222080256166</v>
      </c>
      <c r="AD49" s="63">
        <f t="shared" si="23"/>
        <v>1.7522818903751143</v>
      </c>
      <c r="AE49" s="135"/>
      <c r="AF49" s="68">
        <f t="shared" si="8"/>
        <v>3.2642582491890759</v>
      </c>
      <c r="AG49" s="128"/>
      <c r="AH49" s="121"/>
      <c r="AI49" s="5">
        <f t="shared" si="9"/>
        <v>-2.5495194997064119</v>
      </c>
      <c r="AJ49" s="5">
        <f t="shared" si="10"/>
        <v>177.45048050029359</v>
      </c>
      <c r="AK49" s="63">
        <f t="shared" si="24"/>
        <v>-2.5495194997064119</v>
      </c>
      <c r="AL49" s="63">
        <f t="shared" si="25"/>
        <v>0</v>
      </c>
      <c r="AM49" s="134"/>
      <c r="AN49" s="63">
        <f t="shared" si="26"/>
        <v>-8.5307656099481335</v>
      </c>
      <c r="AO49" s="63">
        <f t="shared" si="27"/>
        <v>-17.061531219896267</v>
      </c>
      <c r="AP49" s="63">
        <f t="shared" si="28"/>
        <v>-20.081250000000001</v>
      </c>
      <c r="AQ49" s="63">
        <f t="shared" si="29"/>
        <v>3.71875</v>
      </c>
      <c r="AR49" s="63">
        <f t="shared" si="30"/>
        <v>-8.5307656099481335</v>
      </c>
      <c r="AS49" s="63">
        <f t="shared" si="31"/>
        <v>1.5797714092496544</v>
      </c>
      <c r="AT49" s="134"/>
      <c r="AU49" s="60">
        <f t="shared" si="32"/>
        <v>1.5797714092496544</v>
      </c>
      <c r="AV49" s="61">
        <f t="shared" si="33"/>
        <v>4.8440296584387301</v>
      </c>
      <c r="AW49" s="127"/>
    </row>
    <row r="50" spans="1:49" x14ac:dyDescent="0.25">
      <c r="A50" s="26">
        <f t="shared" ref="A50:A56" si="36">A49+5</f>
        <v>20</v>
      </c>
      <c r="B50" s="72">
        <f t="shared" si="34"/>
        <v>0.125</v>
      </c>
      <c r="C50" s="136"/>
      <c r="D50" s="63">
        <f t="shared" si="11"/>
        <v>-7.056</v>
      </c>
      <c r="E50" s="5">
        <f t="shared" si="35"/>
        <v>0.98</v>
      </c>
      <c r="F50" s="135"/>
      <c r="G50" s="63">
        <f t="shared" si="0"/>
        <v>-2.2906100426385296</v>
      </c>
      <c r="H50" s="63">
        <f t="shared" si="1"/>
        <v>0</v>
      </c>
      <c r="I50" s="135"/>
      <c r="J50" s="63">
        <f t="shared" si="2"/>
        <v>-2.9356734464211769</v>
      </c>
      <c r="K50" s="63">
        <f t="shared" si="3"/>
        <v>177.06432655357884</v>
      </c>
      <c r="L50" s="63">
        <f t="shared" si="12"/>
        <v>-2.9356734464211769</v>
      </c>
      <c r="M50" s="63">
        <f t="shared" si="13"/>
        <v>0.40773242311405239</v>
      </c>
      <c r="N50" s="135"/>
      <c r="O50" s="63">
        <f t="shared" si="4"/>
        <v>-1.4356838973417398</v>
      </c>
      <c r="P50" s="63">
        <f t="shared" si="5"/>
        <v>178.56431610265827</v>
      </c>
      <c r="Q50" s="63">
        <f t="shared" si="14"/>
        <v>-1.4356838973417398</v>
      </c>
      <c r="R50" s="63">
        <f t="shared" si="15"/>
        <v>0</v>
      </c>
      <c r="S50" s="135"/>
      <c r="T50" s="63">
        <f t="shared" si="6"/>
        <v>-5.7678888979141396</v>
      </c>
      <c r="U50" s="63">
        <f t="shared" si="7"/>
        <v>174.23211110208587</v>
      </c>
      <c r="V50" s="63">
        <f t="shared" si="16"/>
        <v>-5.7678888979141396</v>
      </c>
      <c r="W50" s="63">
        <f t="shared" si="17"/>
        <v>0</v>
      </c>
      <c r="X50" s="135"/>
      <c r="Y50" s="63">
        <f t="shared" si="18"/>
        <v>-12.528807709151511</v>
      </c>
      <c r="Z50" s="63">
        <f t="shared" si="19"/>
        <v>-25.057615418303023</v>
      </c>
      <c r="AA50" s="63">
        <f t="shared" si="20"/>
        <v>-53.55</v>
      </c>
      <c r="AB50" s="62">
        <f t="shared" si="21"/>
        <v>7.4375</v>
      </c>
      <c r="AC50" s="63">
        <f t="shared" si="22"/>
        <v>-12.528807709151511</v>
      </c>
      <c r="AD50" s="63">
        <f t="shared" si="23"/>
        <v>1.7401121818265988</v>
      </c>
      <c r="AE50" s="135"/>
      <c r="AF50" s="68">
        <f t="shared" si="8"/>
        <v>3.252844604940651</v>
      </c>
      <c r="AG50" s="128"/>
      <c r="AH50" s="121"/>
      <c r="AI50" s="5">
        <f t="shared" si="9"/>
        <v>-3.4064437549947248</v>
      </c>
      <c r="AJ50" s="5">
        <f t="shared" si="10"/>
        <v>176.59355624500529</v>
      </c>
      <c r="AK50" s="63">
        <f t="shared" si="24"/>
        <v>-3.4064437549947248</v>
      </c>
      <c r="AL50" s="63">
        <f t="shared" si="25"/>
        <v>0</v>
      </c>
      <c r="AM50" s="134"/>
      <c r="AN50" s="63">
        <f t="shared" si="26"/>
        <v>-11.309932474020213</v>
      </c>
      <c r="AO50" s="63">
        <f t="shared" si="27"/>
        <v>-22.619864948040426</v>
      </c>
      <c r="AP50" s="63">
        <f t="shared" si="28"/>
        <v>-26.774999999999999</v>
      </c>
      <c r="AQ50" s="63">
        <f t="shared" si="29"/>
        <v>3.71875</v>
      </c>
      <c r="AR50" s="63">
        <f t="shared" si="30"/>
        <v>-11.309932474020213</v>
      </c>
      <c r="AS50" s="63">
        <f t="shared" si="31"/>
        <v>1.5708239547250296</v>
      </c>
      <c r="AT50" s="134"/>
      <c r="AU50" s="60">
        <f t="shared" si="32"/>
        <v>1.5708239547250296</v>
      </c>
      <c r="AV50" s="61">
        <f t="shared" si="33"/>
        <v>4.8236685596656805</v>
      </c>
      <c r="AW50" s="127"/>
    </row>
    <row r="51" spans="1:49" ht="15" customHeight="1" x14ac:dyDescent="0.25">
      <c r="A51" s="11">
        <f t="shared" si="36"/>
        <v>25</v>
      </c>
      <c r="B51" s="73">
        <f t="shared" si="34"/>
        <v>0.125</v>
      </c>
      <c r="C51" s="136"/>
      <c r="D51" s="64">
        <f t="shared" si="11"/>
        <v>-8.82</v>
      </c>
      <c r="E51" s="6">
        <f t="shared" si="35"/>
        <v>0.98</v>
      </c>
      <c r="F51" s="135">
        <f>AVERAGE(E51:E60)</f>
        <v>0.9800000000000002</v>
      </c>
      <c r="G51" s="64">
        <f t="shared" si="0"/>
        <v>-2.8624052261117474</v>
      </c>
      <c r="H51" s="64">
        <f t="shared" si="1"/>
        <v>0</v>
      </c>
      <c r="I51" s="135">
        <f>AVERAGE(H51:H60)</f>
        <v>0</v>
      </c>
      <c r="J51" s="64">
        <f t="shared" si="2"/>
        <v>-3.6783697316872415</v>
      </c>
      <c r="K51" s="64">
        <f t="shared" si="3"/>
        <v>176.32163026831276</v>
      </c>
      <c r="L51" s="64">
        <f t="shared" si="12"/>
        <v>-3.6783697316872415</v>
      </c>
      <c r="M51" s="64">
        <f t="shared" si="13"/>
        <v>0.40870774796524906</v>
      </c>
      <c r="N51" s="135">
        <f>AVERAGE(M51:M60)</f>
        <v>0.42029476294464707</v>
      </c>
      <c r="O51" s="64">
        <f t="shared" si="4"/>
        <v>-1.7969252726959686</v>
      </c>
      <c r="P51" s="64">
        <f t="shared" si="5"/>
        <v>178.20307472730403</v>
      </c>
      <c r="Q51" s="64">
        <f t="shared" si="14"/>
        <v>-1.7969252726959686</v>
      </c>
      <c r="R51" s="64">
        <f t="shared" si="15"/>
        <v>0</v>
      </c>
      <c r="S51" s="135">
        <f>AVERAGE(R51:R60)</f>
        <v>0</v>
      </c>
      <c r="T51" s="64">
        <f t="shared" si="6"/>
        <v>-7.236922025968008</v>
      </c>
      <c r="U51" s="64">
        <f t="shared" si="7"/>
        <v>172.763077974032</v>
      </c>
      <c r="V51" s="64">
        <f t="shared" si="16"/>
        <v>-7.236922025968008</v>
      </c>
      <c r="W51" s="64">
        <f t="shared" si="17"/>
        <v>0</v>
      </c>
      <c r="X51" s="135">
        <f>AVERAGE(W51:W60)</f>
        <v>0</v>
      </c>
      <c r="Y51" s="64">
        <f t="shared" si="18"/>
        <v>-15.524110996754256</v>
      </c>
      <c r="Z51" s="64">
        <f t="shared" si="19"/>
        <v>-31.048221993508513</v>
      </c>
      <c r="AA51" s="64">
        <f t="shared" si="20"/>
        <v>-66.9375</v>
      </c>
      <c r="AB51" s="62">
        <f t="shared" si="21"/>
        <v>7.4375</v>
      </c>
      <c r="AC51" s="64">
        <f t="shared" si="22"/>
        <v>-15.524110996754256</v>
      </c>
      <c r="AD51" s="64">
        <f t="shared" si="23"/>
        <v>1.724901221861584</v>
      </c>
      <c r="AE51" s="135">
        <f>AVERAGE(AD51:AD60)</f>
        <v>1.5933612147985892</v>
      </c>
      <c r="AF51" s="68">
        <f t="shared" si="8"/>
        <v>3.2386089698268332</v>
      </c>
      <c r="AG51" s="129">
        <f>SUM(C33,F51,AE51,I51,S51,X51,N51)</f>
        <v>3.1186559777432366</v>
      </c>
      <c r="AH51" s="121"/>
      <c r="AI51" s="6">
        <f t="shared" si="9"/>
        <v>-4.2694805025506994</v>
      </c>
      <c r="AJ51" s="6">
        <f t="shared" si="10"/>
        <v>175.73051949744931</v>
      </c>
      <c r="AK51" s="64">
        <f t="shared" si="24"/>
        <v>-4.2694805025506994</v>
      </c>
      <c r="AL51" s="64">
        <f t="shared" si="25"/>
        <v>0</v>
      </c>
      <c r="AM51" s="134">
        <f>AVERAGE(AL51:AL60)</f>
        <v>0</v>
      </c>
      <c r="AN51" s="64">
        <f t="shared" si="26"/>
        <v>-14.036243467926477</v>
      </c>
      <c r="AO51" s="64">
        <f t="shared" si="27"/>
        <v>-28.072486935852954</v>
      </c>
      <c r="AP51" s="64">
        <f t="shared" si="28"/>
        <v>-33.46875</v>
      </c>
      <c r="AQ51" s="64">
        <f t="shared" si="29"/>
        <v>3.71875</v>
      </c>
      <c r="AR51" s="64">
        <f t="shared" si="30"/>
        <v>-14.036243467926477</v>
      </c>
      <c r="AS51" s="64">
        <f t="shared" si="31"/>
        <v>1.5595826075473864</v>
      </c>
      <c r="AT51" s="134">
        <f>AVERAGE(AS51:AS60)</f>
        <v>1.4582463305948274</v>
      </c>
      <c r="AU51" s="60">
        <f t="shared" si="32"/>
        <v>1.5595826075473864</v>
      </c>
      <c r="AV51" s="61">
        <f t="shared" si="33"/>
        <v>4.7981915773742196</v>
      </c>
      <c r="AW51" s="42"/>
    </row>
    <row r="52" spans="1:49" x14ac:dyDescent="0.25">
      <c r="A52" s="11">
        <f t="shared" si="36"/>
        <v>30</v>
      </c>
      <c r="B52" s="73">
        <f t="shared" si="34"/>
        <v>0.125</v>
      </c>
      <c r="C52" s="136"/>
      <c r="D52" s="64">
        <f t="shared" si="11"/>
        <v>-10.584</v>
      </c>
      <c r="E52" s="6">
        <f t="shared" si="35"/>
        <v>0.98</v>
      </c>
      <c r="F52" s="135"/>
      <c r="G52" s="64">
        <f t="shared" si="0"/>
        <v>-3.4336303624505224</v>
      </c>
      <c r="H52" s="64">
        <f t="shared" si="1"/>
        <v>0</v>
      </c>
      <c r="I52" s="135"/>
      <c r="J52" s="64">
        <f t="shared" si="2"/>
        <v>-4.426971647479383</v>
      </c>
      <c r="K52" s="64">
        <f t="shared" si="3"/>
        <v>175.57302835252062</v>
      </c>
      <c r="L52" s="64">
        <f t="shared" si="12"/>
        <v>-4.426971647479383</v>
      </c>
      <c r="M52" s="64">
        <f t="shared" si="13"/>
        <v>0.40990478217401694</v>
      </c>
      <c r="N52" s="135"/>
      <c r="O52" s="64">
        <f t="shared" si="4"/>
        <v>-2.1597224597100335</v>
      </c>
      <c r="P52" s="64">
        <f t="shared" si="5"/>
        <v>177.84027754028997</v>
      </c>
      <c r="Q52" s="64">
        <f t="shared" si="14"/>
        <v>-2.1597224597100335</v>
      </c>
      <c r="R52" s="64">
        <f t="shared" si="15"/>
        <v>0</v>
      </c>
      <c r="S52" s="135"/>
      <c r="T52" s="64">
        <f t="shared" si="6"/>
        <v>-8.7241381315957227</v>
      </c>
      <c r="U52" s="64">
        <f t="shared" si="7"/>
        <v>171.27586186840426</v>
      </c>
      <c r="V52" s="64">
        <f t="shared" si="16"/>
        <v>-8.7241381315957227</v>
      </c>
      <c r="W52" s="64">
        <f t="shared" si="17"/>
        <v>0</v>
      </c>
      <c r="X52" s="135"/>
      <c r="Y52" s="64">
        <f t="shared" si="18"/>
        <v>-18.43494882292201</v>
      </c>
      <c r="Z52" s="64">
        <f t="shared" si="19"/>
        <v>-36.86989764584402</v>
      </c>
      <c r="AA52" s="64">
        <f t="shared" si="20"/>
        <v>-80.325000000000003</v>
      </c>
      <c r="AB52" s="62">
        <f t="shared" si="21"/>
        <v>7.4375</v>
      </c>
      <c r="AC52" s="64">
        <f t="shared" si="22"/>
        <v>-18.43494882292201</v>
      </c>
      <c r="AD52" s="64">
        <f t="shared" si="23"/>
        <v>1.706939705826112</v>
      </c>
      <c r="AE52" s="135"/>
      <c r="AF52" s="68">
        <f t="shared" si="8"/>
        <v>3.2218444880001291</v>
      </c>
      <c r="AG52" s="129"/>
      <c r="AH52" s="121"/>
      <c r="AI52" s="6">
        <f t="shared" si="9"/>
        <v>-5.1402082322086784</v>
      </c>
      <c r="AJ52" s="6">
        <f t="shared" si="10"/>
        <v>174.85979176779131</v>
      </c>
      <c r="AK52" s="64">
        <f t="shared" si="24"/>
        <v>-5.1402082322086784</v>
      </c>
      <c r="AL52" s="64">
        <f t="shared" si="25"/>
        <v>0</v>
      </c>
      <c r="AM52" s="134"/>
      <c r="AN52" s="64">
        <f t="shared" si="26"/>
        <v>-16.699244233993621</v>
      </c>
      <c r="AO52" s="64">
        <f t="shared" si="27"/>
        <v>-33.398488467987242</v>
      </c>
      <c r="AP52" s="64">
        <f t="shared" si="28"/>
        <v>-40.162500000000001</v>
      </c>
      <c r="AQ52" s="64">
        <f t="shared" si="29"/>
        <v>3.71875</v>
      </c>
      <c r="AR52" s="64">
        <f t="shared" si="30"/>
        <v>-16.699244233993621</v>
      </c>
      <c r="AS52" s="64">
        <f t="shared" si="31"/>
        <v>1.5462263179623723</v>
      </c>
      <c r="AT52" s="134"/>
      <c r="AU52" s="60">
        <f t="shared" si="32"/>
        <v>1.5462263179623723</v>
      </c>
      <c r="AV52" s="61">
        <f t="shared" si="33"/>
        <v>4.7680708059625019</v>
      </c>
      <c r="AW52" s="42"/>
    </row>
    <row r="53" spans="1:49" x14ac:dyDescent="0.25">
      <c r="A53" s="11">
        <f t="shared" si="36"/>
        <v>35</v>
      </c>
      <c r="B53" s="73">
        <f t="shared" si="34"/>
        <v>0.125</v>
      </c>
      <c r="C53" s="136"/>
      <c r="D53" s="64">
        <f t="shared" si="11"/>
        <v>-12.348000000000001</v>
      </c>
      <c r="E53" s="6">
        <f t="shared" si="35"/>
        <v>0.98</v>
      </c>
      <c r="F53" s="135"/>
      <c r="G53" s="64">
        <f t="shared" si="0"/>
        <v>-4.0041729407093882</v>
      </c>
      <c r="H53" s="64">
        <f t="shared" si="1"/>
        <v>0</v>
      </c>
      <c r="I53" s="135"/>
      <c r="J53" s="64">
        <f t="shared" si="2"/>
        <v>-5.1827143751822149</v>
      </c>
      <c r="K53" s="64">
        <f t="shared" si="3"/>
        <v>174.81728562481777</v>
      </c>
      <c r="L53" s="64">
        <f t="shared" si="12"/>
        <v>-5.1827143751822149</v>
      </c>
      <c r="M53" s="64">
        <f t="shared" si="13"/>
        <v>0.4113265377128742</v>
      </c>
      <c r="N53" s="135"/>
      <c r="O53" s="64">
        <f t="shared" si="4"/>
        <v>-2.5243955541834815</v>
      </c>
      <c r="P53" s="64">
        <f t="shared" si="5"/>
        <v>177.47560444581651</v>
      </c>
      <c r="Q53" s="64">
        <f t="shared" si="14"/>
        <v>-2.5243955541834815</v>
      </c>
      <c r="R53" s="64">
        <f t="shared" si="15"/>
        <v>0</v>
      </c>
      <c r="S53" s="135"/>
      <c r="T53" s="64">
        <f t="shared" si="6"/>
        <v>-10.233312135054085</v>
      </c>
      <c r="U53" s="64">
        <f t="shared" si="7"/>
        <v>169.76668786494591</v>
      </c>
      <c r="V53" s="64">
        <f t="shared" si="16"/>
        <v>-10.233312135054085</v>
      </c>
      <c r="W53" s="64">
        <f t="shared" si="17"/>
        <v>0</v>
      </c>
      <c r="X53" s="135"/>
      <c r="Y53" s="64">
        <f t="shared" si="18"/>
        <v>-21.250505507133241</v>
      </c>
      <c r="Z53" s="64">
        <f t="shared" si="19"/>
        <v>-42.501011014266481</v>
      </c>
      <c r="AA53" s="64">
        <f t="shared" si="20"/>
        <v>-93.712500000000006</v>
      </c>
      <c r="AB53" s="62">
        <f t="shared" si="21"/>
        <v>7.4375</v>
      </c>
      <c r="AC53" s="64">
        <f t="shared" si="22"/>
        <v>-21.250505507133241</v>
      </c>
      <c r="AD53" s="64">
        <f t="shared" si="23"/>
        <v>1.6865480561216859</v>
      </c>
      <c r="AE53" s="135"/>
      <c r="AF53" s="68">
        <f t="shared" si="8"/>
        <v>3.2028745938345597</v>
      </c>
      <c r="AG53" s="129"/>
      <c r="AH53" s="121"/>
      <c r="AI53" s="6">
        <f t="shared" si="9"/>
        <v>-6.0202393226114577</v>
      </c>
      <c r="AJ53" s="6">
        <f t="shared" si="10"/>
        <v>173.97976067738855</v>
      </c>
      <c r="AK53" s="64">
        <f t="shared" si="24"/>
        <v>-6.0202393226114577</v>
      </c>
      <c r="AL53" s="64">
        <f t="shared" si="25"/>
        <v>0</v>
      </c>
      <c r="AM53" s="134"/>
      <c r="AN53" s="64">
        <f t="shared" si="26"/>
        <v>-19.290046219188735</v>
      </c>
      <c r="AO53" s="64">
        <f t="shared" si="27"/>
        <v>-38.58009243837747</v>
      </c>
      <c r="AP53" s="64">
        <f t="shared" si="28"/>
        <v>-46.856250000000003</v>
      </c>
      <c r="AQ53" s="64">
        <f t="shared" si="29"/>
        <v>3.71875</v>
      </c>
      <c r="AR53" s="64">
        <f t="shared" si="30"/>
        <v>-19.290046219188735</v>
      </c>
      <c r="AS53" s="64">
        <f t="shared" si="31"/>
        <v>1.5309560491419631</v>
      </c>
      <c r="AT53" s="134"/>
      <c r="AU53" s="60">
        <f t="shared" si="32"/>
        <v>1.5309560491419631</v>
      </c>
      <c r="AV53" s="61">
        <f t="shared" si="33"/>
        <v>4.7338306429765229</v>
      </c>
      <c r="AW53" s="42"/>
    </row>
    <row r="54" spans="1:49" x14ac:dyDescent="0.25">
      <c r="A54" s="11">
        <f t="shared" si="36"/>
        <v>40</v>
      </c>
      <c r="B54" s="73">
        <f t="shared" si="34"/>
        <v>0.125</v>
      </c>
      <c r="C54" s="136"/>
      <c r="D54" s="64">
        <f t="shared" si="11"/>
        <v>-14.112</v>
      </c>
      <c r="E54" s="6">
        <f t="shared" si="35"/>
        <v>0.98</v>
      </c>
      <c r="F54" s="135"/>
      <c r="G54" s="64">
        <f t="shared" si="0"/>
        <v>-4.5739212599008612</v>
      </c>
      <c r="H54" s="64">
        <f t="shared" si="1"/>
        <v>0</v>
      </c>
      <c r="I54" s="135"/>
      <c r="J54" s="64">
        <f t="shared" si="2"/>
        <v>-5.9468630539735026</v>
      </c>
      <c r="K54" s="64">
        <f t="shared" si="3"/>
        <v>174.05313694602648</v>
      </c>
      <c r="L54" s="64">
        <f t="shared" si="12"/>
        <v>-5.9468630539735026</v>
      </c>
      <c r="M54" s="64">
        <f t="shared" si="13"/>
        <v>0.41297660097038214</v>
      </c>
      <c r="N54" s="135"/>
      <c r="O54" s="64">
        <f t="shared" si="4"/>
        <v>-2.8912695962205626</v>
      </c>
      <c r="P54" s="64">
        <f t="shared" si="5"/>
        <v>177.10873040377945</v>
      </c>
      <c r="Q54" s="64">
        <f t="shared" si="14"/>
        <v>-2.8912695962205626</v>
      </c>
      <c r="R54" s="64">
        <f t="shared" si="15"/>
        <v>0</v>
      </c>
      <c r="S54" s="135"/>
      <c r="T54" s="64">
        <f t="shared" si="6"/>
        <v>-11.768288932020647</v>
      </c>
      <c r="U54" s="64">
        <f t="shared" si="7"/>
        <v>168.23171106797935</v>
      </c>
      <c r="V54" s="64">
        <f t="shared" si="16"/>
        <v>-11.768288932020647</v>
      </c>
      <c r="W54" s="64">
        <f t="shared" si="17"/>
        <v>0</v>
      </c>
      <c r="X54" s="135"/>
      <c r="Y54" s="64">
        <f t="shared" si="18"/>
        <v>-23.962488974578182</v>
      </c>
      <c r="Z54" s="64">
        <f t="shared" si="19"/>
        <v>-47.924977949156364</v>
      </c>
      <c r="AA54" s="64">
        <f t="shared" si="20"/>
        <v>-107.1</v>
      </c>
      <c r="AB54" s="62">
        <f t="shared" si="21"/>
        <v>7.4375</v>
      </c>
      <c r="AC54" s="64">
        <f t="shared" si="22"/>
        <v>-23.962488974578182</v>
      </c>
      <c r="AD54" s="64">
        <f t="shared" si="23"/>
        <v>1.6640617343457071</v>
      </c>
      <c r="AE54" s="135"/>
      <c r="AF54" s="68">
        <f t="shared" si="8"/>
        <v>3.182038335316089</v>
      </c>
      <c r="AG54" s="129"/>
      <c r="AH54" s="121"/>
      <c r="AI54" s="6">
        <f t="shared" si="9"/>
        <v>-6.9112271190246712</v>
      </c>
      <c r="AJ54" s="6">
        <f t="shared" si="10"/>
        <v>173.08877288097534</v>
      </c>
      <c r="AK54" s="64">
        <f t="shared" si="24"/>
        <v>-6.9112271190246712</v>
      </c>
      <c r="AL54" s="64">
        <f t="shared" si="25"/>
        <v>0</v>
      </c>
      <c r="AM54" s="134"/>
      <c r="AN54" s="64">
        <f t="shared" si="26"/>
        <v>-21.801409486351812</v>
      </c>
      <c r="AO54" s="64">
        <f t="shared" si="27"/>
        <v>-43.602818972703624</v>
      </c>
      <c r="AP54" s="64">
        <f t="shared" si="28"/>
        <v>-53.55</v>
      </c>
      <c r="AQ54" s="64">
        <f t="shared" si="29"/>
        <v>3.71875</v>
      </c>
      <c r="AR54" s="64">
        <f t="shared" si="30"/>
        <v>-21.801409486351812</v>
      </c>
      <c r="AS54" s="64">
        <f t="shared" si="31"/>
        <v>1.5139867698855425</v>
      </c>
      <c r="AT54" s="134"/>
      <c r="AU54" s="60">
        <f t="shared" si="32"/>
        <v>1.5139867698855425</v>
      </c>
      <c r="AV54" s="61">
        <f t="shared" si="33"/>
        <v>4.6960251052016311</v>
      </c>
      <c r="AW54" s="42"/>
    </row>
    <row r="55" spans="1:49" x14ac:dyDescent="0.25">
      <c r="A55" s="11">
        <f t="shared" si="36"/>
        <v>45</v>
      </c>
      <c r="B55" s="73">
        <f t="shared" si="34"/>
        <v>0.125</v>
      </c>
      <c r="C55" s="136"/>
      <c r="D55" s="64">
        <f t="shared" si="11"/>
        <v>-15.875999999999999</v>
      </c>
      <c r="E55" s="6">
        <f t="shared" si="35"/>
        <v>0.98</v>
      </c>
      <c r="F55" s="135"/>
      <c r="G55" s="64">
        <f t="shared" si="0"/>
        <v>-5.1427645578842416</v>
      </c>
      <c r="H55" s="64">
        <f t="shared" si="1"/>
        <v>0</v>
      </c>
      <c r="I55" s="135"/>
      <c r="J55" s="64">
        <f t="shared" si="2"/>
        <v>-6.7207181635302202</v>
      </c>
      <c r="K55" s="64">
        <f t="shared" si="3"/>
        <v>173.27928183646978</v>
      </c>
      <c r="L55" s="64">
        <f t="shared" si="12"/>
        <v>-6.7207181635302202</v>
      </c>
      <c r="M55" s="64">
        <f t="shared" si="13"/>
        <v>0.41485914589692718</v>
      </c>
      <c r="N55" s="135"/>
      <c r="O55" s="64">
        <f t="shared" si="4"/>
        <v>-3.260675454561476</v>
      </c>
      <c r="P55" s="64">
        <f t="shared" si="5"/>
        <v>176.73932454543854</v>
      </c>
      <c r="Q55" s="64">
        <f t="shared" si="14"/>
        <v>-3.260675454561476</v>
      </c>
      <c r="R55" s="64">
        <f t="shared" si="15"/>
        <v>0</v>
      </c>
      <c r="S55" s="135"/>
      <c r="T55" s="64">
        <f t="shared" si="6"/>
        <v>-13.33299000687736</v>
      </c>
      <c r="U55" s="64">
        <f t="shared" si="7"/>
        <v>166.66700999312263</v>
      </c>
      <c r="V55" s="64">
        <f t="shared" si="16"/>
        <v>-13.33299000687736</v>
      </c>
      <c r="W55" s="64">
        <f t="shared" si="17"/>
        <v>0</v>
      </c>
      <c r="X55" s="135"/>
      <c r="Y55" s="64">
        <f t="shared" si="18"/>
        <v>-26.56505117707799</v>
      </c>
      <c r="Z55" s="64">
        <f t="shared" si="19"/>
        <v>-53.13010235415598</v>
      </c>
      <c r="AA55" s="64">
        <f t="shared" si="20"/>
        <v>-120.4875</v>
      </c>
      <c r="AB55" s="62">
        <f t="shared" si="21"/>
        <v>7.4375</v>
      </c>
      <c r="AC55" s="64">
        <f t="shared" si="22"/>
        <v>-26.56505117707799</v>
      </c>
      <c r="AD55" s="64">
        <f t="shared" si="23"/>
        <v>1.6398179738937031</v>
      </c>
      <c r="AE55" s="135"/>
      <c r="AF55" s="68">
        <f t="shared" si="8"/>
        <v>3.1596771197906302</v>
      </c>
      <c r="AG55" s="129"/>
      <c r="AH55" s="121"/>
      <c r="AI55" s="6">
        <f t="shared" si="9"/>
        <v>-7.8148731599567522</v>
      </c>
      <c r="AJ55" s="6">
        <f t="shared" si="10"/>
        <v>172.18512684004324</v>
      </c>
      <c r="AK55" s="64">
        <f t="shared" si="24"/>
        <v>-7.8148731599567522</v>
      </c>
      <c r="AL55" s="64">
        <f t="shared" si="25"/>
        <v>0</v>
      </c>
      <c r="AM55" s="134"/>
      <c r="AN55" s="64">
        <f t="shared" si="26"/>
        <v>-24.22774531795417</v>
      </c>
      <c r="AO55" s="64">
        <f t="shared" si="27"/>
        <v>-48.45549063590834</v>
      </c>
      <c r="AP55" s="64">
        <f t="shared" si="28"/>
        <v>-60.243749999999999</v>
      </c>
      <c r="AQ55" s="64">
        <f t="shared" si="29"/>
        <v>3.71875</v>
      </c>
      <c r="AR55" s="64">
        <f t="shared" si="30"/>
        <v>-24.22774531795417</v>
      </c>
      <c r="AS55" s="64">
        <f t="shared" si="31"/>
        <v>1.4955398344416153</v>
      </c>
      <c r="AT55" s="134"/>
      <c r="AU55" s="60">
        <f t="shared" si="32"/>
        <v>1.4955398344416153</v>
      </c>
      <c r="AV55" s="61">
        <f t="shared" si="33"/>
        <v>4.6552169542322455</v>
      </c>
      <c r="AW55" s="42"/>
    </row>
    <row r="56" spans="1:49" x14ac:dyDescent="0.25">
      <c r="A56" s="11">
        <f t="shared" si="36"/>
        <v>50</v>
      </c>
      <c r="B56" s="73">
        <f t="shared" si="34"/>
        <v>0.125</v>
      </c>
      <c r="C56" s="136"/>
      <c r="D56" s="64">
        <f t="shared" si="11"/>
        <v>-17.64</v>
      </c>
      <c r="E56" s="6">
        <f t="shared" si="35"/>
        <v>0.98</v>
      </c>
      <c r="F56" s="135"/>
      <c r="G56" s="64">
        <f t="shared" si="0"/>
        <v>-5.710593137499643</v>
      </c>
      <c r="H56" s="64">
        <f t="shared" si="1"/>
        <v>0</v>
      </c>
      <c r="I56" s="135"/>
      <c r="J56" s="64">
        <f t="shared" si="2"/>
        <v>-7.5056210810355886</v>
      </c>
      <c r="K56" s="64">
        <f t="shared" si="3"/>
        <v>172.4943789189644</v>
      </c>
      <c r="L56" s="64">
        <f t="shared" si="12"/>
        <v>-7.5056210810355886</v>
      </c>
      <c r="M56" s="64">
        <f t="shared" si="13"/>
        <v>0.41697894894642157</v>
      </c>
      <c r="N56" s="135"/>
      <c r="O56" s="64">
        <f t="shared" si="4"/>
        <v>-3.6329507394882015</v>
      </c>
      <c r="P56" s="64">
        <f t="shared" si="5"/>
        <v>176.36704926051181</v>
      </c>
      <c r="Q56" s="64">
        <f t="shared" si="14"/>
        <v>-3.6329507394882015</v>
      </c>
      <c r="R56" s="64">
        <f t="shared" si="15"/>
        <v>0</v>
      </c>
      <c r="S56" s="135"/>
      <c r="T56" s="64">
        <f t="shared" si="6"/>
        <v>-14.931417178137549</v>
      </c>
      <c r="U56" s="64">
        <f t="shared" si="7"/>
        <v>165.06858282186246</v>
      </c>
      <c r="V56" s="64">
        <f t="shared" si="16"/>
        <v>-14.931417178137549</v>
      </c>
      <c r="W56" s="64">
        <f t="shared" si="17"/>
        <v>0</v>
      </c>
      <c r="X56" s="135"/>
      <c r="Y56" s="64">
        <f t="shared" si="18"/>
        <v>-29.054604099077146</v>
      </c>
      <c r="Z56" s="64">
        <f t="shared" si="19"/>
        <v>-58.109208198154292</v>
      </c>
      <c r="AA56" s="64">
        <f t="shared" si="20"/>
        <v>-133.875</v>
      </c>
      <c r="AB56" s="62">
        <f t="shared" si="21"/>
        <v>7.4375</v>
      </c>
      <c r="AC56" s="64">
        <f t="shared" si="22"/>
        <v>-29.054604099077146</v>
      </c>
      <c r="AD56" s="64">
        <f t="shared" si="23"/>
        <v>1.6141446721709525</v>
      </c>
      <c r="AE56" s="135"/>
      <c r="AF56" s="68">
        <f t="shared" si="8"/>
        <v>3.136123621117374</v>
      </c>
      <c r="AG56" s="129"/>
      <c r="AH56" s="121"/>
      <c r="AI56" s="6">
        <f t="shared" si="9"/>
        <v>-8.7329345634913444</v>
      </c>
      <c r="AJ56" s="6">
        <f t="shared" si="10"/>
        <v>171.26706543650866</v>
      </c>
      <c r="AK56" s="64">
        <f t="shared" si="24"/>
        <v>-8.7329345634913444</v>
      </c>
      <c r="AL56" s="64">
        <f t="shared" si="25"/>
        <v>0</v>
      </c>
      <c r="AM56" s="134"/>
      <c r="AN56" s="64">
        <f t="shared" si="26"/>
        <v>-26.56505117707799</v>
      </c>
      <c r="AO56" s="64">
        <f t="shared" si="27"/>
        <v>-53.13010235415598</v>
      </c>
      <c r="AP56" s="64">
        <f t="shared" si="28"/>
        <v>-66.9375</v>
      </c>
      <c r="AQ56" s="64">
        <f t="shared" si="29"/>
        <v>3.71875</v>
      </c>
      <c r="AR56" s="64">
        <f t="shared" si="30"/>
        <v>-26.56505117707799</v>
      </c>
      <c r="AS56" s="64">
        <f t="shared" si="31"/>
        <v>1.4758361765043329</v>
      </c>
      <c r="AT56" s="134"/>
      <c r="AU56" s="60">
        <f t="shared" si="32"/>
        <v>1.4758361765043329</v>
      </c>
      <c r="AV56" s="61">
        <f t="shared" si="33"/>
        <v>4.611959797621707</v>
      </c>
      <c r="AW56" s="42"/>
    </row>
    <row r="57" spans="1:49" x14ac:dyDescent="0.25">
      <c r="A57" s="11">
        <v>60</v>
      </c>
      <c r="B57" s="73">
        <f t="shared" si="34"/>
        <v>0.125</v>
      </c>
      <c r="C57" s="136"/>
      <c r="D57" s="64">
        <f t="shared" si="11"/>
        <v>-21.167999999999999</v>
      </c>
      <c r="E57" s="6">
        <f t="shared" si="35"/>
        <v>0.98</v>
      </c>
      <c r="F57" s="135"/>
      <c r="G57" s="64">
        <f t="shared" si="0"/>
        <v>-6.8427734126309403</v>
      </c>
      <c r="H57" s="64">
        <f t="shared" si="1"/>
        <v>0</v>
      </c>
      <c r="I57" s="135"/>
      <c r="J57" s="64">
        <f t="shared" si="2"/>
        <v>-9.1141750547912253</v>
      </c>
      <c r="K57" s="64">
        <f t="shared" si="3"/>
        <v>170.88582494520878</v>
      </c>
      <c r="L57" s="64">
        <f t="shared" si="12"/>
        <v>-9.1141750547912253</v>
      </c>
      <c r="M57" s="64">
        <f t="shared" si="13"/>
        <v>0.4219525488329271</v>
      </c>
      <c r="N57" s="135"/>
      <c r="O57" s="64">
        <f t="shared" si="4"/>
        <v>-4.3874994526324365</v>
      </c>
      <c r="P57" s="64">
        <f t="shared" si="5"/>
        <v>175.61250054736757</v>
      </c>
      <c r="Q57" s="64">
        <f t="shared" si="14"/>
        <v>-4.3874994526324365</v>
      </c>
      <c r="R57" s="64">
        <f t="shared" si="15"/>
        <v>0</v>
      </c>
      <c r="S57" s="135"/>
      <c r="T57" s="64">
        <f t="shared" si="6"/>
        <v>-18.245854527578253</v>
      </c>
      <c r="U57" s="64">
        <f t="shared" si="7"/>
        <v>161.75414547242175</v>
      </c>
      <c r="V57" s="64">
        <f t="shared" si="16"/>
        <v>-18.245854527578253</v>
      </c>
      <c r="W57" s="64">
        <f t="shared" si="17"/>
        <v>0</v>
      </c>
      <c r="X57" s="135"/>
      <c r="Y57" s="64">
        <f t="shared" si="18"/>
        <v>-33.690067525979785</v>
      </c>
      <c r="Z57" s="64">
        <f t="shared" si="19"/>
        <v>-67.38013505195957</v>
      </c>
      <c r="AA57" s="64">
        <f t="shared" si="20"/>
        <v>-160.65</v>
      </c>
      <c r="AB57" s="62">
        <f t="shared" si="21"/>
        <v>7.4375</v>
      </c>
      <c r="AC57" s="64">
        <f t="shared" si="22"/>
        <v>-33.690067525979785</v>
      </c>
      <c r="AD57" s="64">
        <f t="shared" si="23"/>
        <v>1.5597253484249902</v>
      </c>
      <c r="AE57" s="135"/>
      <c r="AF57" s="68">
        <f t="shared" si="8"/>
        <v>3.0866778972579176</v>
      </c>
      <c r="AG57" s="129"/>
      <c r="AH57" s="121"/>
      <c r="AI57" s="6">
        <f t="shared" si="9"/>
        <v>-10.619655276155132</v>
      </c>
      <c r="AJ57" s="6">
        <f t="shared" si="10"/>
        <v>169.38034472384487</v>
      </c>
      <c r="AK57" s="64">
        <f t="shared" si="24"/>
        <v>-10.619655276155132</v>
      </c>
      <c r="AL57" s="64">
        <f t="shared" si="25"/>
        <v>0</v>
      </c>
      <c r="AM57" s="134"/>
      <c r="AN57" s="64">
        <f t="shared" si="26"/>
        <v>-30.963756532073521</v>
      </c>
      <c r="AO57" s="64">
        <f t="shared" si="27"/>
        <v>-61.927513064147043</v>
      </c>
      <c r="AP57" s="64">
        <f t="shared" si="28"/>
        <v>-80.325000000000003</v>
      </c>
      <c r="AQ57" s="64">
        <f t="shared" si="29"/>
        <v>3.71875</v>
      </c>
      <c r="AR57" s="64">
        <f t="shared" si="30"/>
        <v>-30.963756532073521</v>
      </c>
      <c r="AS57" s="64">
        <f t="shared" si="31"/>
        <v>1.4335072468552554</v>
      </c>
      <c r="AT57" s="134"/>
      <c r="AU57" s="60">
        <f t="shared" si="32"/>
        <v>1.4335072468552554</v>
      </c>
      <c r="AV57" s="61">
        <f t="shared" si="33"/>
        <v>4.5201851441131726</v>
      </c>
      <c r="AW57" s="42"/>
    </row>
    <row r="58" spans="1:49" x14ac:dyDescent="0.25">
      <c r="A58" s="11">
        <v>70</v>
      </c>
      <c r="B58" s="73">
        <f t="shared" si="34"/>
        <v>0.125</v>
      </c>
      <c r="C58" s="136"/>
      <c r="D58" s="64">
        <f t="shared" si="11"/>
        <v>-24.696000000000002</v>
      </c>
      <c r="E58" s="6">
        <f t="shared" si="35"/>
        <v>0.98</v>
      </c>
      <c r="F58" s="135"/>
      <c r="G58" s="64">
        <f t="shared" si="0"/>
        <v>-7.9696103943213599</v>
      </c>
      <c r="H58" s="64">
        <f t="shared" si="1"/>
        <v>0</v>
      </c>
      <c r="I58" s="135"/>
      <c r="J58" s="64">
        <f t="shared" si="2"/>
        <v>-10.784297867562607</v>
      </c>
      <c r="K58" s="64">
        <f t="shared" si="3"/>
        <v>169.2157021324374</v>
      </c>
      <c r="L58" s="64">
        <f t="shared" si="12"/>
        <v>-10.784297867562607</v>
      </c>
      <c r="M58" s="64">
        <f t="shared" si="13"/>
        <v>0.42794832807788125</v>
      </c>
      <c r="N58" s="135"/>
      <c r="O58" s="64">
        <f t="shared" si="4"/>
        <v>-5.15778839330377</v>
      </c>
      <c r="P58" s="64">
        <f t="shared" si="5"/>
        <v>174.84221160669622</v>
      </c>
      <c r="Q58" s="64">
        <f t="shared" si="14"/>
        <v>-5.15778839330377</v>
      </c>
      <c r="R58" s="64">
        <f t="shared" si="15"/>
        <v>0</v>
      </c>
      <c r="S58" s="135"/>
      <c r="T58" s="64">
        <f t="shared" si="6"/>
        <v>-21.745099156066015</v>
      </c>
      <c r="U58" s="64">
        <f t="shared" si="7"/>
        <v>158.254900843934</v>
      </c>
      <c r="V58" s="64">
        <f t="shared" si="16"/>
        <v>-21.745099156066015</v>
      </c>
      <c r="W58" s="64">
        <f t="shared" si="17"/>
        <v>0</v>
      </c>
      <c r="X58" s="135"/>
      <c r="Y58" s="64">
        <f t="shared" si="18"/>
        <v>-37.874983651098205</v>
      </c>
      <c r="Z58" s="64">
        <f t="shared" si="19"/>
        <v>-75.74996730219641</v>
      </c>
      <c r="AA58" s="64">
        <f t="shared" si="20"/>
        <v>-187.42500000000001</v>
      </c>
      <c r="AB58" s="62">
        <f t="shared" si="21"/>
        <v>7.4375</v>
      </c>
      <c r="AC58" s="64">
        <f t="shared" si="22"/>
        <v>-37.874983651098205</v>
      </c>
      <c r="AD58" s="64">
        <f t="shared" si="23"/>
        <v>1.5029755417102462</v>
      </c>
      <c r="AE58" s="135"/>
      <c r="AF58" s="68">
        <f t="shared" si="8"/>
        <v>3.0359238697881272</v>
      </c>
      <c r="AG58" s="129"/>
      <c r="AH58" s="121"/>
      <c r="AI58" s="6">
        <f t="shared" si="9"/>
        <v>-12.586848323618549</v>
      </c>
      <c r="AJ58" s="6">
        <f t="shared" si="10"/>
        <v>167.41315167638146</v>
      </c>
      <c r="AK58" s="64">
        <f t="shared" si="24"/>
        <v>-12.586848323618549</v>
      </c>
      <c r="AL58" s="64">
        <f t="shared" si="25"/>
        <v>0</v>
      </c>
      <c r="AM58" s="134"/>
      <c r="AN58" s="64">
        <f t="shared" si="26"/>
        <v>-34.992020198558656</v>
      </c>
      <c r="AO58" s="64">
        <f t="shared" si="27"/>
        <v>-69.984040397117312</v>
      </c>
      <c r="AP58" s="64">
        <f t="shared" si="28"/>
        <v>-93.712500000000006</v>
      </c>
      <c r="AQ58" s="64">
        <f t="shared" si="29"/>
        <v>3.71875</v>
      </c>
      <c r="AR58" s="64">
        <f t="shared" si="30"/>
        <v>-34.992020198558656</v>
      </c>
      <c r="AS58" s="64">
        <f t="shared" si="31"/>
        <v>1.388572230101534</v>
      </c>
      <c r="AT58" s="134"/>
      <c r="AU58" s="60">
        <f t="shared" si="32"/>
        <v>1.388572230101534</v>
      </c>
      <c r="AV58" s="61">
        <f t="shared" si="33"/>
        <v>4.4244960998896614</v>
      </c>
      <c r="AW58" s="42"/>
    </row>
    <row r="59" spans="1:49" x14ac:dyDescent="0.25">
      <c r="A59" s="11">
        <v>80</v>
      </c>
      <c r="B59" s="73">
        <f t="shared" si="34"/>
        <v>0.125</v>
      </c>
      <c r="C59" s="136"/>
      <c r="D59" s="64">
        <f t="shared" si="11"/>
        <v>-28.224</v>
      </c>
      <c r="E59" s="6">
        <f t="shared" si="35"/>
        <v>0.98</v>
      </c>
      <c r="F59" s="135"/>
      <c r="G59" s="64">
        <f t="shared" si="0"/>
        <v>-9.0902769208223226</v>
      </c>
      <c r="H59" s="64">
        <f t="shared" si="1"/>
        <v>0</v>
      </c>
      <c r="I59" s="135"/>
      <c r="J59" s="64">
        <f t="shared" si="2"/>
        <v>-12.528807709151522</v>
      </c>
      <c r="K59" s="64">
        <f t="shared" si="3"/>
        <v>167.47119229084848</v>
      </c>
      <c r="L59" s="64">
        <f t="shared" si="12"/>
        <v>-12.528807709151522</v>
      </c>
      <c r="M59" s="64">
        <f t="shared" si="13"/>
        <v>0.43502804545665008</v>
      </c>
      <c r="N59" s="135"/>
      <c r="O59" s="64">
        <f t="shared" si="4"/>
        <v>-5.9468630539734901</v>
      </c>
      <c r="P59" s="64">
        <f t="shared" si="5"/>
        <v>174.05313694602651</v>
      </c>
      <c r="Q59" s="64">
        <f t="shared" si="14"/>
        <v>-5.9468630539734901</v>
      </c>
      <c r="R59" s="64">
        <f t="shared" si="15"/>
        <v>0</v>
      </c>
      <c r="S59" s="135"/>
      <c r="T59" s="64">
        <f t="shared" si="6"/>
        <v>-25.463345061871625</v>
      </c>
      <c r="U59" s="64">
        <f t="shared" si="7"/>
        <v>154.53665493812838</v>
      </c>
      <c r="V59" s="64">
        <f t="shared" si="16"/>
        <v>-25.463345061871625</v>
      </c>
      <c r="W59" s="64">
        <f t="shared" si="17"/>
        <v>0</v>
      </c>
      <c r="X59" s="135"/>
      <c r="Y59" s="64">
        <f t="shared" si="18"/>
        <v>-41.633539336570202</v>
      </c>
      <c r="Z59" s="64">
        <f t="shared" si="19"/>
        <v>-83.267078673140404</v>
      </c>
      <c r="AA59" s="64">
        <f t="shared" si="20"/>
        <v>-214.2</v>
      </c>
      <c r="AB59" s="62">
        <f t="shared" si="21"/>
        <v>7.4375</v>
      </c>
      <c r="AC59" s="64">
        <f t="shared" si="22"/>
        <v>-41.633539336570202</v>
      </c>
      <c r="AD59" s="64">
        <f t="shared" si="23"/>
        <v>1.4456090047420209</v>
      </c>
      <c r="AE59" s="135"/>
      <c r="AF59" s="68">
        <f t="shared" si="8"/>
        <v>2.9856370501986707</v>
      </c>
      <c r="AG59" s="129"/>
      <c r="AH59" s="121"/>
      <c r="AI59" s="6">
        <f t="shared" si="9"/>
        <v>-14.651358571822161</v>
      </c>
      <c r="AJ59" s="6">
        <f t="shared" si="10"/>
        <v>165.34864142817784</v>
      </c>
      <c r="AK59" s="64">
        <f t="shared" si="24"/>
        <v>-14.651358571822161</v>
      </c>
      <c r="AL59" s="64">
        <f t="shared" si="25"/>
        <v>0</v>
      </c>
      <c r="AM59" s="134"/>
      <c r="AN59" s="64">
        <f t="shared" si="26"/>
        <v>-38.659808254090095</v>
      </c>
      <c r="AO59" s="64">
        <f t="shared" si="27"/>
        <v>-77.319616508180189</v>
      </c>
      <c r="AP59" s="64">
        <f t="shared" si="28"/>
        <v>-107.1</v>
      </c>
      <c r="AQ59" s="64">
        <f t="shared" si="29"/>
        <v>3.71875</v>
      </c>
      <c r="AR59" s="64">
        <f t="shared" si="30"/>
        <v>-38.659808254090095</v>
      </c>
      <c r="AS59" s="64">
        <f t="shared" si="31"/>
        <v>1.3423544532670173</v>
      </c>
      <c r="AT59" s="134"/>
      <c r="AU59" s="60">
        <f t="shared" si="32"/>
        <v>1.3423544532670173</v>
      </c>
      <c r="AV59" s="61">
        <f t="shared" si="33"/>
        <v>4.3279915034656877</v>
      </c>
      <c r="AW59" s="42"/>
    </row>
    <row r="60" spans="1:49" x14ac:dyDescent="0.25">
      <c r="A60" s="11">
        <v>90</v>
      </c>
      <c r="B60" s="73">
        <f t="shared" si="34"/>
        <v>0.125</v>
      </c>
      <c r="C60" s="136"/>
      <c r="D60" s="64">
        <f t="shared" si="11"/>
        <v>-31.751999999999999</v>
      </c>
      <c r="E60" s="6">
        <f t="shared" si="35"/>
        <v>0.98</v>
      </c>
      <c r="F60" s="135"/>
      <c r="G60" s="64">
        <f t="shared" si="0"/>
        <v>-10.203973721731684</v>
      </c>
      <c r="H60" s="64">
        <f t="shared" si="1"/>
        <v>0</v>
      </c>
      <c r="I60" s="135"/>
      <c r="J60" s="64">
        <f t="shared" si="2"/>
        <v>-14.361784166585778</v>
      </c>
      <c r="K60" s="64">
        <f t="shared" si="3"/>
        <v>165.63821583341422</v>
      </c>
      <c r="L60" s="64">
        <f t="shared" si="12"/>
        <v>-14.361784166585778</v>
      </c>
      <c r="M60" s="64">
        <f t="shared" si="13"/>
        <v>0.44326494341314132</v>
      </c>
      <c r="N60" s="135"/>
      <c r="O60" s="64">
        <f t="shared" si="4"/>
        <v>-6.7579789936274262</v>
      </c>
      <c r="P60" s="64">
        <f t="shared" si="5"/>
        <v>173.24202100637257</v>
      </c>
      <c r="Q60" s="64">
        <f t="shared" si="14"/>
        <v>-6.7579789936274262</v>
      </c>
      <c r="R60" s="64">
        <f t="shared" si="15"/>
        <v>0</v>
      </c>
      <c r="S60" s="135"/>
      <c r="T60" s="64">
        <f t="shared" si="6"/>
        <v>-29.434443267311327</v>
      </c>
      <c r="U60" s="64">
        <f t="shared" si="7"/>
        <v>150.56555673268866</v>
      </c>
      <c r="V60" s="64">
        <f t="shared" si="16"/>
        <v>-29.434443267311327</v>
      </c>
      <c r="W60" s="64">
        <f t="shared" si="17"/>
        <v>0</v>
      </c>
      <c r="X60" s="135"/>
      <c r="Y60" s="64">
        <f t="shared" si="18"/>
        <v>-45</v>
      </c>
      <c r="Z60" s="64">
        <f t="shared" si="19"/>
        <v>-90</v>
      </c>
      <c r="AA60" s="64">
        <f t="shared" si="20"/>
        <v>-240.97499999999999</v>
      </c>
      <c r="AB60" s="62">
        <f t="shared" si="21"/>
        <v>7.4375</v>
      </c>
      <c r="AC60" s="64">
        <f t="shared" si="22"/>
        <v>-45</v>
      </c>
      <c r="AD60" s="64">
        <f t="shared" si="23"/>
        <v>1.3888888888888888</v>
      </c>
      <c r="AE60" s="135"/>
      <c r="AF60" s="68">
        <f t="shared" si="8"/>
        <v>2.9371538323020303</v>
      </c>
      <c r="AG60" s="129"/>
      <c r="AH60" s="121"/>
      <c r="AI60" s="6">
        <f t="shared" si="9"/>
        <v>-16.831668758241502</v>
      </c>
      <c r="AJ60" s="6">
        <f t="shared" si="10"/>
        <v>163.16833124175849</v>
      </c>
      <c r="AK60" s="64">
        <f t="shared" si="24"/>
        <v>-16.831668758241502</v>
      </c>
      <c r="AL60" s="64">
        <f t="shared" si="25"/>
        <v>0</v>
      </c>
      <c r="AM60" s="134"/>
      <c r="AN60" s="64">
        <f t="shared" si="26"/>
        <v>-41.987212495816664</v>
      </c>
      <c r="AO60" s="64">
        <f t="shared" si="27"/>
        <v>-83.974424991633327</v>
      </c>
      <c r="AP60" s="64">
        <f t="shared" si="28"/>
        <v>-120.4875</v>
      </c>
      <c r="AQ60" s="64">
        <f t="shared" si="29"/>
        <v>3.71875</v>
      </c>
      <c r="AR60" s="64">
        <f t="shared" si="30"/>
        <v>-41.987212495816664</v>
      </c>
      <c r="AS60" s="64">
        <f t="shared" si="31"/>
        <v>1.295901620241255</v>
      </c>
      <c r="AT60" s="134"/>
      <c r="AU60" s="60">
        <f t="shared" si="32"/>
        <v>1.295901620241255</v>
      </c>
      <c r="AV60" s="61">
        <f t="shared" si="33"/>
        <v>4.2330554525432849</v>
      </c>
      <c r="AW60" s="42"/>
    </row>
    <row r="61" spans="1:49" x14ac:dyDescent="0.25">
      <c r="A61" s="24">
        <v>100</v>
      </c>
      <c r="B61" s="74">
        <f t="shared" si="34"/>
        <v>0.125</v>
      </c>
      <c r="C61" s="28"/>
      <c r="D61" s="65">
        <f t="shared" si="11"/>
        <v>-35.28</v>
      </c>
      <c r="E61" s="23">
        <f t="shared" si="35"/>
        <v>0.98</v>
      </c>
      <c r="F61" s="69"/>
      <c r="G61" s="65">
        <f t="shared" si="0"/>
        <v>-11.309932474020213</v>
      </c>
      <c r="H61" s="65">
        <f t="shared" si="1"/>
        <v>0</v>
      </c>
      <c r="I61" s="69"/>
      <c r="J61" s="65">
        <f t="shared" si="2"/>
        <v>-16.298796381537318</v>
      </c>
      <c r="K61" s="65">
        <f t="shared" si="3"/>
        <v>163.70120361846267</v>
      </c>
      <c r="L61" s="65">
        <f t="shared" si="12"/>
        <v>-16.298796381537318</v>
      </c>
      <c r="M61" s="65">
        <f t="shared" si="13"/>
        <v>0.45274434393159219</v>
      </c>
      <c r="N61" s="69"/>
      <c r="O61" s="65">
        <f t="shared" si="4"/>
        <v>-7.5946433685914396</v>
      </c>
      <c r="P61" s="65">
        <f t="shared" si="5"/>
        <v>172.40535663140855</v>
      </c>
      <c r="Q61" s="65">
        <f t="shared" si="14"/>
        <v>-7.5946433685914396</v>
      </c>
      <c r="R61" s="65">
        <f t="shared" si="15"/>
        <v>0</v>
      </c>
      <c r="S61" s="69"/>
      <c r="T61" s="65">
        <f t="shared" si="6"/>
        <v>-33.690067525979792</v>
      </c>
      <c r="U61" s="65">
        <f t="shared" si="7"/>
        <v>146.3099324740202</v>
      </c>
      <c r="V61" s="65">
        <f t="shared" si="16"/>
        <v>-33.690067525979792</v>
      </c>
      <c r="W61" s="65">
        <f t="shared" si="17"/>
        <v>0</v>
      </c>
      <c r="X61" s="69"/>
      <c r="Y61" s="65">
        <f t="shared" si="18"/>
        <v>-48.012787504183336</v>
      </c>
      <c r="Z61" s="65">
        <f t="shared" si="19"/>
        <v>-96.025575008366673</v>
      </c>
      <c r="AA61" s="65">
        <f t="shared" si="20"/>
        <v>-267.75</v>
      </c>
      <c r="AB61" s="62">
        <f t="shared" si="21"/>
        <v>7.4375</v>
      </c>
      <c r="AC61" s="65">
        <f t="shared" si="22"/>
        <v>-48.012787504183336</v>
      </c>
      <c r="AD61" s="65">
        <f t="shared" si="23"/>
        <v>1.3336885417828706</v>
      </c>
      <c r="AE61" s="69"/>
      <c r="AF61" s="68">
        <f t="shared" si="8"/>
        <v>2.8914328857144627</v>
      </c>
      <c r="AG61" s="44"/>
      <c r="AH61" s="121"/>
      <c r="AI61" s="23">
        <f t="shared" si="9"/>
        <v>-19.148137457939594</v>
      </c>
      <c r="AJ61" s="23">
        <f t="shared" si="10"/>
        <v>160.85186254206042</v>
      </c>
      <c r="AK61" s="65">
        <f t="shared" si="24"/>
        <v>-19.148137457939594</v>
      </c>
      <c r="AL61" s="65">
        <f t="shared" si="25"/>
        <v>0</v>
      </c>
      <c r="AM61" s="25"/>
      <c r="AN61" s="65">
        <f t="shared" si="26"/>
        <v>-45</v>
      </c>
      <c r="AO61" s="65">
        <f t="shared" si="27"/>
        <v>-90</v>
      </c>
      <c r="AP61" s="65">
        <f t="shared" si="28"/>
        <v>-133.875</v>
      </c>
      <c r="AQ61" s="65">
        <f t="shared" si="29"/>
        <v>3.71875</v>
      </c>
      <c r="AR61" s="65">
        <f t="shared" si="30"/>
        <v>-45</v>
      </c>
      <c r="AS61" s="65">
        <f t="shared" si="31"/>
        <v>1.25</v>
      </c>
      <c r="AT61" s="25"/>
      <c r="AU61" s="60">
        <f t="shared" si="32"/>
        <v>1.25</v>
      </c>
      <c r="AV61" s="61">
        <f t="shared" si="33"/>
        <v>4.1414328857144627</v>
      </c>
    </row>
    <row r="62" spans="1:49" x14ac:dyDescent="0.25">
      <c r="A62" s="24">
        <v>125</v>
      </c>
      <c r="B62" s="74">
        <f t="shared" si="34"/>
        <v>0.125</v>
      </c>
      <c r="C62" s="28"/>
      <c r="D62" s="65">
        <f t="shared" si="11"/>
        <v>-44.1</v>
      </c>
      <c r="E62" s="23">
        <f t="shared" si="35"/>
        <v>0.98</v>
      </c>
      <c r="F62" s="69"/>
      <c r="G62" s="65">
        <f t="shared" si="0"/>
        <v>-14.036243467926477</v>
      </c>
      <c r="H62" s="65">
        <f t="shared" si="1"/>
        <v>0</v>
      </c>
      <c r="I62" s="69"/>
      <c r="J62" s="65">
        <f t="shared" si="2"/>
        <v>-21.714806519031516</v>
      </c>
      <c r="K62" s="65">
        <f t="shared" si="3"/>
        <v>158.28519348096847</v>
      </c>
      <c r="L62" s="65">
        <f t="shared" si="12"/>
        <v>-21.714806519031516</v>
      </c>
      <c r="M62" s="65">
        <f t="shared" si="13"/>
        <v>0.48255125597847809</v>
      </c>
      <c r="N62" s="69"/>
      <c r="O62" s="65">
        <f t="shared" si="4"/>
        <v>-9.8239317234158481</v>
      </c>
      <c r="P62" s="65">
        <f t="shared" si="5"/>
        <v>170.17606827658415</v>
      </c>
      <c r="Q62" s="65">
        <f t="shared" si="14"/>
        <v>-9.8239317234158481</v>
      </c>
      <c r="R62" s="65">
        <f t="shared" si="15"/>
        <v>0</v>
      </c>
      <c r="S62" s="69"/>
      <c r="T62" s="65">
        <f t="shared" si="6"/>
        <v>-45.725224299059263</v>
      </c>
      <c r="U62" s="65">
        <f t="shared" si="7"/>
        <v>134.27477570094072</v>
      </c>
      <c r="V62" s="65">
        <f t="shared" si="16"/>
        <v>-45.725224299059263</v>
      </c>
      <c r="W62" s="65">
        <f t="shared" si="17"/>
        <v>0</v>
      </c>
      <c r="X62" s="69"/>
      <c r="Y62" s="65">
        <f t="shared" si="18"/>
        <v>-54.246112745563259</v>
      </c>
      <c r="Z62" s="65">
        <f t="shared" si="19"/>
        <v>-108.49222549112652</v>
      </c>
      <c r="AA62" s="65">
        <f t="shared" si="20"/>
        <v>-334.6875</v>
      </c>
      <c r="AB62" s="62">
        <f t="shared" si="21"/>
        <v>7.4375</v>
      </c>
      <c r="AC62" s="65">
        <f t="shared" si="22"/>
        <v>-54.246112745563259</v>
      </c>
      <c r="AD62" s="65">
        <f t="shared" si="23"/>
        <v>1.2054691721236279</v>
      </c>
      <c r="AE62" s="69"/>
      <c r="AF62" s="68">
        <f t="shared" si="8"/>
        <v>2.793020428102106</v>
      </c>
      <c r="AG62" s="44"/>
      <c r="AH62" s="121"/>
      <c r="AI62" s="23">
        <f t="shared" si="9"/>
        <v>-25.687576826705417</v>
      </c>
      <c r="AJ62" s="23">
        <f t="shared" si="10"/>
        <v>154.31242317329458</v>
      </c>
      <c r="AK62" s="65">
        <f t="shared" si="24"/>
        <v>-25.687576826705417</v>
      </c>
      <c r="AL62" s="65">
        <f t="shared" si="25"/>
        <v>0</v>
      </c>
      <c r="AM62" s="25"/>
      <c r="AN62" s="65">
        <f t="shared" si="26"/>
        <v>-51.340191745909912</v>
      </c>
      <c r="AO62" s="65">
        <f t="shared" si="27"/>
        <v>-102.68038349181982</v>
      </c>
      <c r="AP62" s="65">
        <f t="shared" si="28"/>
        <v>-167.34375</v>
      </c>
      <c r="AQ62" s="65">
        <f t="shared" si="29"/>
        <v>3.71875</v>
      </c>
      <c r="AR62" s="65">
        <f t="shared" si="30"/>
        <v>-51.340191745909912</v>
      </c>
      <c r="AS62" s="65">
        <f t="shared" si="31"/>
        <v>1.1408931499091093</v>
      </c>
      <c r="AT62" s="25"/>
      <c r="AU62" s="60">
        <f t="shared" si="32"/>
        <v>1.1408931499091093</v>
      </c>
      <c r="AV62" s="61">
        <f t="shared" si="33"/>
        <v>3.9339135780112153</v>
      </c>
    </row>
    <row r="63" spans="1:49" x14ac:dyDescent="0.25">
      <c r="A63" s="24">
        <v>150</v>
      </c>
      <c r="B63" s="74">
        <f t="shared" si="34"/>
        <v>0.125</v>
      </c>
      <c r="C63" s="28"/>
      <c r="D63" s="65">
        <f t="shared" si="11"/>
        <v>-52.92</v>
      </c>
      <c r="E63" s="23">
        <f t="shared" si="35"/>
        <v>0.98</v>
      </c>
      <c r="F63" s="69"/>
      <c r="G63" s="65">
        <f t="shared" si="0"/>
        <v>-16.699244233993621</v>
      </c>
      <c r="H63" s="65">
        <f t="shared" si="1"/>
        <v>0</v>
      </c>
      <c r="I63" s="69"/>
      <c r="J63" s="65">
        <f t="shared" si="2"/>
        <v>-28.221237814106342</v>
      </c>
      <c r="K63" s="65">
        <f t="shared" si="3"/>
        <v>151.77876218589367</v>
      </c>
      <c r="L63" s="65">
        <f t="shared" si="12"/>
        <v>-28.221237814106342</v>
      </c>
      <c r="M63" s="65">
        <f t="shared" si="13"/>
        <v>0.52261551507604342</v>
      </c>
      <c r="N63" s="69"/>
      <c r="O63" s="65">
        <f t="shared" si="4"/>
        <v>-12.308015817427933</v>
      </c>
      <c r="P63" s="65">
        <f t="shared" si="5"/>
        <v>167.69198418257207</v>
      </c>
      <c r="Q63" s="65">
        <f t="shared" si="14"/>
        <v>-12.308015817427933</v>
      </c>
      <c r="R63" s="65">
        <f t="shared" si="15"/>
        <v>0</v>
      </c>
      <c r="S63" s="69"/>
      <c r="T63" s="65">
        <f t="shared" si="6"/>
        <v>-59.743562836470737</v>
      </c>
      <c r="U63" s="65">
        <f t="shared" si="7"/>
        <v>120.25643716352926</v>
      </c>
      <c r="V63" s="65">
        <f t="shared" si="16"/>
        <v>-59.743562836470737</v>
      </c>
      <c r="W63" s="65">
        <f t="shared" si="17"/>
        <v>0</v>
      </c>
      <c r="X63" s="69"/>
      <c r="Y63" s="65">
        <f t="shared" si="18"/>
        <v>-59.036243467926482</v>
      </c>
      <c r="Z63" s="65">
        <f t="shared" si="19"/>
        <v>-118.07248693585296</v>
      </c>
      <c r="AA63" s="65">
        <f t="shared" si="20"/>
        <v>-401.625</v>
      </c>
      <c r="AB63" s="62">
        <f t="shared" si="21"/>
        <v>7.4375</v>
      </c>
      <c r="AC63" s="65">
        <f t="shared" si="22"/>
        <v>-59.036243467926482</v>
      </c>
      <c r="AD63" s="65">
        <f t="shared" si="23"/>
        <v>1.0932637679245645</v>
      </c>
      <c r="AE63" s="69"/>
      <c r="AF63" s="68">
        <f t="shared" si="8"/>
        <v>2.7208792830006079</v>
      </c>
      <c r="AG63" s="44"/>
      <c r="AH63" s="121"/>
      <c r="AI63" s="23">
        <f t="shared" si="9"/>
        <v>-33.631392913092725</v>
      </c>
      <c r="AJ63" s="23">
        <f t="shared" si="10"/>
        <v>146.36860708690728</v>
      </c>
      <c r="AK63" s="65">
        <f t="shared" si="24"/>
        <v>-33.631392913092725</v>
      </c>
      <c r="AL63" s="65">
        <f t="shared" si="25"/>
        <v>0</v>
      </c>
      <c r="AM63" s="25"/>
      <c r="AN63" s="65">
        <f t="shared" si="26"/>
        <v>-56.309932474020215</v>
      </c>
      <c r="AO63" s="65">
        <f t="shared" si="27"/>
        <v>-112.61986494804043</v>
      </c>
      <c r="AP63" s="65">
        <f t="shared" si="28"/>
        <v>-200.8125</v>
      </c>
      <c r="AQ63" s="65">
        <f t="shared" si="29"/>
        <v>3.71875</v>
      </c>
      <c r="AR63" s="65">
        <f t="shared" si="30"/>
        <v>-56.309932474020215</v>
      </c>
      <c r="AS63" s="65">
        <f t="shared" si="31"/>
        <v>1.0427765272966705</v>
      </c>
      <c r="AT63" s="25"/>
      <c r="AU63" s="60">
        <f t="shared" si="32"/>
        <v>1.0427765272966705</v>
      </c>
      <c r="AV63" s="61">
        <f t="shared" si="33"/>
        <v>3.7636558102972781</v>
      </c>
    </row>
    <row r="64" spans="1:49" x14ac:dyDescent="0.25">
      <c r="A64" s="24">
        <f>A63+25</f>
        <v>175</v>
      </c>
      <c r="B64" s="74">
        <f t="shared" si="34"/>
        <v>0.125</v>
      </c>
      <c r="C64" s="28"/>
      <c r="D64" s="65">
        <f t="shared" si="11"/>
        <v>-61.74</v>
      </c>
      <c r="E64" s="23">
        <f t="shared" si="35"/>
        <v>0.98</v>
      </c>
      <c r="F64" s="69"/>
      <c r="G64" s="65">
        <f t="shared" si="0"/>
        <v>-19.290046219188735</v>
      </c>
      <c r="H64" s="65">
        <f t="shared" si="1"/>
        <v>0</v>
      </c>
      <c r="I64" s="69"/>
      <c r="J64" s="65">
        <f t="shared" si="2"/>
        <v>-36.226532364049028</v>
      </c>
      <c r="K64" s="65">
        <f t="shared" si="3"/>
        <v>143.77346763595096</v>
      </c>
      <c r="L64" s="65">
        <f t="shared" si="12"/>
        <v>-36.226532364049028</v>
      </c>
      <c r="M64" s="65">
        <f t="shared" si="13"/>
        <v>0.57502432323887342</v>
      </c>
      <c r="N64" s="69"/>
      <c r="O64" s="65">
        <f t="shared" si="4"/>
        <v>-15.137949583132851</v>
      </c>
      <c r="P64" s="65">
        <f t="shared" si="5"/>
        <v>164.86205041686713</v>
      </c>
      <c r="Q64" s="65">
        <f t="shared" si="14"/>
        <v>-15.137949583132851</v>
      </c>
      <c r="R64" s="65">
        <f t="shared" si="15"/>
        <v>0</v>
      </c>
      <c r="S64" s="69"/>
      <c r="T64" s="65">
        <f t="shared" si="6"/>
        <v>-75.004920870824037</v>
      </c>
      <c r="U64" s="65">
        <f t="shared" si="7"/>
        <v>104.99507912917596</v>
      </c>
      <c r="V64" s="65">
        <f t="shared" si="16"/>
        <v>-75.004920870824037</v>
      </c>
      <c r="W64" s="65">
        <f t="shared" si="17"/>
        <v>0</v>
      </c>
      <c r="X64" s="69"/>
      <c r="Y64" s="65">
        <f t="shared" si="18"/>
        <v>-62.783888442692529</v>
      </c>
      <c r="Z64" s="65">
        <f t="shared" si="19"/>
        <v>-125.56777688538506</v>
      </c>
      <c r="AA64" s="65">
        <f t="shared" si="20"/>
        <v>-468.5625</v>
      </c>
      <c r="AB64" s="62">
        <f t="shared" si="21"/>
        <v>7.4375</v>
      </c>
      <c r="AC64" s="65">
        <f t="shared" si="22"/>
        <v>-62.783888442692529</v>
      </c>
      <c r="AD64" s="65">
        <f t="shared" si="23"/>
        <v>0.99656965782051621</v>
      </c>
      <c r="AE64" s="69"/>
      <c r="AF64" s="68">
        <f t="shared" si="8"/>
        <v>2.6765939810593897</v>
      </c>
      <c r="AG64" s="44"/>
      <c r="AH64" s="121"/>
      <c r="AI64" s="23">
        <f t="shared" si="9"/>
        <v>-43.428193456202841</v>
      </c>
      <c r="AJ64" s="23">
        <f t="shared" si="10"/>
        <v>136.57180654379715</v>
      </c>
      <c r="AK64" s="65">
        <f t="shared" si="24"/>
        <v>-43.428193456202841</v>
      </c>
      <c r="AL64" s="65">
        <f t="shared" si="25"/>
        <v>0</v>
      </c>
      <c r="AM64" s="25"/>
      <c r="AN64" s="65">
        <f t="shared" si="26"/>
        <v>-60.255118703057789</v>
      </c>
      <c r="AO64" s="65">
        <f t="shared" si="27"/>
        <v>-120.51023740611558</v>
      </c>
      <c r="AP64" s="65">
        <f t="shared" si="28"/>
        <v>-234.28125</v>
      </c>
      <c r="AQ64" s="65">
        <f t="shared" si="29"/>
        <v>3.71875</v>
      </c>
      <c r="AR64" s="65">
        <f t="shared" si="30"/>
        <v>-60.255118703057789</v>
      </c>
      <c r="AS64" s="65">
        <f t="shared" si="31"/>
        <v>0.9564304556040919</v>
      </c>
      <c r="AT64" s="25"/>
      <c r="AU64" s="60">
        <f t="shared" si="32"/>
        <v>0.9564304556040919</v>
      </c>
      <c r="AV64" s="61">
        <f t="shared" si="33"/>
        <v>3.6330244366634816</v>
      </c>
    </row>
    <row r="65" spans="1:48" x14ac:dyDescent="0.25">
      <c r="A65" s="24">
        <f>A64+25</f>
        <v>200</v>
      </c>
      <c r="B65" s="74">
        <f t="shared" si="34"/>
        <v>0.125</v>
      </c>
      <c r="C65" s="28"/>
      <c r="D65" s="65">
        <f t="shared" si="11"/>
        <v>-70.56</v>
      </c>
      <c r="E65" s="23">
        <f t="shared" si="35"/>
        <v>0.98</v>
      </c>
      <c r="F65" s="69"/>
      <c r="G65" s="65">
        <f t="shared" ref="G65:G77" si="37">-ATAN(A65/$G$30)*180/PI()</f>
        <v>-21.801409486351812</v>
      </c>
      <c r="H65" s="65">
        <f t="shared" ref="H65:H77" si="38">IF(H$30="On",-(G65/(360*$A65))*1000,0)</f>
        <v>0</v>
      </c>
      <c r="I65" s="69"/>
      <c r="J65" s="65">
        <f t="shared" ref="J65:J94" si="39">(-ATAN(2*K$31*$A65/$L$28+SQRT(4*K$31^2-1))-ATAN(2*K$31*$A65/L$28-SQRT(4*K$31^2-1)))*180/PI()</f>
        <v>-46.169139327907438</v>
      </c>
      <c r="K65" s="65">
        <f t="shared" ref="K65:K94" si="40">(-ATAN(2*K$31*$A65/L$28+SQRT(4*K$31^2-1))-ATAN(2*K$31*$A65/L$28-SQRT(4*K$31^2-1)))*180/PI()+180</f>
        <v>133.83086067209257</v>
      </c>
      <c r="L65" s="65">
        <f t="shared" si="12"/>
        <v>-46.169139327907438</v>
      </c>
      <c r="M65" s="65">
        <f t="shared" si="13"/>
        <v>0.64123804622093661</v>
      </c>
      <c r="N65" s="69"/>
      <c r="O65" s="65">
        <f t="shared" ref="O65:O94" si="41">(-ATAN(2*P$31*$A65/$Q$28+SQRT(4*P$31^2-1))-ATAN(2*P$31*$A65/Q$28-SQRT(4*P$31^2-1)))*180/PI()</f>
        <v>-18.434948822922006</v>
      </c>
      <c r="P65" s="65">
        <f t="shared" ref="P65:P94" si="42">(-ATAN(2*P$31*$A65/Q$28+SQRT(4*P$31^2-1))-ATAN(2*P$31*$A65/Q$28-SQRT(4*P$31^2-1)))*180/PI()+180</f>
        <v>161.565051177078</v>
      </c>
      <c r="Q65" s="65">
        <f t="shared" si="14"/>
        <v>-18.434948822922006</v>
      </c>
      <c r="R65" s="65">
        <f t="shared" si="15"/>
        <v>0</v>
      </c>
      <c r="S65" s="69"/>
      <c r="T65" s="65">
        <f t="shared" ref="T65:T94" si="43">(-ATAN(2*U$31*$A65/V$28+SQRT(4*U$31^2-1))-ATAN(2*U$31*$A65/V$28-SQRT(4*U$31^2-1)))*180/PI()</f>
        <v>-90.000000000000014</v>
      </c>
      <c r="U65" s="65">
        <f t="shared" ref="U65:U94" si="44">(-ATAN(2*U$31*$A65/V$28+SQRT(4*U$31^2-1))-ATAN(2*U$31*$A65/V$28-SQRT(4*U$31^2-1)))*180/PI()+180</f>
        <v>89.999999999999986</v>
      </c>
      <c r="V65" s="65">
        <f t="shared" si="16"/>
        <v>-90.000000000000014</v>
      </c>
      <c r="W65" s="65">
        <f t="shared" si="17"/>
        <v>0</v>
      </c>
      <c r="X65" s="69"/>
      <c r="Y65" s="65">
        <f t="shared" si="18"/>
        <v>-65.772254682045826</v>
      </c>
      <c r="Z65" s="65">
        <f t="shared" si="19"/>
        <v>-131.54450936409165</v>
      </c>
      <c r="AA65" s="65">
        <f t="shared" si="20"/>
        <v>-535.5</v>
      </c>
      <c r="AB65" s="62">
        <f t="shared" si="21"/>
        <v>7.4375</v>
      </c>
      <c r="AC65" s="65">
        <f t="shared" si="22"/>
        <v>-65.772254682045826</v>
      </c>
      <c r="AD65" s="65">
        <f t="shared" si="23"/>
        <v>0.91350353725063649</v>
      </c>
      <c r="AE65" s="69"/>
      <c r="AF65" s="68">
        <f t="shared" ref="AF65:AF94" si="45">SUM(B65,E65,H65,M65,R65,W65,AD65)</f>
        <v>2.6597415834715732</v>
      </c>
      <c r="AG65" s="44"/>
      <c r="AH65" s="121"/>
      <c r="AI65" s="23">
        <f t="shared" ref="AI65:AI94" si="46">(-ATAN(2*AJ$31*$A65/AK$28+SQRT(4*AJ$31^2-1))-ATAN(2*AJ$31*$A65/AK$28-SQRT(4*AJ$31^2-1)))*180/PI()</f>
        <v>-55.394324448361438</v>
      </c>
      <c r="AJ65" s="23">
        <f t="shared" ref="AJ65:AJ94" si="47">(-ATAN(2*AJ$31*$A65/AK$28+SQRT(4*AJ$31^2-1))-ATAN(2*AJ$31*$A65/AK$28-SQRT(4*AJ$31^2-1)))*180/PI()+180</f>
        <v>124.60567555163857</v>
      </c>
      <c r="AK65" s="65">
        <f t="shared" si="24"/>
        <v>-55.394324448361438</v>
      </c>
      <c r="AL65" s="65">
        <f t="shared" si="25"/>
        <v>0</v>
      </c>
      <c r="AM65" s="25"/>
      <c r="AN65" s="65">
        <f t="shared" si="26"/>
        <v>-63.43494882292201</v>
      </c>
      <c r="AO65" s="65">
        <f t="shared" si="27"/>
        <v>-126.86989764584402</v>
      </c>
      <c r="AP65" s="65">
        <f t="shared" si="28"/>
        <v>-267.75</v>
      </c>
      <c r="AQ65" s="65">
        <f t="shared" si="29"/>
        <v>3.71875</v>
      </c>
      <c r="AR65" s="65">
        <f t="shared" si="30"/>
        <v>-63.43494882292201</v>
      </c>
      <c r="AS65" s="65">
        <f t="shared" si="31"/>
        <v>0.88104095587391684</v>
      </c>
      <c r="AT65" s="25"/>
      <c r="AU65" s="60">
        <f t="shared" si="32"/>
        <v>0.88104095587391684</v>
      </c>
      <c r="AV65" s="61">
        <f t="shared" si="33"/>
        <v>3.5407825393454901</v>
      </c>
    </row>
    <row r="66" spans="1:48" x14ac:dyDescent="0.25">
      <c r="A66" s="24">
        <f t="shared" ref="A66:A81" si="48">A65+25</f>
        <v>225</v>
      </c>
      <c r="B66" s="74">
        <f t="shared" si="34"/>
        <v>0.125</v>
      </c>
      <c r="C66" s="28"/>
      <c r="D66" s="65">
        <f t="shared" si="11"/>
        <v>-79.38</v>
      </c>
      <c r="E66" s="23">
        <f t="shared" si="35"/>
        <v>0.98</v>
      </c>
      <c r="F66" s="69"/>
      <c r="G66" s="65">
        <f t="shared" si="37"/>
        <v>-24.22774531795417</v>
      </c>
      <c r="H66" s="65">
        <f t="shared" si="38"/>
        <v>0</v>
      </c>
      <c r="I66" s="69"/>
      <c r="J66" s="65">
        <f t="shared" si="39"/>
        <v>-58.3161933353134</v>
      </c>
      <c r="K66" s="65">
        <f t="shared" si="40"/>
        <v>121.6838066646866</v>
      </c>
      <c r="L66" s="65">
        <f t="shared" si="12"/>
        <v>-58.3161933353134</v>
      </c>
      <c r="M66" s="65">
        <f t="shared" si="13"/>
        <v>0.71995300413967167</v>
      </c>
      <c r="N66" s="69"/>
      <c r="O66" s="65">
        <f t="shared" si="41"/>
        <v>-22.363666015473473</v>
      </c>
      <c r="P66" s="65">
        <f t="shared" si="42"/>
        <v>157.63633398452652</v>
      </c>
      <c r="Q66" s="65">
        <f t="shared" si="14"/>
        <v>-22.363666015473473</v>
      </c>
      <c r="R66" s="65">
        <f t="shared" si="15"/>
        <v>0</v>
      </c>
      <c r="S66" s="69"/>
      <c r="T66" s="65">
        <f t="shared" si="43"/>
        <v>-103.2848664849022</v>
      </c>
      <c r="U66" s="65">
        <f t="shared" si="44"/>
        <v>76.715133515097804</v>
      </c>
      <c r="V66" s="65">
        <f t="shared" si="16"/>
        <v>76.715133515097804</v>
      </c>
      <c r="W66" s="65">
        <f t="shared" si="17"/>
        <v>0</v>
      </c>
      <c r="X66" s="69"/>
      <c r="Y66" s="65">
        <f t="shared" si="18"/>
        <v>-68.198590513648185</v>
      </c>
      <c r="Z66" s="65">
        <f t="shared" si="19"/>
        <v>-136.39718102729637</v>
      </c>
      <c r="AA66" s="65">
        <f t="shared" si="20"/>
        <v>-602.4375</v>
      </c>
      <c r="AB66" s="62">
        <f t="shared" si="21"/>
        <v>7.4375</v>
      </c>
      <c r="AC66" s="65">
        <f t="shared" si="22"/>
        <v>-68.198590513648185</v>
      </c>
      <c r="AD66" s="65">
        <f t="shared" si="23"/>
        <v>0.8419579075759035</v>
      </c>
      <c r="AE66" s="69"/>
      <c r="AF66" s="68">
        <f t="shared" si="45"/>
        <v>2.6669109117155751</v>
      </c>
      <c r="AG66" s="44"/>
      <c r="AH66" s="121"/>
      <c r="AI66" s="23">
        <f t="shared" si="46"/>
        <v>-69.332409934759582</v>
      </c>
      <c r="AJ66" s="23">
        <f t="shared" si="47"/>
        <v>110.66759006524042</v>
      </c>
      <c r="AK66" s="65">
        <f t="shared" si="24"/>
        <v>-69.332409934759582</v>
      </c>
      <c r="AL66" s="65">
        <f t="shared" si="25"/>
        <v>0</v>
      </c>
      <c r="AM66" s="25"/>
      <c r="AN66" s="65">
        <f t="shared" si="26"/>
        <v>-66.037511025421821</v>
      </c>
      <c r="AO66" s="65">
        <f t="shared" si="27"/>
        <v>-132.07502205084364</v>
      </c>
      <c r="AP66" s="65">
        <f t="shared" si="28"/>
        <v>-301.21875</v>
      </c>
      <c r="AQ66" s="65">
        <f t="shared" si="29"/>
        <v>3.71875</v>
      </c>
      <c r="AR66" s="65">
        <f t="shared" si="30"/>
        <v>-66.037511025421821</v>
      </c>
      <c r="AS66" s="65">
        <f t="shared" si="31"/>
        <v>0.81527791389409654</v>
      </c>
      <c r="AT66" s="25"/>
      <c r="AU66" s="60">
        <f t="shared" si="32"/>
        <v>0.81527791389409654</v>
      </c>
      <c r="AV66" s="61">
        <f t="shared" si="33"/>
        <v>3.4821888256096716</v>
      </c>
    </row>
    <row r="67" spans="1:48" x14ac:dyDescent="0.25">
      <c r="A67" s="24">
        <f t="shared" si="48"/>
        <v>250</v>
      </c>
      <c r="B67" s="74">
        <f t="shared" si="34"/>
        <v>0.125</v>
      </c>
      <c r="C67" s="28"/>
      <c r="D67" s="65">
        <f t="shared" si="11"/>
        <v>-88.2</v>
      </c>
      <c r="E67" s="23">
        <f t="shared" si="35"/>
        <v>0.98</v>
      </c>
      <c r="F67" s="69"/>
      <c r="G67" s="65">
        <f t="shared" si="37"/>
        <v>-26.56505117707799</v>
      </c>
      <c r="H67" s="65">
        <f t="shared" si="38"/>
        <v>0</v>
      </c>
      <c r="I67" s="69"/>
      <c r="J67" s="65">
        <f t="shared" si="39"/>
        <v>-72.35933599289784</v>
      </c>
      <c r="K67" s="65">
        <f t="shared" si="40"/>
        <v>107.64066400710216</v>
      </c>
      <c r="L67" s="65">
        <f t="shared" si="12"/>
        <v>-72.35933599289784</v>
      </c>
      <c r="M67" s="65">
        <f t="shared" si="13"/>
        <v>0.80399262214330935</v>
      </c>
      <c r="N67" s="69"/>
      <c r="O67" s="65">
        <f t="shared" si="41"/>
        <v>-27.149681697783162</v>
      </c>
      <c r="P67" s="65">
        <f t="shared" si="42"/>
        <v>152.85031830221683</v>
      </c>
      <c r="Q67" s="65">
        <f t="shared" si="14"/>
        <v>-27.149681697783162</v>
      </c>
      <c r="R67" s="65">
        <f t="shared" si="15"/>
        <v>0</v>
      </c>
      <c r="S67" s="69"/>
      <c r="T67" s="65">
        <f t="shared" si="43"/>
        <v>-114.22774531795419</v>
      </c>
      <c r="U67" s="65">
        <f t="shared" si="44"/>
        <v>65.772254682045812</v>
      </c>
      <c r="V67" s="65">
        <f t="shared" si="16"/>
        <v>65.772254682045812</v>
      </c>
      <c r="W67" s="65">
        <f t="shared" si="17"/>
        <v>0</v>
      </c>
      <c r="X67" s="69"/>
      <c r="Y67" s="65">
        <f t="shared" si="18"/>
        <v>-70.201123645475079</v>
      </c>
      <c r="Z67" s="65">
        <f t="shared" si="19"/>
        <v>-140.40224729095016</v>
      </c>
      <c r="AA67" s="65">
        <f t="shared" si="20"/>
        <v>-669.375</v>
      </c>
      <c r="AB67" s="62">
        <f t="shared" si="21"/>
        <v>7.4375</v>
      </c>
      <c r="AC67" s="65">
        <f t="shared" si="22"/>
        <v>-70.201123645475079</v>
      </c>
      <c r="AD67" s="65">
        <f t="shared" si="23"/>
        <v>0.78001248494972308</v>
      </c>
      <c r="AE67" s="69"/>
      <c r="AF67" s="68">
        <f t="shared" si="45"/>
        <v>2.6890051070930325</v>
      </c>
      <c r="AG67" s="44"/>
      <c r="AH67" s="121"/>
      <c r="AI67" s="23">
        <f t="shared" si="46"/>
        <v>-84.175972483854906</v>
      </c>
      <c r="AJ67" s="23">
        <f t="shared" si="47"/>
        <v>95.824027516145094</v>
      </c>
      <c r="AK67" s="65">
        <f t="shared" si="24"/>
        <v>-84.175972483854906</v>
      </c>
      <c r="AL67" s="65">
        <f t="shared" si="25"/>
        <v>0</v>
      </c>
      <c r="AM67" s="25"/>
      <c r="AN67" s="65">
        <f t="shared" si="26"/>
        <v>-68.198590513648185</v>
      </c>
      <c r="AO67" s="65">
        <f t="shared" si="27"/>
        <v>-136.39718102729637</v>
      </c>
      <c r="AP67" s="65">
        <f t="shared" si="28"/>
        <v>-334.6875</v>
      </c>
      <c r="AQ67" s="65">
        <f t="shared" si="29"/>
        <v>3.71875</v>
      </c>
      <c r="AR67" s="65">
        <f t="shared" si="30"/>
        <v>-68.198590513648185</v>
      </c>
      <c r="AS67" s="65">
        <f t="shared" si="31"/>
        <v>0.75776211681831318</v>
      </c>
      <c r="AT67" s="25"/>
      <c r="AU67" s="60">
        <f t="shared" si="32"/>
        <v>0.75776211681831318</v>
      </c>
      <c r="AV67" s="61">
        <f t="shared" si="33"/>
        <v>3.4467672239113458</v>
      </c>
    </row>
    <row r="68" spans="1:48" x14ac:dyDescent="0.25">
      <c r="A68" s="24">
        <f t="shared" si="48"/>
        <v>275</v>
      </c>
      <c r="B68" s="74">
        <f t="shared" si="34"/>
        <v>0.125</v>
      </c>
      <c r="C68" s="28"/>
      <c r="D68" s="65">
        <f t="shared" si="11"/>
        <v>-97.02</v>
      </c>
      <c r="E68" s="23">
        <f t="shared" si="35"/>
        <v>0.98</v>
      </c>
      <c r="F68" s="69"/>
      <c r="G68" s="65">
        <f t="shared" si="37"/>
        <v>-28.810793742973068</v>
      </c>
      <c r="H68" s="65">
        <f t="shared" si="38"/>
        <v>0</v>
      </c>
      <c r="I68" s="69"/>
      <c r="J68" s="65">
        <f t="shared" si="39"/>
        <v>-87.111616774937033</v>
      </c>
      <c r="K68" s="65">
        <f t="shared" si="40"/>
        <v>92.888383225062967</v>
      </c>
      <c r="L68" s="65">
        <f t="shared" si="12"/>
        <v>-87.111616774937033</v>
      </c>
      <c r="M68" s="65">
        <f t="shared" si="13"/>
        <v>0.87991532095895997</v>
      </c>
      <c r="N68" s="69"/>
      <c r="O68" s="65">
        <f t="shared" si="41"/>
        <v>-33.098393761832426</v>
      </c>
      <c r="P68" s="65">
        <f t="shared" si="42"/>
        <v>146.90160623816757</v>
      </c>
      <c r="Q68" s="65">
        <f t="shared" si="14"/>
        <v>-33.098393761832426</v>
      </c>
      <c r="R68" s="65">
        <f t="shared" si="15"/>
        <v>0</v>
      </c>
      <c r="S68" s="69"/>
      <c r="T68" s="65">
        <f t="shared" si="43"/>
        <v>-122.93223104134668</v>
      </c>
      <c r="U68" s="65">
        <f t="shared" si="44"/>
        <v>57.067768958653318</v>
      </c>
      <c r="V68" s="65">
        <f t="shared" si="16"/>
        <v>57.067768958653318</v>
      </c>
      <c r="W68" s="65">
        <f t="shared" si="17"/>
        <v>0</v>
      </c>
      <c r="X68" s="69"/>
      <c r="Y68" s="65">
        <f t="shared" si="18"/>
        <v>-71.878139752098647</v>
      </c>
      <c r="Z68" s="65">
        <f t="shared" si="19"/>
        <v>-143.75627950419729</v>
      </c>
      <c r="AA68" s="65">
        <f t="shared" si="20"/>
        <v>-736.3125</v>
      </c>
      <c r="AB68" s="62">
        <f t="shared" si="21"/>
        <v>7.4375</v>
      </c>
      <c r="AC68" s="65">
        <f t="shared" si="22"/>
        <v>-71.878139752098647</v>
      </c>
      <c r="AD68" s="65">
        <f t="shared" si="23"/>
        <v>0.72604181567776416</v>
      </c>
      <c r="AE68" s="69"/>
      <c r="AF68" s="68">
        <f t="shared" si="45"/>
        <v>2.7109571366367238</v>
      </c>
      <c r="AG68" s="44"/>
      <c r="AH68" s="121"/>
      <c r="AI68" s="23">
        <f t="shared" si="46"/>
        <v>-98.301395122694743</v>
      </c>
      <c r="AJ68" s="23">
        <f t="shared" si="47"/>
        <v>81.698604877305257</v>
      </c>
      <c r="AK68" s="65">
        <f t="shared" si="24"/>
        <v>81.698604877305257</v>
      </c>
      <c r="AL68" s="65">
        <f t="shared" si="25"/>
        <v>0</v>
      </c>
      <c r="AM68" s="25"/>
      <c r="AN68" s="65">
        <f t="shared" si="26"/>
        <v>-70.01689347810003</v>
      </c>
      <c r="AO68" s="65">
        <f t="shared" si="27"/>
        <v>-140.03378695620006</v>
      </c>
      <c r="AP68" s="65">
        <f t="shared" si="28"/>
        <v>-368.15625</v>
      </c>
      <c r="AQ68" s="65">
        <f t="shared" si="29"/>
        <v>3.71875</v>
      </c>
      <c r="AR68" s="65">
        <f t="shared" si="30"/>
        <v>-70.01689347810003</v>
      </c>
      <c r="AS68" s="65">
        <f t="shared" si="31"/>
        <v>0.7072413482636366</v>
      </c>
      <c r="AT68" s="25"/>
      <c r="AU68" s="60">
        <f t="shared" si="32"/>
        <v>0.7072413482636366</v>
      </c>
      <c r="AV68" s="61">
        <f t="shared" si="33"/>
        <v>3.4181984849003602</v>
      </c>
    </row>
    <row r="69" spans="1:48" x14ac:dyDescent="0.25">
      <c r="A69" s="24">
        <f t="shared" si="48"/>
        <v>300</v>
      </c>
      <c r="B69" s="74">
        <f t="shared" si="34"/>
        <v>0.125</v>
      </c>
      <c r="C69" s="28"/>
      <c r="D69" s="65">
        <f t="shared" si="11"/>
        <v>-105.84</v>
      </c>
      <c r="E69" s="23">
        <f t="shared" si="35"/>
        <v>0.98</v>
      </c>
      <c r="F69" s="69"/>
      <c r="G69" s="65">
        <f t="shared" si="37"/>
        <v>-30.963756532073521</v>
      </c>
      <c r="H69" s="65">
        <f t="shared" si="38"/>
        <v>0</v>
      </c>
      <c r="I69" s="69"/>
      <c r="J69" s="65">
        <f t="shared" si="39"/>
        <v>-100.94218540900938</v>
      </c>
      <c r="K69" s="65">
        <f t="shared" si="40"/>
        <v>79.057814590990617</v>
      </c>
      <c r="L69" s="65">
        <f t="shared" si="12"/>
        <v>79.057814590990617</v>
      </c>
      <c r="M69" s="65">
        <f t="shared" si="13"/>
        <v>0.73201680176843165</v>
      </c>
      <c r="N69" s="69"/>
      <c r="O69" s="65">
        <f t="shared" si="41"/>
        <v>-40.601294645004472</v>
      </c>
      <c r="P69" s="65">
        <f t="shared" si="42"/>
        <v>139.39870535499551</v>
      </c>
      <c r="Q69" s="65">
        <f t="shared" si="14"/>
        <v>-40.601294645004472</v>
      </c>
      <c r="R69" s="65">
        <f t="shared" si="15"/>
        <v>0</v>
      </c>
      <c r="S69" s="69"/>
      <c r="T69" s="65">
        <f t="shared" si="43"/>
        <v>-129.80557109226521</v>
      </c>
      <c r="U69" s="65">
        <f t="shared" si="44"/>
        <v>50.194428907734789</v>
      </c>
      <c r="V69" s="65">
        <f t="shared" si="16"/>
        <v>50.194428907734789</v>
      </c>
      <c r="W69" s="65">
        <f t="shared" si="17"/>
        <v>0</v>
      </c>
      <c r="X69" s="69"/>
      <c r="Y69" s="65">
        <f t="shared" si="18"/>
        <v>-73.300755766006375</v>
      </c>
      <c r="Z69" s="65">
        <f t="shared" si="19"/>
        <v>-146.60151153201275</v>
      </c>
      <c r="AA69" s="65">
        <f t="shared" si="20"/>
        <v>-803.25</v>
      </c>
      <c r="AB69" s="62">
        <f t="shared" si="21"/>
        <v>7.4375</v>
      </c>
      <c r="AC69" s="65">
        <f t="shared" si="22"/>
        <v>-73.300755766006375</v>
      </c>
      <c r="AD69" s="65">
        <f t="shared" si="23"/>
        <v>0.67871070153709612</v>
      </c>
      <c r="AE69" s="69"/>
      <c r="AF69" s="68">
        <f t="shared" si="45"/>
        <v>2.515727503305528</v>
      </c>
      <c r="AG69" s="44"/>
      <c r="AH69" s="121"/>
      <c r="AI69" s="23">
        <f t="shared" si="46"/>
        <v>-110.47227951974192</v>
      </c>
      <c r="AJ69" s="23">
        <f t="shared" si="47"/>
        <v>69.527720480258083</v>
      </c>
      <c r="AK69" s="65">
        <f t="shared" si="24"/>
        <v>69.527720480258083</v>
      </c>
      <c r="AL69" s="65">
        <f t="shared" si="25"/>
        <v>0</v>
      </c>
      <c r="AM69" s="25"/>
      <c r="AN69" s="65">
        <f t="shared" si="26"/>
        <v>-71.56505117707799</v>
      </c>
      <c r="AO69" s="65">
        <f t="shared" si="27"/>
        <v>-143.13010235415598</v>
      </c>
      <c r="AP69" s="65">
        <f t="shared" si="28"/>
        <v>-401.625</v>
      </c>
      <c r="AQ69" s="65">
        <f t="shared" si="29"/>
        <v>3.71875</v>
      </c>
      <c r="AR69" s="65">
        <f t="shared" si="30"/>
        <v>-71.56505117707799</v>
      </c>
      <c r="AS69" s="65">
        <f t="shared" si="31"/>
        <v>0.66263936275072222</v>
      </c>
      <c r="AT69" s="25"/>
      <c r="AU69" s="60">
        <f t="shared" si="32"/>
        <v>0.66263936275072222</v>
      </c>
      <c r="AV69" s="61">
        <f t="shared" si="33"/>
        <v>3.1783668660562503</v>
      </c>
    </row>
    <row r="70" spans="1:48" x14ac:dyDescent="0.25">
      <c r="A70" s="24">
        <f t="shared" si="48"/>
        <v>325</v>
      </c>
      <c r="B70" s="74">
        <f t="shared" si="34"/>
        <v>0.125</v>
      </c>
      <c r="C70" s="28"/>
      <c r="D70" s="65">
        <f t="shared" si="11"/>
        <v>-114.66</v>
      </c>
      <c r="E70" s="23">
        <f t="shared" si="35"/>
        <v>0.98</v>
      </c>
      <c r="F70" s="69"/>
      <c r="G70" s="65">
        <f t="shared" si="37"/>
        <v>-33.023867555796649</v>
      </c>
      <c r="H70" s="65">
        <f t="shared" si="38"/>
        <v>0</v>
      </c>
      <c r="I70" s="69"/>
      <c r="J70" s="65">
        <f t="shared" si="39"/>
        <v>-112.72618527918877</v>
      </c>
      <c r="K70" s="65">
        <f t="shared" si="40"/>
        <v>67.273814720811231</v>
      </c>
      <c r="L70" s="65">
        <f t="shared" si="12"/>
        <v>67.273814720811231</v>
      </c>
      <c r="M70" s="65">
        <f t="shared" si="13"/>
        <v>0.57498986940864294</v>
      </c>
      <c r="N70" s="69"/>
      <c r="O70" s="65">
        <f t="shared" si="41"/>
        <v>-50.086221709634628</v>
      </c>
      <c r="P70" s="65">
        <f t="shared" si="42"/>
        <v>129.91377829036537</v>
      </c>
      <c r="Q70" s="65">
        <f t="shared" si="14"/>
        <v>-50.086221709634628</v>
      </c>
      <c r="R70" s="65">
        <f t="shared" si="15"/>
        <v>0</v>
      </c>
      <c r="S70" s="69"/>
      <c r="T70" s="65">
        <f t="shared" si="43"/>
        <v>-135.27414039373321</v>
      </c>
      <c r="U70" s="65">
        <f t="shared" si="44"/>
        <v>44.725859606266795</v>
      </c>
      <c r="V70" s="65">
        <f t="shared" si="16"/>
        <v>44.725859606266795</v>
      </c>
      <c r="W70" s="65">
        <f t="shared" si="17"/>
        <v>0</v>
      </c>
      <c r="X70" s="69"/>
      <c r="Y70" s="65">
        <f t="shared" si="18"/>
        <v>-74.52136183458164</v>
      </c>
      <c r="Z70" s="65">
        <f t="shared" si="19"/>
        <v>-149.04272366916328</v>
      </c>
      <c r="AA70" s="65">
        <f t="shared" si="20"/>
        <v>-870.1875</v>
      </c>
      <c r="AB70" s="62">
        <f t="shared" si="21"/>
        <v>7.4375</v>
      </c>
      <c r="AC70" s="65">
        <f t="shared" si="22"/>
        <v>-74.52136183458164</v>
      </c>
      <c r="AD70" s="65">
        <f t="shared" si="23"/>
        <v>0.63693471653488576</v>
      </c>
      <c r="AE70" s="69"/>
      <c r="AF70" s="68">
        <f t="shared" si="45"/>
        <v>2.3169245859435286</v>
      </c>
      <c r="AG70" s="44"/>
      <c r="AH70" s="121"/>
      <c r="AI70" s="23">
        <f t="shared" si="46"/>
        <v>-120.32763411913386</v>
      </c>
      <c r="AJ70" s="23">
        <f t="shared" si="47"/>
        <v>59.672365880866138</v>
      </c>
      <c r="AK70" s="65">
        <f t="shared" si="24"/>
        <v>59.672365880866138</v>
      </c>
      <c r="AL70" s="65">
        <f t="shared" si="25"/>
        <v>0</v>
      </c>
      <c r="AM70" s="25"/>
      <c r="AN70" s="65">
        <f t="shared" si="26"/>
        <v>-72.897271030947635</v>
      </c>
      <c r="AO70" s="65">
        <f t="shared" si="27"/>
        <v>-145.79454206189527</v>
      </c>
      <c r="AP70" s="65">
        <f t="shared" si="28"/>
        <v>-435.09375</v>
      </c>
      <c r="AQ70" s="65">
        <f t="shared" si="29"/>
        <v>3.71875</v>
      </c>
      <c r="AR70" s="65">
        <f t="shared" si="30"/>
        <v>-72.897271030947635</v>
      </c>
      <c r="AS70" s="65">
        <f t="shared" si="31"/>
        <v>0.623053598555108</v>
      </c>
      <c r="AT70" s="25"/>
      <c r="AU70" s="60">
        <f t="shared" si="32"/>
        <v>0.623053598555108</v>
      </c>
      <c r="AV70" s="61">
        <f t="shared" si="33"/>
        <v>2.9399781844986368</v>
      </c>
    </row>
    <row r="71" spans="1:48" x14ac:dyDescent="0.25">
      <c r="A71" s="24">
        <f t="shared" si="48"/>
        <v>350</v>
      </c>
      <c r="B71" s="74">
        <f t="shared" si="34"/>
        <v>0.125</v>
      </c>
      <c r="C71" s="28"/>
      <c r="D71" s="65">
        <f t="shared" si="11"/>
        <v>-123.48</v>
      </c>
      <c r="E71" s="23">
        <f t="shared" si="35"/>
        <v>0.98</v>
      </c>
      <c r="F71" s="69"/>
      <c r="G71" s="65">
        <f t="shared" si="37"/>
        <v>-34.992020198558656</v>
      </c>
      <c r="H71" s="65">
        <f t="shared" si="38"/>
        <v>0</v>
      </c>
      <c r="I71" s="69"/>
      <c r="J71" s="65">
        <f t="shared" si="39"/>
        <v>-122.21092772367376</v>
      </c>
      <c r="K71" s="65">
        <f t="shared" si="40"/>
        <v>57.789072276326237</v>
      </c>
      <c r="L71" s="65">
        <f t="shared" si="12"/>
        <v>57.789072276326237</v>
      </c>
      <c r="M71" s="65">
        <f t="shared" si="13"/>
        <v>0.45864343076449399</v>
      </c>
      <c r="N71" s="69"/>
      <c r="O71" s="65">
        <f t="shared" si="41"/>
        <v>-61.821409890040826</v>
      </c>
      <c r="P71" s="65">
        <f t="shared" si="42"/>
        <v>118.17859010995917</v>
      </c>
      <c r="Q71" s="65">
        <f t="shared" si="14"/>
        <v>-61.821409890040826</v>
      </c>
      <c r="R71" s="65">
        <f t="shared" si="15"/>
        <v>0</v>
      </c>
      <c r="S71" s="69"/>
      <c r="T71" s="65">
        <f t="shared" si="43"/>
        <v>-139.6858998395027</v>
      </c>
      <c r="U71" s="65">
        <f t="shared" si="44"/>
        <v>40.314100160497304</v>
      </c>
      <c r="V71" s="65">
        <f t="shared" si="16"/>
        <v>40.314100160497304</v>
      </c>
      <c r="W71" s="65">
        <f t="shared" si="17"/>
        <v>0</v>
      </c>
      <c r="X71" s="69"/>
      <c r="Y71" s="65">
        <f t="shared" si="18"/>
        <v>-75.579226872489031</v>
      </c>
      <c r="Z71" s="65">
        <f t="shared" si="19"/>
        <v>-151.15845374497806</v>
      </c>
      <c r="AA71" s="65">
        <f t="shared" si="20"/>
        <v>-937.125</v>
      </c>
      <c r="AB71" s="62">
        <f t="shared" si="21"/>
        <v>7.4375</v>
      </c>
      <c r="AC71" s="65">
        <f t="shared" si="22"/>
        <v>-75.579226872489031</v>
      </c>
      <c r="AD71" s="65">
        <f t="shared" si="23"/>
        <v>0.59983513390864318</v>
      </c>
      <c r="AE71" s="69"/>
      <c r="AF71" s="68">
        <f t="shared" si="45"/>
        <v>2.1634785646731372</v>
      </c>
      <c r="AG71" s="44"/>
      <c r="AH71" s="121"/>
      <c r="AI71" s="23">
        <f t="shared" si="46"/>
        <v>-128.10658319420742</v>
      </c>
      <c r="AJ71" s="23">
        <f t="shared" si="47"/>
        <v>51.893416805792583</v>
      </c>
      <c r="AK71" s="65">
        <f t="shared" si="24"/>
        <v>51.893416805792583</v>
      </c>
      <c r="AL71" s="65">
        <f t="shared" si="25"/>
        <v>0</v>
      </c>
      <c r="AM71" s="25"/>
      <c r="AN71" s="65">
        <f t="shared" si="26"/>
        <v>-74.054604099077153</v>
      </c>
      <c r="AO71" s="65">
        <f t="shared" si="27"/>
        <v>-148.10920819815431</v>
      </c>
      <c r="AP71" s="65">
        <f t="shared" si="28"/>
        <v>-468.5625</v>
      </c>
      <c r="AQ71" s="65">
        <f t="shared" si="29"/>
        <v>3.71875</v>
      </c>
      <c r="AR71" s="65">
        <f t="shared" si="30"/>
        <v>-74.054604099077153</v>
      </c>
      <c r="AS71" s="65">
        <f t="shared" si="31"/>
        <v>0.58773495316727897</v>
      </c>
      <c r="AT71" s="25"/>
      <c r="AU71" s="60">
        <f t="shared" si="32"/>
        <v>0.58773495316727897</v>
      </c>
      <c r="AV71" s="61">
        <f t="shared" si="33"/>
        <v>2.7512135178404162</v>
      </c>
    </row>
    <row r="72" spans="1:48" x14ac:dyDescent="0.25">
      <c r="A72" s="24">
        <f t="shared" si="48"/>
        <v>375</v>
      </c>
      <c r="B72" s="74">
        <f t="shared" si="34"/>
        <v>0.125</v>
      </c>
      <c r="C72" s="28"/>
      <c r="D72" s="65">
        <f t="shared" si="11"/>
        <v>-132.30000000000001</v>
      </c>
      <c r="E72" s="23">
        <f t="shared" si="35"/>
        <v>0.98</v>
      </c>
      <c r="F72" s="69"/>
      <c r="G72" s="65">
        <f t="shared" si="37"/>
        <v>-36.86989764584402</v>
      </c>
      <c r="H72" s="65">
        <f t="shared" si="38"/>
        <v>0</v>
      </c>
      <c r="I72" s="69"/>
      <c r="J72" s="65">
        <f t="shared" si="39"/>
        <v>-129.68136299490706</v>
      </c>
      <c r="K72" s="65">
        <f t="shared" si="40"/>
        <v>50.318637005092938</v>
      </c>
      <c r="L72" s="65">
        <f t="shared" si="12"/>
        <v>50.318637005092938</v>
      </c>
      <c r="M72" s="65">
        <f t="shared" si="13"/>
        <v>0.37273064448216991</v>
      </c>
      <c r="N72" s="69"/>
      <c r="O72" s="65">
        <f t="shared" si="41"/>
        <v>-75.515266439677021</v>
      </c>
      <c r="P72" s="65">
        <f t="shared" si="42"/>
        <v>104.48473356032298</v>
      </c>
      <c r="Q72" s="65">
        <f t="shared" si="14"/>
        <v>-75.515266439677021</v>
      </c>
      <c r="R72" s="65">
        <f t="shared" si="15"/>
        <v>0</v>
      </c>
      <c r="S72" s="69"/>
      <c r="T72" s="65">
        <f t="shared" si="43"/>
        <v>-143.30130437306101</v>
      </c>
      <c r="U72" s="65">
        <f t="shared" si="44"/>
        <v>36.698695626938985</v>
      </c>
      <c r="V72" s="65">
        <f t="shared" si="16"/>
        <v>36.698695626938985</v>
      </c>
      <c r="W72" s="65">
        <f t="shared" si="17"/>
        <v>0</v>
      </c>
      <c r="X72" s="69"/>
      <c r="Y72" s="65">
        <f t="shared" si="18"/>
        <v>-76.504266719204196</v>
      </c>
      <c r="Z72" s="65">
        <f t="shared" si="19"/>
        <v>-153.00853343840839</v>
      </c>
      <c r="AA72" s="65">
        <f t="shared" si="20"/>
        <v>-1004.0625</v>
      </c>
      <c r="AB72" s="62">
        <f t="shared" si="21"/>
        <v>7.4375</v>
      </c>
      <c r="AC72" s="65">
        <f t="shared" si="22"/>
        <v>-76.504266719204196</v>
      </c>
      <c r="AD72" s="65">
        <f t="shared" si="23"/>
        <v>0.56669827199410516</v>
      </c>
      <c r="AE72" s="69"/>
      <c r="AF72" s="68">
        <f t="shared" si="45"/>
        <v>2.0444289164762752</v>
      </c>
      <c r="AG72" s="44"/>
      <c r="AH72" s="121"/>
      <c r="AI72" s="23">
        <f t="shared" si="46"/>
        <v>-134.2355855398489</v>
      </c>
      <c r="AJ72" s="23">
        <f t="shared" si="47"/>
        <v>45.764414460151102</v>
      </c>
      <c r="AK72" s="65">
        <f t="shared" si="24"/>
        <v>45.764414460151102</v>
      </c>
      <c r="AL72" s="65">
        <f t="shared" si="25"/>
        <v>0</v>
      </c>
      <c r="AM72" s="25"/>
      <c r="AN72" s="65">
        <f t="shared" si="26"/>
        <v>-75.068582821862435</v>
      </c>
      <c r="AO72" s="65">
        <f t="shared" si="27"/>
        <v>-150.13716564372487</v>
      </c>
      <c r="AP72" s="65">
        <f t="shared" si="28"/>
        <v>-502.03125</v>
      </c>
      <c r="AQ72" s="65">
        <f t="shared" si="29"/>
        <v>3.71875</v>
      </c>
      <c r="AR72" s="65">
        <f t="shared" si="30"/>
        <v>-75.068582821862435</v>
      </c>
      <c r="AS72" s="65">
        <f t="shared" si="31"/>
        <v>0.55606357645824023</v>
      </c>
      <c r="AT72" s="25"/>
      <c r="AU72" s="60">
        <f t="shared" si="32"/>
        <v>0.55606357645824023</v>
      </c>
      <c r="AV72" s="61">
        <f t="shared" si="33"/>
        <v>2.6004924929345155</v>
      </c>
    </row>
    <row r="73" spans="1:48" x14ac:dyDescent="0.25">
      <c r="A73" s="24">
        <f t="shared" si="48"/>
        <v>400</v>
      </c>
      <c r="B73" s="74">
        <f t="shared" si="34"/>
        <v>0.125</v>
      </c>
      <c r="C73" s="28"/>
      <c r="D73" s="65">
        <f t="shared" si="11"/>
        <v>-141.12</v>
      </c>
      <c r="E73" s="23">
        <f t="shared" si="35"/>
        <v>0.98</v>
      </c>
      <c r="F73" s="69"/>
      <c r="G73" s="65">
        <f t="shared" si="37"/>
        <v>-38.659808254090095</v>
      </c>
      <c r="H73" s="65">
        <f t="shared" si="38"/>
        <v>0</v>
      </c>
      <c r="I73" s="69"/>
      <c r="J73" s="65">
        <f t="shared" si="39"/>
        <v>-135.56726640985795</v>
      </c>
      <c r="K73" s="65">
        <f t="shared" si="40"/>
        <v>44.43273359014205</v>
      </c>
      <c r="L73" s="65">
        <f t="shared" si="12"/>
        <v>44.43273359014205</v>
      </c>
      <c r="M73" s="65">
        <f t="shared" si="13"/>
        <v>0.30856064993154197</v>
      </c>
      <c r="N73" s="69"/>
      <c r="O73" s="65">
        <f t="shared" si="41"/>
        <v>-90</v>
      </c>
      <c r="P73" s="65">
        <f t="shared" si="42"/>
        <v>90</v>
      </c>
      <c r="Q73" s="65">
        <f t="shared" si="14"/>
        <v>-90</v>
      </c>
      <c r="R73" s="65">
        <f t="shared" si="15"/>
        <v>0</v>
      </c>
      <c r="S73" s="69"/>
      <c r="T73" s="65">
        <f t="shared" si="43"/>
        <v>-146.30993247402023</v>
      </c>
      <c r="U73" s="65">
        <f t="shared" si="44"/>
        <v>33.690067525979771</v>
      </c>
      <c r="V73" s="65">
        <f t="shared" si="16"/>
        <v>33.690067525979771</v>
      </c>
      <c r="W73" s="65">
        <f t="shared" si="17"/>
        <v>0</v>
      </c>
      <c r="X73" s="69"/>
      <c r="Y73" s="65">
        <f t="shared" si="18"/>
        <v>-77.319616508180175</v>
      </c>
      <c r="Z73" s="65">
        <f t="shared" si="19"/>
        <v>-154.63923301636035</v>
      </c>
      <c r="AA73" s="65">
        <f t="shared" si="20"/>
        <v>-1071</v>
      </c>
      <c r="AB73" s="62">
        <f t="shared" si="21"/>
        <v>7.4375</v>
      </c>
      <c r="AC73" s="65">
        <f t="shared" si="22"/>
        <v>-77.319616508180175</v>
      </c>
      <c r="AD73" s="65">
        <f t="shared" si="23"/>
        <v>0.53694178130680681</v>
      </c>
      <c r="AE73" s="69"/>
      <c r="AF73" s="68">
        <f t="shared" si="45"/>
        <v>1.9505024312383488</v>
      </c>
      <c r="AG73" s="44"/>
      <c r="AH73" s="121"/>
      <c r="AI73" s="23">
        <f t="shared" si="46"/>
        <v>-139.11395764139627</v>
      </c>
      <c r="AJ73" s="23">
        <f t="shared" si="47"/>
        <v>40.886042358603731</v>
      </c>
      <c r="AK73" s="65">
        <f t="shared" si="24"/>
        <v>40.886042358603731</v>
      </c>
      <c r="AL73" s="65">
        <f t="shared" si="25"/>
        <v>0</v>
      </c>
      <c r="AM73" s="25"/>
      <c r="AN73" s="65">
        <f t="shared" si="26"/>
        <v>-75.963756532073532</v>
      </c>
      <c r="AO73" s="65">
        <f t="shared" si="27"/>
        <v>-151.92751306414706</v>
      </c>
      <c r="AP73" s="65">
        <f t="shared" si="28"/>
        <v>-535.5</v>
      </c>
      <c r="AQ73" s="65">
        <f t="shared" si="29"/>
        <v>3.71875</v>
      </c>
      <c r="AR73" s="65">
        <f t="shared" si="30"/>
        <v>-75.963756532073532</v>
      </c>
      <c r="AS73" s="65">
        <f t="shared" si="31"/>
        <v>0.5275260870282884</v>
      </c>
      <c r="AT73" s="25"/>
      <c r="AU73" s="60">
        <f t="shared" si="32"/>
        <v>0.5275260870282884</v>
      </c>
      <c r="AV73" s="61">
        <f t="shared" si="33"/>
        <v>2.4780285182666373</v>
      </c>
    </row>
    <row r="74" spans="1:48" x14ac:dyDescent="0.25">
      <c r="A74" s="24">
        <f t="shared" si="48"/>
        <v>425</v>
      </c>
      <c r="B74" s="74">
        <f t="shared" si="34"/>
        <v>0.125</v>
      </c>
      <c r="C74" s="28"/>
      <c r="D74" s="65">
        <f t="shared" si="11"/>
        <v>-149.94</v>
      </c>
      <c r="E74" s="23">
        <f t="shared" si="35"/>
        <v>0.98</v>
      </c>
      <c r="F74" s="69"/>
      <c r="G74" s="65">
        <f t="shared" si="37"/>
        <v>-40.364536573097361</v>
      </c>
      <c r="H74" s="65">
        <f t="shared" si="38"/>
        <v>0</v>
      </c>
      <c r="I74" s="69"/>
      <c r="J74" s="65">
        <f t="shared" si="39"/>
        <v>-140.25650597879053</v>
      </c>
      <c r="K74" s="65">
        <f t="shared" si="40"/>
        <v>39.743494021209472</v>
      </c>
      <c r="L74" s="65">
        <f t="shared" si="12"/>
        <v>39.743494021209472</v>
      </c>
      <c r="M74" s="65">
        <f t="shared" si="13"/>
        <v>0.25976139883143445</v>
      </c>
      <c r="N74" s="69"/>
      <c r="O74" s="65">
        <f t="shared" si="41"/>
        <v>-103.63905205237204</v>
      </c>
      <c r="P74" s="65">
        <f t="shared" si="42"/>
        <v>76.360947947627963</v>
      </c>
      <c r="Q74" s="65">
        <f t="shared" si="14"/>
        <v>76.360947947627963</v>
      </c>
      <c r="R74" s="65">
        <f t="shared" si="15"/>
        <v>0</v>
      </c>
      <c r="S74" s="69"/>
      <c r="T74" s="65">
        <f t="shared" si="43"/>
        <v>-148.84936944201144</v>
      </c>
      <c r="U74" s="65">
        <f t="shared" si="44"/>
        <v>31.150630557988563</v>
      </c>
      <c r="V74" s="65">
        <f t="shared" si="16"/>
        <v>31.150630557988563</v>
      </c>
      <c r="W74" s="65">
        <f t="shared" si="17"/>
        <v>0</v>
      </c>
      <c r="X74" s="69"/>
      <c r="Y74" s="65">
        <f t="shared" si="18"/>
        <v>-78.043415756850877</v>
      </c>
      <c r="Z74" s="65">
        <f t="shared" si="19"/>
        <v>-156.08683151370175</v>
      </c>
      <c r="AA74" s="65">
        <f t="shared" si="20"/>
        <v>-1137.9375</v>
      </c>
      <c r="AB74" s="62">
        <f t="shared" si="21"/>
        <v>7.4375</v>
      </c>
      <c r="AC74" s="65">
        <f t="shared" si="22"/>
        <v>-78.043415756850877</v>
      </c>
      <c r="AD74" s="65">
        <f t="shared" si="23"/>
        <v>0.51008768468529986</v>
      </c>
      <c r="AE74" s="69"/>
      <c r="AF74" s="68">
        <f t="shared" si="45"/>
        <v>1.8748490835167342</v>
      </c>
      <c r="AG74" s="44"/>
      <c r="AH74" s="121"/>
      <c r="AI74" s="23">
        <f t="shared" si="46"/>
        <v>-143.05515034479697</v>
      </c>
      <c r="AJ74" s="23">
        <f t="shared" si="47"/>
        <v>36.944849655203029</v>
      </c>
      <c r="AK74" s="65">
        <f t="shared" si="24"/>
        <v>36.944849655203029</v>
      </c>
      <c r="AL74" s="65">
        <f t="shared" si="25"/>
        <v>0</v>
      </c>
      <c r="AM74" s="25"/>
      <c r="AN74" s="65">
        <f t="shared" si="26"/>
        <v>-76.759480084812807</v>
      </c>
      <c r="AO74" s="65">
        <f t="shared" si="27"/>
        <v>-153.51896016962561</v>
      </c>
      <c r="AP74" s="65">
        <f t="shared" si="28"/>
        <v>-568.96875</v>
      </c>
      <c r="AQ74" s="65">
        <f t="shared" si="29"/>
        <v>3.71875</v>
      </c>
      <c r="AR74" s="65">
        <f t="shared" si="30"/>
        <v>-76.759480084812807</v>
      </c>
      <c r="AS74" s="65">
        <f t="shared" si="31"/>
        <v>0.50169594826675046</v>
      </c>
      <c r="AT74" s="25"/>
      <c r="AU74" s="60">
        <f t="shared" si="32"/>
        <v>0.50169594826675046</v>
      </c>
      <c r="AV74" s="61">
        <f t="shared" si="33"/>
        <v>2.3765450317834844</v>
      </c>
    </row>
    <row r="75" spans="1:48" x14ac:dyDescent="0.25">
      <c r="A75" s="24">
        <f t="shared" si="48"/>
        <v>450</v>
      </c>
      <c r="B75" s="74">
        <f t="shared" si="34"/>
        <v>0.125</v>
      </c>
      <c r="C75" s="28"/>
      <c r="D75" s="65">
        <f t="shared" si="11"/>
        <v>-158.76</v>
      </c>
      <c r="E75" s="23">
        <f t="shared" si="35"/>
        <v>0.98</v>
      </c>
      <c r="F75" s="69"/>
      <c r="G75" s="65">
        <f t="shared" si="37"/>
        <v>-41.987212495816664</v>
      </c>
      <c r="H75" s="65">
        <f t="shared" si="38"/>
        <v>0</v>
      </c>
      <c r="I75" s="69"/>
      <c r="J75" s="65">
        <f t="shared" si="39"/>
        <v>-144.04956685095445</v>
      </c>
      <c r="K75" s="65">
        <f t="shared" si="40"/>
        <v>35.950433149045551</v>
      </c>
      <c r="L75" s="65">
        <f t="shared" si="12"/>
        <v>35.950433149045551</v>
      </c>
      <c r="M75" s="65">
        <f t="shared" si="13"/>
        <v>0.22191625400645401</v>
      </c>
      <c r="N75" s="69"/>
      <c r="O75" s="65">
        <f t="shared" si="41"/>
        <v>-115.27772223555294</v>
      </c>
      <c r="P75" s="65">
        <f t="shared" si="42"/>
        <v>64.722277764447057</v>
      </c>
      <c r="Q75" s="65">
        <f t="shared" si="14"/>
        <v>64.722277764447057</v>
      </c>
      <c r="R75" s="65">
        <f t="shared" si="15"/>
        <v>0</v>
      </c>
      <c r="S75" s="69"/>
      <c r="T75" s="65">
        <f t="shared" si="43"/>
        <v>-151.02029230207123</v>
      </c>
      <c r="U75" s="65">
        <f t="shared" si="44"/>
        <v>28.979707697928774</v>
      </c>
      <c r="V75" s="65">
        <f t="shared" si="16"/>
        <v>28.979707697928774</v>
      </c>
      <c r="W75" s="65">
        <f t="shared" si="17"/>
        <v>0</v>
      </c>
      <c r="X75" s="69"/>
      <c r="Y75" s="65">
        <f t="shared" si="18"/>
        <v>-78.690067525979785</v>
      </c>
      <c r="Z75" s="65">
        <f t="shared" si="19"/>
        <v>-157.38013505195957</v>
      </c>
      <c r="AA75" s="65">
        <f t="shared" si="20"/>
        <v>-1204.875</v>
      </c>
      <c r="AB75" s="62">
        <f t="shared" si="21"/>
        <v>7.4375</v>
      </c>
      <c r="AC75" s="65">
        <f t="shared" si="22"/>
        <v>-78.690067525979785</v>
      </c>
      <c r="AD75" s="65">
        <f t="shared" si="23"/>
        <v>0.48574115756777647</v>
      </c>
      <c r="AE75" s="69"/>
      <c r="AF75" s="68">
        <f t="shared" si="45"/>
        <v>1.8126574115742304</v>
      </c>
      <c r="AG75" s="44"/>
      <c r="AH75" s="121"/>
      <c r="AI75" s="23">
        <f t="shared" si="46"/>
        <v>-146.29033412365987</v>
      </c>
      <c r="AJ75" s="23">
        <f t="shared" si="47"/>
        <v>33.709665876340125</v>
      </c>
      <c r="AK75" s="65">
        <f t="shared" si="24"/>
        <v>33.709665876340125</v>
      </c>
      <c r="AL75" s="65">
        <f t="shared" si="25"/>
        <v>0</v>
      </c>
      <c r="AM75" s="25"/>
      <c r="AN75" s="65">
        <f t="shared" si="26"/>
        <v>-77.471192290848492</v>
      </c>
      <c r="AO75" s="65">
        <f t="shared" si="27"/>
        <v>-154.94238458169698</v>
      </c>
      <c r="AP75" s="65">
        <f t="shared" si="28"/>
        <v>-602.4375</v>
      </c>
      <c r="AQ75" s="65">
        <f t="shared" si="29"/>
        <v>3.71875</v>
      </c>
      <c r="AR75" s="65">
        <f t="shared" si="30"/>
        <v>-77.471192290848492</v>
      </c>
      <c r="AS75" s="65">
        <f t="shared" si="31"/>
        <v>0.4782172363632623</v>
      </c>
      <c r="AT75" s="25"/>
      <c r="AU75" s="60">
        <f t="shared" si="32"/>
        <v>0.4782172363632623</v>
      </c>
      <c r="AV75" s="61">
        <f t="shared" si="33"/>
        <v>2.2908746479374926</v>
      </c>
    </row>
    <row r="76" spans="1:48" x14ac:dyDescent="0.25">
      <c r="A76" s="24">
        <f t="shared" si="48"/>
        <v>475</v>
      </c>
      <c r="B76" s="74">
        <f t="shared" si="34"/>
        <v>0.125</v>
      </c>
      <c r="C76" s="28"/>
      <c r="D76" s="65">
        <f t="shared" si="11"/>
        <v>-167.58</v>
      </c>
      <c r="E76" s="23">
        <f t="shared" si="35"/>
        <v>0.98</v>
      </c>
      <c r="F76" s="69"/>
      <c r="G76" s="65">
        <f t="shared" si="37"/>
        <v>-43.531199285614171</v>
      </c>
      <c r="H76" s="65">
        <f t="shared" si="38"/>
        <v>0</v>
      </c>
      <c r="I76" s="69"/>
      <c r="J76" s="65">
        <f t="shared" si="39"/>
        <v>-147.16702627781743</v>
      </c>
      <c r="K76" s="65">
        <f t="shared" si="40"/>
        <v>32.832973722182572</v>
      </c>
      <c r="L76" s="65">
        <f t="shared" si="12"/>
        <v>32.832973722182572</v>
      </c>
      <c r="M76" s="65">
        <f t="shared" si="13"/>
        <v>0.19200569428176942</v>
      </c>
      <c r="N76" s="69"/>
      <c r="O76" s="65">
        <f t="shared" si="41"/>
        <v>-124.63630817755289</v>
      </c>
      <c r="P76" s="65">
        <f t="shared" si="42"/>
        <v>55.363691822447109</v>
      </c>
      <c r="Q76" s="65">
        <f t="shared" si="14"/>
        <v>55.363691822447109</v>
      </c>
      <c r="R76" s="65">
        <f t="shared" si="15"/>
        <v>0</v>
      </c>
      <c r="S76" s="69"/>
      <c r="T76" s="65">
        <f t="shared" si="43"/>
        <v>-152.89733664317416</v>
      </c>
      <c r="U76" s="65">
        <f t="shared" si="44"/>
        <v>27.102663356825843</v>
      </c>
      <c r="V76" s="65">
        <f t="shared" si="16"/>
        <v>27.102663356825843</v>
      </c>
      <c r="W76" s="65">
        <f t="shared" si="17"/>
        <v>0</v>
      </c>
      <c r="X76" s="69"/>
      <c r="Y76" s="65">
        <f t="shared" si="18"/>
        <v>-79.27114070198995</v>
      </c>
      <c r="Z76" s="65">
        <f t="shared" si="19"/>
        <v>-158.5422814039799</v>
      </c>
      <c r="AA76" s="65">
        <f t="shared" si="20"/>
        <v>-1271.8125</v>
      </c>
      <c r="AB76" s="62">
        <f t="shared" si="21"/>
        <v>7.4375</v>
      </c>
      <c r="AC76" s="65">
        <f t="shared" si="22"/>
        <v>-79.27114070198995</v>
      </c>
      <c r="AD76" s="65">
        <f t="shared" si="23"/>
        <v>0.4635739222338594</v>
      </c>
      <c r="AE76" s="69"/>
      <c r="AF76" s="68">
        <f t="shared" si="45"/>
        <v>1.7605796165156287</v>
      </c>
      <c r="AG76" s="44"/>
      <c r="AH76" s="121"/>
      <c r="AI76" s="23">
        <f t="shared" si="46"/>
        <v>-148.98694819251889</v>
      </c>
      <c r="AJ76" s="23">
        <f t="shared" si="47"/>
        <v>31.013051807481105</v>
      </c>
      <c r="AK76" s="65">
        <f t="shared" si="24"/>
        <v>31.013051807481105</v>
      </c>
      <c r="AL76" s="65">
        <f t="shared" si="25"/>
        <v>0</v>
      </c>
      <c r="AM76" s="25"/>
      <c r="AN76" s="65">
        <f t="shared" si="26"/>
        <v>-78.11134196037203</v>
      </c>
      <c r="AO76" s="65">
        <f t="shared" si="27"/>
        <v>-156.22268392074406</v>
      </c>
      <c r="AP76" s="65">
        <f t="shared" si="28"/>
        <v>-635.90625</v>
      </c>
      <c r="AQ76" s="65">
        <f t="shared" si="29"/>
        <v>3.71875</v>
      </c>
      <c r="AR76" s="65">
        <f t="shared" si="30"/>
        <v>-78.11134196037203</v>
      </c>
      <c r="AS76" s="65">
        <f t="shared" si="31"/>
        <v>0.45679147345246801</v>
      </c>
      <c r="AT76" s="25"/>
      <c r="AU76" s="60">
        <f t="shared" si="32"/>
        <v>0.45679147345246801</v>
      </c>
      <c r="AV76" s="61">
        <f t="shared" si="33"/>
        <v>2.2173710899680965</v>
      </c>
    </row>
    <row r="77" spans="1:48" x14ac:dyDescent="0.25">
      <c r="A77" s="24">
        <f t="shared" si="48"/>
        <v>500</v>
      </c>
      <c r="B77" s="74">
        <f t="shared" si="34"/>
        <v>0.125</v>
      </c>
      <c r="C77" s="28"/>
      <c r="D77" s="65">
        <f t="shared" si="11"/>
        <v>-176.4</v>
      </c>
      <c r="E77" s="23">
        <f t="shared" si="35"/>
        <v>0.98</v>
      </c>
      <c r="F77" s="69"/>
      <c r="G77" s="65">
        <f t="shared" si="37"/>
        <v>-45</v>
      </c>
      <c r="H77" s="65">
        <f t="shared" si="38"/>
        <v>0</v>
      </c>
      <c r="I77" s="69"/>
      <c r="J77" s="65">
        <f t="shared" si="39"/>
        <v>-149.76848126611731</v>
      </c>
      <c r="K77" s="65">
        <f t="shared" si="40"/>
        <v>30.231518733882695</v>
      </c>
      <c r="L77" s="65">
        <f t="shared" si="12"/>
        <v>30.231518733882695</v>
      </c>
      <c r="M77" s="65">
        <f t="shared" si="13"/>
        <v>0.16795288185490384</v>
      </c>
      <c r="N77" s="69"/>
      <c r="O77" s="65">
        <f t="shared" si="41"/>
        <v>-131.98721249581666</v>
      </c>
      <c r="P77" s="65">
        <f t="shared" si="42"/>
        <v>48.012787504183336</v>
      </c>
      <c r="Q77" s="65">
        <f t="shared" si="14"/>
        <v>48.012787504183336</v>
      </c>
      <c r="R77" s="65">
        <f t="shared" si="15"/>
        <v>0</v>
      </c>
      <c r="S77" s="69"/>
      <c r="T77" s="65">
        <f t="shared" si="43"/>
        <v>-154.53665493812838</v>
      </c>
      <c r="U77" s="65">
        <f t="shared" si="44"/>
        <v>25.463345061871621</v>
      </c>
      <c r="V77" s="65">
        <f t="shared" si="16"/>
        <v>25.463345061871621</v>
      </c>
      <c r="W77" s="65">
        <f t="shared" si="17"/>
        <v>0</v>
      </c>
      <c r="X77" s="69"/>
      <c r="Y77" s="65">
        <f t="shared" si="18"/>
        <v>-79.796026278268315</v>
      </c>
      <c r="Z77" s="65">
        <f t="shared" si="19"/>
        <v>-159.59205255653663</v>
      </c>
      <c r="AA77" s="65">
        <f t="shared" si="20"/>
        <v>-1338.75</v>
      </c>
      <c r="AB77" s="62">
        <f t="shared" si="21"/>
        <v>7.4375</v>
      </c>
      <c r="AC77" s="65">
        <f t="shared" si="22"/>
        <v>-79.796026278268315</v>
      </c>
      <c r="AD77" s="65">
        <f t="shared" si="23"/>
        <v>0.44331125710149066</v>
      </c>
      <c r="AE77" s="69"/>
      <c r="AF77" s="68">
        <f t="shared" si="45"/>
        <v>1.7162641389563946</v>
      </c>
      <c r="AG77" s="44"/>
      <c r="AH77" s="121"/>
      <c r="AI77" s="23">
        <f t="shared" si="46"/>
        <v>-151.26643725256162</v>
      </c>
      <c r="AJ77" s="23">
        <f t="shared" si="47"/>
        <v>28.733562747438384</v>
      </c>
      <c r="AK77" s="65">
        <f t="shared" si="24"/>
        <v>28.733562747438384</v>
      </c>
      <c r="AL77" s="65">
        <f t="shared" si="25"/>
        <v>0</v>
      </c>
      <c r="AM77" s="25"/>
      <c r="AN77" s="65">
        <f t="shared" si="26"/>
        <v>-78.690067525979785</v>
      </c>
      <c r="AO77" s="65">
        <f t="shared" si="27"/>
        <v>-157.38013505195957</v>
      </c>
      <c r="AP77" s="65">
        <f t="shared" si="28"/>
        <v>-669.375</v>
      </c>
      <c r="AQ77" s="65">
        <f t="shared" si="29"/>
        <v>3.71875</v>
      </c>
      <c r="AR77" s="65">
        <f t="shared" si="30"/>
        <v>-78.690067525979785</v>
      </c>
      <c r="AS77" s="65">
        <f t="shared" si="31"/>
        <v>0.4371670418109988</v>
      </c>
      <c r="AT77" s="25"/>
      <c r="AU77" s="60">
        <f t="shared" si="32"/>
        <v>0.4371670418109988</v>
      </c>
      <c r="AV77" s="61">
        <f t="shared" si="33"/>
        <v>2.1534311807673934</v>
      </c>
    </row>
    <row r="78" spans="1:48" x14ac:dyDescent="0.25">
      <c r="A78" s="24">
        <f t="shared" si="48"/>
        <v>525</v>
      </c>
      <c r="B78" s="74">
        <f t="shared" si="34"/>
        <v>0.125</v>
      </c>
      <c r="C78" s="28"/>
      <c r="D78" s="65">
        <f t="shared" si="11"/>
        <v>-185.22</v>
      </c>
      <c r="E78" s="23">
        <f t="shared" si="35"/>
        <v>0.98</v>
      </c>
      <c r="F78" s="69"/>
      <c r="G78" s="65">
        <f t="shared" ref="G78:G85" si="49">-ATAN(A78/$G$30)*180/PI()</f>
        <v>-46.397181027296376</v>
      </c>
      <c r="H78" s="65">
        <f t="shared" ref="H78:H85" si="50">IF(H$30="On",-(G78/(360*$A78))*1000,0)</f>
        <v>0</v>
      </c>
      <c r="I78" s="69"/>
      <c r="J78" s="65">
        <f t="shared" si="39"/>
        <v>-151.96974906074499</v>
      </c>
      <c r="K78" s="65">
        <f t="shared" si="40"/>
        <v>28.030250939255012</v>
      </c>
      <c r="L78" s="65">
        <f t="shared" si="12"/>
        <v>28.030250939255012</v>
      </c>
      <c r="M78" s="65">
        <f t="shared" si="13"/>
        <v>0.14830820602780428</v>
      </c>
      <c r="N78" s="69"/>
      <c r="O78" s="65">
        <f t="shared" si="41"/>
        <v>-137.75715663265606</v>
      </c>
      <c r="P78" s="65">
        <f t="shared" si="42"/>
        <v>42.242843367343937</v>
      </c>
      <c r="Q78" s="65">
        <f t="shared" si="14"/>
        <v>42.242843367343937</v>
      </c>
      <c r="R78" s="65">
        <f t="shared" si="15"/>
        <v>0</v>
      </c>
      <c r="S78" s="69"/>
      <c r="T78" s="65">
        <f t="shared" si="43"/>
        <v>-155.98113143278184</v>
      </c>
      <c r="U78" s="65">
        <f t="shared" si="44"/>
        <v>24.018868567218163</v>
      </c>
      <c r="V78" s="65">
        <f t="shared" si="16"/>
        <v>24.018868567218163</v>
      </c>
      <c r="W78" s="65">
        <f t="shared" si="17"/>
        <v>0</v>
      </c>
      <c r="X78" s="69"/>
      <c r="Y78" s="65">
        <f t="shared" si="18"/>
        <v>-80.272421448598394</v>
      </c>
      <c r="Z78" s="65">
        <f t="shared" si="19"/>
        <v>-160.54484289719679</v>
      </c>
      <c r="AA78" s="65">
        <f t="shared" si="20"/>
        <v>-1405.6875</v>
      </c>
      <c r="AB78" s="62">
        <f t="shared" si="21"/>
        <v>7.4375</v>
      </c>
      <c r="AC78" s="65">
        <f t="shared" si="22"/>
        <v>-80.272421448598394</v>
      </c>
      <c r="AD78" s="65">
        <f t="shared" si="23"/>
        <v>0.42472180660634073</v>
      </c>
      <c r="AE78" s="69"/>
      <c r="AF78" s="68">
        <f t="shared" si="45"/>
        <v>1.678030012634145</v>
      </c>
      <c r="AG78" s="44"/>
      <c r="AH78" s="121"/>
      <c r="AI78" s="23">
        <f t="shared" si="46"/>
        <v>-153.21777461197843</v>
      </c>
      <c r="AJ78" s="23">
        <f t="shared" si="47"/>
        <v>26.782225388021573</v>
      </c>
      <c r="AK78" s="65">
        <f t="shared" si="24"/>
        <v>26.782225388021573</v>
      </c>
      <c r="AL78" s="65">
        <f t="shared" si="25"/>
        <v>0</v>
      </c>
      <c r="AM78" s="25"/>
      <c r="AN78" s="65">
        <f t="shared" si="26"/>
        <v>-79.215702132437414</v>
      </c>
      <c r="AO78" s="65">
        <f t="shared" si="27"/>
        <v>-158.43140426487483</v>
      </c>
      <c r="AP78" s="65">
        <f t="shared" si="28"/>
        <v>-702.84375</v>
      </c>
      <c r="AQ78" s="65">
        <f t="shared" si="29"/>
        <v>3.71875</v>
      </c>
      <c r="AR78" s="65">
        <f t="shared" si="30"/>
        <v>-79.215702132437414</v>
      </c>
      <c r="AS78" s="65">
        <f t="shared" si="31"/>
        <v>0.41913069911342549</v>
      </c>
      <c r="AT78" s="25"/>
      <c r="AU78" s="60">
        <f t="shared" si="32"/>
        <v>0.41913069911342549</v>
      </c>
      <c r="AV78" s="61">
        <f t="shared" si="33"/>
        <v>2.0971607117475703</v>
      </c>
    </row>
    <row r="79" spans="1:48" x14ac:dyDescent="0.25">
      <c r="A79" s="24">
        <f t="shared" si="48"/>
        <v>550</v>
      </c>
      <c r="B79" s="74">
        <f t="shared" si="34"/>
        <v>0.125</v>
      </c>
      <c r="C79" s="28"/>
      <c r="D79" s="65">
        <f t="shared" si="11"/>
        <v>-194.04</v>
      </c>
      <c r="E79" s="23">
        <f t="shared" si="35"/>
        <v>0.98</v>
      </c>
      <c r="F79" s="69"/>
      <c r="G79" s="65">
        <f t="shared" si="49"/>
        <v>-47.726310993906267</v>
      </c>
      <c r="H79" s="65">
        <f t="shared" si="50"/>
        <v>0</v>
      </c>
      <c r="I79" s="69"/>
      <c r="J79" s="65">
        <f t="shared" si="39"/>
        <v>-153.8557809111702</v>
      </c>
      <c r="K79" s="65">
        <f t="shared" si="40"/>
        <v>26.1442190888298</v>
      </c>
      <c r="L79" s="65">
        <f t="shared" si="12"/>
        <v>26.1442190888298</v>
      </c>
      <c r="M79" s="65">
        <f t="shared" si="13"/>
        <v>0.13204151054964544</v>
      </c>
      <c r="N79" s="69"/>
      <c r="O79" s="65">
        <f t="shared" si="41"/>
        <v>-142.33437880141668</v>
      </c>
      <c r="P79" s="65">
        <f t="shared" si="42"/>
        <v>37.665621198583324</v>
      </c>
      <c r="Q79" s="65">
        <f t="shared" si="14"/>
        <v>37.665621198583324</v>
      </c>
      <c r="R79" s="65">
        <f t="shared" si="15"/>
        <v>0</v>
      </c>
      <c r="S79" s="69"/>
      <c r="T79" s="65">
        <f t="shared" si="43"/>
        <v>-157.26399511741855</v>
      </c>
      <c r="U79" s="65">
        <f t="shared" si="44"/>
        <v>22.736004882581454</v>
      </c>
      <c r="V79" s="65">
        <f t="shared" si="16"/>
        <v>22.736004882581454</v>
      </c>
      <c r="W79" s="65">
        <f t="shared" si="17"/>
        <v>0</v>
      </c>
      <c r="X79" s="69"/>
      <c r="Y79" s="65">
        <f t="shared" si="18"/>
        <v>-80.706691400602878</v>
      </c>
      <c r="Z79" s="65">
        <f t="shared" si="19"/>
        <v>-161.41338280120576</v>
      </c>
      <c r="AA79" s="65">
        <f t="shared" si="20"/>
        <v>-1472.625</v>
      </c>
      <c r="AB79" s="62">
        <f t="shared" si="21"/>
        <v>7.4375</v>
      </c>
      <c r="AC79" s="65">
        <f t="shared" si="22"/>
        <v>-80.706691400602878</v>
      </c>
      <c r="AD79" s="65">
        <f t="shared" si="23"/>
        <v>0.40760955252829739</v>
      </c>
      <c r="AE79" s="69"/>
      <c r="AF79" s="68">
        <f t="shared" si="45"/>
        <v>1.644651063077943</v>
      </c>
      <c r="AG79" s="44"/>
      <c r="AH79" s="121"/>
      <c r="AI79" s="23">
        <f t="shared" si="46"/>
        <v>-154.90704136495194</v>
      </c>
      <c r="AJ79" s="23">
        <f t="shared" si="47"/>
        <v>25.092958635048063</v>
      </c>
      <c r="AK79" s="65">
        <f t="shared" si="24"/>
        <v>25.092958635048063</v>
      </c>
      <c r="AL79" s="65">
        <f t="shared" si="25"/>
        <v>0</v>
      </c>
      <c r="AM79" s="25"/>
      <c r="AN79" s="65">
        <f t="shared" si="26"/>
        <v>-79.69515353123397</v>
      </c>
      <c r="AO79" s="65">
        <f t="shared" si="27"/>
        <v>-159.39030706246794</v>
      </c>
      <c r="AP79" s="65">
        <f t="shared" si="28"/>
        <v>-736.3125</v>
      </c>
      <c r="AQ79" s="65">
        <f t="shared" si="29"/>
        <v>3.71875</v>
      </c>
      <c r="AR79" s="65">
        <f t="shared" si="30"/>
        <v>-79.69515353123397</v>
      </c>
      <c r="AS79" s="65">
        <f t="shared" si="31"/>
        <v>0.40250077541027257</v>
      </c>
      <c r="AT79" s="25"/>
      <c r="AU79" s="60">
        <f t="shared" si="32"/>
        <v>0.40250077541027257</v>
      </c>
      <c r="AV79" s="61">
        <f t="shared" si="33"/>
        <v>2.0471518384882157</v>
      </c>
    </row>
    <row r="80" spans="1:48" x14ac:dyDescent="0.25">
      <c r="A80" s="24">
        <f t="shared" si="48"/>
        <v>575</v>
      </c>
      <c r="B80" s="74">
        <f t="shared" si="34"/>
        <v>0.125</v>
      </c>
      <c r="C80" s="28"/>
      <c r="D80" s="65">
        <f t="shared" si="11"/>
        <v>-202.86</v>
      </c>
      <c r="E80" s="23">
        <f t="shared" si="35"/>
        <v>0.98</v>
      </c>
      <c r="F80" s="69"/>
      <c r="G80" s="65">
        <f t="shared" si="49"/>
        <v>-48.990913098429786</v>
      </c>
      <c r="H80" s="65">
        <f t="shared" si="50"/>
        <v>0</v>
      </c>
      <c r="I80" s="69"/>
      <c r="J80" s="65">
        <f t="shared" si="39"/>
        <v>-155.48975989231241</v>
      </c>
      <c r="K80" s="65">
        <f t="shared" si="40"/>
        <v>24.510240107687594</v>
      </c>
      <c r="L80" s="65">
        <f t="shared" si="12"/>
        <v>24.510240107687594</v>
      </c>
      <c r="M80" s="65">
        <f t="shared" si="13"/>
        <v>0.11840695704196905</v>
      </c>
      <c r="N80" s="69"/>
      <c r="O80" s="65">
        <f t="shared" si="41"/>
        <v>-146.02031853194728</v>
      </c>
      <c r="P80" s="65">
        <f t="shared" si="42"/>
        <v>33.979681468052718</v>
      </c>
      <c r="Q80" s="65">
        <f t="shared" si="14"/>
        <v>33.979681468052718</v>
      </c>
      <c r="R80" s="65">
        <f t="shared" si="15"/>
        <v>0</v>
      </c>
      <c r="S80" s="69"/>
      <c r="T80" s="65">
        <f t="shared" si="43"/>
        <v>-158.41134772184753</v>
      </c>
      <c r="U80" s="65">
        <f t="shared" si="44"/>
        <v>21.588652278152466</v>
      </c>
      <c r="V80" s="65">
        <f t="shared" si="16"/>
        <v>21.588652278152466</v>
      </c>
      <c r="W80" s="65">
        <f t="shared" si="17"/>
        <v>0</v>
      </c>
      <c r="X80" s="69"/>
      <c r="Y80" s="65">
        <f t="shared" si="18"/>
        <v>-81.104143030336701</v>
      </c>
      <c r="Z80" s="65">
        <f t="shared" si="19"/>
        <v>-162.2082860606734</v>
      </c>
      <c r="AA80" s="65">
        <f t="shared" si="20"/>
        <v>-1539.5625</v>
      </c>
      <c r="AB80" s="62">
        <f t="shared" si="21"/>
        <v>7.4375</v>
      </c>
      <c r="AC80" s="65">
        <f t="shared" si="22"/>
        <v>-81.104143030336701</v>
      </c>
      <c r="AD80" s="65">
        <f t="shared" si="23"/>
        <v>0.39180745425283425</v>
      </c>
      <c r="AE80" s="69"/>
      <c r="AF80" s="68">
        <f t="shared" si="45"/>
        <v>1.6152144112948033</v>
      </c>
      <c r="AG80" s="44"/>
      <c r="AH80" s="121"/>
      <c r="AI80" s="23">
        <f t="shared" si="46"/>
        <v>-156.38405078884995</v>
      </c>
      <c r="AJ80" s="23">
        <f t="shared" si="47"/>
        <v>23.615949211150053</v>
      </c>
      <c r="AK80" s="65">
        <f t="shared" si="24"/>
        <v>23.615949211150053</v>
      </c>
      <c r="AL80" s="65">
        <f t="shared" si="25"/>
        <v>0</v>
      </c>
      <c r="AM80" s="25"/>
      <c r="AN80" s="65">
        <f t="shared" si="26"/>
        <v>-80.134193056915635</v>
      </c>
      <c r="AO80" s="65">
        <f t="shared" si="27"/>
        <v>-160.26838611383127</v>
      </c>
      <c r="AP80" s="65">
        <f t="shared" si="28"/>
        <v>-769.78125</v>
      </c>
      <c r="AQ80" s="65">
        <f t="shared" si="29"/>
        <v>3.71875</v>
      </c>
      <c r="AR80" s="65">
        <f t="shared" si="30"/>
        <v>-80.134193056915635</v>
      </c>
      <c r="AS80" s="65">
        <f t="shared" si="31"/>
        <v>0.38712170558896442</v>
      </c>
      <c r="AT80" s="25"/>
      <c r="AU80" s="60">
        <f t="shared" si="32"/>
        <v>0.38712170558896442</v>
      </c>
      <c r="AV80" s="61">
        <f t="shared" si="33"/>
        <v>2.0023361168837677</v>
      </c>
    </row>
    <row r="81" spans="1:57" x14ac:dyDescent="0.25">
      <c r="A81" s="24">
        <f t="shared" si="48"/>
        <v>600</v>
      </c>
      <c r="B81" s="74">
        <f t="shared" si="34"/>
        <v>0.125</v>
      </c>
      <c r="C81" s="28"/>
      <c r="D81" s="65">
        <f t="shared" si="11"/>
        <v>-211.68</v>
      </c>
      <c r="E81" s="23">
        <f t="shared" si="35"/>
        <v>0.98</v>
      </c>
      <c r="F81" s="69"/>
      <c r="G81" s="65">
        <f t="shared" si="49"/>
        <v>-50.19442890773481</v>
      </c>
      <c r="H81" s="65">
        <f t="shared" si="50"/>
        <v>0</v>
      </c>
      <c r="I81" s="69"/>
      <c r="J81" s="65">
        <f t="shared" si="39"/>
        <v>-156.91938278465625</v>
      </c>
      <c r="K81" s="65">
        <f t="shared" si="40"/>
        <v>23.08061721534375</v>
      </c>
      <c r="L81" s="65">
        <f t="shared" si="12"/>
        <v>23.08061721534375</v>
      </c>
      <c r="M81" s="65">
        <f t="shared" si="13"/>
        <v>0.10685470933029513</v>
      </c>
      <c r="N81" s="69"/>
      <c r="O81" s="65">
        <f t="shared" si="41"/>
        <v>-149.03624346792648</v>
      </c>
      <c r="P81" s="65">
        <f t="shared" si="42"/>
        <v>30.963756532073518</v>
      </c>
      <c r="Q81" s="65">
        <f t="shared" si="14"/>
        <v>30.963756532073518</v>
      </c>
      <c r="R81" s="65">
        <f t="shared" si="15"/>
        <v>0</v>
      </c>
      <c r="S81" s="69"/>
      <c r="T81" s="65">
        <f t="shared" si="43"/>
        <v>-159.44395478041653</v>
      </c>
      <c r="U81" s="65">
        <f t="shared" si="44"/>
        <v>20.556045219583467</v>
      </c>
      <c r="V81" s="65">
        <f t="shared" si="16"/>
        <v>20.556045219583467</v>
      </c>
      <c r="W81" s="65">
        <f t="shared" si="17"/>
        <v>0</v>
      </c>
      <c r="X81" s="69"/>
      <c r="Y81" s="65">
        <f t="shared" si="18"/>
        <v>-81.469234390051881</v>
      </c>
      <c r="Z81" s="65">
        <f t="shared" si="19"/>
        <v>-162.93846878010376</v>
      </c>
      <c r="AA81" s="65">
        <f t="shared" si="20"/>
        <v>-1606.5</v>
      </c>
      <c r="AB81" s="62">
        <f t="shared" si="21"/>
        <v>7.4375</v>
      </c>
      <c r="AC81" s="65">
        <f t="shared" si="22"/>
        <v>-81.469234390051881</v>
      </c>
      <c r="AD81" s="65">
        <f t="shared" si="23"/>
        <v>0.37717238143542542</v>
      </c>
      <c r="AE81" s="69"/>
      <c r="AF81" s="68">
        <f t="shared" si="45"/>
        <v>1.5890270907657205</v>
      </c>
      <c r="AG81" s="44"/>
      <c r="AH81" s="121"/>
      <c r="AI81" s="23">
        <f t="shared" si="46"/>
        <v>-157.68691442880697</v>
      </c>
      <c r="AJ81" s="23">
        <f t="shared" si="47"/>
        <v>22.313085571193028</v>
      </c>
      <c r="AK81" s="65">
        <f t="shared" si="24"/>
        <v>22.313085571193028</v>
      </c>
      <c r="AL81" s="65">
        <f t="shared" si="25"/>
        <v>0</v>
      </c>
      <c r="AM81" s="25"/>
      <c r="AN81" s="65">
        <f t="shared" si="26"/>
        <v>-80.537677791974389</v>
      </c>
      <c r="AO81" s="65">
        <f t="shared" si="27"/>
        <v>-161.07535558394878</v>
      </c>
      <c r="AP81" s="65">
        <f t="shared" si="28"/>
        <v>-803.25</v>
      </c>
      <c r="AQ81" s="65">
        <f t="shared" si="29"/>
        <v>3.71875</v>
      </c>
      <c r="AR81" s="65">
        <f t="shared" si="30"/>
        <v>-80.537677791974389</v>
      </c>
      <c r="AS81" s="65">
        <f t="shared" si="31"/>
        <v>0.37285961940728884</v>
      </c>
      <c r="AT81" s="25"/>
      <c r="AU81" s="60">
        <f t="shared" si="32"/>
        <v>0.37285961940728884</v>
      </c>
      <c r="AV81" s="61">
        <f t="shared" si="33"/>
        <v>1.9618867101730093</v>
      </c>
    </row>
    <row r="82" spans="1:57" x14ac:dyDescent="0.25">
      <c r="A82" s="24">
        <f>A81+100</f>
        <v>700</v>
      </c>
      <c r="B82" s="74">
        <f t="shared" si="34"/>
        <v>0.125</v>
      </c>
      <c r="C82" s="28"/>
      <c r="D82" s="65">
        <f t="shared" si="11"/>
        <v>-246.96</v>
      </c>
      <c r="E82" s="23">
        <f t="shared" si="35"/>
        <v>0.98</v>
      </c>
      <c r="F82" s="69"/>
      <c r="G82" s="65">
        <f t="shared" si="49"/>
        <v>-54.462322208025618</v>
      </c>
      <c r="H82" s="65">
        <f t="shared" si="50"/>
        <v>0</v>
      </c>
      <c r="I82" s="69"/>
      <c r="J82" s="65">
        <f t="shared" si="39"/>
        <v>-161.21497948740458</v>
      </c>
      <c r="K82" s="65">
        <f t="shared" si="40"/>
        <v>18.785020512595423</v>
      </c>
      <c r="L82" s="65">
        <f t="shared" si="12"/>
        <v>18.785020512595423</v>
      </c>
      <c r="M82" s="65">
        <f t="shared" si="13"/>
        <v>7.4543732192838982E-2</v>
      </c>
      <c r="N82" s="69"/>
      <c r="O82" s="65">
        <f t="shared" si="41"/>
        <v>-157.01128319791937</v>
      </c>
      <c r="P82" s="65">
        <f t="shared" si="42"/>
        <v>22.988716802080631</v>
      </c>
      <c r="Q82" s="65">
        <f t="shared" si="14"/>
        <v>22.988716802080631</v>
      </c>
      <c r="R82" s="65">
        <f t="shared" si="15"/>
        <v>0</v>
      </c>
      <c r="S82" s="69"/>
      <c r="T82" s="65">
        <f t="shared" si="43"/>
        <v>-162.71850162818339</v>
      </c>
      <c r="U82" s="65">
        <f t="shared" si="44"/>
        <v>17.28149837181661</v>
      </c>
      <c r="V82" s="65">
        <f t="shared" si="16"/>
        <v>17.28149837181661</v>
      </c>
      <c r="W82" s="65">
        <f t="shared" si="17"/>
        <v>0</v>
      </c>
      <c r="X82" s="69"/>
      <c r="Y82" s="65">
        <f t="shared" si="18"/>
        <v>-82.673593339830461</v>
      </c>
      <c r="Z82" s="65">
        <f t="shared" si="19"/>
        <v>-165.34718667966092</v>
      </c>
      <c r="AA82" s="65">
        <f t="shared" si="20"/>
        <v>-1874.25</v>
      </c>
      <c r="AB82" s="62">
        <f t="shared" si="21"/>
        <v>7.4375</v>
      </c>
      <c r="AC82" s="65">
        <f t="shared" si="22"/>
        <v>-82.673593339830461</v>
      </c>
      <c r="AD82" s="65">
        <f t="shared" si="23"/>
        <v>0.32806981484059705</v>
      </c>
      <c r="AE82" s="69"/>
      <c r="AF82" s="68">
        <f t="shared" si="45"/>
        <v>1.507613547033436</v>
      </c>
      <c r="AG82" s="44"/>
      <c r="AH82" s="121"/>
      <c r="AI82" s="23">
        <f t="shared" si="46"/>
        <v>-161.66276986489987</v>
      </c>
      <c r="AJ82" s="23">
        <f t="shared" si="47"/>
        <v>18.337230135100128</v>
      </c>
      <c r="AK82" s="65">
        <f t="shared" si="24"/>
        <v>18.337230135100128</v>
      </c>
      <c r="AL82" s="65">
        <f t="shared" si="25"/>
        <v>0</v>
      </c>
      <c r="AM82" s="25"/>
      <c r="AN82" s="65">
        <f t="shared" si="26"/>
        <v>-81.869897645844034</v>
      </c>
      <c r="AO82" s="65">
        <f t="shared" si="27"/>
        <v>-163.73979529168807</v>
      </c>
      <c r="AP82" s="65">
        <f t="shared" si="28"/>
        <v>-937.125</v>
      </c>
      <c r="AQ82" s="65">
        <f t="shared" si="29"/>
        <v>3.71875</v>
      </c>
      <c r="AR82" s="65">
        <f t="shared" si="30"/>
        <v>-81.869897645844034</v>
      </c>
      <c r="AS82" s="65">
        <f t="shared" si="31"/>
        <v>0.3248805462136668</v>
      </c>
      <c r="AT82" s="25"/>
      <c r="AU82" s="60">
        <f t="shared" si="32"/>
        <v>0.3248805462136668</v>
      </c>
      <c r="AV82" s="61">
        <f t="shared" si="33"/>
        <v>1.8324940932471028</v>
      </c>
    </row>
    <row r="83" spans="1:57" x14ac:dyDescent="0.25">
      <c r="A83" s="24">
        <f t="shared" ref="A83:A85" si="51">A82+100</f>
        <v>800</v>
      </c>
      <c r="B83" s="74">
        <f t="shared" si="34"/>
        <v>0.125</v>
      </c>
      <c r="C83" s="28"/>
      <c r="D83" s="65">
        <f t="shared" si="11"/>
        <v>-282.24</v>
      </c>
      <c r="E83" s="23">
        <f t="shared" si="35"/>
        <v>0.98</v>
      </c>
      <c r="F83" s="69"/>
      <c r="G83" s="65">
        <f t="shared" si="49"/>
        <v>-57.994616791916499</v>
      </c>
      <c r="H83" s="65">
        <f t="shared" si="50"/>
        <v>0</v>
      </c>
      <c r="I83" s="69"/>
      <c r="J83" s="65">
        <f t="shared" si="39"/>
        <v>-164.0977322651982</v>
      </c>
      <c r="K83" s="65">
        <f t="shared" si="40"/>
        <v>15.902267734801796</v>
      </c>
      <c r="L83" s="65">
        <f t="shared" si="12"/>
        <v>15.902267734801796</v>
      </c>
      <c r="M83" s="65">
        <f t="shared" si="13"/>
        <v>5.5216207412506241E-2</v>
      </c>
      <c r="N83" s="69"/>
      <c r="O83" s="65">
        <f t="shared" si="41"/>
        <v>-161.56505117707798</v>
      </c>
      <c r="P83" s="65">
        <f t="shared" si="42"/>
        <v>18.434948822922024</v>
      </c>
      <c r="Q83" s="65">
        <f t="shared" si="14"/>
        <v>18.434948822922024</v>
      </c>
      <c r="R83" s="65">
        <f t="shared" si="15"/>
        <v>0</v>
      </c>
      <c r="S83" s="69"/>
      <c r="T83" s="65">
        <f t="shared" si="43"/>
        <v>-165.06858282186246</v>
      </c>
      <c r="U83" s="65">
        <f t="shared" si="44"/>
        <v>14.931417178137536</v>
      </c>
      <c r="V83" s="65">
        <f t="shared" si="16"/>
        <v>14.931417178137536</v>
      </c>
      <c r="W83" s="65">
        <f t="shared" si="17"/>
        <v>0</v>
      </c>
      <c r="X83" s="69"/>
      <c r="Y83" s="65">
        <f t="shared" si="18"/>
        <v>-83.581213269761221</v>
      </c>
      <c r="Z83" s="65">
        <f t="shared" si="19"/>
        <v>-167.16242653952244</v>
      </c>
      <c r="AA83" s="65">
        <f t="shared" si="20"/>
        <v>-2142</v>
      </c>
      <c r="AB83" s="62">
        <f t="shared" si="21"/>
        <v>7.4375</v>
      </c>
      <c r="AC83" s="65">
        <f t="shared" si="22"/>
        <v>-83.581213269761221</v>
      </c>
      <c r="AD83" s="65">
        <f t="shared" si="23"/>
        <v>0.2902125460755598</v>
      </c>
      <c r="AE83" s="69"/>
      <c r="AF83" s="68">
        <f t="shared" si="45"/>
        <v>1.450428753488066</v>
      </c>
      <c r="AG83" s="44"/>
      <c r="AH83" s="121"/>
      <c r="AI83" s="23">
        <f t="shared" si="46"/>
        <v>-164.38300378747473</v>
      </c>
      <c r="AJ83" s="23">
        <f t="shared" si="47"/>
        <v>15.616996212525265</v>
      </c>
      <c r="AK83" s="65">
        <f t="shared" si="24"/>
        <v>15.616996212525265</v>
      </c>
      <c r="AL83" s="65">
        <f t="shared" si="25"/>
        <v>0</v>
      </c>
      <c r="AM83" s="25"/>
      <c r="AN83" s="65">
        <f t="shared" si="26"/>
        <v>-82.874983651098191</v>
      </c>
      <c r="AO83" s="65">
        <f t="shared" si="27"/>
        <v>-165.74996730219638</v>
      </c>
      <c r="AP83" s="65">
        <f t="shared" si="28"/>
        <v>-1071</v>
      </c>
      <c r="AQ83" s="65">
        <f t="shared" si="29"/>
        <v>3.71875</v>
      </c>
      <c r="AR83" s="65">
        <f t="shared" si="30"/>
        <v>-82.874983651098191</v>
      </c>
      <c r="AS83" s="65">
        <f t="shared" si="31"/>
        <v>0.28776035989964649</v>
      </c>
      <c r="AT83" s="25"/>
      <c r="AU83" s="60">
        <f t="shared" si="32"/>
        <v>0.28776035989964649</v>
      </c>
      <c r="AV83" s="61">
        <f t="shared" si="33"/>
        <v>1.7381891133877125</v>
      </c>
    </row>
    <row r="84" spans="1:57" x14ac:dyDescent="0.25">
      <c r="A84" s="24">
        <f t="shared" si="51"/>
        <v>900</v>
      </c>
      <c r="B84" s="74">
        <f t="shared" si="34"/>
        <v>0.125</v>
      </c>
      <c r="C84" s="28"/>
      <c r="D84" s="65">
        <f t="shared" si="11"/>
        <v>-317.52</v>
      </c>
      <c r="E84" s="23">
        <f t="shared" si="35"/>
        <v>0.98</v>
      </c>
      <c r="F84" s="69"/>
      <c r="G84" s="65">
        <f t="shared" si="49"/>
        <v>-60.945395900922861</v>
      </c>
      <c r="H84" s="65">
        <f t="shared" si="50"/>
        <v>0</v>
      </c>
      <c r="I84" s="69"/>
      <c r="J84" s="65">
        <f t="shared" si="39"/>
        <v>-166.17771093365545</v>
      </c>
      <c r="K84" s="65">
        <f t="shared" si="40"/>
        <v>13.822289066344553</v>
      </c>
      <c r="L84" s="65">
        <f t="shared" si="12"/>
        <v>13.822289066344553</v>
      </c>
      <c r="M84" s="65">
        <f t="shared" si="13"/>
        <v>4.2661386007236277E-2</v>
      </c>
      <c r="N84" s="69"/>
      <c r="O84" s="65">
        <f t="shared" si="41"/>
        <v>-164.52136183458163</v>
      </c>
      <c r="P84" s="65">
        <f t="shared" si="42"/>
        <v>15.478638165418374</v>
      </c>
      <c r="Q84" s="65">
        <f t="shared" si="14"/>
        <v>15.478638165418374</v>
      </c>
      <c r="R84" s="65">
        <f t="shared" si="15"/>
        <v>0</v>
      </c>
      <c r="S84" s="69"/>
      <c r="T84" s="65">
        <f t="shared" si="43"/>
        <v>-166.84245725998522</v>
      </c>
      <c r="U84" s="65">
        <f t="shared" si="44"/>
        <v>13.157542740014776</v>
      </c>
      <c r="V84" s="65">
        <f t="shared" si="16"/>
        <v>13.157542740014776</v>
      </c>
      <c r="W84" s="65">
        <f t="shared" si="17"/>
        <v>0</v>
      </c>
      <c r="X84" s="69"/>
      <c r="Y84" s="65">
        <f t="shared" si="18"/>
        <v>-84.289406862500371</v>
      </c>
      <c r="Z84" s="65">
        <f t="shared" si="19"/>
        <v>-168.57881372500074</v>
      </c>
      <c r="AA84" s="65">
        <f t="shared" si="20"/>
        <v>-2409.75</v>
      </c>
      <c r="AB84" s="62">
        <f t="shared" si="21"/>
        <v>7.4375</v>
      </c>
      <c r="AC84" s="65">
        <f t="shared" si="22"/>
        <v>-84.289406862500371</v>
      </c>
      <c r="AD84" s="65">
        <f t="shared" si="23"/>
        <v>0.26015249031635918</v>
      </c>
      <c r="AE84" s="69"/>
      <c r="AF84" s="68">
        <f t="shared" si="45"/>
        <v>1.4078138763235954</v>
      </c>
      <c r="AG84" s="44"/>
      <c r="AH84" s="121"/>
      <c r="AI84" s="23">
        <f t="shared" si="46"/>
        <v>-166.3712380608001</v>
      </c>
      <c r="AJ84" s="23">
        <f t="shared" si="47"/>
        <v>13.628761939199904</v>
      </c>
      <c r="AK84" s="65">
        <f t="shared" si="24"/>
        <v>13.628761939199904</v>
      </c>
      <c r="AL84" s="65">
        <f t="shared" si="25"/>
        <v>0</v>
      </c>
      <c r="AM84" s="25"/>
      <c r="AN84" s="65">
        <f t="shared" si="26"/>
        <v>-83.659808254090095</v>
      </c>
      <c r="AO84" s="65">
        <f t="shared" si="27"/>
        <v>-167.31961650818019</v>
      </c>
      <c r="AP84" s="65">
        <f t="shared" si="28"/>
        <v>-1204.875</v>
      </c>
      <c r="AQ84" s="65">
        <f t="shared" si="29"/>
        <v>3.71875</v>
      </c>
      <c r="AR84" s="65">
        <f t="shared" si="30"/>
        <v>-83.659808254090095</v>
      </c>
      <c r="AS84" s="65">
        <f t="shared" si="31"/>
        <v>0.25820928473484595</v>
      </c>
      <c r="AT84" s="25"/>
      <c r="AU84" s="60">
        <f t="shared" si="32"/>
        <v>0.25820928473484595</v>
      </c>
      <c r="AV84" s="61">
        <f t="shared" si="33"/>
        <v>1.6660231610584413</v>
      </c>
    </row>
    <row r="85" spans="1:57" x14ac:dyDescent="0.25">
      <c r="A85" s="24">
        <f t="shared" si="51"/>
        <v>1000</v>
      </c>
      <c r="B85" s="74">
        <f t="shared" si="34"/>
        <v>0.125</v>
      </c>
      <c r="C85" s="28"/>
      <c r="D85" s="65">
        <f t="shared" si="11"/>
        <v>-352.8</v>
      </c>
      <c r="E85" s="23">
        <f t="shared" si="35"/>
        <v>0.98</v>
      </c>
      <c r="F85" s="69"/>
      <c r="G85" s="65">
        <f t="shared" si="49"/>
        <v>-63.43494882292201</v>
      </c>
      <c r="H85" s="65">
        <f t="shared" si="50"/>
        <v>0</v>
      </c>
      <c r="I85" s="69"/>
      <c r="J85" s="65">
        <f t="shared" si="39"/>
        <v>-167.75587637555753</v>
      </c>
      <c r="K85" s="65">
        <f t="shared" si="40"/>
        <v>12.244123624442466</v>
      </c>
      <c r="L85" s="65">
        <f t="shared" si="12"/>
        <v>12.244123624442466</v>
      </c>
      <c r="M85" s="65">
        <f t="shared" si="13"/>
        <v>3.4011454512340181E-2</v>
      </c>
      <c r="N85" s="69"/>
      <c r="O85" s="65">
        <f t="shared" si="41"/>
        <v>-166.60750224624888</v>
      </c>
      <c r="P85" s="65">
        <f t="shared" si="42"/>
        <v>13.392497753751115</v>
      </c>
      <c r="Q85" s="65">
        <f t="shared" si="14"/>
        <v>13.392497753751115</v>
      </c>
      <c r="R85" s="65">
        <f t="shared" si="15"/>
        <v>0</v>
      </c>
      <c r="S85" s="69"/>
      <c r="T85" s="65">
        <f t="shared" si="43"/>
        <v>-168.23171106797935</v>
      </c>
      <c r="U85" s="65">
        <f t="shared" si="44"/>
        <v>11.768288932020653</v>
      </c>
      <c r="V85" s="65">
        <f t="shared" si="16"/>
        <v>11.768288932020653</v>
      </c>
      <c r="W85" s="65">
        <f t="shared" si="17"/>
        <v>0</v>
      </c>
      <c r="X85" s="69"/>
      <c r="Y85" s="65">
        <f t="shared" si="18"/>
        <v>-84.857235442115766</v>
      </c>
      <c r="Z85" s="65">
        <f t="shared" si="19"/>
        <v>-169.71447088423153</v>
      </c>
      <c r="AA85" s="65">
        <f t="shared" si="20"/>
        <v>-2677.5</v>
      </c>
      <c r="AB85" s="62">
        <f t="shared" si="21"/>
        <v>7.4375</v>
      </c>
      <c r="AC85" s="65">
        <f t="shared" si="22"/>
        <v>-84.857235442115766</v>
      </c>
      <c r="AD85" s="65">
        <f t="shared" si="23"/>
        <v>0.23571454289476601</v>
      </c>
      <c r="AE85" s="69"/>
      <c r="AF85" s="68">
        <f t="shared" si="45"/>
        <v>1.3747259974071062</v>
      </c>
      <c r="AG85" s="44"/>
      <c r="AH85" s="121"/>
      <c r="AI85" s="23">
        <f t="shared" si="46"/>
        <v>-167.8934930416095</v>
      </c>
      <c r="AJ85" s="23">
        <f t="shared" si="47"/>
        <v>12.106506958390497</v>
      </c>
      <c r="AK85" s="65">
        <f t="shared" si="24"/>
        <v>12.106506958390497</v>
      </c>
      <c r="AL85" s="65">
        <f t="shared" si="25"/>
        <v>0</v>
      </c>
      <c r="AM85" s="25"/>
      <c r="AN85" s="65">
        <f t="shared" si="26"/>
        <v>-84.289406862500371</v>
      </c>
      <c r="AO85" s="65">
        <f t="shared" si="27"/>
        <v>-168.57881372500074</v>
      </c>
      <c r="AP85" s="65">
        <f t="shared" si="28"/>
        <v>-1338.75</v>
      </c>
      <c r="AQ85" s="65">
        <f t="shared" si="29"/>
        <v>3.71875</v>
      </c>
      <c r="AR85" s="65">
        <f t="shared" si="30"/>
        <v>-84.289406862500371</v>
      </c>
      <c r="AS85" s="65">
        <f t="shared" si="31"/>
        <v>0.23413724128472324</v>
      </c>
      <c r="AT85" s="25"/>
      <c r="AU85" s="60">
        <f t="shared" si="32"/>
        <v>0.23413724128472324</v>
      </c>
      <c r="AV85" s="61">
        <f t="shared" si="33"/>
        <v>1.6088632386918293</v>
      </c>
    </row>
    <row r="86" spans="1:57" x14ac:dyDescent="0.25">
      <c r="A86" s="24">
        <f>A85+1000</f>
        <v>2000</v>
      </c>
      <c r="B86" s="74">
        <f t="shared" si="34"/>
        <v>0.125</v>
      </c>
      <c r="C86" s="28"/>
      <c r="D86" s="65">
        <f t="shared" si="11"/>
        <v>-705.6</v>
      </c>
      <c r="E86" s="23">
        <f t="shared" ref="E86:E94" si="52">E85</f>
        <v>0.98</v>
      </c>
      <c r="F86" s="69"/>
      <c r="G86" s="65"/>
      <c r="H86" s="65"/>
      <c r="I86" s="69"/>
      <c r="J86" s="65">
        <f t="shared" si="39"/>
        <v>-174.17601875543139</v>
      </c>
      <c r="K86" s="65">
        <f t="shared" si="40"/>
        <v>5.8239812445686141</v>
      </c>
      <c r="L86" s="65">
        <f t="shared" si="12"/>
        <v>5.8239812445686141</v>
      </c>
      <c r="M86" s="65">
        <f t="shared" si="13"/>
        <v>8.0888628396786309E-3</v>
      </c>
      <c r="N86" s="69"/>
      <c r="O86" s="65">
        <f t="shared" si="41"/>
        <v>-174.05313694602654</v>
      </c>
      <c r="P86" s="65">
        <f t="shared" si="42"/>
        <v>5.946863053973459</v>
      </c>
      <c r="Q86" s="65">
        <f t="shared" si="14"/>
        <v>5.946863053973459</v>
      </c>
      <c r="R86" s="65">
        <f t="shared" si="15"/>
        <v>0</v>
      </c>
      <c r="S86" s="69"/>
      <c r="T86" s="65">
        <f t="shared" si="43"/>
        <v>-174.23211110208587</v>
      </c>
      <c r="U86" s="65">
        <f t="shared" si="44"/>
        <v>5.7678888979141334</v>
      </c>
      <c r="V86" s="65">
        <f t="shared" si="16"/>
        <v>5.7678888979141334</v>
      </c>
      <c r="W86" s="65">
        <f t="shared" si="17"/>
        <v>0</v>
      </c>
      <c r="X86" s="69"/>
      <c r="Y86" s="65">
        <f t="shared" si="18"/>
        <v>-87.423428169731181</v>
      </c>
      <c r="Z86" s="65">
        <f t="shared" si="19"/>
        <v>-174.84685633946236</v>
      </c>
      <c r="AA86" s="65">
        <f t="shared" si="20"/>
        <v>-5355</v>
      </c>
      <c r="AB86" s="62">
        <f t="shared" si="21"/>
        <v>7.4375</v>
      </c>
      <c r="AC86" s="65">
        <f t="shared" si="22"/>
        <v>-87.423428169731181</v>
      </c>
      <c r="AD86" s="65">
        <f t="shared" si="23"/>
        <v>0.12142142801351553</v>
      </c>
      <c r="AE86" s="69"/>
      <c r="AF86" s="68">
        <f t="shared" si="45"/>
        <v>1.2345102908531942</v>
      </c>
      <c r="AG86" s="44"/>
      <c r="AH86" s="121"/>
      <c r="AI86" s="23">
        <f t="shared" si="46"/>
        <v>-174.19190432105788</v>
      </c>
      <c r="AJ86" s="23">
        <f t="shared" si="47"/>
        <v>5.8080956789421236</v>
      </c>
      <c r="AK86" s="65">
        <f t="shared" si="24"/>
        <v>5.8080956789421236</v>
      </c>
      <c r="AL86" s="65">
        <f t="shared" si="25"/>
        <v>0</v>
      </c>
      <c r="AM86" s="25"/>
      <c r="AN86" s="65">
        <f t="shared" si="26"/>
        <v>-87.137594773888253</v>
      </c>
      <c r="AO86" s="65">
        <f t="shared" si="27"/>
        <v>-174.27518954777651</v>
      </c>
      <c r="AP86" s="65">
        <f t="shared" si="28"/>
        <v>-2677.5</v>
      </c>
      <c r="AQ86" s="65">
        <f t="shared" si="29"/>
        <v>3.71875</v>
      </c>
      <c r="AR86" s="65">
        <f t="shared" si="30"/>
        <v>-87.137594773888253</v>
      </c>
      <c r="AS86" s="65">
        <f t="shared" si="31"/>
        <v>0.1210244371859559</v>
      </c>
      <c r="AT86" s="25"/>
      <c r="AU86" s="60">
        <f t="shared" si="32"/>
        <v>0.1210244371859559</v>
      </c>
      <c r="AV86" s="61">
        <f t="shared" si="33"/>
        <v>1.3555347280391501</v>
      </c>
    </row>
    <row r="87" spans="1:57" x14ac:dyDescent="0.25">
      <c r="A87" s="24">
        <f t="shared" ref="A87:A94" si="53">A86+1000</f>
        <v>3000</v>
      </c>
      <c r="B87" s="74">
        <f t="shared" si="34"/>
        <v>0.125</v>
      </c>
      <c r="C87" s="28"/>
      <c r="D87" s="65">
        <f t="shared" si="11"/>
        <v>-1058.4000000000001</v>
      </c>
      <c r="E87" s="23">
        <f t="shared" si="52"/>
        <v>0.98</v>
      </c>
      <c r="F87" s="69"/>
      <c r="G87" s="65"/>
      <c r="H87" s="65"/>
      <c r="I87" s="69"/>
      <c r="J87" s="65">
        <f t="shared" si="39"/>
        <v>-176.15250859869411</v>
      </c>
      <c r="K87" s="65">
        <f t="shared" si="40"/>
        <v>3.8474914013058878</v>
      </c>
      <c r="L87" s="65">
        <f t="shared" si="12"/>
        <v>3.8474914013058878</v>
      </c>
      <c r="M87" s="65">
        <f t="shared" si="13"/>
        <v>3.5624920382461927E-3</v>
      </c>
      <c r="N87" s="69"/>
      <c r="O87" s="65">
        <f t="shared" si="41"/>
        <v>-176.11710143963634</v>
      </c>
      <c r="P87" s="65">
        <f t="shared" si="42"/>
        <v>3.8828985603636568</v>
      </c>
      <c r="Q87" s="65">
        <f t="shared" si="14"/>
        <v>3.8828985603636568</v>
      </c>
      <c r="R87" s="65">
        <f t="shared" si="15"/>
        <v>0</v>
      </c>
      <c r="S87" s="69"/>
      <c r="T87" s="65">
        <f t="shared" si="43"/>
        <v>-176.16894863894333</v>
      </c>
      <c r="U87" s="65">
        <f t="shared" si="44"/>
        <v>3.8310513610566659</v>
      </c>
      <c r="V87" s="65">
        <f t="shared" si="16"/>
        <v>3.8310513610566659</v>
      </c>
      <c r="W87" s="65">
        <f t="shared" si="17"/>
        <v>0</v>
      </c>
      <c r="X87" s="69"/>
      <c r="Y87" s="65">
        <f t="shared" si="18"/>
        <v>-88.281641998344554</v>
      </c>
      <c r="Z87" s="65">
        <f t="shared" si="19"/>
        <v>-176.56328399668911</v>
      </c>
      <c r="AA87" s="65">
        <f t="shared" si="20"/>
        <v>-8032.5</v>
      </c>
      <c r="AB87" s="62">
        <f t="shared" si="21"/>
        <v>7.4375</v>
      </c>
      <c r="AC87" s="65">
        <f t="shared" si="22"/>
        <v>-88.281641998344554</v>
      </c>
      <c r="AD87" s="65">
        <f t="shared" si="23"/>
        <v>8.1742261109578288E-2</v>
      </c>
      <c r="AE87" s="69"/>
      <c r="AF87" s="68">
        <f t="shared" si="45"/>
        <v>1.1903047531478246</v>
      </c>
      <c r="AG87" s="44"/>
      <c r="AH87" s="121"/>
      <c r="AI87" s="23">
        <f t="shared" si="46"/>
        <v>-176.15714658272651</v>
      </c>
      <c r="AJ87" s="23">
        <f t="shared" si="47"/>
        <v>3.8428534172734885</v>
      </c>
      <c r="AK87" s="65">
        <f t="shared" si="24"/>
        <v>3.8428534172734885</v>
      </c>
      <c r="AL87" s="65">
        <f t="shared" si="25"/>
        <v>0</v>
      </c>
      <c r="AM87" s="25"/>
      <c r="AN87" s="65">
        <f t="shared" si="26"/>
        <v>-88.090847567003621</v>
      </c>
      <c r="AO87" s="65">
        <f t="shared" si="27"/>
        <v>-176.18169513400724</v>
      </c>
      <c r="AP87" s="65">
        <f t="shared" si="28"/>
        <v>-4016.25</v>
      </c>
      <c r="AQ87" s="65">
        <f t="shared" si="29"/>
        <v>3.71875</v>
      </c>
      <c r="AR87" s="65">
        <f t="shared" si="30"/>
        <v>-88.090847567003621</v>
      </c>
      <c r="AS87" s="65">
        <f t="shared" si="31"/>
        <v>8.1565599599077429E-2</v>
      </c>
      <c r="AT87" s="25"/>
      <c r="AU87" s="60">
        <f t="shared" si="32"/>
        <v>8.1565599599077429E-2</v>
      </c>
      <c r="AV87" s="61">
        <f t="shared" si="33"/>
        <v>1.271870352746902</v>
      </c>
    </row>
    <row r="88" spans="1:57" x14ac:dyDescent="0.25">
      <c r="A88" s="24">
        <f t="shared" si="53"/>
        <v>4000</v>
      </c>
      <c r="B88" s="74">
        <f t="shared" si="34"/>
        <v>0.125</v>
      </c>
      <c r="C88" s="28"/>
      <c r="D88" s="65">
        <f t="shared" si="11"/>
        <v>-1411.2</v>
      </c>
      <c r="E88" s="23">
        <f t="shared" si="52"/>
        <v>0.98</v>
      </c>
      <c r="F88" s="69"/>
      <c r="G88" s="65"/>
      <c r="H88" s="65"/>
      <c r="I88" s="69"/>
      <c r="J88" s="65">
        <f t="shared" si="39"/>
        <v>-177.12352353722179</v>
      </c>
      <c r="K88" s="65">
        <f t="shared" si="40"/>
        <v>2.8764764627782142</v>
      </c>
      <c r="L88" s="65">
        <f t="shared" si="12"/>
        <v>2.8764764627782142</v>
      </c>
      <c r="M88" s="65">
        <f t="shared" si="13"/>
        <v>1.9975530991515377E-3</v>
      </c>
      <c r="N88" s="69"/>
      <c r="O88" s="65">
        <f t="shared" si="41"/>
        <v>-177.10873040377945</v>
      </c>
      <c r="P88" s="65">
        <f t="shared" si="42"/>
        <v>2.8912695962205532</v>
      </c>
      <c r="Q88" s="65">
        <f t="shared" si="14"/>
        <v>2.8912695962205532</v>
      </c>
      <c r="R88" s="65">
        <f t="shared" si="15"/>
        <v>0</v>
      </c>
      <c r="S88" s="69"/>
      <c r="T88" s="65">
        <f t="shared" si="43"/>
        <v>-177.13043280148645</v>
      </c>
      <c r="U88" s="65">
        <f t="shared" si="44"/>
        <v>2.8695671985135505</v>
      </c>
      <c r="V88" s="65">
        <f t="shared" si="16"/>
        <v>2.8695671985135505</v>
      </c>
      <c r="W88" s="65">
        <f t="shared" si="17"/>
        <v>0</v>
      </c>
      <c r="X88" s="69"/>
      <c r="Y88" s="65">
        <f t="shared" si="18"/>
        <v>-88.711062439813119</v>
      </c>
      <c r="Z88" s="65">
        <f t="shared" si="19"/>
        <v>-177.42212487962624</v>
      </c>
      <c r="AA88" s="65">
        <f t="shared" si="20"/>
        <v>-10710</v>
      </c>
      <c r="AB88" s="62">
        <f t="shared" si="21"/>
        <v>7.4375</v>
      </c>
      <c r="AC88" s="65">
        <f t="shared" si="22"/>
        <v>-88.711062439813119</v>
      </c>
      <c r="AD88" s="65">
        <f t="shared" si="23"/>
        <v>6.1604904472092437E-2</v>
      </c>
      <c r="AE88" s="69"/>
      <c r="AF88" s="68">
        <f t="shared" si="45"/>
        <v>1.1686024575712439</v>
      </c>
      <c r="AG88" s="44"/>
      <c r="AH88" s="121"/>
      <c r="AI88" s="23">
        <f t="shared" si="46"/>
        <v>-177.12547012562854</v>
      </c>
      <c r="AJ88" s="23">
        <f t="shared" si="47"/>
        <v>2.8745298743714613</v>
      </c>
      <c r="AK88" s="65">
        <f t="shared" si="24"/>
        <v>2.8745298743714613</v>
      </c>
      <c r="AL88" s="65">
        <f t="shared" si="25"/>
        <v>0</v>
      </c>
      <c r="AM88" s="25"/>
      <c r="AN88" s="65">
        <f t="shared" si="26"/>
        <v>-88.567903815835365</v>
      </c>
      <c r="AO88" s="65">
        <f t="shared" si="27"/>
        <v>-177.13580763167073</v>
      </c>
      <c r="AP88" s="65">
        <f t="shared" si="28"/>
        <v>-5355</v>
      </c>
      <c r="AQ88" s="65">
        <f t="shared" si="29"/>
        <v>3.71875</v>
      </c>
      <c r="AR88" s="65">
        <f t="shared" si="30"/>
        <v>-88.567903815835365</v>
      </c>
      <c r="AS88" s="65">
        <f t="shared" si="31"/>
        <v>6.1505488760996777E-2</v>
      </c>
      <c r="AT88" s="25"/>
      <c r="AU88" s="60">
        <f t="shared" si="32"/>
        <v>6.1505488760996777E-2</v>
      </c>
      <c r="AV88" s="61">
        <f t="shared" si="33"/>
        <v>1.2301079463322406</v>
      </c>
    </row>
    <row r="89" spans="1:57" x14ac:dyDescent="0.25">
      <c r="A89" s="24">
        <f t="shared" si="53"/>
        <v>5000</v>
      </c>
      <c r="B89" s="74">
        <f t="shared" si="34"/>
        <v>0.125</v>
      </c>
      <c r="C89" s="28"/>
      <c r="D89" s="65">
        <f t="shared" si="11"/>
        <v>-1764</v>
      </c>
      <c r="E89" s="23">
        <f t="shared" si="52"/>
        <v>0.98</v>
      </c>
      <c r="F89" s="69"/>
      <c r="G89" s="65"/>
      <c r="H89" s="65"/>
      <c r="I89" s="69"/>
      <c r="J89" s="65">
        <f t="shared" si="39"/>
        <v>-177.70219171832198</v>
      </c>
      <c r="K89" s="65">
        <f t="shared" si="40"/>
        <v>2.2978082816780159</v>
      </c>
      <c r="L89" s="65">
        <f t="shared" si="12"/>
        <v>2.2978082816780159</v>
      </c>
      <c r="M89" s="65">
        <f t="shared" si="13"/>
        <v>1.2765601564877866E-3</v>
      </c>
      <c r="N89" s="69"/>
      <c r="O89" s="65">
        <f t="shared" si="41"/>
        <v>-177.69465149350316</v>
      </c>
      <c r="P89" s="65">
        <f t="shared" si="42"/>
        <v>2.3053485064968413</v>
      </c>
      <c r="Q89" s="65">
        <f t="shared" si="14"/>
        <v>2.3053485064968413</v>
      </c>
      <c r="R89" s="65">
        <f t="shared" si="15"/>
        <v>0</v>
      </c>
      <c r="S89" s="69"/>
      <c r="T89" s="65">
        <f t="shared" si="43"/>
        <v>-177.70572302747763</v>
      </c>
      <c r="U89" s="65">
        <f t="shared" si="44"/>
        <v>2.2942769725223684</v>
      </c>
      <c r="V89" s="65">
        <f t="shared" si="16"/>
        <v>2.2942769725223684</v>
      </c>
      <c r="W89" s="65">
        <f t="shared" si="17"/>
        <v>0</v>
      </c>
      <c r="X89" s="69"/>
      <c r="Y89" s="65">
        <f t="shared" si="18"/>
        <v>-88.96878733011205</v>
      </c>
      <c r="Z89" s="65">
        <f t="shared" si="19"/>
        <v>-177.9375746602241</v>
      </c>
      <c r="AA89" s="65">
        <f t="shared" si="20"/>
        <v>-13387.5</v>
      </c>
      <c r="AB89" s="62">
        <f t="shared" si="21"/>
        <v>7.4375</v>
      </c>
      <c r="AC89" s="65">
        <f t="shared" si="22"/>
        <v>-88.96878733011205</v>
      </c>
      <c r="AD89" s="65">
        <f t="shared" si="23"/>
        <v>4.9427104072284476E-2</v>
      </c>
      <c r="AE89" s="69"/>
      <c r="AF89" s="68">
        <f t="shared" si="45"/>
        <v>1.1557036642287721</v>
      </c>
      <c r="AG89" s="44"/>
      <c r="AH89" s="121"/>
      <c r="AI89" s="23">
        <f t="shared" si="46"/>
        <v>-177.703185996701</v>
      </c>
      <c r="AJ89" s="23">
        <f t="shared" si="47"/>
        <v>2.296814003299005</v>
      </c>
      <c r="AK89" s="65">
        <f t="shared" si="24"/>
        <v>2.296814003299005</v>
      </c>
      <c r="AL89" s="65">
        <f t="shared" si="25"/>
        <v>0</v>
      </c>
      <c r="AM89" s="25"/>
      <c r="AN89" s="65">
        <f t="shared" si="26"/>
        <v>-88.854237161824898</v>
      </c>
      <c r="AO89" s="65">
        <f t="shared" si="27"/>
        <v>-177.7084743236498</v>
      </c>
      <c r="AP89" s="65">
        <f t="shared" si="28"/>
        <v>-6693.75</v>
      </c>
      <c r="AQ89" s="65">
        <f t="shared" si="29"/>
        <v>3.71875</v>
      </c>
      <c r="AR89" s="65">
        <f t="shared" si="30"/>
        <v>-88.854237161824898</v>
      </c>
      <c r="AS89" s="65">
        <f t="shared" si="31"/>
        <v>4.9363465089902719E-2</v>
      </c>
      <c r="AT89" s="25"/>
      <c r="AU89" s="60">
        <f t="shared" si="32"/>
        <v>4.9363465089902719E-2</v>
      </c>
      <c r="AV89" s="61">
        <f t="shared" si="33"/>
        <v>1.2050671293186748</v>
      </c>
    </row>
    <row r="90" spans="1:57" x14ac:dyDescent="0.25">
      <c r="A90" s="24">
        <f t="shared" si="53"/>
        <v>6000</v>
      </c>
      <c r="B90" s="74">
        <f t="shared" si="34"/>
        <v>0.125</v>
      </c>
      <c r="C90" s="28"/>
      <c r="D90" s="65">
        <f t="shared" si="11"/>
        <v>-2116.8000000000002</v>
      </c>
      <c r="E90" s="23">
        <f t="shared" si="52"/>
        <v>0.98</v>
      </c>
      <c r="F90" s="69"/>
      <c r="G90" s="65"/>
      <c r="H90" s="65"/>
      <c r="I90" s="69"/>
      <c r="J90" s="65">
        <f t="shared" si="39"/>
        <v>-178.08668387656169</v>
      </c>
      <c r="K90" s="65">
        <f t="shared" si="40"/>
        <v>1.9133161234383067</v>
      </c>
      <c r="L90" s="65">
        <f t="shared" si="12"/>
        <v>1.9133161234383067</v>
      </c>
      <c r="M90" s="65">
        <f t="shared" si="13"/>
        <v>8.8579450159180875E-4</v>
      </c>
      <c r="N90" s="69"/>
      <c r="O90" s="65">
        <f t="shared" si="41"/>
        <v>-178.0823309145932</v>
      </c>
      <c r="P90" s="65">
        <f t="shared" si="42"/>
        <v>1.9176690854067999</v>
      </c>
      <c r="Q90" s="65">
        <f t="shared" si="14"/>
        <v>1.9176690854067999</v>
      </c>
      <c r="R90" s="65">
        <f t="shared" si="15"/>
        <v>0</v>
      </c>
      <c r="S90" s="69"/>
      <c r="T90" s="65">
        <f t="shared" si="43"/>
        <v>-178.08872550109672</v>
      </c>
      <c r="U90" s="65">
        <f t="shared" si="44"/>
        <v>1.9112744989032819</v>
      </c>
      <c r="V90" s="65">
        <f t="shared" si="16"/>
        <v>1.9112744989032819</v>
      </c>
      <c r="W90" s="65">
        <f t="shared" si="17"/>
        <v>0</v>
      </c>
      <c r="X90" s="69"/>
      <c r="Y90" s="65">
        <f t="shared" si="18"/>
        <v>-89.140627756355329</v>
      </c>
      <c r="Z90" s="65">
        <f t="shared" si="19"/>
        <v>-178.28125551271066</v>
      </c>
      <c r="AA90" s="65">
        <f t="shared" si="20"/>
        <v>-16065</v>
      </c>
      <c r="AB90" s="62">
        <f t="shared" si="21"/>
        <v>7.4375</v>
      </c>
      <c r="AC90" s="65">
        <f t="shared" si="22"/>
        <v>-89.140627756355329</v>
      </c>
      <c r="AD90" s="65">
        <f t="shared" si="23"/>
        <v>4.1268809146460798E-2</v>
      </c>
      <c r="AE90" s="69"/>
      <c r="AF90" s="68">
        <f t="shared" si="45"/>
        <v>1.1471546036480527</v>
      </c>
      <c r="AG90" s="44"/>
      <c r="AH90" s="121"/>
      <c r="AI90" s="23">
        <f t="shared" si="46"/>
        <v>-178.08725852402438</v>
      </c>
      <c r="AJ90" s="23">
        <f t="shared" si="47"/>
        <v>1.9127414759756221</v>
      </c>
      <c r="AK90" s="65">
        <f t="shared" si="24"/>
        <v>1.9127414759756221</v>
      </c>
      <c r="AL90" s="65">
        <f t="shared" si="25"/>
        <v>0</v>
      </c>
      <c r="AM90" s="25"/>
      <c r="AN90" s="65">
        <f t="shared" si="26"/>
        <v>-89.045158746127825</v>
      </c>
      <c r="AO90" s="65">
        <f t="shared" si="27"/>
        <v>-178.09031749225565</v>
      </c>
      <c r="AP90" s="65">
        <f t="shared" si="28"/>
        <v>-8032.5</v>
      </c>
      <c r="AQ90" s="65">
        <f t="shared" si="29"/>
        <v>3.71875</v>
      </c>
      <c r="AR90" s="65">
        <f t="shared" si="30"/>
        <v>-89.045158746127825</v>
      </c>
      <c r="AS90" s="65">
        <f t="shared" si="31"/>
        <v>4.1224610530614735E-2</v>
      </c>
      <c r="AT90" s="25"/>
      <c r="AU90" s="60">
        <f t="shared" si="32"/>
        <v>4.1224610530614735E-2</v>
      </c>
      <c r="AV90" s="61">
        <f t="shared" si="33"/>
        <v>1.1883792141786673</v>
      </c>
    </row>
    <row r="91" spans="1:57" x14ac:dyDescent="0.25">
      <c r="A91" s="24">
        <f t="shared" si="53"/>
        <v>7000</v>
      </c>
      <c r="B91" s="74">
        <f t="shared" si="34"/>
        <v>0.125</v>
      </c>
      <c r="C91" s="28"/>
      <c r="D91" s="65">
        <f t="shared" si="11"/>
        <v>-2469.6</v>
      </c>
      <c r="E91" s="23">
        <f t="shared" si="52"/>
        <v>0.98</v>
      </c>
      <c r="F91" s="69"/>
      <c r="G91" s="65"/>
      <c r="H91" s="65"/>
      <c r="I91" s="69"/>
      <c r="J91" s="65">
        <f t="shared" si="39"/>
        <v>-178.36080166851491</v>
      </c>
      <c r="K91" s="65">
        <f t="shared" si="40"/>
        <v>1.6391983314850904</v>
      </c>
      <c r="L91" s="65">
        <f t="shared" si="12"/>
        <v>1.6391983314850904</v>
      </c>
      <c r="M91" s="65">
        <f t="shared" si="13"/>
        <v>6.5047552836709928E-4</v>
      </c>
      <c r="N91" s="69"/>
      <c r="O91" s="65">
        <f t="shared" si="41"/>
        <v>-178.3580644566909</v>
      </c>
      <c r="P91" s="65">
        <f t="shared" si="42"/>
        <v>1.6419355433091027</v>
      </c>
      <c r="Q91" s="65">
        <f t="shared" si="14"/>
        <v>1.6419355433091027</v>
      </c>
      <c r="R91" s="65">
        <f t="shared" si="15"/>
        <v>0</v>
      </c>
      <c r="S91" s="69"/>
      <c r="T91" s="65">
        <f t="shared" si="43"/>
        <v>-178.36208661367183</v>
      </c>
      <c r="U91" s="65">
        <f t="shared" si="44"/>
        <v>1.6379133863281652</v>
      </c>
      <c r="V91" s="65">
        <f t="shared" si="16"/>
        <v>1.6379133863281652</v>
      </c>
      <c r="W91" s="65">
        <f t="shared" si="17"/>
        <v>0</v>
      </c>
      <c r="X91" s="69"/>
      <c r="Y91" s="65">
        <f t="shared" si="18"/>
        <v>-89.263380565134028</v>
      </c>
      <c r="Z91" s="65">
        <f t="shared" si="19"/>
        <v>-178.52676113026806</v>
      </c>
      <c r="AA91" s="65">
        <f t="shared" si="20"/>
        <v>-18742.5</v>
      </c>
      <c r="AB91" s="62">
        <f t="shared" si="21"/>
        <v>7.4375</v>
      </c>
      <c r="AC91" s="65">
        <f t="shared" si="22"/>
        <v>-89.263380565134028</v>
      </c>
      <c r="AD91" s="65">
        <f t="shared" si="23"/>
        <v>3.5421976414735726E-2</v>
      </c>
      <c r="AE91" s="69"/>
      <c r="AF91" s="68">
        <f t="shared" si="45"/>
        <v>1.1410724519431028</v>
      </c>
      <c r="AG91" s="44"/>
      <c r="AH91" s="121"/>
      <c r="AI91" s="23">
        <f t="shared" si="46"/>
        <v>-178.36116326301371</v>
      </c>
      <c r="AJ91" s="23">
        <f t="shared" si="47"/>
        <v>1.638836736986292</v>
      </c>
      <c r="AK91" s="65">
        <f t="shared" si="24"/>
        <v>1.638836736986292</v>
      </c>
      <c r="AL91" s="65">
        <f t="shared" si="25"/>
        <v>0</v>
      </c>
      <c r="AM91" s="25"/>
      <c r="AN91" s="65">
        <f t="shared" si="26"/>
        <v>-89.1815445383114</v>
      </c>
      <c r="AO91" s="65">
        <f t="shared" si="27"/>
        <v>-178.3630890766228</v>
      </c>
      <c r="AP91" s="65">
        <f t="shared" si="28"/>
        <v>-9371.25</v>
      </c>
      <c r="AQ91" s="65">
        <f t="shared" si="29"/>
        <v>3.71875</v>
      </c>
      <c r="AR91" s="65">
        <f t="shared" si="30"/>
        <v>-89.1815445383114</v>
      </c>
      <c r="AS91" s="65">
        <f t="shared" si="31"/>
        <v>3.5389501800917218E-2</v>
      </c>
      <c r="AT91" s="25"/>
      <c r="AU91" s="60">
        <f t="shared" si="32"/>
        <v>3.5389501800917218E-2</v>
      </c>
      <c r="AV91" s="61">
        <f t="shared" si="33"/>
        <v>1.17646195374402</v>
      </c>
    </row>
    <row r="92" spans="1:57" x14ac:dyDescent="0.25">
      <c r="A92" s="24">
        <f t="shared" si="53"/>
        <v>8000</v>
      </c>
      <c r="B92" s="74">
        <f t="shared" si="34"/>
        <v>0.125</v>
      </c>
      <c r="C92" s="28"/>
      <c r="D92" s="65">
        <f t="shared" si="11"/>
        <v>-2822.4</v>
      </c>
      <c r="E92" s="23">
        <f t="shared" si="52"/>
        <v>0.98</v>
      </c>
      <c r="F92" s="69"/>
      <c r="G92" s="65"/>
      <c r="H92" s="65"/>
      <c r="I92" s="69"/>
      <c r="J92" s="65">
        <f t="shared" si="39"/>
        <v>-178.5661480791463</v>
      </c>
      <c r="K92" s="65">
        <f t="shared" si="40"/>
        <v>1.4338519208536979</v>
      </c>
      <c r="L92" s="65">
        <f t="shared" si="12"/>
        <v>1.4338519208536979</v>
      </c>
      <c r="M92" s="65">
        <f t="shared" si="13"/>
        <v>4.9786525029642281E-4</v>
      </c>
      <c r="N92" s="69"/>
      <c r="O92" s="65">
        <f t="shared" si="41"/>
        <v>-178.56431610265824</v>
      </c>
      <c r="P92" s="65">
        <f t="shared" si="42"/>
        <v>1.4356838973417609</v>
      </c>
      <c r="Q92" s="65">
        <f t="shared" si="14"/>
        <v>1.4356838973417609</v>
      </c>
      <c r="R92" s="65">
        <f t="shared" si="15"/>
        <v>0</v>
      </c>
      <c r="S92" s="69"/>
      <c r="T92" s="65">
        <f t="shared" si="43"/>
        <v>-178.56700856928052</v>
      </c>
      <c r="U92" s="65">
        <f t="shared" si="44"/>
        <v>1.4329914307194827</v>
      </c>
      <c r="V92" s="65">
        <f t="shared" si="16"/>
        <v>1.4329914307194827</v>
      </c>
      <c r="W92" s="65">
        <f t="shared" si="17"/>
        <v>0</v>
      </c>
      <c r="X92" s="69"/>
      <c r="Y92" s="65">
        <f t="shared" si="18"/>
        <v>-89.35544967152714</v>
      </c>
      <c r="Z92" s="65">
        <f t="shared" si="19"/>
        <v>-178.71089934305428</v>
      </c>
      <c r="AA92" s="65">
        <f t="shared" si="20"/>
        <v>-21420</v>
      </c>
      <c r="AB92" s="62">
        <f t="shared" si="21"/>
        <v>7.4375</v>
      </c>
      <c r="AC92" s="65">
        <f t="shared" si="22"/>
        <v>-89.35544967152714</v>
      </c>
      <c r="AD92" s="65">
        <f t="shared" si="23"/>
        <v>3.1026197802613589E-2</v>
      </c>
      <c r="AE92" s="69"/>
      <c r="AF92" s="68">
        <f t="shared" si="45"/>
        <v>1.1365240630529101</v>
      </c>
      <c r="AG92" s="44"/>
      <c r="AH92" s="121"/>
      <c r="AI92" s="23">
        <f t="shared" si="46"/>
        <v>-178.56639019640957</v>
      </c>
      <c r="AJ92" s="23">
        <f t="shared" si="47"/>
        <v>1.4336098035904286</v>
      </c>
      <c r="AK92" s="65">
        <f t="shared" si="24"/>
        <v>1.4336098035904286</v>
      </c>
      <c r="AL92" s="65">
        <f t="shared" si="25"/>
        <v>0</v>
      </c>
      <c r="AM92" s="25"/>
      <c r="AN92" s="65">
        <f t="shared" si="26"/>
        <v>-89.283840054529591</v>
      </c>
      <c r="AO92" s="65">
        <f t="shared" si="27"/>
        <v>-178.56768010905918</v>
      </c>
      <c r="AP92" s="65">
        <f t="shared" si="28"/>
        <v>-10710</v>
      </c>
      <c r="AQ92" s="65">
        <f t="shared" si="29"/>
        <v>3.71875</v>
      </c>
      <c r="AR92" s="65">
        <f t="shared" si="30"/>
        <v>-89.283840054529591</v>
      </c>
      <c r="AS92" s="65">
        <f t="shared" si="31"/>
        <v>3.1001333352267221E-2</v>
      </c>
      <c r="AT92" s="25"/>
      <c r="AU92" s="60">
        <f t="shared" si="32"/>
        <v>3.1001333352267221E-2</v>
      </c>
      <c r="AV92" s="61">
        <f t="shared" si="33"/>
        <v>1.1675253964051773</v>
      </c>
    </row>
    <row r="93" spans="1:57" x14ac:dyDescent="0.25">
      <c r="A93" s="24">
        <f t="shared" si="53"/>
        <v>9000</v>
      </c>
      <c r="B93" s="74">
        <f t="shared" si="34"/>
        <v>0.125</v>
      </c>
      <c r="C93" s="28"/>
      <c r="D93" s="65">
        <f t="shared" si="11"/>
        <v>-3175.2</v>
      </c>
      <c r="E93" s="23">
        <f t="shared" si="52"/>
        <v>0.98</v>
      </c>
      <c r="F93" s="69"/>
      <c r="G93" s="65"/>
      <c r="H93" s="65"/>
      <c r="I93" s="69"/>
      <c r="J93" s="65">
        <f t="shared" si="39"/>
        <v>-178.72573702530443</v>
      </c>
      <c r="K93" s="65">
        <f t="shared" si="40"/>
        <v>1.2742629746955743</v>
      </c>
      <c r="L93" s="65">
        <f t="shared" si="12"/>
        <v>1.2742629746955743</v>
      </c>
      <c r="M93" s="65">
        <f t="shared" si="13"/>
        <v>3.932910415727081E-4</v>
      </c>
      <c r="N93" s="69"/>
      <c r="O93" s="65">
        <f t="shared" si="41"/>
        <v>-178.72445120735395</v>
      </c>
      <c r="P93" s="65">
        <f t="shared" si="42"/>
        <v>1.2755487926460489</v>
      </c>
      <c r="Q93" s="65">
        <f t="shared" si="14"/>
        <v>1.2755487926460489</v>
      </c>
      <c r="R93" s="65">
        <f t="shared" si="15"/>
        <v>0</v>
      </c>
      <c r="S93" s="69"/>
      <c r="T93" s="65">
        <f t="shared" si="43"/>
        <v>-178.72634121967434</v>
      </c>
      <c r="U93" s="65">
        <f t="shared" si="44"/>
        <v>1.2736587803256612</v>
      </c>
      <c r="V93" s="65">
        <f t="shared" si="16"/>
        <v>1.2736587803256612</v>
      </c>
      <c r="W93" s="65">
        <f t="shared" si="17"/>
        <v>0</v>
      </c>
      <c r="X93" s="69"/>
      <c r="Y93" s="65">
        <f t="shared" si="18"/>
        <v>-89.427061302316531</v>
      </c>
      <c r="Z93" s="65">
        <f t="shared" si="19"/>
        <v>-178.85412260463306</v>
      </c>
      <c r="AA93" s="65">
        <f t="shared" si="20"/>
        <v>-24097.5</v>
      </c>
      <c r="AB93" s="62">
        <f t="shared" si="21"/>
        <v>7.4375</v>
      </c>
      <c r="AC93" s="65">
        <f t="shared" si="22"/>
        <v>-89.427061302316531</v>
      </c>
      <c r="AD93" s="65">
        <f t="shared" si="23"/>
        <v>2.7600944846393992E-2</v>
      </c>
      <c r="AE93" s="69"/>
      <c r="AF93" s="68">
        <f t="shared" si="45"/>
        <v>1.1329942358879668</v>
      </c>
      <c r="AG93" s="44"/>
      <c r="AH93" s="121"/>
      <c r="AI93" s="23">
        <f t="shared" si="46"/>
        <v>-178.72590701289258</v>
      </c>
      <c r="AJ93" s="23">
        <f t="shared" si="47"/>
        <v>1.2740929871074229</v>
      </c>
      <c r="AK93" s="65">
        <f t="shared" si="24"/>
        <v>1.2740929871074229</v>
      </c>
      <c r="AL93" s="65">
        <f t="shared" si="25"/>
        <v>0</v>
      </c>
      <c r="AM93" s="25"/>
      <c r="AN93" s="65">
        <f t="shared" si="26"/>
        <v>-89.363406424036526</v>
      </c>
      <c r="AO93" s="65">
        <f t="shared" si="27"/>
        <v>-178.72681284807305</v>
      </c>
      <c r="AP93" s="65">
        <f t="shared" si="28"/>
        <v>-12048.75</v>
      </c>
      <c r="AQ93" s="65">
        <f t="shared" si="29"/>
        <v>3.71875</v>
      </c>
      <c r="AR93" s="65">
        <f t="shared" si="30"/>
        <v>-89.363406424036526</v>
      </c>
      <c r="AS93" s="65">
        <f t="shared" si="31"/>
        <v>2.7581298279023617E-2</v>
      </c>
      <c r="AT93" s="25"/>
      <c r="AU93" s="60">
        <f t="shared" si="32"/>
        <v>2.7581298279023617E-2</v>
      </c>
      <c r="AV93" s="61">
        <f t="shared" si="33"/>
        <v>1.1605755341669903</v>
      </c>
    </row>
    <row r="94" spans="1:57" x14ac:dyDescent="0.25">
      <c r="A94" s="24">
        <f t="shared" si="53"/>
        <v>10000</v>
      </c>
      <c r="B94" s="74">
        <f t="shared" si="34"/>
        <v>0.125</v>
      </c>
      <c r="C94" s="28"/>
      <c r="D94" s="65">
        <f t="shared" si="11"/>
        <v>-3528</v>
      </c>
      <c r="E94" s="23">
        <f t="shared" si="52"/>
        <v>0.98</v>
      </c>
      <c r="F94" s="69"/>
      <c r="G94" s="65"/>
      <c r="H94" s="65"/>
      <c r="I94" s="69"/>
      <c r="J94" s="65">
        <f t="shared" si="39"/>
        <v>-178.85333841888493</v>
      </c>
      <c r="K94" s="65">
        <f t="shared" si="40"/>
        <v>1.1466615811150689</v>
      </c>
      <c r="L94" s="65">
        <f t="shared" si="12"/>
        <v>1.1466615811150689</v>
      </c>
      <c r="M94" s="65">
        <f t="shared" si="13"/>
        <v>3.1851710586529688E-4</v>
      </c>
      <c r="N94" s="69"/>
      <c r="O94" s="65">
        <f t="shared" si="41"/>
        <v>-178.85240149407983</v>
      </c>
      <c r="P94" s="65">
        <f t="shared" si="42"/>
        <v>1.1475985059201719</v>
      </c>
      <c r="Q94" s="65">
        <f t="shared" si="14"/>
        <v>1.1475985059201719</v>
      </c>
      <c r="R94" s="65">
        <f t="shared" si="15"/>
        <v>0</v>
      </c>
      <c r="S94" s="69"/>
      <c r="T94" s="65">
        <f t="shared" si="43"/>
        <v>-178.85377879558882</v>
      </c>
      <c r="U94" s="65">
        <f t="shared" si="44"/>
        <v>1.1462212044111766</v>
      </c>
      <c r="V94" s="65">
        <f t="shared" si="16"/>
        <v>1.1462212044111766</v>
      </c>
      <c r="W94" s="65">
        <f t="shared" si="17"/>
        <v>0</v>
      </c>
      <c r="X94" s="69"/>
      <c r="Y94" s="65">
        <f t="shared" si="18"/>
        <v>-89.484351906580073</v>
      </c>
      <c r="Z94" s="65">
        <f t="shared" si="19"/>
        <v>-178.96870381316015</v>
      </c>
      <c r="AA94" s="65">
        <f t="shared" si="20"/>
        <v>-26775</v>
      </c>
      <c r="AB94" s="62">
        <f t="shared" si="21"/>
        <v>7.4375</v>
      </c>
      <c r="AC94" s="65">
        <f t="shared" si="22"/>
        <v>-89.484351906580073</v>
      </c>
      <c r="AD94" s="65">
        <f t="shared" si="23"/>
        <v>2.4856764418494465E-2</v>
      </c>
      <c r="AE94" s="69"/>
      <c r="AF94" s="68">
        <f t="shared" si="45"/>
        <v>1.1301752815243598</v>
      </c>
      <c r="AG94" s="44"/>
      <c r="AH94" s="121"/>
      <c r="AI94" s="23">
        <f t="shared" si="46"/>
        <v>-178.85346230902655</v>
      </c>
      <c r="AJ94" s="23">
        <f t="shared" si="47"/>
        <v>1.1465376909734459</v>
      </c>
      <c r="AK94" s="65">
        <f t="shared" si="24"/>
        <v>1.1465376909734459</v>
      </c>
      <c r="AL94" s="65">
        <f t="shared" si="25"/>
        <v>0</v>
      </c>
      <c r="AM94" s="25"/>
      <c r="AN94" s="65">
        <f t="shared" si="26"/>
        <v>-89.427061302316531</v>
      </c>
      <c r="AO94" s="65">
        <f t="shared" si="27"/>
        <v>-178.85412260463306</v>
      </c>
      <c r="AP94" s="65">
        <f t="shared" si="28"/>
        <v>-13387.5</v>
      </c>
      <c r="AQ94" s="65">
        <f t="shared" si="29"/>
        <v>3.71875</v>
      </c>
      <c r="AR94" s="65">
        <f t="shared" si="30"/>
        <v>-89.427061302316531</v>
      </c>
      <c r="AS94" s="65">
        <f t="shared" si="31"/>
        <v>2.4840850361754593E-2</v>
      </c>
      <c r="AT94" s="25"/>
      <c r="AU94" s="60">
        <f t="shared" si="32"/>
        <v>2.4840850361754593E-2</v>
      </c>
      <c r="AV94" s="61">
        <f t="shared" si="33"/>
        <v>1.1550161318861143</v>
      </c>
    </row>
    <row r="95" spans="1:57" s="81" customFormat="1" x14ac:dyDescent="0.25">
      <c r="A95" s="89"/>
      <c r="B95" s="89"/>
      <c r="C95" s="89"/>
      <c r="D95" s="89"/>
      <c r="E95" s="89"/>
      <c r="F95" s="89"/>
      <c r="G95" s="90"/>
      <c r="H95" s="90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Y95" s="90"/>
      <c r="Z95" s="90"/>
      <c r="AA95" s="90"/>
      <c r="AB95" s="90"/>
      <c r="AC95" s="90"/>
      <c r="AD95" s="90"/>
      <c r="AI95" s="91"/>
      <c r="AJ95" s="91"/>
      <c r="AN95" s="90"/>
      <c r="AO95" s="90"/>
      <c r="AP95" s="90"/>
      <c r="AQ95" s="90"/>
      <c r="AR95" s="90"/>
      <c r="AS95" s="90"/>
      <c r="AV95" s="90"/>
      <c r="BE95" s="86"/>
    </row>
    <row r="96" spans="1:57" s="81" customFormat="1" x14ac:dyDescent="0.25">
      <c r="A96" s="89"/>
      <c r="B96" s="89"/>
      <c r="C96" s="89"/>
      <c r="D96" s="89"/>
      <c r="E96" s="89"/>
      <c r="F96" s="89"/>
      <c r="G96" s="90"/>
      <c r="H96" s="90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Y96" s="90"/>
      <c r="Z96" s="90"/>
      <c r="AA96" s="90"/>
      <c r="AB96" s="90"/>
      <c r="AC96" s="90"/>
      <c r="AD96" s="90"/>
      <c r="AI96" s="91"/>
      <c r="AJ96" s="91"/>
      <c r="AN96" s="90"/>
      <c r="AO96" s="90"/>
      <c r="AP96" s="90"/>
      <c r="AQ96" s="90"/>
      <c r="AR96" s="90"/>
      <c r="AS96" s="90"/>
      <c r="AV96" s="90"/>
      <c r="BE96" s="86"/>
    </row>
    <row r="97" spans="1:57" s="81" customFormat="1" x14ac:dyDescent="0.25">
      <c r="A97" s="89"/>
      <c r="B97" s="89"/>
      <c r="C97" s="89"/>
      <c r="D97" s="89"/>
      <c r="E97" s="89"/>
      <c r="F97" s="89"/>
      <c r="G97" s="90"/>
      <c r="H97" s="90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Y97" s="90"/>
      <c r="Z97" s="90"/>
      <c r="AA97" s="90"/>
      <c r="AB97" s="90"/>
      <c r="AC97" s="90"/>
      <c r="AD97" s="90"/>
      <c r="AI97" s="91"/>
      <c r="AJ97" s="91"/>
      <c r="AN97" s="90"/>
      <c r="AO97" s="90"/>
      <c r="AP97" s="90"/>
      <c r="AQ97" s="90"/>
      <c r="AR97" s="90"/>
      <c r="AS97" s="90"/>
      <c r="AV97" s="90"/>
      <c r="BE97" s="86"/>
    </row>
    <row r="98" spans="1:57" s="81" customFormat="1" x14ac:dyDescent="0.25">
      <c r="A98" s="89"/>
      <c r="B98" s="89"/>
      <c r="C98" s="89"/>
      <c r="D98" s="89"/>
      <c r="E98" s="89"/>
      <c r="F98" s="89"/>
      <c r="G98" s="90"/>
      <c r="H98" s="90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Y98" s="90"/>
      <c r="Z98" s="90"/>
      <c r="AA98" s="90"/>
      <c r="AB98" s="90"/>
      <c r="AC98" s="90"/>
      <c r="AD98" s="90"/>
      <c r="AI98" s="91"/>
      <c r="AJ98" s="91"/>
      <c r="AN98" s="90"/>
      <c r="AO98" s="90"/>
      <c r="AP98" s="90"/>
      <c r="AQ98" s="90"/>
      <c r="AR98" s="90"/>
      <c r="AS98" s="90"/>
      <c r="AV98" s="90"/>
      <c r="BE98" s="86"/>
    </row>
    <row r="99" spans="1:57" s="81" customFormat="1" x14ac:dyDescent="0.25">
      <c r="A99" s="89"/>
      <c r="B99" s="89"/>
      <c r="C99" s="89"/>
      <c r="D99" s="89"/>
      <c r="E99" s="89"/>
      <c r="F99" s="89"/>
      <c r="G99" s="90"/>
      <c r="H99" s="90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Y99" s="90"/>
      <c r="Z99" s="90"/>
      <c r="AA99" s="90"/>
      <c r="AB99" s="90"/>
      <c r="AC99" s="90"/>
      <c r="AD99" s="90"/>
      <c r="AI99" s="91"/>
      <c r="AJ99" s="91"/>
      <c r="AN99" s="90"/>
      <c r="AO99" s="90"/>
      <c r="AP99" s="90"/>
      <c r="AQ99" s="90"/>
      <c r="AR99" s="90"/>
      <c r="AS99" s="90"/>
      <c r="AV99" s="90"/>
      <c r="BE99" s="86"/>
    </row>
    <row r="100" spans="1:57" s="81" customFormat="1" x14ac:dyDescent="0.25">
      <c r="A100" s="89"/>
      <c r="B100" s="89"/>
      <c r="C100" s="89"/>
      <c r="D100" s="89"/>
      <c r="E100" s="89"/>
      <c r="F100" s="89"/>
      <c r="G100" s="90"/>
      <c r="H100" s="90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Y100" s="90"/>
      <c r="Z100" s="90"/>
      <c r="AA100" s="90"/>
      <c r="AB100" s="90"/>
      <c r="AC100" s="90"/>
      <c r="AD100" s="90"/>
      <c r="AI100" s="91"/>
      <c r="AJ100" s="91"/>
      <c r="AN100" s="90"/>
      <c r="AO100" s="90"/>
      <c r="AP100" s="90"/>
      <c r="AQ100" s="90"/>
      <c r="AR100" s="90"/>
      <c r="AS100" s="90"/>
      <c r="AV100" s="90"/>
      <c r="BE100" s="86"/>
    </row>
    <row r="101" spans="1:57" s="81" customFormat="1" x14ac:dyDescent="0.25">
      <c r="A101" s="89"/>
      <c r="B101" s="89"/>
      <c r="C101" s="89"/>
      <c r="D101" s="89"/>
      <c r="E101" s="89"/>
      <c r="F101" s="89"/>
      <c r="G101" s="90"/>
      <c r="H101" s="90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Y101" s="90"/>
      <c r="Z101" s="90"/>
      <c r="AA101" s="90"/>
      <c r="AB101" s="90"/>
      <c r="AC101" s="90"/>
      <c r="AD101" s="90"/>
      <c r="AI101" s="91"/>
      <c r="AJ101" s="91"/>
      <c r="AN101" s="90"/>
      <c r="AO101" s="90"/>
      <c r="AP101" s="90"/>
      <c r="AQ101" s="90"/>
      <c r="AR101" s="90"/>
      <c r="AS101" s="90"/>
      <c r="AV101" s="90"/>
      <c r="BE101" s="86"/>
    </row>
    <row r="102" spans="1:57" s="81" customFormat="1" x14ac:dyDescent="0.25">
      <c r="A102" s="89"/>
      <c r="B102" s="89"/>
      <c r="C102" s="89"/>
      <c r="D102" s="89"/>
      <c r="E102" s="89"/>
      <c r="F102" s="89"/>
      <c r="G102" s="90"/>
      <c r="H102" s="90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Y102" s="90"/>
      <c r="Z102" s="90"/>
      <c r="AA102" s="90"/>
      <c r="AB102" s="90"/>
      <c r="AC102" s="90"/>
      <c r="AD102" s="90"/>
      <c r="AI102" s="91"/>
      <c r="AJ102" s="91"/>
      <c r="AN102" s="90"/>
      <c r="AO102" s="90"/>
      <c r="AP102" s="90"/>
      <c r="AQ102" s="90"/>
      <c r="AR102" s="90"/>
      <c r="AS102" s="90"/>
      <c r="AV102" s="90"/>
      <c r="BE102" s="86"/>
    </row>
    <row r="103" spans="1:57" s="81" customFormat="1" x14ac:dyDescent="0.25">
      <c r="A103" s="89"/>
      <c r="B103" s="89"/>
      <c r="C103" s="89"/>
      <c r="D103" s="89"/>
      <c r="E103" s="89"/>
      <c r="F103" s="89"/>
      <c r="G103" s="90"/>
      <c r="H103" s="90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Y103" s="90"/>
      <c r="Z103" s="90"/>
      <c r="AA103" s="90"/>
      <c r="AB103" s="90"/>
      <c r="AC103" s="90"/>
      <c r="AD103" s="90"/>
      <c r="AI103" s="91"/>
      <c r="AJ103" s="91"/>
      <c r="AN103" s="90"/>
      <c r="AO103" s="90"/>
      <c r="AP103" s="90"/>
      <c r="AQ103" s="90"/>
      <c r="AR103" s="90"/>
      <c r="AS103" s="90"/>
      <c r="AV103" s="90"/>
      <c r="BE103" s="86"/>
    </row>
    <row r="104" spans="1:57" s="81" customFormat="1" x14ac:dyDescent="0.25">
      <c r="A104" s="89"/>
      <c r="B104" s="89"/>
      <c r="C104" s="89"/>
      <c r="D104" s="89"/>
      <c r="E104" s="89"/>
      <c r="F104" s="89"/>
      <c r="G104" s="90"/>
      <c r="H104" s="90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Y104" s="90"/>
      <c r="Z104" s="90"/>
      <c r="AA104" s="90"/>
      <c r="AB104" s="90"/>
      <c r="AC104" s="90"/>
      <c r="AD104" s="90"/>
      <c r="AI104" s="91"/>
      <c r="AJ104" s="91"/>
      <c r="AN104" s="90"/>
      <c r="AO104" s="90"/>
      <c r="AP104" s="90"/>
      <c r="AQ104" s="90"/>
      <c r="AR104" s="90"/>
      <c r="AS104" s="90"/>
      <c r="AV104" s="90"/>
      <c r="BE104" s="86"/>
    </row>
    <row r="105" spans="1:57" s="81" customFormat="1" x14ac:dyDescent="0.25">
      <c r="A105" s="89"/>
      <c r="B105" s="89"/>
      <c r="C105" s="89"/>
      <c r="D105" s="89"/>
      <c r="E105" s="89"/>
      <c r="F105" s="89"/>
      <c r="G105" s="90"/>
      <c r="H105" s="90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Y105" s="90"/>
      <c r="Z105" s="90"/>
      <c r="AA105" s="90"/>
      <c r="AB105" s="90"/>
      <c r="AC105" s="90"/>
      <c r="AD105" s="90"/>
      <c r="AI105" s="91"/>
      <c r="AJ105" s="91"/>
      <c r="AN105" s="90"/>
      <c r="AO105" s="90"/>
      <c r="AP105" s="90"/>
      <c r="AQ105" s="90"/>
      <c r="AR105" s="90"/>
      <c r="AS105" s="90"/>
      <c r="AV105" s="90"/>
      <c r="BE105" s="86"/>
    </row>
    <row r="106" spans="1:57" s="81" customFormat="1" x14ac:dyDescent="0.25">
      <c r="A106" s="89"/>
      <c r="B106" s="89"/>
      <c r="C106" s="89"/>
      <c r="D106" s="89"/>
      <c r="E106" s="89"/>
      <c r="F106" s="89"/>
      <c r="G106" s="90"/>
      <c r="H106" s="90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Y106" s="90"/>
      <c r="Z106" s="90"/>
      <c r="AA106" s="90"/>
      <c r="AB106" s="90"/>
      <c r="AC106" s="90"/>
      <c r="AD106" s="90"/>
      <c r="AI106" s="91"/>
      <c r="AJ106" s="91"/>
      <c r="AN106" s="90"/>
      <c r="AO106" s="90"/>
      <c r="AP106" s="90"/>
      <c r="AQ106" s="90"/>
      <c r="AR106" s="90"/>
      <c r="AS106" s="90"/>
      <c r="AV106" s="90"/>
      <c r="BE106" s="86"/>
    </row>
    <row r="107" spans="1:57" s="81" customFormat="1" x14ac:dyDescent="0.25">
      <c r="A107" s="89"/>
      <c r="B107" s="89"/>
      <c r="C107" s="89"/>
      <c r="D107" s="89"/>
      <c r="E107" s="89"/>
      <c r="F107" s="89"/>
      <c r="G107" s="90"/>
      <c r="H107" s="90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Y107" s="90"/>
      <c r="Z107" s="90"/>
      <c r="AA107" s="90"/>
      <c r="AB107" s="90"/>
      <c r="AC107" s="90"/>
      <c r="AD107" s="90"/>
      <c r="AI107" s="91"/>
      <c r="AJ107" s="91"/>
      <c r="AN107" s="90"/>
      <c r="AO107" s="90"/>
      <c r="AP107" s="90"/>
      <c r="AQ107" s="90"/>
      <c r="AR107" s="90"/>
      <c r="AS107" s="90"/>
      <c r="AV107" s="90"/>
      <c r="BE107" s="86"/>
    </row>
    <row r="108" spans="1:57" s="81" customFormat="1" x14ac:dyDescent="0.25">
      <c r="A108" s="89"/>
      <c r="B108" s="89"/>
      <c r="C108" s="89"/>
      <c r="D108" s="89"/>
      <c r="E108" s="89"/>
      <c r="F108" s="89"/>
      <c r="G108" s="90"/>
      <c r="H108" s="90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Y108" s="90"/>
      <c r="Z108" s="90"/>
      <c r="AA108" s="90"/>
      <c r="AB108" s="90"/>
      <c r="AC108" s="90"/>
      <c r="AD108" s="90"/>
      <c r="AI108" s="91"/>
      <c r="AJ108" s="91"/>
      <c r="AN108" s="90"/>
      <c r="AO108" s="90"/>
      <c r="AP108" s="90"/>
      <c r="AQ108" s="90"/>
      <c r="AR108" s="90"/>
      <c r="AS108" s="90"/>
      <c r="AV108" s="90"/>
      <c r="BE108" s="86"/>
    </row>
    <row r="109" spans="1:57" s="81" customFormat="1" x14ac:dyDescent="0.25">
      <c r="A109" s="89"/>
      <c r="B109" s="89"/>
      <c r="C109" s="89"/>
      <c r="D109" s="89"/>
      <c r="E109" s="89"/>
      <c r="F109" s="89"/>
      <c r="G109" s="90"/>
      <c r="H109" s="90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Y109" s="90"/>
      <c r="Z109" s="90"/>
      <c r="AA109" s="90"/>
      <c r="AB109" s="90"/>
      <c r="AC109" s="90"/>
      <c r="AD109" s="90"/>
      <c r="AI109" s="91"/>
      <c r="AJ109" s="91"/>
      <c r="AN109" s="90"/>
      <c r="AO109" s="90"/>
      <c r="AP109" s="90"/>
      <c r="AQ109" s="90"/>
      <c r="AR109" s="90"/>
      <c r="AS109" s="90"/>
      <c r="AV109" s="90"/>
      <c r="BE109" s="86"/>
    </row>
    <row r="110" spans="1:57" s="81" customFormat="1" x14ac:dyDescent="0.25">
      <c r="A110" s="89"/>
      <c r="B110" s="89"/>
      <c r="C110" s="89"/>
      <c r="D110" s="89"/>
      <c r="E110" s="89"/>
      <c r="F110" s="89"/>
      <c r="G110" s="90"/>
      <c r="H110" s="90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Y110" s="90"/>
      <c r="Z110" s="90"/>
      <c r="AA110" s="90"/>
      <c r="AB110" s="90"/>
      <c r="AC110" s="90"/>
      <c r="AD110" s="90"/>
      <c r="AI110" s="91"/>
      <c r="AJ110" s="91"/>
      <c r="AN110" s="90"/>
      <c r="AO110" s="90"/>
      <c r="AP110" s="90"/>
      <c r="AQ110" s="90"/>
      <c r="AR110" s="90"/>
      <c r="AS110" s="90"/>
      <c r="AV110" s="90"/>
      <c r="BE110" s="86"/>
    </row>
    <row r="111" spans="1:57" s="81" customFormat="1" x14ac:dyDescent="0.25">
      <c r="A111" s="89"/>
      <c r="B111" s="89"/>
      <c r="C111" s="89"/>
      <c r="D111" s="89"/>
      <c r="E111" s="89"/>
      <c r="F111" s="89"/>
      <c r="G111" s="90"/>
      <c r="H111" s="90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Y111" s="90"/>
      <c r="Z111" s="90"/>
      <c r="AA111" s="90"/>
      <c r="AB111" s="90"/>
      <c r="AC111" s="90"/>
      <c r="AD111" s="90"/>
      <c r="AI111" s="91"/>
      <c r="AJ111" s="91"/>
      <c r="AN111" s="90"/>
      <c r="AO111" s="90"/>
      <c r="AP111" s="90"/>
      <c r="AQ111" s="90"/>
      <c r="AR111" s="90"/>
      <c r="AS111" s="90"/>
      <c r="AV111" s="90"/>
      <c r="BE111" s="86"/>
    </row>
    <row r="112" spans="1:57" s="81" customFormat="1" x14ac:dyDescent="0.25">
      <c r="A112" s="89"/>
      <c r="B112" s="89"/>
      <c r="C112" s="89"/>
      <c r="D112" s="89"/>
      <c r="E112" s="89"/>
      <c r="F112" s="89"/>
      <c r="G112" s="90"/>
      <c r="H112" s="90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Y112" s="90"/>
      <c r="Z112" s="90"/>
      <c r="AA112" s="90"/>
      <c r="AB112" s="90"/>
      <c r="AC112" s="90"/>
      <c r="AD112" s="90"/>
      <c r="AI112" s="91"/>
      <c r="AJ112" s="91"/>
      <c r="AN112" s="90"/>
      <c r="AO112" s="90"/>
      <c r="AP112" s="90"/>
      <c r="AQ112" s="90"/>
      <c r="AR112" s="90"/>
      <c r="AS112" s="90"/>
      <c r="AV112" s="90"/>
      <c r="BE112" s="86"/>
    </row>
    <row r="113" spans="1:57" s="81" customFormat="1" x14ac:dyDescent="0.25">
      <c r="A113" s="89"/>
      <c r="B113" s="89"/>
      <c r="C113" s="89"/>
      <c r="D113" s="89"/>
      <c r="E113" s="89"/>
      <c r="F113" s="89"/>
      <c r="G113" s="90"/>
      <c r="H113" s="90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Y113" s="90"/>
      <c r="Z113" s="90"/>
      <c r="AA113" s="90"/>
      <c r="AB113" s="90"/>
      <c r="AC113" s="90"/>
      <c r="AD113" s="90"/>
      <c r="AI113" s="91"/>
      <c r="AJ113" s="91"/>
      <c r="AN113" s="90"/>
      <c r="AO113" s="90"/>
      <c r="AP113" s="90"/>
      <c r="AQ113" s="90"/>
      <c r="AR113" s="90"/>
      <c r="AS113" s="90"/>
      <c r="AV113" s="90"/>
      <c r="BE113" s="86"/>
    </row>
    <row r="114" spans="1:57" s="81" customFormat="1" x14ac:dyDescent="0.25">
      <c r="A114" s="89"/>
      <c r="B114" s="89"/>
      <c r="C114" s="89"/>
      <c r="D114" s="89"/>
      <c r="E114" s="89"/>
      <c r="F114" s="89"/>
      <c r="G114" s="90"/>
      <c r="H114" s="90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Y114" s="90"/>
      <c r="Z114" s="90"/>
      <c r="AA114" s="90"/>
      <c r="AB114" s="90"/>
      <c r="AC114" s="90"/>
      <c r="AD114" s="90"/>
      <c r="AI114" s="91"/>
      <c r="AJ114" s="91"/>
      <c r="AN114" s="90"/>
      <c r="AO114" s="90"/>
      <c r="AP114" s="90"/>
      <c r="AQ114" s="90"/>
      <c r="AR114" s="90"/>
      <c r="AS114" s="90"/>
      <c r="AV114" s="90"/>
      <c r="BE114" s="86"/>
    </row>
    <row r="115" spans="1:57" s="81" customFormat="1" x14ac:dyDescent="0.25">
      <c r="A115" s="89"/>
      <c r="B115" s="89"/>
      <c r="C115" s="89"/>
      <c r="D115" s="89"/>
      <c r="E115" s="89"/>
      <c r="F115" s="89"/>
      <c r="G115" s="90"/>
      <c r="H115" s="90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Y115" s="90"/>
      <c r="Z115" s="90"/>
      <c r="AA115" s="90"/>
      <c r="AB115" s="90"/>
      <c r="AC115" s="90"/>
      <c r="AD115" s="90"/>
      <c r="AI115" s="91"/>
      <c r="AJ115" s="91"/>
      <c r="AN115" s="90"/>
      <c r="AO115" s="90"/>
      <c r="AP115" s="90"/>
      <c r="AQ115" s="90"/>
      <c r="AR115" s="90"/>
      <c r="AS115" s="90"/>
      <c r="AV115" s="90"/>
      <c r="BE115" s="86"/>
    </row>
    <row r="116" spans="1:57" s="81" customFormat="1" x14ac:dyDescent="0.25">
      <c r="A116" s="89"/>
      <c r="B116" s="89"/>
      <c r="C116" s="89"/>
      <c r="D116" s="89"/>
      <c r="E116" s="89"/>
      <c r="F116" s="89"/>
      <c r="G116" s="90"/>
      <c r="H116" s="90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Y116" s="90"/>
      <c r="Z116" s="90"/>
      <c r="AA116" s="90"/>
      <c r="AB116" s="90"/>
      <c r="AC116" s="90"/>
      <c r="AD116" s="90"/>
      <c r="AI116" s="91"/>
      <c r="AJ116" s="91"/>
      <c r="AN116" s="90"/>
      <c r="AO116" s="90"/>
      <c r="AP116" s="90"/>
      <c r="AQ116" s="90"/>
      <c r="AR116" s="90"/>
      <c r="AS116" s="90"/>
      <c r="AV116" s="90"/>
      <c r="BE116" s="86"/>
    </row>
    <row r="117" spans="1:57" s="81" customFormat="1" x14ac:dyDescent="0.25">
      <c r="A117" s="89"/>
      <c r="B117" s="89"/>
      <c r="C117" s="89"/>
      <c r="D117" s="89"/>
      <c r="E117" s="89"/>
      <c r="F117" s="89"/>
      <c r="G117" s="90"/>
      <c r="H117" s="90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Y117" s="90"/>
      <c r="Z117" s="90"/>
      <c r="AA117" s="90"/>
      <c r="AB117" s="90"/>
      <c r="AC117" s="90"/>
      <c r="AD117" s="90"/>
      <c r="AI117" s="91"/>
      <c r="AJ117" s="91"/>
      <c r="AN117" s="90"/>
      <c r="AO117" s="90"/>
      <c r="AP117" s="90"/>
      <c r="AQ117" s="90"/>
      <c r="AR117" s="90"/>
      <c r="AS117" s="90"/>
      <c r="AV117" s="90"/>
      <c r="BE117" s="86"/>
    </row>
    <row r="118" spans="1:57" s="81" customFormat="1" x14ac:dyDescent="0.25">
      <c r="A118" s="89"/>
      <c r="B118" s="89"/>
      <c r="C118" s="89"/>
      <c r="D118" s="89"/>
      <c r="E118" s="89"/>
      <c r="F118" s="89"/>
      <c r="G118" s="90"/>
      <c r="H118" s="90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Y118" s="90"/>
      <c r="Z118" s="90"/>
      <c r="AA118" s="90"/>
      <c r="AB118" s="90"/>
      <c r="AC118" s="90"/>
      <c r="AD118" s="90"/>
      <c r="AI118" s="91"/>
      <c r="AJ118" s="91"/>
      <c r="AN118" s="90"/>
      <c r="AO118" s="90"/>
      <c r="AP118" s="90"/>
      <c r="AQ118" s="90"/>
      <c r="AR118" s="90"/>
      <c r="AS118" s="90"/>
      <c r="AV118" s="90"/>
      <c r="BE118" s="86"/>
    </row>
    <row r="119" spans="1:57" s="81" customFormat="1" x14ac:dyDescent="0.25">
      <c r="A119" s="89"/>
      <c r="B119" s="89"/>
      <c r="C119" s="89"/>
      <c r="D119" s="89"/>
      <c r="E119" s="89"/>
      <c r="F119" s="89"/>
      <c r="G119" s="90"/>
      <c r="H119" s="90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Y119" s="90"/>
      <c r="Z119" s="90"/>
      <c r="AA119" s="90"/>
      <c r="AB119" s="90"/>
      <c r="AC119" s="90"/>
      <c r="AD119" s="90"/>
      <c r="AI119" s="91"/>
      <c r="AJ119" s="91"/>
      <c r="AN119" s="90"/>
      <c r="AO119" s="90"/>
      <c r="AP119" s="90"/>
      <c r="AQ119" s="90"/>
      <c r="AR119" s="90"/>
      <c r="AS119" s="90"/>
      <c r="AV119" s="90"/>
      <c r="BE119" s="86"/>
    </row>
    <row r="120" spans="1:57" s="81" customFormat="1" x14ac:dyDescent="0.25">
      <c r="A120" s="89"/>
      <c r="B120" s="89"/>
      <c r="C120" s="89"/>
      <c r="D120" s="89"/>
      <c r="E120" s="89"/>
      <c r="F120" s="89"/>
      <c r="G120" s="90"/>
      <c r="H120" s="90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Y120" s="90"/>
      <c r="Z120" s="90"/>
      <c r="AA120" s="90"/>
      <c r="AB120" s="90"/>
      <c r="AC120" s="90"/>
      <c r="AD120" s="90"/>
      <c r="AI120" s="91"/>
      <c r="AJ120" s="91"/>
      <c r="AN120" s="90"/>
      <c r="AO120" s="90"/>
      <c r="AP120" s="90"/>
      <c r="AQ120" s="90"/>
      <c r="AR120" s="90"/>
      <c r="AS120" s="90"/>
      <c r="AV120" s="90"/>
      <c r="BE120" s="86"/>
    </row>
    <row r="121" spans="1:57" s="81" customFormat="1" x14ac:dyDescent="0.25">
      <c r="A121" s="89"/>
      <c r="B121" s="89"/>
      <c r="C121" s="89"/>
      <c r="D121" s="89"/>
      <c r="E121" s="89"/>
      <c r="F121" s="89"/>
      <c r="G121" s="90"/>
      <c r="H121" s="90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Y121" s="90"/>
      <c r="Z121" s="90"/>
      <c r="AA121" s="90"/>
      <c r="AB121" s="90"/>
      <c r="AC121" s="90"/>
      <c r="AD121" s="90"/>
      <c r="AI121" s="91"/>
      <c r="AJ121" s="91"/>
      <c r="AN121" s="90"/>
      <c r="AO121" s="90"/>
      <c r="AP121" s="90"/>
      <c r="AQ121" s="90"/>
      <c r="AR121" s="90"/>
      <c r="AS121" s="90"/>
      <c r="AV121" s="90"/>
      <c r="BE121" s="86"/>
    </row>
    <row r="122" spans="1:57" s="81" customFormat="1" x14ac:dyDescent="0.25">
      <c r="A122" s="89"/>
      <c r="B122" s="89"/>
      <c r="C122" s="89"/>
      <c r="D122" s="89"/>
      <c r="E122" s="89"/>
      <c r="F122" s="89"/>
      <c r="G122" s="90"/>
      <c r="H122" s="90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Y122" s="90"/>
      <c r="Z122" s="90"/>
      <c r="AA122" s="90"/>
      <c r="AB122" s="90"/>
      <c r="AC122" s="90"/>
      <c r="AD122" s="90"/>
      <c r="AI122" s="91"/>
      <c r="AJ122" s="91"/>
      <c r="AN122" s="90"/>
      <c r="AO122" s="90"/>
      <c r="AP122" s="90"/>
      <c r="AQ122" s="90"/>
      <c r="AR122" s="90"/>
      <c r="AS122" s="90"/>
      <c r="AV122" s="90"/>
      <c r="BE122" s="86"/>
    </row>
    <row r="123" spans="1:57" s="81" customFormat="1" x14ac:dyDescent="0.25">
      <c r="A123" s="89"/>
      <c r="B123" s="89"/>
      <c r="C123" s="89"/>
      <c r="D123" s="89"/>
      <c r="E123" s="89"/>
      <c r="F123" s="89"/>
      <c r="G123" s="90"/>
      <c r="H123" s="90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Y123" s="90"/>
      <c r="Z123" s="90"/>
      <c r="AA123" s="90"/>
      <c r="AB123" s="90"/>
      <c r="AC123" s="90"/>
      <c r="AD123" s="90"/>
      <c r="AI123" s="91"/>
      <c r="AJ123" s="91"/>
      <c r="AN123" s="90"/>
      <c r="AO123" s="90"/>
      <c r="AP123" s="90"/>
      <c r="AQ123" s="90"/>
      <c r="AR123" s="90"/>
      <c r="AS123" s="90"/>
      <c r="AV123" s="90"/>
      <c r="BE123" s="86"/>
    </row>
    <row r="124" spans="1:57" s="81" customFormat="1" x14ac:dyDescent="0.25">
      <c r="A124" s="89"/>
      <c r="B124" s="89"/>
      <c r="C124" s="89"/>
      <c r="D124" s="89"/>
      <c r="E124" s="89"/>
      <c r="F124" s="89"/>
      <c r="G124" s="90"/>
      <c r="H124" s="90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Y124" s="90"/>
      <c r="Z124" s="90"/>
      <c r="AA124" s="90"/>
      <c r="AB124" s="90"/>
      <c r="AC124" s="90"/>
      <c r="AD124" s="90"/>
      <c r="AI124" s="91"/>
      <c r="AJ124" s="91"/>
      <c r="AN124" s="90"/>
      <c r="AO124" s="90"/>
      <c r="AP124" s="90"/>
      <c r="AQ124" s="90"/>
      <c r="AR124" s="90"/>
      <c r="AS124" s="90"/>
      <c r="AV124" s="90"/>
      <c r="BE124" s="86"/>
    </row>
    <row r="125" spans="1:57" s="81" customFormat="1" x14ac:dyDescent="0.25">
      <c r="A125" s="89"/>
      <c r="B125" s="89"/>
      <c r="C125" s="89"/>
      <c r="D125" s="89"/>
      <c r="E125" s="89"/>
      <c r="F125" s="89"/>
      <c r="G125" s="90"/>
      <c r="H125" s="90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Y125" s="90"/>
      <c r="Z125" s="90"/>
      <c r="AA125" s="90"/>
      <c r="AB125" s="90"/>
      <c r="AC125" s="90"/>
      <c r="AD125" s="90"/>
      <c r="AI125" s="91"/>
      <c r="AJ125" s="91"/>
      <c r="AN125" s="90"/>
      <c r="AO125" s="90"/>
      <c r="AP125" s="90"/>
      <c r="AQ125" s="90"/>
      <c r="AR125" s="90"/>
      <c r="AS125" s="90"/>
      <c r="AV125" s="90"/>
      <c r="BE125" s="86"/>
    </row>
    <row r="126" spans="1:57" s="81" customFormat="1" x14ac:dyDescent="0.25">
      <c r="A126" s="89"/>
      <c r="B126" s="89"/>
      <c r="C126" s="89"/>
      <c r="D126" s="89"/>
      <c r="E126" s="89"/>
      <c r="F126" s="89"/>
      <c r="G126" s="90"/>
      <c r="H126" s="90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Y126" s="90"/>
      <c r="Z126" s="90"/>
      <c r="AA126" s="90"/>
      <c r="AB126" s="90"/>
      <c r="AC126" s="90"/>
      <c r="AD126" s="90"/>
      <c r="AI126" s="91"/>
      <c r="AJ126" s="91"/>
      <c r="AN126" s="90"/>
      <c r="AO126" s="90"/>
      <c r="AP126" s="90"/>
      <c r="AQ126" s="90"/>
      <c r="AR126" s="90"/>
      <c r="AS126" s="90"/>
      <c r="AV126" s="90"/>
      <c r="BE126" s="86"/>
    </row>
    <row r="127" spans="1:57" s="81" customFormat="1" x14ac:dyDescent="0.25">
      <c r="A127" s="89"/>
      <c r="B127" s="89"/>
      <c r="C127" s="89"/>
      <c r="D127" s="89"/>
      <c r="E127" s="89"/>
      <c r="F127" s="89"/>
      <c r="G127" s="90"/>
      <c r="H127" s="90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Y127" s="90"/>
      <c r="Z127" s="90"/>
      <c r="AA127" s="90"/>
      <c r="AB127" s="90"/>
      <c r="AC127" s="90"/>
      <c r="AD127" s="90"/>
      <c r="AI127" s="91"/>
      <c r="AJ127" s="91"/>
      <c r="AN127" s="90"/>
      <c r="AO127" s="90"/>
      <c r="AP127" s="90"/>
      <c r="AQ127" s="90"/>
      <c r="AR127" s="90"/>
      <c r="AS127" s="90"/>
      <c r="AV127" s="90"/>
      <c r="BE127" s="86"/>
    </row>
    <row r="128" spans="1:57" s="81" customFormat="1" x14ac:dyDescent="0.25">
      <c r="A128" s="89"/>
      <c r="B128" s="89"/>
      <c r="C128" s="89"/>
      <c r="D128" s="89"/>
      <c r="E128" s="89"/>
      <c r="F128" s="89"/>
      <c r="G128" s="90"/>
      <c r="H128" s="90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Y128" s="90"/>
      <c r="Z128" s="90"/>
      <c r="AA128" s="90"/>
      <c r="AB128" s="90"/>
      <c r="AC128" s="90"/>
      <c r="AD128" s="90"/>
      <c r="AI128" s="91"/>
      <c r="AJ128" s="91"/>
      <c r="AN128" s="90"/>
      <c r="AO128" s="90"/>
      <c r="AP128" s="90"/>
      <c r="AQ128" s="90"/>
      <c r="AR128" s="90"/>
      <c r="AS128" s="90"/>
      <c r="AV128" s="90"/>
      <c r="BE128" s="86"/>
    </row>
    <row r="129" spans="1:57" s="81" customFormat="1" x14ac:dyDescent="0.25">
      <c r="A129" s="89"/>
      <c r="B129" s="89"/>
      <c r="C129" s="89"/>
      <c r="D129" s="89"/>
      <c r="E129" s="89"/>
      <c r="F129" s="89"/>
      <c r="G129" s="90"/>
      <c r="H129" s="90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Y129" s="90"/>
      <c r="Z129" s="90"/>
      <c r="AA129" s="90"/>
      <c r="AB129" s="90"/>
      <c r="AC129" s="90"/>
      <c r="AD129" s="90"/>
      <c r="AI129" s="91"/>
      <c r="AJ129" s="91"/>
      <c r="AN129" s="90"/>
      <c r="AO129" s="90"/>
      <c r="AP129" s="90"/>
      <c r="AQ129" s="90"/>
      <c r="AR129" s="90"/>
      <c r="AS129" s="90"/>
      <c r="AV129" s="90"/>
      <c r="BE129" s="86"/>
    </row>
    <row r="130" spans="1:57" s="81" customFormat="1" x14ac:dyDescent="0.25">
      <c r="A130" s="89"/>
      <c r="B130" s="89"/>
      <c r="C130" s="89"/>
      <c r="D130" s="89"/>
      <c r="E130" s="89"/>
      <c r="F130" s="89"/>
      <c r="G130" s="90"/>
      <c r="H130" s="90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Y130" s="90"/>
      <c r="Z130" s="90"/>
      <c r="AA130" s="90"/>
      <c r="AB130" s="90"/>
      <c r="AC130" s="90"/>
      <c r="AD130" s="90"/>
      <c r="AI130" s="91"/>
      <c r="AJ130" s="91"/>
      <c r="AN130" s="90"/>
      <c r="AO130" s="90"/>
      <c r="AP130" s="90"/>
      <c r="AQ130" s="90"/>
      <c r="AR130" s="90"/>
      <c r="AS130" s="90"/>
      <c r="AV130" s="90"/>
      <c r="BE130" s="86"/>
    </row>
    <row r="131" spans="1:57" hidden="1" x14ac:dyDescent="0.25">
      <c r="A131" s="7"/>
      <c r="B131" s="7"/>
      <c r="C131" s="20"/>
      <c r="D131" s="7"/>
      <c r="E131" s="7"/>
      <c r="F131" s="17"/>
      <c r="G131" s="8"/>
      <c r="H131" s="8"/>
      <c r="J131" s="3"/>
      <c r="K131" s="3"/>
      <c r="L131" s="3"/>
      <c r="M131" s="3"/>
      <c r="N131" s="16"/>
      <c r="O131" s="3"/>
      <c r="P131" s="3"/>
      <c r="Q131" s="3"/>
      <c r="R131" s="3"/>
      <c r="S131" s="16"/>
      <c r="T131" s="12"/>
      <c r="U131" s="3"/>
      <c r="Y131" s="8"/>
      <c r="Z131" s="8"/>
      <c r="AA131" s="8"/>
      <c r="AB131" s="8"/>
      <c r="AC131" s="8"/>
      <c r="AD131" s="8"/>
      <c r="AI131" s="12"/>
      <c r="AJ131" s="3"/>
      <c r="AN131" s="8"/>
      <c r="AO131" s="8"/>
      <c r="AP131" s="8"/>
      <c r="AQ131" s="8"/>
      <c r="AR131" s="8"/>
      <c r="AS131" s="8"/>
      <c r="AV131" s="47"/>
    </row>
    <row r="132" spans="1:57" hidden="1" x14ac:dyDescent="0.25">
      <c r="A132" s="7"/>
      <c r="B132" s="7"/>
      <c r="C132" s="20"/>
      <c r="D132" s="7"/>
      <c r="E132" s="7"/>
      <c r="F132" s="17"/>
      <c r="G132" s="8"/>
      <c r="H132" s="8"/>
      <c r="J132" s="3"/>
      <c r="K132" s="3"/>
      <c r="L132" s="3"/>
      <c r="M132" s="3"/>
      <c r="N132" s="16"/>
      <c r="O132" s="3"/>
      <c r="P132" s="3"/>
      <c r="Q132" s="3"/>
      <c r="R132" s="3"/>
      <c r="S132" s="16"/>
      <c r="T132" s="12"/>
      <c r="U132" s="3"/>
      <c r="Y132" s="8"/>
      <c r="Z132" s="8"/>
      <c r="AA132" s="8"/>
      <c r="AB132" s="8"/>
      <c r="AC132" s="8"/>
      <c r="AD132" s="8"/>
      <c r="AI132" s="12"/>
      <c r="AJ132" s="3"/>
      <c r="AN132" s="8"/>
      <c r="AO132" s="8"/>
      <c r="AP132" s="8"/>
      <c r="AQ132" s="8"/>
      <c r="AR132" s="8"/>
      <c r="AS132" s="8"/>
      <c r="AV132" s="47"/>
    </row>
    <row r="133" spans="1:57" hidden="1" x14ac:dyDescent="0.25">
      <c r="A133" s="7"/>
      <c r="B133" s="7"/>
      <c r="C133" s="20"/>
      <c r="D133" s="7"/>
      <c r="E133" s="7"/>
      <c r="F133" s="17"/>
      <c r="G133" s="8"/>
      <c r="H133" s="8"/>
      <c r="J133" s="3"/>
      <c r="K133" s="3"/>
      <c r="L133" s="3"/>
      <c r="M133" s="3"/>
      <c r="N133" s="16"/>
      <c r="O133" s="3"/>
      <c r="P133" s="3"/>
      <c r="Q133" s="3"/>
      <c r="R133" s="3"/>
      <c r="S133" s="16"/>
      <c r="T133" s="12"/>
      <c r="U133" s="3"/>
      <c r="Y133" s="8"/>
      <c r="Z133" s="8"/>
      <c r="AA133" s="8"/>
      <c r="AB133" s="8"/>
      <c r="AC133" s="8"/>
      <c r="AD133" s="8"/>
      <c r="AI133" s="12"/>
      <c r="AJ133" s="3"/>
      <c r="AN133" s="8"/>
      <c r="AO133" s="8"/>
      <c r="AP133" s="8"/>
      <c r="AQ133" s="8"/>
      <c r="AR133" s="8"/>
      <c r="AS133" s="8"/>
      <c r="AV133" s="47"/>
    </row>
    <row r="134" spans="1:57" hidden="1" x14ac:dyDescent="0.25"/>
    <row r="135" spans="1:57" hidden="1" x14ac:dyDescent="0.25"/>
    <row r="136" spans="1:57" hidden="1" x14ac:dyDescent="0.25"/>
    <row r="137" spans="1:57" hidden="1" x14ac:dyDescent="0.25"/>
    <row r="138" spans="1:57" hidden="1" x14ac:dyDescent="0.25"/>
    <row r="139" spans="1:57" x14ac:dyDescent="0.25"/>
    <row r="140" spans="1:57" x14ac:dyDescent="0.25"/>
    <row r="141" spans="1:57" x14ac:dyDescent="0.25"/>
  </sheetData>
  <sheetProtection sheet="1" objects="1" scenarios="1"/>
  <mergeCells count="29">
    <mergeCell ref="Y26:AD26"/>
    <mergeCell ref="AE51:AE60"/>
    <mergeCell ref="I38:I50"/>
    <mergeCell ref="I51:I60"/>
    <mergeCell ref="S38:S50"/>
    <mergeCell ref="S51:S60"/>
    <mergeCell ref="X38:X50"/>
    <mergeCell ref="X51:X60"/>
    <mergeCell ref="C33:C60"/>
    <mergeCell ref="N38:N50"/>
    <mergeCell ref="N51:N60"/>
    <mergeCell ref="F51:F60"/>
    <mergeCell ref="F38:F50"/>
    <mergeCell ref="AW38:AW50"/>
    <mergeCell ref="AG38:AG50"/>
    <mergeCell ref="AG51:AG60"/>
    <mergeCell ref="D26:E26"/>
    <mergeCell ref="G26:H26"/>
    <mergeCell ref="L26:M26"/>
    <mergeCell ref="Q26:R26"/>
    <mergeCell ref="V26:W26"/>
    <mergeCell ref="G27:H28"/>
    <mergeCell ref="AK26:AL26"/>
    <mergeCell ref="AN26:AS26"/>
    <mergeCell ref="AM38:AM50"/>
    <mergeCell ref="AT38:AT50"/>
    <mergeCell ref="AM51:AM60"/>
    <mergeCell ref="AT51:AT60"/>
    <mergeCell ref="AE38:AE50"/>
  </mergeCells>
  <conditionalFormatting sqref="AA31:AC31 Y29:AC30 AE33:AF94 Y32:AF32">
    <cfRule type="expression" dxfId="30" priority="104">
      <formula>$AD$30="off"</formula>
    </cfRule>
  </conditionalFormatting>
  <conditionalFormatting sqref="G29:G31 G32:H94">
    <cfRule type="expression" dxfId="29" priority="102">
      <formula>$H$30="off"</formula>
    </cfRule>
  </conditionalFormatting>
  <conditionalFormatting sqref="J32:M94 J27:L31">
    <cfRule type="expression" dxfId="28" priority="72">
      <formula>$M$30="off"</formula>
    </cfRule>
  </conditionalFormatting>
  <conditionalFormatting sqref="O32:R94 O27:Q31">
    <cfRule type="expression" dxfId="27" priority="71">
      <formula>$R$30="off"</formula>
    </cfRule>
  </conditionalFormatting>
  <conditionalFormatting sqref="T32:W94 T27:V31">
    <cfRule type="expression" dxfId="26" priority="70">
      <formula>$W$30="off"</formula>
    </cfRule>
  </conditionalFormatting>
  <conditionalFormatting sqref="E33:E94">
    <cfRule type="expression" dxfId="25" priority="68">
      <formula>$M$30="off"</formula>
    </cfRule>
  </conditionalFormatting>
  <conditionalFormatting sqref="Y27:AC27">
    <cfRule type="expression" dxfId="24" priority="66">
      <formula>$AD$30="off"</formula>
    </cfRule>
  </conditionalFormatting>
  <conditionalFormatting sqref="Y28:AC28">
    <cfRule type="expression" dxfId="23" priority="65">
      <formula>$AD$30="off"</formula>
    </cfRule>
  </conditionalFormatting>
  <conditionalFormatting sqref="Z33:Z94">
    <cfRule type="expression" dxfId="22" priority="61">
      <formula>$AD$30="off"</formula>
    </cfRule>
  </conditionalFormatting>
  <conditionalFormatting sqref="Z33:Z94">
    <cfRule type="expression" dxfId="21" priority="60">
      <formula>$AD$30="off"</formula>
    </cfRule>
  </conditionalFormatting>
  <conditionalFormatting sqref="D33:D94">
    <cfRule type="expression" dxfId="20" priority="55">
      <formula>$AD$30="off"</formula>
    </cfRule>
  </conditionalFormatting>
  <conditionalFormatting sqref="D33:D94">
    <cfRule type="expression" dxfId="19" priority="54">
      <formula>$AD$30="off"</formula>
    </cfRule>
  </conditionalFormatting>
  <conditionalFormatting sqref="AD33:AD94">
    <cfRule type="expression" dxfId="18" priority="44">
      <formula>$AD$30="off"</formula>
    </cfRule>
  </conditionalFormatting>
  <conditionalFormatting sqref="AD33:AD94">
    <cfRule type="expression" dxfId="17" priority="43">
      <formula>$AD$30="off"</formula>
    </cfRule>
  </conditionalFormatting>
  <conditionalFormatting sqref="AI32:AL94 AI27:AK31">
    <cfRule type="expression" dxfId="16" priority="41">
      <formula>$AL$30="off"</formula>
    </cfRule>
  </conditionalFormatting>
  <conditionalFormatting sqref="AC33:AC94">
    <cfRule type="expression" dxfId="15" priority="28">
      <formula>$AD$30="off"</formula>
    </cfRule>
  </conditionalFormatting>
  <conditionalFormatting sqref="AC33:AC94">
    <cfRule type="expression" dxfId="14" priority="27">
      <formula>$AD$30="off"</formula>
    </cfRule>
  </conditionalFormatting>
  <conditionalFormatting sqref="Y33:Y94">
    <cfRule type="expression" dxfId="13" priority="26">
      <formula>$AD$30="off"</formula>
    </cfRule>
  </conditionalFormatting>
  <conditionalFormatting sqref="Y33:Y94">
    <cfRule type="expression" dxfId="12" priority="25">
      <formula>$AD$30="off"</formula>
    </cfRule>
  </conditionalFormatting>
  <conditionalFormatting sqref="AN27:AP32 AR27:AR31 AR32:AS94 AN33:AO94">
    <cfRule type="expression" dxfId="11" priority="21">
      <formula>$AS$30="OFF"</formula>
    </cfRule>
  </conditionalFormatting>
  <conditionalFormatting sqref="Y31:Z31">
    <cfRule type="expression" dxfId="10" priority="105">
      <formula>#REF!="off"</formula>
    </cfRule>
  </conditionalFormatting>
  <conditionalFormatting sqref="AB33:AB94">
    <cfRule type="expression" dxfId="9" priority="18">
      <formula>$AD$30="off"</formula>
    </cfRule>
  </conditionalFormatting>
  <conditionalFormatting sqref="AB33:AB94">
    <cfRule type="expression" dxfId="8" priority="17">
      <formula>$AD$30="off"</formula>
    </cfRule>
  </conditionalFormatting>
  <conditionalFormatting sqref="AQ29:AQ32">
    <cfRule type="expression" dxfId="7" priority="16">
      <formula>$AD$30="off"</formula>
    </cfRule>
  </conditionalFormatting>
  <conditionalFormatting sqref="AQ27">
    <cfRule type="expression" dxfId="6" priority="15">
      <formula>$AD$30="off"</formula>
    </cfRule>
  </conditionalFormatting>
  <conditionalFormatting sqref="AQ28">
    <cfRule type="expression" dxfId="5" priority="14">
      <formula>$AD$30="off"</formula>
    </cfRule>
  </conditionalFormatting>
  <conditionalFormatting sqref="AQ33:AQ94">
    <cfRule type="expression" dxfId="4" priority="11">
      <formula>$AS$30="OFF"</formula>
    </cfRule>
  </conditionalFormatting>
  <conditionalFormatting sqref="AA33:AA94">
    <cfRule type="expression" dxfId="3" priority="4">
      <formula>$AD$30="off"</formula>
    </cfRule>
  </conditionalFormatting>
  <conditionalFormatting sqref="AA33:AA94">
    <cfRule type="expression" dxfId="2" priority="3">
      <formula>$AD$30="off"</formula>
    </cfRule>
  </conditionalFormatting>
  <conditionalFormatting sqref="AP33:AP94">
    <cfRule type="expression" dxfId="1" priority="2">
      <formula>$AD$30="off"</formula>
    </cfRule>
  </conditionalFormatting>
  <conditionalFormatting sqref="AP33:AP94">
    <cfRule type="expression" dxfId="0" priority="1">
      <formula>$AD$30="off"</formula>
    </cfRule>
  </conditionalFormatting>
  <dataValidations xWindow="202" yWindow="556" count="13">
    <dataValidation type="list" allowBlank="1" showInputMessage="1" showErrorMessage="1" sqref="AD30 R30 H30 M30 W30 AS30 AL30">
      <formula1>"On, Off"</formula1>
    </dataValidation>
    <dataValidation type="list" allowBlank="1" showInputMessage="1" showErrorMessage="1" sqref="C30">
      <formula1>"2000,4000,8000,16000,32000"</formula1>
    </dataValidation>
    <dataValidation type="custom" allowBlank="1" showInputMessage="1" showErrorMessage="1" errorTitle="Notch Center Validation" error="The Notch center frequency must be greater than the cut-off frequency." sqref="L28">
      <formula1>L28&gt;L30</formula1>
    </dataValidation>
    <dataValidation type="custom" allowBlank="1" showInputMessage="1" showErrorMessage="1" errorTitle="Notch Center Validation" error="The Notch center frequency must be greater than the cut-off frequency." promptTitle="Betaflight Default:" prompt="400hz" sqref="Q28">
      <formula1>Q28&gt;Q30</formula1>
    </dataValidation>
    <dataValidation allowBlank="1" showInputMessage="1" showErrorMessage="1" promptTitle="Betaflight Default:" prompt="300hz" sqref="Q30"/>
    <dataValidation type="custom" allowBlank="1" showInputMessage="1" showErrorMessage="1" errorTitle="Notch Center Validation" error="The Notch center frequency must be greater than the cut-off frequency." promptTitle="Betaflight Default:" prompt="200hz" sqref="V28 AK28">
      <formula1>V28&gt;V30</formula1>
    </dataValidation>
    <dataValidation allowBlank="1" showInputMessage="1" showErrorMessage="1" promptTitle="Betaflight Default:" prompt="100hz" sqref="V30 AK30"/>
    <dataValidation type="list" allowBlank="1" showInputMessage="1" showErrorMessage="1" promptTitle="Guide" prompt="MPU6000 is on most F3 boards (8k is max)_x000a_MPU6500 is on some F3 and F4 boards (32k mode option)_x000a_IMC20xx is on most F4 boards (32k mode option)" sqref="D28">
      <formula1>"MPU6000,MPU6500,IMC20XX"</formula1>
    </dataValidation>
    <dataValidation type="list" allowBlank="1" showInputMessage="1" showErrorMessage="1" sqref="Y28 AN28">
      <formula1>"PT1, BiQUAD, FIR"</formula1>
    </dataValidation>
    <dataValidation allowBlank="1" showInputMessage="1" showErrorMessage="1" promptTitle="BF Default:" prompt="90hz" sqref="Y30"/>
    <dataValidation type="list" allowBlank="1" showInputMessage="1" showErrorMessage="1" promptTitle="32k Mode" prompt="&quot;32k-Normal&quot; is when you are in 32k-Mode and your Gyro LPF is set to &quot;off&quot;._x000a__x000a_&quot;32k-Low&quot; is when in 32k-Mode and your Gyro LPF is set to anything other than &quot;off&quot;" sqref="D30">
      <formula1>$AX$2:$AX$11</formula1>
    </dataValidation>
    <dataValidation type="list" allowBlank="1" showInputMessage="1" showErrorMessage="1" sqref="AH30 B30">
      <formula1>"32000,16000,8000,4000,2000"</formula1>
    </dataValidation>
    <dataValidation type="list" allowBlank="1" showInputMessage="1" showErrorMessage="1" sqref="E28">
      <formula1>"F1,F3,F4,F7"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019"/>
  <sheetViews>
    <sheetView zoomScale="80" zoomScaleNormal="80" workbookViewId="0">
      <selection activeCell="A4" sqref="A4"/>
    </sheetView>
  </sheetViews>
  <sheetFormatPr defaultColWidth="12.85546875" defaultRowHeight="15" customHeight="1" x14ac:dyDescent="0.25"/>
  <cols>
    <col min="1" max="4" width="9.5703125" style="93" customWidth="1"/>
    <col min="5" max="5" width="9.5703125" style="94" customWidth="1"/>
    <col min="6" max="29" width="9.5703125" style="93" customWidth="1"/>
    <col min="30" max="16384" width="12.85546875" style="93"/>
  </cols>
  <sheetData>
    <row r="1" spans="1:8" ht="30" customHeight="1" x14ac:dyDescent="0.25">
      <c r="A1" s="137" t="s">
        <v>77</v>
      </c>
      <c r="B1" s="138"/>
      <c r="C1" s="138"/>
      <c r="D1" s="138"/>
      <c r="E1" s="138"/>
      <c r="F1" s="138"/>
      <c r="G1" s="138"/>
      <c r="H1" s="138"/>
    </row>
    <row r="2" spans="1:8" ht="15" customHeight="1" x14ac:dyDescent="0.25">
      <c r="A2" s="112" t="s">
        <v>75</v>
      </c>
      <c r="B2" s="112" t="s">
        <v>74</v>
      </c>
      <c r="C2" s="111" t="s">
        <v>73</v>
      </c>
      <c r="D2" s="110" t="s">
        <v>72</v>
      </c>
      <c r="E2" s="109" t="s">
        <v>71</v>
      </c>
      <c r="F2" s="108" t="s">
        <v>70</v>
      </c>
      <c r="G2" s="108" t="s">
        <v>69</v>
      </c>
      <c r="H2" s="108" t="s">
        <v>68</v>
      </c>
    </row>
    <row r="3" spans="1:8" ht="15" customHeight="1" x14ac:dyDescent="0.25">
      <c r="A3" s="103">
        <v>400</v>
      </c>
      <c r="B3" s="103">
        <v>88</v>
      </c>
      <c r="C3" s="102">
        <f>A3/B3</f>
        <v>4.5454545454545459</v>
      </c>
      <c r="D3" s="101">
        <f>-C3/1000/2+SQRT(C3/1000*C3/1000/4+C3/1000)</f>
        <v>6.5185554907526505E-2</v>
      </c>
      <c r="E3" s="100">
        <f>-LN(1-2*D3)*4000/2/PI()</f>
        <v>88.928601983823256</v>
      </c>
      <c r="F3" s="100">
        <f>-LN(1-2*D3)*8000/2/PI()</f>
        <v>177.85720396764651</v>
      </c>
      <c r="G3" s="100">
        <f>-LN(1-2*D3)*16000/2/PI()</f>
        <v>355.71440793529302</v>
      </c>
      <c r="H3" s="100">
        <f>-LN(1-2*D3)*32000/2/PI()</f>
        <v>711.42881587058605</v>
      </c>
    </row>
    <row r="6" spans="1:8" ht="30" customHeight="1" x14ac:dyDescent="0.25">
      <c r="A6" s="137" t="s">
        <v>76</v>
      </c>
      <c r="B6" s="138"/>
      <c r="C6" s="138"/>
      <c r="D6" s="138"/>
      <c r="E6" s="138"/>
      <c r="F6" s="138"/>
      <c r="G6" s="138"/>
      <c r="H6" s="138"/>
    </row>
    <row r="7" spans="1:8" ht="15.75" customHeight="1" x14ac:dyDescent="0.25">
      <c r="A7" s="113" t="s">
        <v>75</v>
      </c>
      <c r="B7" s="113" t="s">
        <v>74</v>
      </c>
      <c r="C7" s="111" t="s">
        <v>73</v>
      </c>
      <c r="D7" s="110" t="s">
        <v>72</v>
      </c>
      <c r="E7" s="109" t="s">
        <v>71</v>
      </c>
      <c r="F7" s="108" t="s">
        <v>70</v>
      </c>
      <c r="G7" s="108" t="s">
        <v>69</v>
      </c>
      <c r="H7" s="108" t="s">
        <v>68</v>
      </c>
    </row>
    <row r="8" spans="1:8" ht="15.75" customHeight="1" x14ac:dyDescent="0.25">
      <c r="A8" s="103">
        <v>1</v>
      </c>
      <c r="B8" s="103">
        <v>88</v>
      </c>
      <c r="C8" s="102">
        <f t="shared" ref="C8:C39" si="0">A8/B8</f>
        <v>1.1363636363636364E-2</v>
      </c>
      <c r="D8" s="101">
        <f t="shared" ref="D8:D39" si="1">-C8/1000/2+SQRT(C8/1000*C8/1000/4+C8/1000)</f>
        <v>3.3653222824822871E-3</v>
      </c>
      <c r="E8" s="100">
        <f t="shared" ref="E8:E39" si="2">-LN(1-2*D8)*4000/2/PI()</f>
        <v>4.2993463824683271</v>
      </c>
      <c r="F8" s="100">
        <f t="shared" ref="F8:F39" si="3">-LN(1-2*D8)*8000/2/PI()</f>
        <v>8.5986927649366542</v>
      </c>
      <c r="G8" s="100">
        <f t="shared" ref="G8:G39" si="4">-LN(1-2*D8)*16000/2/PI()</f>
        <v>17.197385529873308</v>
      </c>
      <c r="H8" s="100">
        <f t="shared" ref="H8:H39" si="5">-LN(1-2*D8)*32000/2/PI()</f>
        <v>34.394771059746617</v>
      </c>
    </row>
    <row r="9" spans="1:8" ht="15.75" customHeight="1" x14ac:dyDescent="0.25">
      <c r="A9" s="103">
        <v>2</v>
      </c>
      <c r="B9" s="103">
        <f t="shared" ref="B9:B39" si="6">B8</f>
        <v>88</v>
      </c>
      <c r="C9" s="102">
        <f t="shared" si="0"/>
        <v>2.2727272727272728E-2</v>
      </c>
      <c r="D9" s="101">
        <f t="shared" si="1"/>
        <v>4.7559628533477751E-3</v>
      </c>
      <c r="E9" s="100">
        <f t="shared" si="2"/>
        <v>6.0844635555280915</v>
      </c>
      <c r="F9" s="100">
        <f t="shared" si="3"/>
        <v>12.168927111056183</v>
      </c>
      <c r="G9" s="100">
        <f t="shared" si="4"/>
        <v>24.337854222112366</v>
      </c>
      <c r="H9" s="100">
        <f t="shared" si="5"/>
        <v>48.675708444224732</v>
      </c>
    </row>
    <row r="10" spans="1:8" ht="15.75" customHeight="1" x14ac:dyDescent="0.25">
      <c r="A10" s="103">
        <v>3</v>
      </c>
      <c r="B10" s="103">
        <f t="shared" si="6"/>
        <v>88</v>
      </c>
      <c r="C10" s="102">
        <f t="shared" si="0"/>
        <v>3.4090909090909088E-2</v>
      </c>
      <c r="D10" s="101">
        <f t="shared" si="1"/>
        <v>5.8217215076161411E-3</v>
      </c>
      <c r="E10" s="100">
        <f t="shared" si="2"/>
        <v>7.4559371589833283</v>
      </c>
      <c r="F10" s="100">
        <f t="shared" si="3"/>
        <v>14.911874317966657</v>
      </c>
      <c r="G10" s="100">
        <f t="shared" si="4"/>
        <v>29.823748635933313</v>
      </c>
      <c r="H10" s="100">
        <f t="shared" si="5"/>
        <v>59.647497271866627</v>
      </c>
    </row>
    <row r="11" spans="1:8" ht="15.75" customHeight="1" x14ac:dyDescent="0.25">
      <c r="A11" s="103">
        <v>4</v>
      </c>
      <c r="B11" s="103">
        <f t="shared" si="6"/>
        <v>88</v>
      </c>
      <c r="C11" s="102">
        <f t="shared" si="0"/>
        <v>4.5454545454545456E-2</v>
      </c>
      <c r="D11" s="101">
        <f t="shared" si="1"/>
        <v>6.7193096586066906E-3</v>
      </c>
      <c r="E11" s="100">
        <f t="shared" si="2"/>
        <v>8.6132966843503755</v>
      </c>
      <c r="F11" s="100">
        <f t="shared" si="3"/>
        <v>17.226593368700751</v>
      </c>
      <c r="G11" s="100">
        <f t="shared" si="4"/>
        <v>34.453186737401502</v>
      </c>
      <c r="H11" s="100">
        <f t="shared" si="5"/>
        <v>68.906373474803004</v>
      </c>
    </row>
    <row r="12" spans="1:8" ht="15.75" customHeight="1" x14ac:dyDescent="0.25">
      <c r="A12" s="103">
        <v>6</v>
      </c>
      <c r="B12" s="103">
        <f t="shared" si="6"/>
        <v>88</v>
      </c>
      <c r="C12" s="102">
        <f t="shared" si="0"/>
        <v>6.8181818181818177E-2</v>
      </c>
      <c r="D12" s="101">
        <f t="shared" si="1"/>
        <v>8.223207703161213E-3</v>
      </c>
      <c r="E12" s="100">
        <f t="shared" si="2"/>
        <v>10.557166948824053</v>
      </c>
      <c r="F12" s="100">
        <f t="shared" si="3"/>
        <v>21.114333897648105</v>
      </c>
      <c r="G12" s="100">
        <f t="shared" si="4"/>
        <v>42.228667795296211</v>
      </c>
      <c r="H12" s="100">
        <f t="shared" si="5"/>
        <v>84.457335590592422</v>
      </c>
    </row>
    <row r="13" spans="1:8" ht="15.75" customHeight="1" x14ac:dyDescent="0.25">
      <c r="A13" s="103">
        <v>8</v>
      </c>
      <c r="B13" s="103">
        <f t="shared" si="6"/>
        <v>88</v>
      </c>
      <c r="C13" s="102">
        <f t="shared" si="0"/>
        <v>9.0909090909090912E-2</v>
      </c>
      <c r="D13" s="101">
        <f t="shared" si="1"/>
        <v>9.489279694407278E-3</v>
      </c>
      <c r="E13" s="100">
        <f t="shared" si="2"/>
        <v>12.198248401776363</v>
      </c>
      <c r="F13" s="100">
        <f t="shared" si="3"/>
        <v>24.396496803552726</v>
      </c>
      <c r="G13" s="100">
        <f t="shared" si="4"/>
        <v>48.792993607105451</v>
      </c>
      <c r="H13" s="100">
        <f t="shared" si="5"/>
        <v>97.585987214210903</v>
      </c>
    </row>
    <row r="14" spans="1:8" ht="15.75" customHeight="1" x14ac:dyDescent="0.25">
      <c r="A14" s="103">
        <v>10</v>
      </c>
      <c r="B14" s="103">
        <f t="shared" si="6"/>
        <v>88</v>
      </c>
      <c r="C14" s="102">
        <f t="shared" si="0"/>
        <v>0.11363636363636363</v>
      </c>
      <c r="D14" s="101">
        <f t="shared" si="1"/>
        <v>1.0603369055850242E-2</v>
      </c>
      <c r="E14" s="100">
        <f t="shared" si="2"/>
        <v>13.645837544508129</v>
      </c>
      <c r="F14" s="100">
        <f t="shared" si="3"/>
        <v>27.291675089016259</v>
      </c>
      <c r="G14" s="100">
        <f t="shared" si="4"/>
        <v>54.583350178032518</v>
      </c>
      <c r="H14" s="100">
        <f t="shared" si="5"/>
        <v>109.16670035606504</v>
      </c>
    </row>
    <row r="15" spans="1:8" ht="15.75" customHeight="1" x14ac:dyDescent="0.25">
      <c r="A15" s="103">
        <v>12</v>
      </c>
      <c r="B15" s="103">
        <f t="shared" si="6"/>
        <v>88</v>
      </c>
      <c r="C15" s="102">
        <f t="shared" si="0"/>
        <v>0.13636363636363635</v>
      </c>
      <c r="D15" s="101">
        <f t="shared" si="1"/>
        <v>1.1609501390570117E-2</v>
      </c>
      <c r="E15" s="100">
        <f t="shared" si="2"/>
        <v>14.955987667387655</v>
      </c>
      <c r="F15" s="100">
        <f t="shared" si="3"/>
        <v>29.91197533477531</v>
      </c>
      <c r="G15" s="100">
        <f t="shared" si="4"/>
        <v>59.823950669550619</v>
      </c>
      <c r="H15" s="100">
        <f t="shared" si="5"/>
        <v>119.64790133910124</v>
      </c>
    </row>
    <row r="16" spans="1:8" ht="15.75" customHeight="1" x14ac:dyDescent="0.25">
      <c r="A16" s="103">
        <v>14</v>
      </c>
      <c r="B16" s="103">
        <f t="shared" si="6"/>
        <v>88</v>
      </c>
      <c r="C16" s="102">
        <f t="shared" si="0"/>
        <v>0.15909090909090909</v>
      </c>
      <c r="D16" s="101">
        <f t="shared" si="1"/>
        <v>1.2533829849878336E-2</v>
      </c>
      <c r="E16" s="100">
        <f t="shared" si="2"/>
        <v>16.161996640174145</v>
      </c>
      <c r="F16" s="100">
        <f t="shared" si="3"/>
        <v>32.32399328034829</v>
      </c>
      <c r="G16" s="100">
        <f t="shared" si="4"/>
        <v>64.64798656069658</v>
      </c>
      <c r="H16" s="100">
        <f t="shared" si="5"/>
        <v>129.29597312139316</v>
      </c>
    </row>
    <row r="17" spans="1:8" ht="15.75" customHeight="1" x14ac:dyDescent="0.25">
      <c r="A17" s="103">
        <v>16</v>
      </c>
      <c r="B17" s="103">
        <f t="shared" si="6"/>
        <v>88</v>
      </c>
      <c r="C17" s="102">
        <f t="shared" si="0"/>
        <v>0.18181818181818182</v>
      </c>
      <c r="D17" s="101">
        <f t="shared" si="1"/>
        <v>1.339339460935633E-2</v>
      </c>
      <c r="E17" s="100">
        <f t="shared" si="2"/>
        <v>17.285559637303912</v>
      </c>
      <c r="F17" s="100">
        <f t="shared" si="3"/>
        <v>34.571119274607824</v>
      </c>
      <c r="G17" s="100">
        <f t="shared" si="4"/>
        <v>69.142238549215648</v>
      </c>
      <c r="H17" s="100">
        <f t="shared" si="5"/>
        <v>138.2844770984313</v>
      </c>
    </row>
    <row r="18" spans="1:8" ht="15.75" customHeight="1" x14ac:dyDescent="0.25">
      <c r="A18" s="103">
        <v>20</v>
      </c>
      <c r="B18" s="103">
        <f t="shared" si="6"/>
        <v>88</v>
      </c>
      <c r="C18" s="102">
        <f t="shared" si="0"/>
        <v>0.22727272727272727</v>
      </c>
      <c r="D18" s="101">
        <f t="shared" si="1"/>
        <v>1.4962359142328333E-2</v>
      </c>
      <c r="E18" s="100">
        <f t="shared" si="2"/>
        <v>19.341527581990071</v>
      </c>
      <c r="F18" s="100">
        <f t="shared" si="3"/>
        <v>38.683055163980143</v>
      </c>
      <c r="G18" s="100">
        <f t="shared" si="4"/>
        <v>77.366110327960286</v>
      </c>
      <c r="H18" s="100">
        <f t="shared" si="5"/>
        <v>154.73222065592057</v>
      </c>
    </row>
    <row r="19" spans="1:8" ht="15.75" customHeight="1" x14ac:dyDescent="0.25">
      <c r="A19" s="103">
        <v>24</v>
      </c>
      <c r="B19" s="103">
        <f t="shared" si="6"/>
        <v>88</v>
      </c>
      <c r="C19" s="102">
        <f t="shared" si="0"/>
        <v>0.27272727272727271</v>
      </c>
      <c r="D19" s="101">
        <f t="shared" si="1"/>
        <v>1.6378655823770072E-2</v>
      </c>
      <c r="E19" s="100">
        <f t="shared" si="2"/>
        <v>21.203159234378983</v>
      </c>
      <c r="F19" s="100">
        <f t="shared" si="3"/>
        <v>42.406318468757966</v>
      </c>
      <c r="G19" s="100">
        <f t="shared" si="4"/>
        <v>84.812636937515933</v>
      </c>
      <c r="H19" s="100">
        <f t="shared" si="5"/>
        <v>169.62527387503187</v>
      </c>
    </row>
    <row r="20" spans="1:8" ht="15.75" customHeight="1" x14ac:dyDescent="0.25">
      <c r="A20" s="103">
        <v>28</v>
      </c>
      <c r="B20" s="103">
        <f t="shared" si="6"/>
        <v>88</v>
      </c>
      <c r="C20" s="102">
        <f t="shared" si="0"/>
        <v>0.31818181818181818</v>
      </c>
      <c r="D20" s="101">
        <f t="shared" si="1"/>
        <v>1.7679270229174385E-2</v>
      </c>
      <c r="E20" s="100">
        <f t="shared" si="2"/>
        <v>22.917542258831897</v>
      </c>
      <c r="F20" s="100">
        <f t="shared" si="3"/>
        <v>45.835084517663795</v>
      </c>
      <c r="G20" s="100">
        <f t="shared" si="4"/>
        <v>91.670169035327589</v>
      </c>
      <c r="H20" s="100">
        <f t="shared" si="5"/>
        <v>183.34033807065518</v>
      </c>
    </row>
    <row r="21" spans="1:8" ht="15.75" customHeight="1" x14ac:dyDescent="0.25">
      <c r="A21" s="103">
        <v>32</v>
      </c>
      <c r="B21" s="103">
        <f t="shared" si="6"/>
        <v>88</v>
      </c>
      <c r="C21" s="102">
        <f t="shared" si="0"/>
        <v>0.36363636363636365</v>
      </c>
      <c r="D21" s="101">
        <f t="shared" si="1"/>
        <v>1.8888300367566963E-2</v>
      </c>
      <c r="E21" s="100">
        <f t="shared" si="2"/>
        <v>24.515356224901691</v>
      </c>
      <c r="F21" s="100">
        <f t="shared" si="3"/>
        <v>49.030712449803382</v>
      </c>
      <c r="G21" s="100">
        <f t="shared" si="4"/>
        <v>98.061424899606763</v>
      </c>
      <c r="H21" s="100">
        <f t="shared" si="5"/>
        <v>196.12284979921353</v>
      </c>
    </row>
    <row r="22" spans="1:8" ht="15.75" customHeight="1" x14ac:dyDescent="0.25">
      <c r="A22" s="103">
        <v>40</v>
      </c>
      <c r="B22" s="103">
        <f t="shared" si="6"/>
        <v>88</v>
      </c>
      <c r="C22" s="102">
        <f t="shared" si="0"/>
        <v>0.45454545454545453</v>
      </c>
      <c r="D22" s="101">
        <f t="shared" si="1"/>
        <v>2.1094010241582983E-2</v>
      </c>
      <c r="E22" s="100">
        <f t="shared" si="2"/>
        <v>27.440721047396064</v>
      </c>
      <c r="F22" s="100">
        <f t="shared" si="3"/>
        <v>54.881442094792128</v>
      </c>
      <c r="G22" s="100">
        <f t="shared" si="4"/>
        <v>109.76288418958426</v>
      </c>
      <c r="H22" s="100">
        <f t="shared" si="5"/>
        <v>219.52576837916851</v>
      </c>
    </row>
    <row r="23" spans="1:8" ht="15.75" customHeight="1" x14ac:dyDescent="0.25">
      <c r="A23" s="103">
        <v>48</v>
      </c>
      <c r="B23" s="103">
        <f t="shared" si="6"/>
        <v>88</v>
      </c>
      <c r="C23" s="102">
        <f t="shared" si="0"/>
        <v>0.54545454545454541</v>
      </c>
      <c r="D23" s="101">
        <f t="shared" si="1"/>
        <v>2.3083833382040259E-2</v>
      </c>
      <c r="E23" s="100">
        <f t="shared" si="2"/>
        <v>30.091345070434599</v>
      </c>
      <c r="F23" s="100">
        <f t="shared" si="3"/>
        <v>60.182690140869198</v>
      </c>
      <c r="G23" s="100">
        <f t="shared" si="4"/>
        <v>120.3653802817384</v>
      </c>
      <c r="H23" s="100">
        <f t="shared" si="5"/>
        <v>240.73076056347679</v>
      </c>
    </row>
    <row r="24" spans="1:8" ht="15.75" customHeight="1" x14ac:dyDescent="0.25">
      <c r="A24" s="103">
        <v>55</v>
      </c>
      <c r="B24" s="103">
        <f t="shared" si="6"/>
        <v>88</v>
      </c>
      <c r="C24" s="102">
        <f t="shared" si="0"/>
        <v>0.625</v>
      </c>
      <c r="D24" s="101">
        <f t="shared" si="1"/>
        <v>2.4689453048712014E-2</v>
      </c>
      <c r="E24" s="100">
        <f t="shared" si="2"/>
        <v>32.23825017376528</v>
      </c>
      <c r="F24" s="100">
        <f t="shared" si="3"/>
        <v>64.47650034753056</v>
      </c>
      <c r="G24" s="100">
        <f t="shared" si="4"/>
        <v>128.95300069506112</v>
      </c>
      <c r="H24" s="100">
        <f t="shared" si="5"/>
        <v>257.90600139012224</v>
      </c>
    </row>
    <row r="25" spans="1:8" ht="15.75" customHeight="1" x14ac:dyDescent="0.25">
      <c r="A25" s="103">
        <v>64</v>
      </c>
      <c r="B25" s="103">
        <f t="shared" si="6"/>
        <v>88</v>
      </c>
      <c r="C25" s="102">
        <f t="shared" si="0"/>
        <v>0.72727272727272729</v>
      </c>
      <c r="D25" s="101">
        <f t="shared" si="1"/>
        <v>2.6606809659328958E-2</v>
      </c>
      <c r="E25" s="100">
        <f t="shared" si="2"/>
        <v>34.811506171242975</v>
      </c>
      <c r="F25" s="100">
        <f t="shared" si="3"/>
        <v>69.62301234248595</v>
      </c>
      <c r="G25" s="100">
        <f t="shared" si="4"/>
        <v>139.2460246849719</v>
      </c>
      <c r="H25" s="100">
        <f t="shared" si="5"/>
        <v>278.4920493699438</v>
      </c>
    </row>
    <row r="26" spans="1:8" ht="15.75" customHeight="1" x14ac:dyDescent="0.25">
      <c r="A26" s="103">
        <v>80</v>
      </c>
      <c r="B26" s="103">
        <f t="shared" si="6"/>
        <v>88</v>
      </c>
      <c r="C26" s="102">
        <f t="shared" si="0"/>
        <v>0.90909090909090906</v>
      </c>
      <c r="D26" s="101">
        <f t="shared" si="1"/>
        <v>2.9700015073858155E-2</v>
      </c>
      <c r="E26" s="100">
        <f t="shared" si="2"/>
        <v>38.984902420621772</v>
      </c>
      <c r="F26" s="100">
        <f t="shared" si="3"/>
        <v>77.969804841243544</v>
      </c>
      <c r="G26" s="100">
        <f t="shared" si="4"/>
        <v>155.93960968248709</v>
      </c>
      <c r="H26" s="100">
        <f t="shared" si="5"/>
        <v>311.87921936497418</v>
      </c>
    </row>
    <row r="27" spans="1:8" ht="15.75" customHeight="1" x14ac:dyDescent="0.25">
      <c r="A27" s="103">
        <v>100</v>
      </c>
      <c r="B27" s="103">
        <f t="shared" si="6"/>
        <v>88</v>
      </c>
      <c r="C27" s="102">
        <f t="shared" si="0"/>
        <v>1.1363636363636365</v>
      </c>
      <c r="D27" s="101">
        <f t="shared" si="1"/>
        <v>3.3146599316242725E-2</v>
      </c>
      <c r="E27" s="100">
        <f t="shared" si="2"/>
        <v>43.667537306356451</v>
      </c>
      <c r="F27" s="100">
        <f t="shared" si="3"/>
        <v>87.335074612712901</v>
      </c>
      <c r="G27" s="100">
        <f t="shared" si="4"/>
        <v>174.6701492254258</v>
      </c>
      <c r="H27" s="100">
        <f t="shared" si="5"/>
        <v>349.34029845085161</v>
      </c>
    </row>
    <row r="28" spans="1:8" ht="15.75" customHeight="1" x14ac:dyDescent="0.25">
      <c r="A28" s="103">
        <v>128</v>
      </c>
      <c r="B28" s="103">
        <f t="shared" si="6"/>
        <v>88</v>
      </c>
      <c r="C28" s="102">
        <f t="shared" si="0"/>
        <v>1.4545454545454546</v>
      </c>
      <c r="D28" s="101">
        <f t="shared" si="1"/>
        <v>3.7418164485653396E-2</v>
      </c>
      <c r="E28" s="100">
        <f t="shared" si="2"/>
        <v>49.519224193828258</v>
      </c>
      <c r="F28" s="100">
        <f t="shared" si="3"/>
        <v>99.038448387656516</v>
      </c>
      <c r="G28" s="100">
        <f t="shared" si="4"/>
        <v>198.07689677531303</v>
      </c>
      <c r="H28" s="100">
        <f t="shared" si="5"/>
        <v>396.15379355062606</v>
      </c>
    </row>
    <row r="29" spans="1:8" ht="15.75" customHeight="1" x14ac:dyDescent="0.25">
      <c r="A29" s="103">
        <v>160</v>
      </c>
      <c r="B29" s="103">
        <f t="shared" si="6"/>
        <v>88</v>
      </c>
      <c r="C29" s="102">
        <f t="shared" si="0"/>
        <v>1.8181818181818181</v>
      </c>
      <c r="D29" s="101">
        <f t="shared" si="1"/>
        <v>4.1740742202690549E-2</v>
      </c>
      <c r="E29" s="100">
        <f t="shared" si="2"/>
        <v>55.496061402588019</v>
      </c>
      <c r="F29" s="100">
        <f t="shared" si="3"/>
        <v>110.99212280517604</v>
      </c>
      <c r="G29" s="100">
        <f t="shared" si="4"/>
        <v>221.98424561035208</v>
      </c>
      <c r="H29" s="100">
        <f t="shared" si="5"/>
        <v>443.96849122070415</v>
      </c>
    </row>
    <row r="30" spans="1:8" ht="15.75" customHeight="1" x14ac:dyDescent="0.25">
      <c r="A30" s="103">
        <v>200</v>
      </c>
      <c r="B30" s="103">
        <f t="shared" si="6"/>
        <v>88</v>
      </c>
      <c r="C30" s="102">
        <f t="shared" si="0"/>
        <v>2.2727272727272729</v>
      </c>
      <c r="D30" s="101">
        <f t="shared" si="1"/>
        <v>4.6550307405357476E-2</v>
      </c>
      <c r="E30" s="100">
        <f t="shared" si="2"/>
        <v>62.21288195512313</v>
      </c>
      <c r="F30" s="100">
        <f t="shared" si="3"/>
        <v>124.42576391024626</v>
      </c>
      <c r="G30" s="100">
        <f t="shared" si="4"/>
        <v>248.85152782049252</v>
      </c>
      <c r="H30" s="100">
        <f t="shared" si="5"/>
        <v>497.70305564098504</v>
      </c>
    </row>
    <row r="31" spans="1:8" ht="15.75" customHeight="1" x14ac:dyDescent="0.25">
      <c r="A31" s="103">
        <v>256</v>
      </c>
      <c r="B31" s="103">
        <f t="shared" si="6"/>
        <v>88</v>
      </c>
      <c r="C31" s="102">
        <f t="shared" si="0"/>
        <v>2.9090909090909092</v>
      </c>
      <c r="D31" s="101">
        <f t="shared" si="1"/>
        <v>5.2501053064702284E-2</v>
      </c>
      <c r="E31" s="100">
        <f t="shared" si="2"/>
        <v>70.622723032218573</v>
      </c>
      <c r="F31" s="100">
        <f t="shared" si="3"/>
        <v>141.24544606443715</v>
      </c>
      <c r="G31" s="100">
        <f t="shared" si="4"/>
        <v>282.49089212887429</v>
      </c>
      <c r="H31" s="100">
        <f t="shared" si="5"/>
        <v>564.98178425774859</v>
      </c>
    </row>
    <row r="32" spans="1:8" ht="15.75" customHeight="1" x14ac:dyDescent="0.25">
      <c r="A32" s="103">
        <v>300</v>
      </c>
      <c r="B32" s="103">
        <f t="shared" si="6"/>
        <v>88</v>
      </c>
      <c r="C32" s="102">
        <f t="shared" si="0"/>
        <v>3.4090909090909092</v>
      </c>
      <c r="D32" s="101">
        <f t="shared" si="1"/>
        <v>5.6707751061663536E-2</v>
      </c>
      <c r="E32" s="100">
        <f t="shared" si="2"/>
        <v>76.635550824124977</v>
      </c>
      <c r="F32" s="100">
        <f t="shared" si="3"/>
        <v>153.27110164824995</v>
      </c>
      <c r="G32" s="100">
        <f t="shared" si="4"/>
        <v>306.54220329649991</v>
      </c>
      <c r="H32" s="100">
        <f t="shared" si="5"/>
        <v>613.08440659299981</v>
      </c>
    </row>
    <row r="33" spans="1:8" ht="15.75" customHeight="1" x14ac:dyDescent="0.25">
      <c r="A33" s="103">
        <v>350</v>
      </c>
      <c r="B33" s="103">
        <f t="shared" si="6"/>
        <v>88</v>
      </c>
      <c r="C33" s="102">
        <f t="shared" si="0"/>
        <v>3.9772727272727271</v>
      </c>
      <c r="D33" s="101">
        <f t="shared" si="1"/>
        <v>6.1108331882544074E-2</v>
      </c>
      <c r="E33" s="100">
        <f t="shared" si="2"/>
        <v>82.986879482812967</v>
      </c>
      <c r="F33" s="100">
        <f t="shared" si="3"/>
        <v>165.97375896562593</v>
      </c>
      <c r="G33" s="100">
        <f t="shared" si="4"/>
        <v>331.94751793125187</v>
      </c>
      <c r="H33" s="100">
        <f t="shared" si="5"/>
        <v>663.89503586250373</v>
      </c>
    </row>
    <row r="34" spans="1:8" ht="15.75" customHeight="1" x14ac:dyDescent="0.25">
      <c r="A34" s="107">
        <v>400</v>
      </c>
      <c r="B34" s="107">
        <f t="shared" si="6"/>
        <v>88</v>
      </c>
      <c r="C34" s="106">
        <f t="shared" si="0"/>
        <v>4.5454545454545459</v>
      </c>
      <c r="D34" s="105">
        <f t="shared" si="1"/>
        <v>6.5185554907526505E-2</v>
      </c>
      <c r="E34" s="104">
        <f t="shared" si="2"/>
        <v>88.928601983823256</v>
      </c>
      <c r="F34" s="104">
        <f t="shared" si="3"/>
        <v>177.85720396764651</v>
      </c>
      <c r="G34" s="104">
        <f t="shared" si="4"/>
        <v>355.71440793529302</v>
      </c>
      <c r="H34" s="104">
        <f t="shared" si="5"/>
        <v>711.42881587058605</v>
      </c>
    </row>
    <row r="35" spans="1:8" ht="15.75" customHeight="1" x14ac:dyDescent="0.25">
      <c r="A35" s="103">
        <v>512</v>
      </c>
      <c r="B35" s="103">
        <f t="shared" si="6"/>
        <v>88</v>
      </c>
      <c r="C35" s="102">
        <f t="shared" si="0"/>
        <v>5.8181818181818183</v>
      </c>
      <c r="D35" s="101">
        <f t="shared" si="1"/>
        <v>7.3423370259793036E-2</v>
      </c>
      <c r="E35" s="100">
        <f t="shared" si="2"/>
        <v>101.10545446448107</v>
      </c>
      <c r="F35" s="100">
        <f t="shared" si="3"/>
        <v>202.21090892896214</v>
      </c>
      <c r="G35" s="100">
        <f t="shared" si="4"/>
        <v>404.42181785792428</v>
      </c>
      <c r="H35" s="100">
        <f t="shared" si="5"/>
        <v>808.84363571584856</v>
      </c>
    </row>
    <row r="36" spans="1:8" ht="15.75" customHeight="1" x14ac:dyDescent="0.25">
      <c r="A36" s="103">
        <v>600</v>
      </c>
      <c r="B36" s="103">
        <f t="shared" si="6"/>
        <v>88</v>
      </c>
      <c r="C36" s="102">
        <f t="shared" si="0"/>
        <v>6.8181818181818183</v>
      </c>
      <c r="D36" s="101">
        <f t="shared" si="1"/>
        <v>7.9233535616257775E-2</v>
      </c>
      <c r="E36" s="100">
        <f t="shared" si="2"/>
        <v>109.83609532121264</v>
      </c>
      <c r="F36" s="100">
        <f t="shared" si="3"/>
        <v>219.67219064242528</v>
      </c>
      <c r="G36" s="100">
        <f t="shared" si="4"/>
        <v>439.34438128485056</v>
      </c>
      <c r="H36" s="100">
        <f t="shared" si="5"/>
        <v>878.68876256970111</v>
      </c>
    </row>
    <row r="37" spans="1:8" ht="15.75" customHeight="1" x14ac:dyDescent="0.25">
      <c r="A37" s="103">
        <v>700</v>
      </c>
      <c r="B37" s="103">
        <f t="shared" si="6"/>
        <v>88</v>
      </c>
      <c r="C37" s="102">
        <f t="shared" si="0"/>
        <v>7.9545454545454541</v>
      </c>
      <c r="D37" s="101">
        <f t="shared" si="1"/>
        <v>8.5299623236311045E-2</v>
      </c>
      <c r="E37" s="100">
        <f t="shared" si="2"/>
        <v>119.08088875587225</v>
      </c>
      <c r="F37" s="100">
        <f t="shared" si="3"/>
        <v>238.1617775117445</v>
      </c>
      <c r="G37" s="100">
        <f t="shared" si="4"/>
        <v>476.32355502348901</v>
      </c>
      <c r="H37" s="100">
        <f t="shared" si="5"/>
        <v>952.64711004697801</v>
      </c>
    </row>
    <row r="38" spans="1:8" ht="15.75" customHeight="1" x14ac:dyDescent="0.25">
      <c r="A38" s="103">
        <v>850</v>
      </c>
      <c r="B38" s="103">
        <f t="shared" si="6"/>
        <v>88</v>
      </c>
      <c r="C38" s="102">
        <f t="shared" si="0"/>
        <v>9.6590909090909083</v>
      </c>
      <c r="D38" s="101">
        <f t="shared" si="1"/>
        <v>9.3569719880051583E-2</v>
      </c>
      <c r="E38" s="100">
        <f t="shared" si="2"/>
        <v>131.90487730966353</v>
      </c>
      <c r="F38" s="100">
        <f t="shared" si="3"/>
        <v>263.80975461932707</v>
      </c>
      <c r="G38" s="100">
        <f t="shared" si="4"/>
        <v>527.61950923865413</v>
      </c>
      <c r="H38" s="100">
        <f t="shared" si="5"/>
        <v>1055.2390184773083</v>
      </c>
    </row>
    <row r="39" spans="1:8" ht="15.75" customHeight="1" x14ac:dyDescent="0.25">
      <c r="A39" s="103">
        <v>1024</v>
      </c>
      <c r="B39" s="103">
        <f t="shared" si="6"/>
        <v>88</v>
      </c>
      <c r="C39" s="102">
        <f t="shared" si="0"/>
        <v>11.636363636363637</v>
      </c>
      <c r="D39" s="101">
        <f t="shared" si="1"/>
        <v>0.1022105869243761</v>
      </c>
      <c r="E39" s="100">
        <f t="shared" si="2"/>
        <v>145.58561294149561</v>
      </c>
      <c r="F39" s="100">
        <f t="shared" si="3"/>
        <v>291.17122588299122</v>
      </c>
      <c r="G39" s="100">
        <f t="shared" si="4"/>
        <v>582.34245176598245</v>
      </c>
      <c r="H39" s="100">
        <f t="shared" si="5"/>
        <v>1164.6849035319649</v>
      </c>
    </row>
    <row r="40" spans="1:8" ht="15.75" customHeight="1" x14ac:dyDescent="0.25">
      <c r="A40" s="99"/>
      <c r="B40" s="99"/>
      <c r="C40" s="98"/>
      <c r="D40" s="97"/>
      <c r="E40" s="96"/>
      <c r="F40" s="95"/>
      <c r="G40" s="95"/>
      <c r="H40" s="95"/>
    </row>
    <row r="41" spans="1:8" ht="15.75" customHeight="1" x14ac:dyDescent="0.25">
      <c r="A41" s="99"/>
      <c r="B41" s="99"/>
      <c r="C41" s="98"/>
      <c r="D41" s="97"/>
      <c r="E41" s="96"/>
      <c r="F41" s="95"/>
      <c r="G41" s="95"/>
      <c r="H41" s="95"/>
    </row>
    <row r="42" spans="1:8" ht="15.75" customHeight="1" x14ac:dyDescent="0.25">
      <c r="A42" s="99"/>
      <c r="B42" s="99"/>
      <c r="C42" s="98"/>
      <c r="D42" s="97"/>
      <c r="E42" s="96"/>
      <c r="F42" s="95"/>
      <c r="G42" s="95"/>
      <c r="H42" s="95"/>
    </row>
    <row r="43" spans="1:8" ht="15.75" customHeight="1" x14ac:dyDescent="0.25">
      <c r="A43" s="99"/>
      <c r="B43" s="99"/>
      <c r="C43" s="98"/>
      <c r="D43" s="97"/>
      <c r="E43" s="96"/>
      <c r="F43" s="95"/>
      <c r="G43" s="95"/>
      <c r="H43" s="95"/>
    </row>
    <row r="44" spans="1:8" ht="15.75" customHeight="1" x14ac:dyDescent="0.25">
      <c r="A44" s="99"/>
      <c r="B44" s="99"/>
      <c r="C44" s="98"/>
      <c r="D44" s="97"/>
      <c r="E44" s="96"/>
      <c r="F44" s="95"/>
      <c r="G44" s="95"/>
      <c r="H44" s="95"/>
    </row>
    <row r="45" spans="1:8" ht="15.75" customHeight="1" x14ac:dyDescent="0.25">
      <c r="A45" s="99"/>
      <c r="B45" s="99"/>
      <c r="C45" s="98"/>
      <c r="D45" s="97"/>
      <c r="E45" s="96"/>
      <c r="F45" s="95"/>
      <c r="G45" s="95"/>
      <c r="H45" s="95"/>
    </row>
    <row r="46" spans="1:8" ht="15.75" customHeight="1" x14ac:dyDescent="0.25">
      <c r="A46" s="99"/>
      <c r="B46" s="99"/>
      <c r="C46" s="98"/>
      <c r="D46" s="97"/>
      <c r="E46" s="96"/>
      <c r="F46" s="95"/>
      <c r="G46" s="95"/>
      <c r="H46" s="95"/>
    </row>
    <row r="47" spans="1:8" ht="15.75" customHeight="1" x14ac:dyDescent="0.25">
      <c r="A47" s="99"/>
      <c r="B47" s="99"/>
      <c r="C47" s="98"/>
      <c r="D47" s="97"/>
      <c r="E47" s="96"/>
      <c r="F47" s="95"/>
      <c r="G47" s="95"/>
      <c r="H47" s="95"/>
    </row>
    <row r="48" spans="1:8" ht="15.75" customHeight="1" x14ac:dyDescent="0.25">
      <c r="A48" s="99"/>
      <c r="B48" s="99"/>
      <c r="C48" s="98"/>
      <c r="D48" s="97"/>
      <c r="E48" s="96"/>
      <c r="F48" s="95"/>
      <c r="G48" s="95"/>
      <c r="H48" s="95"/>
    </row>
    <row r="49" spans="1:8" ht="15.75" customHeight="1" x14ac:dyDescent="0.25">
      <c r="A49" s="99"/>
      <c r="B49" s="99"/>
      <c r="C49" s="98"/>
      <c r="D49" s="97"/>
      <c r="E49" s="96"/>
      <c r="F49" s="95"/>
      <c r="G49" s="95"/>
      <c r="H49" s="95"/>
    </row>
    <row r="50" spans="1:8" ht="15.75" customHeight="1" x14ac:dyDescent="0.25">
      <c r="A50" s="99"/>
      <c r="B50" s="99"/>
      <c r="C50" s="98"/>
      <c r="D50" s="97"/>
      <c r="E50" s="96"/>
      <c r="F50" s="95"/>
      <c r="G50" s="95"/>
      <c r="H50" s="95"/>
    </row>
    <row r="51" spans="1:8" ht="15.75" customHeight="1" x14ac:dyDescent="0.25">
      <c r="A51" s="99"/>
      <c r="B51" s="99"/>
      <c r="C51" s="98"/>
      <c r="D51" s="97"/>
      <c r="E51" s="96"/>
      <c r="F51" s="95"/>
      <c r="G51" s="95"/>
      <c r="H51" s="95"/>
    </row>
    <row r="52" spans="1:8" ht="15.75" customHeight="1" x14ac:dyDescent="0.25">
      <c r="A52" s="99"/>
      <c r="B52" s="99"/>
      <c r="C52" s="98"/>
      <c r="D52" s="97"/>
      <c r="E52" s="96"/>
      <c r="F52" s="95"/>
      <c r="G52" s="95"/>
      <c r="H52" s="95"/>
    </row>
    <row r="53" spans="1:8" ht="15.75" customHeight="1" x14ac:dyDescent="0.25">
      <c r="A53" s="99"/>
      <c r="B53" s="99"/>
      <c r="C53" s="98"/>
      <c r="D53" s="97"/>
      <c r="E53" s="96"/>
      <c r="F53" s="95"/>
      <c r="G53" s="95"/>
      <c r="H53" s="95"/>
    </row>
    <row r="54" spans="1:8" ht="15.75" customHeight="1" x14ac:dyDescent="0.25">
      <c r="A54" s="99"/>
      <c r="B54" s="99"/>
      <c r="C54" s="98"/>
      <c r="D54" s="97"/>
      <c r="E54" s="96"/>
      <c r="F54" s="95"/>
      <c r="G54" s="95"/>
      <c r="H54" s="95"/>
    </row>
    <row r="55" spans="1:8" ht="15.75" customHeight="1" x14ac:dyDescent="0.25">
      <c r="A55" s="99"/>
      <c r="B55" s="99"/>
      <c r="C55" s="98"/>
      <c r="D55" s="97"/>
      <c r="E55" s="96"/>
      <c r="F55" s="95"/>
      <c r="G55" s="95"/>
      <c r="H55" s="95"/>
    </row>
    <row r="56" spans="1:8" ht="15.75" customHeight="1" x14ac:dyDescent="0.25">
      <c r="A56" s="99"/>
      <c r="B56" s="99"/>
      <c r="C56" s="98"/>
      <c r="D56" s="97"/>
      <c r="E56" s="96"/>
      <c r="F56" s="95"/>
      <c r="G56" s="95"/>
      <c r="H56" s="95"/>
    </row>
    <row r="57" spans="1:8" ht="15.75" customHeight="1" x14ac:dyDescent="0.25">
      <c r="A57" s="99"/>
      <c r="B57" s="99"/>
      <c r="C57" s="98"/>
      <c r="D57" s="97"/>
      <c r="E57" s="96"/>
      <c r="F57" s="95"/>
      <c r="G57" s="95"/>
      <c r="H57" s="95"/>
    </row>
    <row r="58" spans="1:8" ht="15.75" customHeight="1" x14ac:dyDescent="0.25">
      <c r="A58" s="99"/>
      <c r="B58" s="99"/>
      <c r="C58" s="98"/>
      <c r="D58" s="97"/>
      <c r="E58" s="96"/>
      <c r="F58" s="95"/>
      <c r="G58" s="95"/>
      <c r="H58" s="95"/>
    </row>
    <row r="59" spans="1:8" ht="15.75" customHeight="1" x14ac:dyDescent="0.25">
      <c r="A59" s="99"/>
      <c r="B59" s="99"/>
      <c r="C59" s="98"/>
      <c r="D59" s="97"/>
      <c r="E59" s="96"/>
      <c r="F59" s="95"/>
      <c r="G59" s="95"/>
      <c r="H59" s="95"/>
    </row>
    <row r="60" spans="1:8" ht="15.75" customHeight="1" x14ac:dyDescent="0.25">
      <c r="A60" s="99"/>
      <c r="B60" s="99"/>
      <c r="C60" s="98"/>
      <c r="D60" s="97"/>
      <c r="E60" s="96"/>
      <c r="F60" s="95"/>
      <c r="G60" s="95"/>
      <c r="H60" s="95"/>
    </row>
    <row r="61" spans="1:8" ht="15.75" customHeight="1" x14ac:dyDescent="0.25">
      <c r="A61" s="99"/>
      <c r="B61" s="99"/>
      <c r="C61" s="98"/>
      <c r="D61" s="97"/>
      <c r="E61" s="96"/>
      <c r="F61" s="95"/>
      <c r="G61" s="95"/>
      <c r="H61" s="95"/>
    </row>
    <row r="62" spans="1:8" ht="15.75" customHeight="1" x14ac:dyDescent="0.25">
      <c r="A62" s="99"/>
      <c r="B62" s="99"/>
      <c r="C62" s="98"/>
      <c r="D62" s="97"/>
      <c r="E62" s="96"/>
      <c r="F62" s="95"/>
      <c r="G62" s="95"/>
      <c r="H62" s="95"/>
    </row>
    <row r="63" spans="1:8" ht="15.75" customHeight="1" x14ac:dyDescent="0.25">
      <c r="A63" s="99"/>
      <c r="B63" s="99"/>
      <c r="C63" s="98"/>
      <c r="D63" s="97"/>
      <c r="E63" s="96"/>
      <c r="F63" s="95"/>
      <c r="G63" s="95"/>
      <c r="H63" s="95"/>
    </row>
    <row r="64" spans="1:8" ht="15.75" customHeight="1" x14ac:dyDescent="0.25">
      <c r="A64" s="99"/>
      <c r="B64" s="99"/>
      <c r="C64" s="98"/>
      <c r="D64" s="97"/>
      <c r="E64" s="96"/>
      <c r="F64" s="95"/>
      <c r="G64" s="95"/>
      <c r="H64" s="95"/>
    </row>
    <row r="65" spans="1:8" ht="15.75" customHeight="1" x14ac:dyDescent="0.25">
      <c r="A65" s="99"/>
      <c r="B65" s="99"/>
      <c r="C65" s="98"/>
      <c r="D65" s="97"/>
      <c r="E65" s="96"/>
      <c r="F65" s="95"/>
      <c r="G65" s="95"/>
      <c r="H65" s="95"/>
    </row>
    <row r="66" spans="1:8" ht="15.75" customHeight="1" x14ac:dyDescent="0.25">
      <c r="A66" s="99"/>
      <c r="B66" s="99"/>
      <c r="C66" s="98"/>
      <c r="D66" s="97"/>
      <c r="E66" s="96"/>
      <c r="F66" s="95"/>
      <c r="G66" s="95"/>
      <c r="H66" s="95"/>
    </row>
    <row r="67" spans="1:8" ht="15.75" customHeight="1" x14ac:dyDescent="0.25">
      <c r="A67" s="99"/>
      <c r="B67" s="99"/>
      <c r="C67" s="98"/>
      <c r="D67" s="97"/>
      <c r="E67" s="96"/>
      <c r="F67" s="95"/>
      <c r="G67" s="95"/>
      <c r="H67" s="95"/>
    </row>
    <row r="68" spans="1:8" ht="15.75" customHeight="1" x14ac:dyDescent="0.25">
      <c r="A68" s="99"/>
      <c r="B68" s="99"/>
      <c r="C68" s="98"/>
      <c r="D68" s="97"/>
      <c r="E68" s="96"/>
      <c r="F68" s="95"/>
      <c r="G68" s="95"/>
      <c r="H68" s="95"/>
    </row>
    <row r="69" spans="1:8" ht="15.75" customHeight="1" x14ac:dyDescent="0.25">
      <c r="A69" s="99"/>
      <c r="B69" s="99"/>
      <c r="C69" s="98"/>
      <c r="D69" s="97"/>
      <c r="E69" s="96"/>
      <c r="F69" s="95"/>
      <c r="G69" s="95"/>
      <c r="H69" s="95"/>
    </row>
    <row r="70" spans="1:8" ht="15.75" customHeight="1" x14ac:dyDescent="0.25">
      <c r="A70" s="99"/>
      <c r="B70" s="99"/>
      <c r="C70" s="98"/>
      <c r="D70" s="97"/>
      <c r="E70" s="96"/>
      <c r="F70" s="95"/>
      <c r="G70" s="95"/>
      <c r="H70" s="95"/>
    </row>
    <row r="71" spans="1:8" ht="15.75" customHeight="1" x14ac:dyDescent="0.25">
      <c r="A71" s="99"/>
      <c r="B71" s="99"/>
      <c r="C71" s="98"/>
      <c r="D71" s="97"/>
      <c r="E71" s="96"/>
      <c r="F71" s="95"/>
      <c r="G71" s="95"/>
      <c r="H71" s="95"/>
    </row>
    <row r="72" spans="1:8" ht="15.75" customHeight="1" x14ac:dyDescent="0.25">
      <c r="A72" s="99"/>
      <c r="B72" s="99"/>
      <c r="C72" s="98"/>
      <c r="D72" s="97"/>
      <c r="E72" s="96"/>
      <c r="F72" s="95"/>
      <c r="G72" s="95"/>
      <c r="H72" s="95"/>
    </row>
    <row r="73" spans="1:8" ht="15.75" customHeight="1" x14ac:dyDescent="0.25">
      <c r="A73" s="99"/>
      <c r="B73" s="99"/>
      <c r="C73" s="98"/>
      <c r="D73" s="97"/>
      <c r="E73" s="96"/>
      <c r="F73" s="95"/>
      <c r="G73" s="95"/>
      <c r="H73" s="95"/>
    </row>
    <row r="74" spans="1:8" ht="15.75" customHeight="1" x14ac:dyDescent="0.25">
      <c r="A74" s="99"/>
      <c r="B74" s="99"/>
      <c r="C74" s="98"/>
      <c r="D74" s="97"/>
      <c r="E74" s="96"/>
      <c r="F74" s="95"/>
      <c r="G74" s="95"/>
      <c r="H74" s="95"/>
    </row>
    <row r="75" spans="1:8" ht="15.75" customHeight="1" x14ac:dyDescent="0.25">
      <c r="A75" s="99"/>
      <c r="B75" s="99"/>
      <c r="C75" s="98"/>
      <c r="D75" s="97"/>
      <c r="E75" s="96"/>
      <c r="F75" s="95"/>
      <c r="G75" s="95"/>
      <c r="H75" s="95"/>
    </row>
    <row r="76" spans="1:8" ht="15.75" customHeight="1" x14ac:dyDescent="0.25">
      <c r="A76" s="99"/>
      <c r="B76" s="99"/>
      <c r="C76" s="98"/>
      <c r="D76" s="97"/>
      <c r="E76" s="96"/>
      <c r="F76" s="95"/>
      <c r="G76" s="95"/>
      <c r="H76" s="95"/>
    </row>
    <row r="77" spans="1:8" ht="15.75" customHeight="1" x14ac:dyDescent="0.25">
      <c r="A77" s="99"/>
      <c r="B77" s="99"/>
      <c r="C77" s="98"/>
      <c r="D77" s="97"/>
      <c r="E77" s="96"/>
      <c r="F77" s="95"/>
      <c r="G77" s="95"/>
      <c r="H77" s="95"/>
    </row>
    <row r="78" spans="1:8" ht="15.75" customHeight="1" x14ac:dyDescent="0.25">
      <c r="A78" s="99"/>
      <c r="B78" s="99"/>
      <c r="C78" s="98"/>
      <c r="D78" s="97"/>
      <c r="E78" s="96"/>
      <c r="F78" s="95"/>
      <c r="G78" s="95"/>
      <c r="H78" s="95"/>
    </row>
    <row r="79" spans="1:8" ht="15.75" customHeight="1" x14ac:dyDescent="0.25">
      <c r="A79" s="99"/>
      <c r="B79" s="99"/>
      <c r="C79" s="98"/>
      <c r="D79" s="97"/>
      <c r="E79" s="96"/>
      <c r="F79" s="95"/>
      <c r="G79" s="95"/>
      <c r="H79" s="95"/>
    </row>
    <row r="80" spans="1:8" ht="15.75" customHeight="1" x14ac:dyDescent="0.25">
      <c r="A80" s="99"/>
      <c r="B80" s="99"/>
      <c r="C80" s="98"/>
      <c r="D80" s="97"/>
      <c r="E80" s="96"/>
      <c r="F80" s="95"/>
      <c r="G80" s="95"/>
      <c r="H80" s="95"/>
    </row>
    <row r="81" spans="1:8" ht="15.75" customHeight="1" x14ac:dyDescent="0.25">
      <c r="A81" s="99"/>
      <c r="B81" s="99"/>
      <c r="C81" s="98"/>
      <c r="D81" s="97"/>
      <c r="E81" s="96"/>
      <c r="F81" s="95"/>
      <c r="G81" s="95"/>
      <c r="H81" s="95"/>
    </row>
    <row r="82" spans="1:8" ht="15.75" customHeight="1" x14ac:dyDescent="0.25">
      <c r="A82" s="99"/>
      <c r="B82" s="99"/>
      <c r="C82" s="98"/>
      <c r="D82" s="97"/>
      <c r="E82" s="96"/>
      <c r="F82" s="95"/>
      <c r="G82" s="95"/>
      <c r="H82" s="95"/>
    </row>
    <row r="83" spans="1:8" ht="15.75" customHeight="1" x14ac:dyDescent="0.25">
      <c r="A83" s="99"/>
      <c r="B83" s="99"/>
      <c r="C83" s="98"/>
      <c r="D83" s="97"/>
      <c r="E83" s="96"/>
      <c r="F83" s="95"/>
      <c r="G83" s="95"/>
      <c r="H83" s="95"/>
    </row>
    <row r="84" spans="1:8" ht="15.75" customHeight="1" x14ac:dyDescent="0.25">
      <c r="A84" s="99"/>
      <c r="B84" s="99"/>
      <c r="C84" s="98"/>
      <c r="D84" s="97"/>
      <c r="E84" s="96"/>
      <c r="F84" s="95"/>
      <c r="G84" s="95"/>
      <c r="H84" s="95"/>
    </row>
    <row r="85" spans="1:8" ht="15.75" customHeight="1" x14ac:dyDescent="0.25">
      <c r="A85" s="99"/>
      <c r="B85" s="99"/>
      <c r="C85" s="98"/>
      <c r="D85" s="97"/>
      <c r="E85" s="96"/>
      <c r="F85" s="95"/>
      <c r="G85" s="95"/>
      <c r="H85" s="95"/>
    </row>
    <row r="86" spans="1:8" ht="15.75" customHeight="1" x14ac:dyDescent="0.25"/>
    <row r="87" spans="1:8" ht="15.75" customHeight="1" x14ac:dyDescent="0.25"/>
    <row r="88" spans="1:8" ht="15.75" customHeight="1" x14ac:dyDescent="0.25"/>
    <row r="89" spans="1:8" ht="15.75" customHeight="1" x14ac:dyDescent="0.25"/>
    <row r="90" spans="1:8" ht="15.75" customHeight="1" x14ac:dyDescent="0.25"/>
    <row r="91" spans="1:8" ht="15.75" customHeight="1" x14ac:dyDescent="0.25"/>
    <row r="92" spans="1:8" ht="15.75" customHeight="1" x14ac:dyDescent="0.25"/>
    <row r="93" spans="1:8" ht="15.75" customHeight="1" x14ac:dyDescent="0.25"/>
    <row r="94" spans="1:8" ht="15.75" customHeight="1" x14ac:dyDescent="0.25"/>
    <row r="95" spans="1:8" ht="15.75" customHeight="1" x14ac:dyDescent="0.25"/>
    <row r="96" spans="1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mergeCells count="2">
    <mergeCell ref="A6:H6"/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5"/>
  <sheetViews>
    <sheetView workbookViewId="0">
      <selection activeCell="A3" sqref="A3"/>
    </sheetView>
  </sheetViews>
  <sheetFormatPr defaultRowHeight="15" x14ac:dyDescent="0.25"/>
  <cols>
    <col min="1" max="16384" width="9.140625" style="123"/>
  </cols>
  <sheetData>
    <row r="1" spans="1:1" x14ac:dyDescent="0.25">
      <c r="A1" s="123" t="s">
        <v>92</v>
      </c>
    </row>
    <row r="2" spans="1:1" x14ac:dyDescent="0.25">
      <c r="A2" s="123" t="s">
        <v>93</v>
      </c>
    </row>
    <row r="4" spans="1:1" x14ac:dyDescent="0.25">
      <c r="A4" s="123" t="s">
        <v>90</v>
      </c>
    </row>
    <row r="5" spans="1:1" x14ac:dyDescent="0.25">
      <c r="A5" s="12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L36"/>
  <sheetViews>
    <sheetView zoomScaleNormal="100" workbookViewId="0">
      <selection activeCell="B31" sqref="B31"/>
    </sheetView>
  </sheetViews>
  <sheetFormatPr defaultRowHeight="15" x14ac:dyDescent="0.25"/>
  <cols>
    <col min="9" max="9" width="12.28515625" customWidth="1"/>
    <col min="13" max="13" width="11.7109375" bestFit="1" customWidth="1"/>
  </cols>
  <sheetData>
    <row r="25" spans="1:12" x14ac:dyDescent="0.25">
      <c r="D25" s="126" t="s">
        <v>99</v>
      </c>
      <c r="F25" s="126" t="s">
        <v>100</v>
      </c>
      <c r="I25" t="s">
        <v>99</v>
      </c>
      <c r="K25" t="s">
        <v>100</v>
      </c>
    </row>
    <row r="26" spans="1:12" x14ac:dyDescent="0.25">
      <c r="C26" s="35" t="s">
        <v>98</v>
      </c>
      <c r="D26" s="92">
        <v>0.5</v>
      </c>
      <c r="E26" s="139"/>
      <c r="F26" s="142">
        <f>D26</f>
        <v>0.5</v>
      </c>
      <c r="I26" s="142">
        <f>SQRT(10^((I27/10)))</f>
        <v>0.50118723362727224</v>
      </c>
      <c r="K26" s="142">
        <f>10^((K27/10))</f>
        <v>0.25118864315095801</v>
      </c>
    </row>
    <row r="27" spans="1:12" x14ac:dyDescent="0.25">
      <c r="D27" s="62">
        <f>10*LOG10(D26^2)</f>
        <v>-6.0205999132796242</v>
      </c>
      <c r="E27" t="s">
        <v>67</v>
      </c>
      <c r="F27" s="141">
        <f>10*LOG10(D26)</f>
        <v>-3.0102999566398121</v>
      </c>
      <c r="G27" t="s">
        <v>67</v>
      </c>
      <c r="I27" s="140">
        <v>-6</v>
      </c>
      <c r="J27" t="s">
        <v>67</v>
      </c>
      <c r="K27" s="141">
        <f>I27</f>
        <v>-6</v>
      </c>
      <c r="L27" t="s">
        <v>67</v>
      </c>
    </row>
    <row r="29" spans="1:12" x14ac:dyDescent="0.25">
      <c r="B29" s="142">
        <f>SQRT(10^((C29/10)))</f>
        <v>1</v>
      </c>
      <c r="C29" s="62">
        <v>0</v>
      </c>
    </row>
    <row r="30" spans="1:12" x14ac:dyDescent="0.25">
      <c r="A30">
        <v>100</v>
      </c>
      <c r="B30" s="142">
        <f t="shared" ref="B30:B33" si="0">SQRT(10^((C30/10)))</f>
        <v>0.70794578438413791</v>
      </c>
      <c r="C30" s="62">
        <v>-3</v>
      </c>
    </row>
    <row r="31" spans="1:12" x14ac:dyDescent="0.25">
      <c r="A31">
        <v>200</v>
      </c>
      <c r="B31" s="142">
        <f t="shared" si="0"/>
        <v>0.35481338923357542</v>
      </c>
      <c r="C31" s="62">
        <v>-9</v>
      </c>
    </row>
    <row r="32" spans="1:12" x14ac:dyDescent="0.25">
      <c r="A32">
        <v>400</v>
      </c>
      <c r="B32" s="142">
        <f t="shared" si="0"/>
        <v>0.17782794100389226</v>
      </c>
      <c r="C32" s="62">
        <v>-15</v>
      </c>
    </row>
    <row r="33" spans="1:3" x14ac:dyDescent="0.25">
      <c r="A33">
        <v>1000</v>
      </c>
      <c r="B33" s="142">
        <f t="shared" si="0"/>
        <v>0.1</v>
      </c>
      <c r="C33" s="62">
        <v>-20</v>
      </c>
    </row>
    <row r="34" spans="1:3" x14ac:dyDescent="0.25">
      <c r="B34" s="62"/>
    </row>
    <row r="35" spans="1:3" x14ac:dyDescent="0.25">
      <c r="B35" s="62"/>
    </row>
    <row r="36" spans="1:3" x14ac:dyDescent="0.25">
      <c r="B36" s="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Filter Latency</vt:lpstr>
      <vt:lpstr>FKF-Cutoff Calcs</vt:lpstr>
      <vt:lpstr>&lt;spacer&gt;</vt:lpstr>
      <vt:lpstr>Attenuation-DRAFT</vt:lpstr>
    </vt:vector>
  </TitlesOfParts>
  <Company>Herbert, Rowland and Grubic,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Spatz, Mark</dc:creator>
  <cp:lastModifiedBy>Spatz, Mark</cp:lastModifiedBy>
  <dcterms:created xsi:type="dcterms:W3CDTF">2018-02-20T16:35:59Z</dcterms:created>
  <dcterms:modified xsi:type="dcterms:W3CDTF">2018-04-21T03:51:49Z</dcterms:modified>
</cp:coreProperties>
</file>