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Drive\_Betaflight\Filter Analizer\"/>
    </mc:Choice>
  </mc:AlternateContent>
  <bookViews>
    <workbookView xWindow="0" yWindow="0" windowWidth="10650" windowHeight="8820"/>
  </bookViews>
  <sheets>
    <sheet name="BF Filter Latency" sheetId="2" r:id="rId1"/>
    <sheet name="FKF-Cutoff Calcs" sheetId="5" r:id="rId2"/>
    <sheet name="&lt;spacer&gt;" sheetId="7" r:id="rId3"/>
    <sheet name="Attenuation-DRAFT" sheetId="4" r:id="rId4"/>
    <sheet name="Delay and Timing" sheetId="8" r:id="rId5"/>
  </sheets>
  <definedNames>
    <definedName name="solver_adj" localSheetId="1" hidden="1">'FKF-Cutoff Calcs'!$A$21</definedName>
    <definedName name="solver_cvg" localSheetId="1" hidden="1">0.0001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'FKF-Cutoff Calcs'!$F$21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1</definedName>
    <definedName name="solver_nwt" localSheetId="1" hidden="1">1</definedName>
    <definedName name="solver_opt" localSheetId="0" hidden="1">'BF Filter Latency'!$AD$32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150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0" i="2" l="1"/>
  <c r="R63" i="2" l="1"/>
  <c r="O63" i="2"/>
  <c r="R62" i="2"/>
  <c r="O62" i="2"/>
  <c r="R61" i="2"/>
  <c r="O61" i="2"/>
  <c r="R60" i="2"/>
  <c r="O60" i="2"/>
  <c r="R59" i="2"/>
  <c r="O59" i="2"/>
  <c r="R58" i="2"/>
  <c r="O58" i="2"/>
  <c r="R57" i="2"/>
  <c r="O57" i="2"/>
  <c r="R49" i="2"/>
  <c r="O49" i="2"/>
  <c r="R48" i="2"/>
  <c r="O48" i="2"/>
  <c r="R47" i="2"/>
  <c r="O47" i="2"/>
  <c r="R46" i="2"/>
  <c r="O46" i="2"/>
  <c r="R45" i="2"/>
  <c r="O45" i="2"/>
  <c r="R44" i="2"/>
  <c r="O44" i="2"/>
  <c r="R43" i="2"/>
  <c r="O43" i="2"/>
  <c r="R42" i="2"/>
  <c r="O42" i="2"/>
  <c r="R41" i="2"/>
  <c r="O41" i="2"/>
  <c r="R40" i="2"/>
  <c r="O40" i="2"/>
  <c r="R39" i="2"/>
  <c r="O39" i="2"/>
  <c r="R38" i="2"/>
  <c r="O38" i="2"/>
  <c r="R37" i="2"/>
  <c r="O37" i="2"/>
  <c r="R36" i="2"/>
  <c r="O36" i="2"/>
  <c r="R35" i="2"/>
  <c r="O35" i="2"/>
  <c r="R34" i="2"/>
  <c r="O34" i="2"/>
  <c r="N34" i="2" s="1"/>
  <c r="S34" i="2" s="1"/>
  <c r="R33" i="2"/>
  <c r="O33" i="2"/>
  <c r="Q31" i="2"/>
  <c r="S29" i="2"/>
  <c r="N35" i="2" l="1"/>
  <c r="S35" i="2" s="1"/>
  <c r="N37" i="2"/>
  <c r="S37" i="2" s="1"/>
  <c r="N39" i="2"/>
  <c r="S39" i="2" s="1"/>
  <c r="N41" i="2"/>
  <c r="S41" i="2" s="1"/>
  <c r="N43" i="2"/>
  <c r="S43" i="2" s="1"/>
  <c r="N45" i="2"/>
  <c r="S45" i="2" s="1"/>
  <c r="N47" i="2"/>
  <c r="S47" i="2" s="1"/>
  <c r="N49" i="2"/>
  <c r="S49" i="2" s="1"/>
  <c r="N58" i="2"/>
  <c r="S58" i="2" s="1"/>
  <c r="N60" i="2"/>
  <c r="S60" i="2" s="1"/>
  <c r="N62" i="2"/>
  <c r="S62" i="2" s="1"/>
  <c r="N33" i="2"/>
  <c r="S33" i="2" s="1"/>
  <c r="N36" i="2"/>
  <c r="S36" i="2" s="1"/>
  <c r="N38" i="2"/>
  <c r="S38" i="2" s="1"/>
  <c r="N40" i="2"/>
  <c r="S40" i="2" s="1"/>
  <c r="N42" i="2"/>
  <c r="S42" i="2" s="1"/>
  <c r="N44" i="2"/>
  <c r="S44" i="2" s="1"/>
  <c r="N46" i="2"/>
  <c r="S46" i="2" s="1"/>
  <c r="N48" i="2"/>
  <c r="S48" i="2" s="1"/>
  <c r="N57" i="2"/>
  <c r="S57" i="2" s="1"/>
  <c r="N59" i="2"/>
  <c r="S59" i="2" s="1"/>
  <c r="N61" i="2"/>
  <c r="S61" i="2" s="1"/>
  <c r="N63" i="2"/>
  <c r="S63" i="2" s="1"/>
  <c r="W30" i="2"/>
  <c r="B7" i="8" l="1"/>
  <c r="C7" i="8"/>
  <c r="E7" i="8" s="1"/>
  <c r="E2" i="8"/>
  <c r="B6" i="8"/>
  <c r="C6" i="8" s="1"/>
  <c r="E6" i="8" s="1"/>
  <c r="B5" i="8"/>
  <c r="C5" i="8" s="1"/>
  <c r="E5" i="8" s="1"/>
  <c r="B4" i="8"/>
  <c r="C4" i="8" s="1"/>
  <c r="E4" i="8" s="1"/>
  <c r="F29" i="4" l="1"/>
  <c r="E31" i="4"/>
  <c r="E32" i="4"/>
  <c r="E33" i="4"/>
  <c r="E30" i="4"/>
  <c r="C31" i="4" l="1"/>
  <c r="C32" i="4"/>
  <c r="C33" i="4"/>
  <c r="C30" i="4"/>
  <c r="B33" i="4"/>
  <c r="B32" i="4"/>
  <c r="B31" i="4"/>
  <c r="B30" i="4"/>
  <c r="AU94" i="2" l="1"/>
  <c r="AU93" i="2"/>
  <c r="AU92" i="2"/>
  <c r="AU91" i="2"/>
  <c r="AU90" i="2"/>
  <c r="AU89" i="2"/>
  <c r="AU88" i="2"/>
  <c r="AU87" i="2"/>
  <c r="AU86" i="2"/>
  <c r="AU85" i="2"/>
  <c r="AU84" i="2"/>
  <c r="AU83" i="2"/>
  <c r="AU82" i="2"/>
  <c r="AU81" i="2"/>
  <c r="AU80" i="2"/>
  <c r="AU79" i="2"/>
  <c r="AU78" i="2"/>
  <c r="AU77" i="2"/>
  <c r="AU76" i="2"/>
  <c r="AU75" i="2"/>
  <c r="AU74" i="2"/>
  <c r="AU73" i="2"/>
  <c r="AU72" i="2"/>
  <c r="AU71" i="2"/>
  <c r="AU70" i="2"/>
  <c r="AU69" i="2"/>
  <c r="AU68" i="2"/>
  <c r="AU67" i="2"/>
  <c r="AU66" i="2"/>
  <c r="AU65" i="2"/>
  <c r="AU64" i="2"/>
  <c r="AV63" i="2"/>
  <c r="AU63" i="2"/>
  <c r="AT63" i="2" s="1"/>
  <c r="AS63" i="2"/>
  <c r="AV62" i="2"/>
  <c r="AU62" i="2"/>
  <c r="AT62" i="2" s="1"/>
  <c r="AS62" i="2"/>
  <c r="AV61" i="2"/>
  <c r="AR61" i="2" s="1"/>
  <c r="AW61" i="2" s="1"/>
  <c r="AU61" i="2"/>
  <c r="AT61" i="2" s="1"/>
  <c r="AS61" i="2"/>
  <c r="AV60" i="2"/>
  <c r="AR60" i="2" s="1"/>
  <c r="AW60" i="2" s="1"/>
  <c r="AU60" i="2"/>
  <c r="AT60" i="2" s="1"/>
  <c r="AS60" i="2"/>
  <c r="AV59" i="2"/>
  <c r="AU59" i="2"/>
  <c r="AT59" i="2" s="1"/>
  <c r="AS59" i="2"/>
  <c r="AV58" i="2"/>
  <c r="AU58" i="2"/>
  <c r="AT58" i="2" s="1"/>
  <c r="AS58" i="2"/>
  <c r="AV57" i="2"/>
  <c r="AR57" i="2" s="1"/>
  <c r="AW57" i="2" s="1"/>
  <c r="AU57" i="2"/>
  <c r="AT57" i="2" s="1"/>
  <c r="AS57" i="2"/>
  <c r="AU56" i="2"/>
  <c r="AU55" i="2"/>
  <c r="AU54" i="2"/>
  <c r="AU53" i="2"/>
  <c r="AU52" i="2"/>
  <c r="AU51" i="2"/>
  <c r="AU50" i="2"/>
  <c r="AV49" i="2"/>
  <c r="AR49" i="2" s="1"/>
  <c r="AW49" i="2" s="1"/>
  <c r="AU49" i="2"/>
  <c r="AT49" i="2" s="1"/>
  <c r="AS49" i="2"/>
  <c r="AV48" i="2"/>
  <c r="AR48" i="2" s="1"/>
  <c r="AW48" i="2" s="1"/>
  <c r="AU48" i="2"/>
  <c r="AT48" i="2" s="1"/>
  <c r="AS48" i="2"/>
  <c r="AV47" i="2"/>
  <c r="AU47" i="2"/>
  <c r="AT47" i="2" s="1"/>
  <c r="AS47" i="2"/>
  <c r="AV46" i="2"/>
  <c r="AU46" i="2"/>
  <c r="AT46" i="2" s="1"/>
  <c r="AS46" i="2"/>
  <c r="AV45" i="2"/>
  <c r="AR45" i="2" s="1"/>
  <c r="AW45" i="2" s="1"/>
  <c r="AU45" i="2"/>
  <c r="AT45" i="2" s="1"/>
  <c r="AS45" i="2"/>
  <c r="AV44" i="2"/>
  <c r="AR44" i="2" s="1"/>
  <c r="AW44" i="2" s="1"/>
  <c r="AU44" i="2"/>
  <c r="AT44" i="2" s="1"/>
  <c r="AS44" i="2"/>
  <c r="AV43" i="2"/>
  <c r="AU43" i="2"/>
  <c r="AT43" i="2" s="1"/>
  <c r="AS43" i="2"/>
  <c r="AV42" i="2"/>
  <c r="AU42" i="2"/>
  <c r="AT42" i="2" s="1"/>
  <c r="AS42" i="2"/>
  <c r="AV41" i="2"/>
  <c r="AR41" i="2" s="1"/>
  <c r="AW41" i="2" s="1"/>
  <c r="AU41" i="2"/>
  <c r="AT41" i="2" s="1"/>
  <c r="AS41" i="2"/>
  <c r="AV40" i="2"/>
  <c r="AR40" i="2" s="1"/>
  <c r="AW40" i="2" s="1"/>
  <c r="AU40" i="2"/>
  <c r="AT40" i="2" s="1"/>
  <c r="AS40" i="2"/>
  <c r="AV39" i="2"/>
  <c r="AU39" i="2"/>
  <c r="AT39" i="2" s="1"/>
  <c r="AS39" i="2"/>
  <c r="AV38" i="2"/>
  <c r="AU38" i="2"/>
  <c r="AT38" i="2" s="1"/>
  <c r="AS38" i="2"/>
  <c r="AV37" i="2"/>
  <c r="AR37" i="2" s="1"/>
  <c r="AW37" i="2" s="1"/>
  <c r="AU37" i="2"/>
  <c r="AT37" i="2" s="1"/>
  <c r="AS37" i="2"/>
  <c r="AV36" i="2"/>
  <c r="AR36" i="2" s="1"/>
  <c r="AW36" i="2" s="1"/>
  <c r="AU36" i="2"/>
  <c r="AT36" i="2" s="1"/>
  <c r="AS36" i="2"/>
  <c r="AV35" i="2"/>
  <c r="AU35" i="2"/>
  <c r="AT35" i="2" s="1"/>
  <c r="AS35" i="2"/>
  <c r="AV34" i="2"/>
  <c r="AU34" i="2"/>
  <c r="AT34" i="2" s="1"/>
  <c r="AS34" i="2"/>
  <c r="AV33" i="2"/>
  <c r="AR33" i="2" s="1"/>
  <c r="AW33" i="2" s="1"/>
  <c r="AU33" i="2"/>
  <c r="AT33" i="2" s="1"/>
  <c r="AS33" i="2"/>
  <c r="AR35" i="2" l="1"/>
  <c r="AW35" i="2" s="1"/>
  <c r="AR39" i="2"/>
  <c r="AW39" i="2" s="1"/>
  <c r="AR43" i="2"/>
  <c r="AW43" i="2" s="1"/>
  <c r="AR47" i="2"/>
  <c r="AW47" i="2" s="1"/>
  <c r="AR59" i="2"/>
  <c r="AW59" i="2" s="1"/>
  <c r="AR63" i="2"/>
  <c r="AW63" i="2" s="1"/>
  <c r="AR34" i="2"/>
  <c r="AW34" i="2" s="1"/>
  <c r="AR38" i="2"/>
  <c r="AW38" i="2" s="1"/>
  <c r="AR42" i="2"/>
  <c r="AW42" i="2" s="1"/>
  <c r="AR46" i="2"/>
  <c r="AW46" i="2" s="1"/>
  <c r="AR58" i="2"/>
  <c r="AW58" i="2" s="1"/>
  <c r="AR62" i="2"/>
  <c r="AW62" i="2" s="1"/>
  <c r="J31" i="2" l="1"/>
  <c r="BB34" i="2" l="1"/>
  <c r="BA34" i="2" s="1"/>
  <c r="BB35" i="2"/>
  <c r="BA35" i="2" s="1"/>
  <c r="BB36" i="2"/>
  <c r="BA36" i="2" s="1"/>
  <c r="BB37" i="2"/>
  <c r="BA37" i="2" s="1"/>
  <c r="BB38" i="2"/>
  <c r="BA38" i="2" s="1"/>
  <c r="BB39" i="2"/>
  <c r="BA39" i="2" s="1"/>
  <c r="BB40" i="2"/>
  <c r="BA40" i="2" s="1"/>
  <c r="BB41" i="2"/>
  <c r="BA41" i="2" s="1"/>
  <c r="BB42" i="2"/>
  <c r="BA42" i="2" s="1"/>
  <c r="BB43" i="2"/>
  <c r="BA43" i="2" s="1"/>
  <c r="BB44" i="2"/>
  <c r="BA44" i="2" s="1"/>
  <c r="BB45" i="2"/>
  <c r="BA45" i="2" s="1"/>
  <c r="BB46" i="2"/>
  <c r="BA46" i="2" s="1"/>
  <c r="BB47" i="2"/>
  <c r="BA47" i="2" s="1"/>
  <c r="BB48" i="2"/>
  <c r="BA48" i="2" s="1"/>
  <c r="BB49" i="2"/>
  <c r="BA49" i="2" s="1"/>
  <c r="BB50" i="2"/>
  <c r="BB51" i="2"/>
  <c r="BB52" i="2"/>
  <c r="BB53" i="2"/>
  <c r="BB54" i="2"/>
  <c r="BB55" i="2"/>
  <c r="BB56" i="2"/>
  <c r="BB57" i="2"/>
  <c r="BA57" i="2" s="1"/>
  <c r="BB58" i="2"/>
  <c r="BA58" i="2" s="1"/>
  <c r="BB59" i="2"/>
  <c r="BA59" i="2" s="1"/>
  <c r="BB60" i="2"/>
  <c r="BA60" i="2" s="1"/>
  <c r="BB61" i="2"/>
  <c r="BA61" i="2" s="1"/>
  <c r="BB62" i="2"/>
  <c r="BA62" i="2" s="1"/>
  <c r="BB63" i="2"/>
  <c r="BA63" i="2" s="1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33" i="2"/>
  <c r="BA33" i="2" s="1"/>
  <c r="BQ5" i="2" l="1"/>
  <c r="B28" i="2"/>
  <c r="B31" i="2" s="1"/>
  <c r="E30" i="2"/>
  <c r="E31" i="2"/>
  <c r="C3" i="5"/>
  <c r="D3" i="5" s="1"/>
  <c r="C8" i="5"/>
  <c r="D8" i="5" s="1"/>
  <c r="G8" i="5" s="1"/>
  <c r="B9" i="5"/>
  <c r="B10" i="5" s="1"/>
  <c r="B11" i="5" s="1"/>
  <c r="Q94" i="2" l="1"/>
  <c r="Q92" i="2"/>
  <c r="Q90" i="2"/>
  <c r="Q88" i="2"/>
  <c r="Q86" i="2"/>
  <c r="Q84" i="2"/>
  <c r="Q82" i="2"/>
  <c r="Q80" i="2"/>
  <c r="Q78" i="2"/>
  <c r="Q76" i="2"/>
  <c r="Q74" i="2"/>
  <c r="Q72" i="2"/>
  <c r="Q70" i="2"/>
  <c r="Q68" i="2"/>
  <c r="Q66" i="2"/>
  <c r="Q64" i="2"/>
  <c r="Q62" i="2"/>
  <c r="P62" i="2" s="1"/>
  <c r="Q60" i="2"/>
  <c r="P60" i="2" s="1"/>
  <c r="Q58" i="2"/>
  <c r="P58" i="2" s="1"/>
  <c r="Q56" i="2"/>
  <c r="Q54" i="2"/>
  <c r="Q52" i="2"/>
  <c r="Q37" i="2"/>
  <c r="P37" i="2" s="1"/>
  <c r="Q35" i="2"/>
  <c r="P35" i="2" s="1"/>
  <c r="Q33" i="2"/>
  <c r="P33" i="2" s="1"/>
  <c r="Q50" i="2"/>
  <c r="Q48" i="2"/>
  <c r="P48" i="2" s="1"/>
  <c r="Q46" i="2"/>
  <c r="P46" i="2" s="1"/>
  <c r="Q44" i="2"/>
  <c r="P44" i="2" s="1"/>
  <c r="Q42" i="2"/>
  <c r="P42" i="2" s="1"/>
  <c r="Q40" i="2"/>
  <c r="P40" i="2" s="1"/>
  <c r="Q93" i="2"/>
  <c r="Q91" i="2"/>
  <c r="Q89" i="2"/>
  <c r="Q87" i="2"/>
  <c r="Q85" i="2"/>
  <c r="Q83" i="2"/>
  <c r="Q81" i="2"/>
  <c r="Q79" i="2"/>
  <c r="Q77" i="2"/>
  <c r="Q75" i="2"/>
  <c r="Q73" i="2"/>
  <c r="Q71" i="2"/>
  <c r="Q69" i="2"/>
  <c r="Q67" i="2"/>
  <c r="Q65" i="2"/>
  <c r="Q63" i="2"/>
  <c r="P63" i="2" s="1"/>
  <c r="Q61" i="2"/>
  <c r="P61" i="2" s="1"/>
  <c r="Q59" i="2"/>
  <c r="P59" i="2" s="1"/>
  <c r="Q57" i="2"/>
  <c r="P57" i="2" s="1"/>
  <c r="Q55" i="2"/>
  <c r="Q53" i="2"/>
  <c r="Q51" i="2"/>
  <c r="Q49" i="2"/>
  <c r="P49" i="2" s="1"/>
  <c r="Q47" i="2"/>
  <c r="P47" i="2" s="1"/>
  <c r="Q45" i="2"/>
  <c r="P45" i="2" s="1"/>
  <c r="Q43" i="2"/>
  <c r="P43" i="2" s="1"/>
  <c r="Q36" i="2"/>
  <c r="P36" i="2" s="1"/>
  <c r="Q41" i="2"/>
  <c r="P41" i="2" s="1"/>
  <c r="Q39" i="2"/>
  <c r="P39" i="2" s="1"/>
  <c r="Q38" i="2"/>
  <c r="P38" i="2" s="1"/>
  <c r="Q34" i="2"/>
  <c r="P34" i="2" s="1"/>
  <c r="J34" i="2"/>
  <c r="I34" i="2" s="1"/>
  <c r="J53" i="2"/>
  <c r="J37" i="2"/>
  <c r="I37" i="2" s="1"/>
  <c r="J77" i="2"/>
  <c r="J92" i="2"/>
  <c r="J60" i="2"/>
  <c r="I60" i="2" s="1"/>
  <c r="J33" i="2"/>
  <c r="I33" i="2" s="1"/>
  <c r="J79" i="2"/>
  <c r="J63" i="2"/>
  <c r="I63" i="2" s="1"/>
  <c r="J47" i="2"/>
  <c r="I47" i="2" s="1"/>
  <c r="J88" i="2"/>
  <c r="J56" i="2"/>
  <c r="J90" i="2"/>
  <c r="J74" i="2"/>
  <c r="J58" i="2"/>
  <c r="I58" i="2" s="1"/>
  <c r="J42" i="2"/>
  <c r="I42" i="2" s="1"/>
  <c r="J85" i="2"/>
  <c r="J49" i="2"/>
  <c r="I49" i="2" s="1"/>
  <c r="J93" i="2"/>
  <c r="J69" i="2"/>
  <c r="J84" i="2"/>
  <c r="J52" i="2"/>
  <c r="J91" i="2"/>
  <c r="J75" i="2"/>
  <c r="J59" i="2"/>
  <c r="I59" i="2" s="1"/>
  <c r="J43" i="2"/>
  <c r="I43" i="2" s="1"/>
  <c r="J80" i="2"/>
  <c r="J48" i="2"/>
  <c r="I48" i="2" s="1"/>
  <c r="J86" i="2"/>
  <c r="J70" i="2"/>
  <c r="J54" i="2"/>
  <c r="J38" i="2"/>
  <c r="I38" i="2" s="1"/>
  <c r="J41" i="2"/>
  <c r="I41" i="2" s="1"/>
  <c r="J61" i="2"/>
  <c r="I61" i="2" s="1"/>
  <c r="J36" i="2"/>
  <c r="I36" i="2" s="1"/>
  <c r="J83" i="2"/>
  <c r="J51" i="2"/>
  <c r="J64" i="2"/>
  <c r="J78" i="2"/>
  <c r="J62" i="2"/>
  <c r="I62" i="2" s="1"/>
  <c r="J73" i="2"/>
  <c r="J45" i="2"/>
  <c r="I45" i="2" s="1"/>
  <c r="J89" i="2"/>
  <c r="J65" i="2"/>
  <c r="J76" i="2"/>
  <c r="J44" i="2"/>
  <c r="I44" i="2" s="1"/>
  <c r="J87" i="2"/>
  <c r="J71" i="2"/>
  <c r="J55" i="2"/>
  <c r="J39" i="2"/>
  <c r="I39" i="2" s="1"/>
  <c r="J72" i="2"/>
  <c r="J40" i="2"/>
  <c r="I40" i="2" s="1"/>
  <c r="J82" i="2"/>
  <c r="J66" i="2"/>
  <c r="J50" i="2"/>
  <c r="J57" i="2"/>
  <c r="I57" i="2" s="1"/>
  <c r="J81" i="2"/>
  <c r="J68" i="2"/>
  <c r="J67" i="2"/>
  <c r="J35" i="2"/>
  <c r="I35" i="2" s="1"/>
  <c r="J94" i="2"/>
  <c r="J46" i="2"/>
  <c r="I46" i="2" s="1"/>
  <c r="E3" i="5"/>
  <c r="H3" i="5"/>
  <c r="G3" i="5"/>
  <c r="F3" i="5"/>
  <c r="C9" i="5"/>
  <c r="D9" i="5" s="1"/>
  <c r="H9" i="5"/>
  <c r="E9" i="5"/>
  <c r="F9" i="5"/>
  <c r="G9" i="5"/>
  <c r="C11" i="5"/>
  <c r="D11" i="5" s="1"/>
  <c r="B12" i="5"/>
  <c r="F8" i="5"/>
  <c r="C10" i="5"/>
  <c r="D10" i="5" s="1"/>
  <c r="E8" i="5"/>
  <c r="H8" i="5"/>
  <c r="G26" i="4"/>
  <c r="D27" i="4"/>
  <c r="E10" i="5" l="1"/>
  <c r="F10" i="5"/>
  <c r="G10" i="5"/>
  <c r="H10" i="5"/>
  <c r="C12" i="5"/>
  <c r="D12" i="5" s="1"/>
  <c r="B13" i="5"/>
  <c r="F11" i="5"/>
  <c r="G11" i="5"/>
  <c r="H11" i="5"/>
  <c r="E11" i="5"/>
  <c r="B14" i="5" l="1"/>
  <c r="C13" i="5"/>
  <c r="D13" i="5" s="1"/>
  <c r="G12" i="5"/>
  <c r="H12" i="5"/>
  <c r="E12" i="5"/>
  <c r="F12" i="5"/>
  <c r="H13" i="5" l="1"/>
  <c r="E13" i="5"/>
  <c r="F13" i="5"/>
  <c r="G13" i="5"/>
  <c r="B15" i="5"/>
  <c r="C14" i="5"/>
  <c r="D14" i="5" s="1"/>
  <c r="L29" i="2"/>
  <c r="B33" i="2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E14" i="5" l="1"/>
  <c r="F14" i="5"/>
  <c r="G14" i="5"/>
  <c r="H14" i="5"/>
  <c r="C15" i="5"/>
  <c r="D15" i="5" s="1"/>
  <c r="B16" i="5"/>
  <c r="C16" i="5" l="1"/>
  <c r="D16" i="5" s="1"/>
  <c r="B17" i="5"/>
  <c r="F15" i="5"/>
  <c r="H15" i="5"/>
  <c r="E15" i="5"/>
  <c r="G15" i="5"/>
  <c r="AZ34" i="2"/>
  <c r="BC34" i="2"/>
  <c r="AZ35" i="2"/>
  <c r="BC35" i="2"/>
  <c r="AZ36" i="2"/>
  <c r="BC36" i="2"/>
  <c r="AZ37" i="2"/>
  <c r="BC37" i="2"/>
  <c r="AZ38" i="2"/>
  <c r="BC38" i="2"/>
  <c r="AZ39" i="2"/>
  <c r="BC39" i="2"/>
  <c r="AZ40" i="2"/>
  <c r="BC40" i="2"/>
  <c r="AZ41" i="2"/>
  <c r="BC41" i="2"/>
  <c r="AZ42" i="2"/>
  <c r="BC42" i="2"/>
  <c r="AZ43" i="2"/>
  <c r="BC43" i="2"/>
  <c r="AZ44" i="2"/>
  <c r="BC44" i="2"/>
  <c r="AZ45" i="2"/>
  <c r="BC45" i="2"/>
  <c r="AZ46" i="2"/>
  <c r="BC46" i="2"/>
  <c r="AZ47" i="2"/>
  <c r="BC47" i="2"/>
  <c r="AZ48" i="2"/>
  <c r="BC48" i="2"/>
  <c r="AZ49" i="2"/>
  <c r="BC49" i="2"/>
  <c r="AZ57" i="2"/>
  <c r="BC57" i="2"/>
  <c r="AZ58" i="2"/>
  <c r="BC58" i="2"/>
  <c r="AZ59" i="2"/>
  <c r="BC59" i="2"/>
  <c r="AZ60" i="2"/>
  <c r="BC60" i="2"/>
  <c r="AZ61" i="2"/>
  <c r="BC61" i="2"/>
  <c r="AZ62" i="2"/>
  <c r="BC62" i="2"/>
  <c r="AZ63" i="2"/>
  <c r="BC6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7" i="2"/>
  <c r="K58" i="2"/>
  <c r="K59" i="2"/>
  <c r="K60" i="2"/>
  <c r="K61" i="2"/>
  <c r="K62" i="2"/>
  <c r="K63" i="2"/>
  <c r="K33" i="2"/>
  <c r="BC33" i="2"/>
  <c r="AZ33" i="2"/>
  <c r="AM30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7" i="2"/>
  <c r="H58" i="2"/>
  <c r="H59" i="2"/>
  <c r="H60" i="2"/>
  <c r="H61" i="2"/>
  <c r="H62" i="2"/>
  <c r="H63" i="2"/>
  <c r="H33" i="2"/>
  <c r="E33" i="2"/>
  <c r="D33" i="2" s="1"/>
  <c r="G59" i="2" l="1"/>
  <c r="G48" i="2"/>
  <c r="G44" i="2"/>
  <c r="G40" i="2"/>
  <c r="G36" i="2"/>
  <c r="G62" i="2"/>
  <c r="G58" i="2"/>
  <c r="G47" i="2"/>
  <c r="G43" i="2"/>
  <c r="G39" i="2"/>
  <c r="G35" i="2"/>
  <c r="G63" i="2"/>
  <c r="G33" i="2"/>
  <c r="L33" i="2" s="1"/>
  <c r="G60" i="2"/>
  <c r="G49" i="2"/>
  <c r="G45" i="2"/>
  <c r="G41" i="2"/>
  <c r="G37" i="2"/>
  <c r="G61" i="2"/>
  <c r="G57" i="2"/>
  <c r="G46" i="2"/>
  <c r="G42" i="2"/>
  <c r="G38" i="2"/>
  <c r="G34" i="2"/>
  <c r="C17" i="5"/>
  <c r="D17" i="5" s="1"/>
  <c r="B18" i="5"/>
  <c r="G16" i="5"/>
  <c r="E16" i="5"/>
  <c r="F16" i="5"/>
  <c r="H16" i="5"/>
  <c r="AY63" i="2"/>
  <c r="BD63" i="2" s="1"/>
  <c r="AY61" i="2"/>
  <c r="BD61" i="2" s="1"/>
  <c r="AY59" i="2"/>
  <c r="BD59" i="2" s="1"/>
  <c r="AY57" i="2"/>
  <c r="BD57" i="2" s="1"/>
  <c r="AY48" i="2"/>
  <c r="BD48" i="2" s="1"/>
  <c r="AY46" i="2"/>
  <c r="BD46" i="2" s="1"/>
  <c r="AY44" i="2"/>
  <c r="BD44" i="2" s="1"/>
  <c r="AY42" i="2"/>
  <c r="BD42" i="2" s="1"/>
  <c r="AY40" i="2"/>
  <c r="BD40" i="2" s="1"/>
  <c r="AY38" i="2"/>
  <c r="BD38" i="2" s="1"/>
  <c r="AY36" i="2"/>
  <c r="BD36" i="2" s="1"/>
  <c r="AY34" i="2"/>
  <c r="BD34" i="2" s="1"/>
  <c r="AY33" i="2"/>
  <c r="BD33" i="2" s="1"/>
  <c r="AN30" i="2"/>
  <c r="AN31" i="2" s="1"/>
  <c r="AN60" i="2" s="1"/>
  <c r="AY62" i="2"/>
  <c r="BD62" i="2" s="1"/>
  <c r="AY60" i="2"/>
  <c r="BD60" i="2" s="1"/>
  <c r="AY58" i="2"/>
  <c r="BD58" i="2" s="1"/>
  <c r="AY49" i="2"/>
  <c r="BD49" i="2" s="1"/>
  <c r="AY47" i="2"/>
  <c r="BD47" i="2" s="1"/>
  <c r="AY45" i="2"/>
  <c r="BD45" i="2" s="1"/>
  <c r="AY43" i="2"/>
  <c r="BD43" i="2" s="1"/>
  <c r="AY41" i="2"/>
  <c r="BD41" i="2" s="1"/>
  <c r="AY39" i="2"/>
  <c r="BD39" i="2" s="1"/>
  <c r="AY37" i="2"/>
  <c r="BD37" i="2" s="1"/>
  <c r="AY35" i="2"/>
  <c r="BD35" i="2" s="1"/>
  <c r="A64" i="2"/>
  <c r="O64" i="2" l="1"/>
  <c r="R64" i="2"/>
  <c r="N64" i="2" s="1"/>
  <c r="S64" i="2" s="1"/>
  <c r="AS64" i="2"/>
  <c r="AV64" i="2"/>
  <c r="AR64" i="2" s="1"/>
  <c r="AW64" i="2" s="1"/>
  <c r="AT64" i="2"/>
  <c r="BA64" i="2"/>
  <c r="P64" i="2"/>
  <c r="I64" i="2"/>
  <c r="B19" i="5"/>
  <c r="C18" i="5"/>
  <c r="D18" i="5" s="1"/>
  <c r="H17" i="5"/>
  <c r="F17" i="5"/>
  <c r="G17" i="5"/>
  <c r="E17" i="5"/>
  <c r="AN46" i="2"/>
  <c r="AN38" i="2"/>
  <c r="AN58" i="2"/>
  <c r="AN45" i="2"/>
  <c r="AN43" i="2"/>
  <c r="AN40" i="2"/>
  <c r="AN49" i="2"/>
  <c r="AN57" i="2"/>
  <c r="AN34" i="2"/>
  <c r="AN48" i="2"/>
  <c r="AN41" i="2"/>
  <c r="AN42" i="2"/>
  <c r="AN33" i="2"/>
  <c r="AN62" i="2"/>
  <c r="AN61" i="2"/>
  <c r="AN44" i="2"/>
  <c r="AN35" i="2"/>
  <c r="AN63" i="2"/>
  <c r="AN39" i="2"/>
  <c r="AN59" i="2"/>
  <c r="H64" i="2"/>
  <c r="AZ64" i="2"/>
  <c r="BC64" i="2"/>
  <c r="K64" i="2"/>
  <c r="AN64" i="2"/>
  <c r="AM34" i="2"/>
  <c r="AO34" i="2" s="1"/>
  <c r="AP34" i="2" s="1"/>
  <c r="BF34" i="2" s="1"/>
  <c r="AM38" i="2"/>
  <c r="AO38" i="2" s="1"/>
  <c r="AP38" i="2" s="1"/>
  <c r="AM42" i="2"/>
  <c r="AO42" i="2" s="1"/>
  <c r="AP42" i="2" s="1"/>
  <c r="BF42" i="2" s="1"/>
  <c r="AM46" i="2"/>
  <c r="AO46" i="2" s="1"/>
  <c r="AP46" i="2" s="1"/>
  <c r="BF46" i="2" s="1"/>
  <c r="AM58" i="2"/>
  <c r="AO58" i="2" s="1"/>
  <c r="AP58" i="2" s="1"/>
  <c r="BF58" i="2" s="1"/>
  <c r="AM62" i="2"/>
  <c r="AO62" i="2" s="1"/>
  <c r="AP62" i="2" s="1"/>
  <c r="BF62" i="2" s="1"/>
  <c r="AM35" i="2"/>
  <c r="AO35" i="2" s="1"/>
  <c r="AP35" i="2" s="1"/>
  <c r="BF35" i="2" s="1"/>
  <c r="AM39" i="2"/>
  <c r="AO39" i="2" s="1"/>
  <c r="AP39" i="2" s="1"/>
  <c r="BF39" i="2" s="1"/>
  <c r="AM43" i="2"/>
  <c r="AO43" i="2" s="1"/>
  <c r="AP43" i="2" s="1"/>
  <c r="BF43" i="2" s="1"/>
  <c r="AM47" i="2"/>
  <c r="AO47" i="2" s="1"/>
  <c r="AP47" i="2" s="1"/>
  <c r="BF47" i="2" s="1"/>
  <c r="AM59" i="2"/>
  <c r="AO59" i="2" s="1"/>
  <c r="AP59" i="2" s="1"/>
  <c r="BF59" i="2" s="1"/>
  <c r="AM63" i="2"/>
  <c r="AO63" i="2" s="1"/>
  <c r="AP63" i="2" s="1"/>
  <c r="BF63" i="2" s="1"/>
  <c r="AM36" i="2"/>
  <c r="AO36" i="2" s="1"/>
  <c r="AP36" i="2" s="1"/>
  <c r="BF36" i="2" s="1"/>
  <c r="AM44" i="2"/>
  <c r="AO44" i="2" s="1"/>
  <c r="AP44" i="2" s="1"/>
  <c r="BF44" i="2" s="1"/>
  <c r="AM60" i="2"/>
  <c r="AO60" i="2" s="1"/>
  <c r="AP60" i="2" s="1"/>
  <c r="BF60" i="2" s="1"/>
  <c r="AM33" i="2"/>
  <c r="AO33" i="2" s="1"/>
  <c r="AP33" i="2" s="1"/>
  <c r="BF33" i="2" s="1"/>
  <c r="AM37" i="2"/>
  <c r="AO37" i="2" s="1"/>
  <c r="AP37" i="2" s="1"/>
  <c r="BF37" i="2" s="1"/>
  <c r="AM45" i="2"/>
  <c r="AO45" i="2" s="1"/>
  <c r="AP45" i="2" s="1"/>
  <c r="BF45" i="2" s="1"/>
  <c r="AM61" i="2"/>
  <c r="AO61" i="2" s="1"/>
  <c r="AP61" i="2" s="1"/>
  <c r="BF61" i="2" s="1"/>
  <c r="AN37" i="2"/>
  <c r="AM41" i="2"/>
  <c r="AO41" i="2" s="1"/>
  <c r="AP41" i="2" s="1"/>
  <c r="BF41" i="2" s="1"/>
  <c r="AM49" i="2"/>
  <c r="AO49" i="2" s="1"/>
  <c r="AP49" i="2" s="1"/>
  <c r="BF49" i="2" s="1"/>
  <c r="AN47" i="2"/>
  <c r="AM40" i="2"/>
  <c r="AO40" i="2" s="1"/>
  <c r="AP40" i="2" s="1"/>
  <c r="BF40" i="2" s="1"/>
  <c r="AM48" i="2"/>
  <c r="AO48" i="2" s="1"/>
  <c r="AP48" i="2" s="1"/>
  <c r="BF48" i="2" s="1"/>
  <c r="AM64" i="2"/>
  <c r="AO64" i="2" s="1"/>
  <c r="AP64" i="2" s="1"/>
  <c r="AN36" i="2"/>
  <c r="AM57" i="2"/>
  <c r="AO57" i="2" s="1"/>
  <c r="AP57" i="2" s="1"/>
  <c r="BF57" i="2" s="1"/>
  <c r="G64" i="2" l="1"/>
  <c r="BF38" i="2"/>
  <c r="E18" i="5"/>
  <c r="G18" i="5"/>
  <c r="H18" i="5"/>
  <c r="F18" i="5"/>
  <c r="B20" i="5"/>
  <c r="C19" i="5"/>
  <c r="D19" i="5" s="1"/>
  <c r="AY64" i="2"/>
  <c r="BD64" i="2" s="1"/>
  <c r="BF64" i="2" s="1"/>
  <c r="V30" i="2"/>
  <c r="U30" i="2"/>
  <c r="F19" i="5" l="1"/>
  <c r="H19" i="5"/>
  <c r="E19" i="5"/>
  <c r="G19" i="5"/>
  <c r="C20" i="5"/>
  <c r="D20" i="5" s="1"/>
  <c r="B21" i="5"/>
  <c r="V31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7" i="2"/>
  <c r="L58" i="2"/>
  <c r="L59" i="2"/>
  <c r="L60" i="2"/>
  <c r="L61" i="2"/>
  <c r="L62" i="2"/>
  <c r="L63" i="2"/>
  <c r="L64" i="2"/>
  <c r="C21" i="5" l="1"/>
  <c r="D21" i="5" s="1"/>
  <c r="B22" i="5"/>
  <c r="G20" i="5"/>
  <c r="E20" i="5"/>
  <c r="F20" i="5"/>
  <c r="H20" i="5"/>
  <c r="U34" i="2"/>
  <c r="W34" i="2" s="1"/>
  <c r="U38" i="2"/>
  <c r="W38" i="2" s="1"/>
  <c r="U42" i="2"/>
  <c r="W42" i="2" s="1"/>
  <c r="U46" i="2"/>
  <c r="W46" i="2" s="1"/>
  <c r="U58" i="2"/>
  <c r="W58" i="2" s="1"/>
  <c r="U62" i="2"/>
  <c r="W62" i="2" s="1"/>
  <c r="U35" i="2"/>
  <c r="W35" i="2" s="1"/>
  <c r="U43" i="2"/>
  <c r="W43" i="2" s="1"/>
  <c r="U63" i="2"/>
  <c r="W63" i="2" s="1"/>
  <c r="U33" i="2"/>
  <c r="W33" i="2" s="1"/>
  <c r="U40" i="2"/>
  <c r="W40" i="2" s="1"/>
  <c r="U44" i="2"/>
  <c r="W44" i="2" s="1"/>
  <c r="U60" i="2"/>
  <c r="W60" i="2" s="1"/>
  <c r="U37" i="2"/>
  <c r="W37" i="2" s="1"/>
  <c r="U41" i="2"/>
  <c r="W41" i="2" s="1"/>
  <c r="U45" i="2"/>
  <c r="W45" i="2" s="1"/>
  <c r="U49" i="2"/>
  <c r="W49" i="2" s="1"/>
  <c r="U57" i="2"/>
  <c r="W57" i="2" s="1"/>
  <c r="U61" i="2"/>
  <c r="W61" i="2" s="1"/>
  <c r="U39" i="2"/>
  <c r="W39" i="2" s="1"/>
  <c r="U47" i="2"/>
  <c r="W47" i="2" s="1"/>
  <c r="U59" i="2"/>
  <c r="W59" i="2" s="1"/>
  <c r="U36" i="2"/>
  <c r="W36" i="2" s="1"/>
  <c r="U48" i="2"/>
  <c r="W48" i="2" s="1"/>
  <c r="U64" i="2"/>
  <c r="W64" i="2" s="1"/>
  <c r="V64" i="2"/>
  <c r="V61" i="2"/>
  <c r="V58" i="2"/>
  <c r="V62" i="2"/>
  <c r="V59" i="2"/>
  <c r="V49" i="2"/>
  <c r="V46" i="2"/>
  <c r="V44" i="2"/>
  <c r="V41" i="2"/>
  <c r="V38" i="2"/>
  <c r="V36" i="2"/>
  <c r="V33" i="2"/>
  <c r="V60" i="2"/>
  <c r="V57" i="2"/>
  <c r="V63" i="2"/>
  <c r="V48" i="2"/>
  <c r="V45" i="2"/>
  <c r="V42" i="2"/>
  <c r="V40" i="2"/>
  <c r="V37" i="2"/>
  <c r="V34" i="2"/>
  <c r="V43" i="2"/>
  <c r="V35" i="2"/>
  <c r="V47" i="2"/>
  <c r="V39" i="2"/>
  <c r="AF30" i="2"/>
  <c r="AE30" i="2"/>
  <c r="AA30" i="2"/>
  <c r="Z30" i="2"/>
  <c r="B23" i="5" l="1"/>
  <c r="C22" i="5"/>
  <c r="D22" i="5" s="1"/>
  <c r="H21" i="5"/>
  <c r="F21" i="5"/>
  <c r="G21" i="5"/>
  <c r="E21" i="5"/>
  <c r="AA31" i="2"/>
  <c r="Z37" i="2" s="1"/>
  <c r="AF31" i="2"/>
  <c r="C33" i="2"/>
  <c r="A65" i="2"/>
  <c r="R65" i="2" l="1"/>
  <c r="O65" i="2"/>
  <c r="AS65" i="2"/>
  <c r="AV65" i="2"/>
  <c r="AR65" i="2" s="1"/>
  <c r="AW65" i="2" s="1"/>
  <c r="AT65" i="2"/>
  <c r="BA65" i="2"/>
  <c r="P65" i="2"/>
  <c r="I65" i="2"/>
  <c r="U65" i="2"/>
  <c r="W65" i="2" s="1"/>
  <c r="Z34" i="2"/>
  <c r="AB34" i="2" s="1"/>
  <c r="Z39" i="2"/>
  <c r="AB39" i="2" s="1"/>
  <c r="E22" i="5"/>
  <c r="G22" i="5"/>
  <c r="H22" i="5"/>
  <c r="F22" i="5"/>
  <c r="B24" i="5"/>
  <c r="C23" i="5"/>
  <c r="D23" i="5" s="1"/>
  <c r="AE35" i="2"/>
  <c r="AG35" i="2" s="1"/>
  <c r="AH35" i="2" s="1"/>
  <c r="AE39" i="2"/>
  <c r="AG39" i="2" s="1"/>
  <c r="AH39" i="2" s="1"/>
  <c r="AE43" i="2"/>
  <c r="AG43" i="2" s="1"/>
  <c r="AH43" i="2" s="1"/>
  <c r="AE47" i="2"/>
  <c r="AG47" i="2" s="1"/>
  <c r="AH47" i="2" s="1"/>
  <c r="AE59" i="2"/>
  <c r="AG59" i="2" s="1"/>
  <c r="AH59" i="2" s="1"/>
  <c r="AE63" i="2"/>
  <c r="AE33" i="2"/>
  <c r="AG33" i="2" s="1"/>
  <c r="AH33" i="2" s="1"/>
  <c r="AJ33" i="2" s="1"/>
  <c r="AF36" i="2"/>
  <c r="AF40" i="2"/>
  <c r="AF44" i="2"/>
  <c r="AF48" i="2"/>
  <c r="AF60" i="2"/>
  <c r="AF64" i="2"/>
  <c r="AE38" i="2"/>
  <c r="AG38" i="2" s="1"/>
  <c r="AH38" i="2" s="1"/>
  <c r="AE62" i="2"/>
  <c r="AF35" i="2"/>
  <c r="AE36" i="2"/>
  <c r="AG36" i="2" s="1"/>
  <c r="AH36" i="2" s="1"/>
  <c r="AE40" i="2"/>
  <c r="AG40" i="2" s="1"/>
  <c r="AH40" i="2" s="1"/>
  <c r="AE44" i="2"/>
  <c r="AG44" i="2" s="1"/>
  <c r="AH44" i="2" s="1"/>
  <c r="AE48" i="2"/>
  <c r="AG48" i="2" s="1"/>
  <c r="AH48" i="2" s="1"/>
  <c r="AE60" i="2"/>
  <c r="AG60" i="2" s="1"/>
  <c r="AH60" i="2" s="1"/>
  <c r="AE64" i="2"/>
  <c r="AF33" i="2"/>
  <c r="AF37" i="2"/>
  <c r="AF41" i="2"/>
  <c r="AF45" i="2"/>
  <c r="AF49" i="2"/>
  <c r="AF57" i="2"/>
  <c r="AF61" i="2"/>
  <c r="AF65" i="2"/>
  <c r="AF34" i="2"/>
  <c r="AF46" i="2"/>
  <c r="AF58" i="2"/>
  <c r="AF62" i="2"/>
  <c r="AE34" i="2"/>
  <c r="AG34" i="2" s="1"/>
  <c r="AH34" i="2" s="1"/>
  <c r="AE46" i="2"/>
  <c r="AG46" i="2" s="1"/>
  <c r="AH46" i="2" s="1"/>
  <c r="AF39" i="2"/>
  <c r="AF47" i="2"/>
  <c r="AF59" i="2"/>
  <c r="AE37" i="2"/>
  <c r="AG37" i="2" s="1"/>
  <c r="AH37" i="2" s="1"/>
  <c r="AE41" i="2"/>
  <c r="AG41" i="2" s="1"/>
  <c r="AH41" i="2" s="1"/>
  <c r="AE45" i="2"/>
  <c r="AG45" i="2" s="1"/>
  <c r="AH45" i="2" s="1"/>
  <c r="AE49" i="2"/>
  <c r="AG49" i="2" s="1"/>
  <c r="AH49" i="2" s="1"/>
  <c r="AE57" i="2"/>
  <c r="AG57" i="2" s="1"/>
  <c r="AH57" i="2" s="1"/>
  <c r="AE61" i="2"/>
  <c r="AG61" i="2" s="1"/>
  <c r="AH61" i="2" s="1"/>
  <c r="AE65" i="2"/>
  <c r="AG65" i="2" s="1"/>
  <c r="AH65" i="2" s="1"/>
  <c r="AF38" i="2"/>
  <c r="AF42" i="2"/>
  <c r="AE42" i="2"/>
  <c r="AG42" i="2" s="1"/>
  <c r="AH42" i="2" s="1"/>
  <c r="AE58" i="2"/>
  <c r="AG58" i="2" s="1"/>
  <c r="AH58" i="2" s="1"/>
  <c r="AF43" i="2"/>
  <c r="AF63" i="2"/>
  <c r="Z36" i="2"/>
  <c r="AB36" i="2" s="1"/>
  <c r="Z35" i="2"/>
  <c r="AB35" i="2" s="1"/>
  <c r="Z44" i="2"/>
  <c r="AB44" i="2" s="1"/>
  <c r="Z42" i="2"/>
  <c r="AB42" i="2" s="1"/>
  <c r="Z41" i="2"/>
  <c r="AB41" i="2" s="1"/>
  <c r="Z43" i="2"/>
  <c r="AB43" i="2" s="1"/>
  <c r="Z38" i="2"/>
  <c r="AB38" i="2" s="1"/>
  <c r="Z33" i="2"/>
  <c r="AB33" i="2" s="1"/>
  <c r="Z40" i="2"/>
  <c r="AB40" i="2" s="1"/>
  <c r="AB37" i="2"/>
  <c r="Z45" i="2"/>
  <c r="AB45" i="2" s="1"/>
  <c r="Z49" i="2"/>
  <c r="AB49" i="2" s="1"/>
  <c r="Z57" i="2"/>
  <c r="AB57" i="2" s="1"/>
  <c r="Z61" i="2"/>
  <c r="Z65" i="2"/>
  <c r="Z46" i="2"/>
  <c r="AB46" i="2" s="1"/>
  <c r="Z58" i="2"/>
  <c r="AB58" i="2" s="1"/>
  <c r="Z62" i="2"/>
  <c r="Z47" i="2"/>
  <c r="AB47" i="2" s="1"/>
  <c r="Z63" i="2"/>
  <c r="Z48" i="2"/>
  <c r="AB48" i="2" s="1"/>
  <c r="Z64" i="2"/>
  <c r="Z60" i="2"/>
  <c r="AB60" i="2" s="1"/>
  <c r="Z59" i="2"/>
  <c r="AB59" i="2" s="1"/>
  <c r="H65" i="2"/>
  <c r="AZ65" i="2"/>
  <c r="BC65" i="2"/>
  <c r="K65" i="2"/>
  <c r="AN65" i="2"/>
  <c r="AM65" i="2"/>
  <c r="AO65" i="2" s="1"/>
  <c r="AP65" i="2" s="1"/>
  <c r="V65" i="2"/>
  <c r="AA42" i="2"/>
  <c r="AA35" i="2"/>
  <c r="AA39" i="2"/>
  <c r="AA43" i="2"/>
  <c r="AA47" i="2"/>
  <c r="AA59" i="2"/>
  <c r="AA63" i="2"/>
  <c r="AA33" i="2"/>
  <c r="AA40" i="2"/>
  <c r="AA48" i="2"/>
  <c r="AA37" i="2"/>
  <c r="AA41" i="2"/>
  <c r="AA45" i="2"/>
  <c r="AA49" i="2"/>
  <c r="AA57" i="2"/>
  <c r="AA61" i="2"/>
  <c r="AA65" i="2"/>
  <c r="AA34" i="2"/>
  <c r="AA38" i="2"/>
  <c r="AA46" i="2"/>
  <c r="AA58" i="2"/>
  <c r="AA62" i="2"/>
  <c r="AA36" i="2"/>
  <c r="AA44" i="2"/>
  <c r="AA60" i="2"/>
  <c r="AA64" i="2"/>
  <c r="X33" i="2"/>
  <c r="A66" i="2"/>
  <c r="N65" i="2" l="1"/>
  <c r="S65" i="2" s="1"/>
  <c r="AG62" i="2"/>
  <c r="AH62" i="2" s="1"/>
  <c r="AG64" i="2"/>
  <c r="AH64" i="2" s="1"/>
  <c r="O66" i="2"/>
  <c r="R66" i="2"/>
  <c r="AV66" i="2"/>
  <c r="AR66" i="2" s="1"/>
  <c r="AW66" i="2" s="1"/>
  <c r="AS66" i="2"/>
  <c r="AT66" i="2"/>
  <c r="BA66" i="2"/>
  <c r="I66" i="2"/>
  <c r="P66" i="2"/>
  <c r="G65" i="2"/>
  <c r="L65" i="2" s="1"/>
  <c r="AB63" i="2"/>
  <c r="AC63" i="2" s="1"/>
  <c r="AG63" i="2"/>
  <c r="AH63" i="2" s="1"/>
  <c r="U66" i="2"/>
  <c r="AF66" i="2"/>
  <c r="AE66" i="2"/>
  <c r="F23" i="5"/>
  <c r="H23" i="5"/>
  <c r="E23" i="5"/>
  <c r="G23" i="5"/>
  <c r="C24" i="5"/>
  <c r="D24" i="5" s="1"/>
  <c r="B25" i="5"/>
  <c r="Z66" i="2"/>
  <c r="A67" i="2"/>
  <c r="AB61" i="2"/>
  <c r="AB62" i="2"/>
  <c r="AC62" i="2" s="1"/>
  <c r="AB64" i="2"/>
  <c r="AC64" i="2" s="1"/>
  <c r="AY65" i="2"/>
  <c r="BD65" i="2" s="1"/>
  <c r="BF65" i="2" s="1"/>
  <c r="AZ66" i="2"/>
  <c r="K66" i="2"/>
  <c r="BC66" i="2"/>
  <c r="AN66" i="2"/>
  <c r="AM66" i="2"/>
  <c r="H66" i="2"/>
  <c r="AB65" i="2"/>
  <c r="AC65" i="2" s="1"/>
  <c r="V66" i="2"/>
  <c r="AA66" i="2"/>
  <c r="X59" i="2"/>
  <c r="X49" i="2"/>
  <c r="X43" i="2"/>
  <c r="X61" i="2"/>
  <c r="X41" i="2"/>
  <c r="X57" i="2"/>
  <c r="X44" i="2"/>
  <c r="X47" i="2"/>
  <c r="X39" i="2"/>
  <c r="X37" i="2"/>
  <c r="X35" i="2"/>
  <c r="X48" i="2"/>
  <c r="X34" i="2"/>
  <c r="X36" i="2"/>
  <c r="X42" i="2"/>
  <c r="X40" i="2"/>
  <c r="X63" i="2"/>
  <c r="X45" i="2"/>
  <c r="X60" i="2"/>
  <c r="X38" i="2"/>
  <c r="X62" i="2"/>
  <c r="X46" i="2"/>
  <c r="X58" i="2"/>
  <c r="AC49" i="2"/>
  <c r="AC48" i="2"/>
  <c r="AC38" i="2"/>
  <c r="AC47" i="2"/>
  <c r="AC61" i="2"/>
  <c r="AC39" i="2"/>
  <c r="AC58" i="2"/>
  <c r="AC45" i="2"/>
  <c r="AC33" i="2"/>
  <c r="BG33" i="2" s="1"/>
  <c r="BH33" i="2" s="1"/>
  <c r="AC35" i="2"/>
  <c r="AC60" i="2"/>
  <c r="AC43" i="2"/>
  <c r="AC57" i="2"/>
  <c r="AC41" i="2"/>
  <c r="AC42" i="2"/>
  <c r="AC46" i="2"/>
  <c r="N66" i="2" l="1"/>
  <c r="S66" i="2" s="1"/>
  <c r="AG66" i="2"/>
  <c r="AH66" i="2" s="1"/>
  <c r="O67" i="2"/>
  <c r="R67" i="2"/>
  <c r="AV67" i="2"/>
  <c r="AR67" i="2" s="1"/>
  <c r="AW67" i="2" s="1"/>
  <c r="AS67" i="2"/>
  <c r="AT67" i="2"/>
  <c r="BA67" i="2"/>
  <c r="P67" i="2"/>
  <c r="I67" i="2"/>
  <c r="G66" i="2"/>
  <c r="L66" i="2" s="1"/>
  <c r="U67" i="2"/>
  <c r="W67" i="2" s="1"/>
  <c r="X67" i="2" s="1"/>
  <c r="AF67" i="2"/>
  <c r="AE67" i="2"/>
  <c r="C25" i="5"/>
  <c r="D25" i="5" s="1"/>
  <c r="B26" i="5"/>
  <c r="G24" i="5"/>
  <c r="E24" i="5"/>
  <c r="F24" i="5"/>
  <c r="H24" i="5"/>
  <c r="AB66" i="2"/>
  <c r="AC66" i="2" s="1"/>
  <c r="AO66" i="2"/>
  <c r="AP66" i="2" s="1"/>
  <c r="A68" i="2"/>
  <c r="Z67" i="2"/>
  <c r="W66" i="2"/>
  <c r="X66" i="2" s="1"/>
  <c r="AY66" i="2"/>
  <c r="BD66" i="2" s="1"/>
  <c r="H67" i="2"/>
  <c r="AZ67" i="2"/>
  <c r="BC67" i="2"/>
  <c r="K67" i="2"/>
  <c r="AN67" i="2"/>
  <c r="AM67" i="2"/>
  <c r="V67" i="2"/>
  <c r="AA67" i="2"/>
  <c r="X65" i="2"/>
  <c r="X64" i="2"/>
  <c r="AC37" i="2"/>
  <c r="AC40" i="2"/>
  <c r="AC44" i="2"/>
  <c r="AC34" i="2"/>
  <c r="AC36" i="2"/>
  <c r="AC59" i="2"/>
  <c r="N67" i="2" l="1"/>
  <c r="S67" i="2" s="1"/>
  <c r="G67" i="2"/>
  <c r="L67" i="2" s="1"/>
  <c r="R68" i="2"/>
  <c r="O68" i="2"/>
  <c r="AS68" i="2"/>
  <c r="AV68" i="2"/>
  <c r="AR68" i="2" s="1"/>
  <c r="AW68" i="2" s="1"/>
  <c r="AT68" i="2"/>
  <c r="BA68" i="2"/>
  <c r="I68" i="2"/>
  <c r="P68" i="2"/>
  <c r="BF66" i="2"/>
  <c r="U68" i="2"/>
  <c r="AF68" i="2"/>
  <c r="AE68" i="2"/>
  <c r="B27" i="5"/>
  <c r="C26" i="5"/>
  <c r="D26" i="5" s="1"/>
  <c r="H25" i="5"/>
  <c r="F25" i="5"/>
  <c r="G25" i="5"/>
  <c r="E25" i="5"/>
  <c r="AB67" i="2"/>
  <c r="AC67" i="2" s="1"/>
  <c r="AY67" i="2"/>
  <c r="BD67" i="2" s="1"/>
  <c r="AO67" i="2"/>
  <c r="AP67" i="2" s="1"/>
  <c r="H68" i="2"/>
  <c r="AZ68" i="2"/>
  <c r="K68" i="2"/>
  <c r="BC68" i="2"/>
  <c r="AN68" i="2"/>
  <c r="AO68" i="2" s="1"/>
  <c r="AP68" i="2" s="1"/>
  <c r="AM68" i="2"/>
  <c r="Z68" i="2"/>
  <c r="AG67" i="2"/>
  <c r="AH67" i="2" s="1"/>
  <c r="V68" i="2"/>
  <c r="AA68" i="2"/>
  <c r="A69" i="2"/>
  <c r="G68" i="2" l="1"/>
  <c r="L68" i="2" s="1"/>
  <c r="N68" i="2"/>
  <c r="S68" i="2" s="1"/>
  <c r="R69" i="2"/>
  <c r="O69" i="2"/>
  <c r="AV69" i="2"/>
  <c r="AR69" i="2" s="1"/>
  <c r="AW69" i="2" s="1"/>
  <c r="AS69" i="2"/>
  <c r="AT69" i="2"/>
  <c r="BA69" i="2"/>
  <c r="P69" i="2"/>
  <c r="I69" i="2"/>
  <c r="BF67" i="2"/>
  <c r="U69" i="2"/>
  <c r="AE69" i="2"/>
  <c r="AF69" i="2"/>
  <c r="E26" i="5"/>
  <c r="G26" i="5"/>
  <c r="H26" i="5"/>
  <c r="F26" i="5"/>
  <c r="B28" i="5"/>
  <c r="C27" i="5"/>
  <c r="D27" i="5" s="1"/>
  <c r="AG68" i="2"/>
  <c r="AH68" i="2" s="1"/>
  <c r="W68" i="2"/>
  <c r="X68" i="2" s="1"/>
  <c r="AB68" i="2"/>
  <c r="AC68" i="2" s="1"/>
  <c r="AY68" i="2"/>
  <c r="BD68" i="2" s="1"/>
  <c r="BF68" i="2" s="1"/>
  <c r="H69" i="2"/>
  <c r="AZ69" i="2"/>
  <c r="BC69" i="2"/>
  <c r="K69" i="2"/>
  <c r="AM69" i="2"/>
  <c r="AN69" i="2"/>
  <c r="AO69" i="2" s="1"/>
  <c r="AP69" i="2" s="1"/>
  <c r="Z69" i="2"/>
  <c r="V69" i="2"/>
  <c r="AA69" i="2"/>
  <c r="A70" i="2"/>
  <c r="N69" i="2" l="1"/>
  <c r="S69" i="2" s="1"/>
  <c r="R70" i="2"/>
  <c r="O70" i="2"/>
  <c r="AV70" i="2"/>
  <c r="AR70" i="2" s="1"/>
  <c r="AW70" i="2" s="1"/>
  <c r="AS70" i="2"/>
  <c r="AT70" i="2"/>
  <c r="BA70" i="2"/>
  <c r="I70" i="2"/>
  <c r="P70" i="2"/>
  <c r="G69" i="2"/>
  <c r="L69" i="2" s="1"/>
  <c r="U70" i="2"/>
  <c r="AE70" i="2"/>
  <c r="AF70" i="2"/>
  <c r="F27" i="5"/>
  <c r="H27" i="5"/>
  <c r="E27" i="5"/>
  <c r="G27" i="5"/>
  <c r="C28" i="5"/>
  <c r="D28" i="5" s="1"/>
  <c r="B29" i="5"/>
  <c r="W69" i="2"/>
  <c r="X69" i="2" s="1"/>
  <c r="AB69" i="2"/>
  <c r="AC69" i="2" s="1"/>
  <c r="AY69" i="2"/>
  <c r="BD69" i="2" s="1"/>
  <c r="BF69" i="2" s="1"/>
  <c r="H70" i="2"/>
  <c r="AZ70" i="2"/>
  <c r="K70" i="2"/>
  <c r="BC70" i="2"/>
  <c r="AN70" i="2"/>
  <c r="AO70" i="2" s="1"/>
  <c r="AP70" i="2" s="1"/>
  <c r="AM70" i="2"/>
  <c r="Z70" i="2"/>
  <c r="AG69" i="2"/>
  <c r="AH69" i="2" s="1"/>
  <c r="V70" i="2"/>
  <c r="AA70" i="2"/>
  <c r="AB70" i="2" s="1"/>
  <c r="A71" i="2"/>
  <c r="G70" i="2" l="1"/>
  <c r="L70" i="2" s="1"/>
  <c r="N70" i="2"/>
  <c r="S70" i="2" s="1"/>
  <c r="O71" i="2"/>
  <c r="R71" i="2"/>
  <c r="AS71" i="2"/>
  <c r="AV71" i="2"/>
  <c r="AR71" i="2" s="1"/>
  <c r="AW71" i="2" s="1"/>
  <c r="AT71" i="2"/>
  <c r="BA71" i="2"/>
  <c r="I71" i="2"/>
  <c r="P71" i="2"/>
  <c r="U71" i="2"/>
  <c r="AE71" i="2"/>
  <c r="AF71" i="2"/>
  <c r="C29" i="5"/>
  <c r="D29" i="5" s="1"/>
  <c r="B30" i="5"/>
  <c r="G28" i="5"/>
  <c r="E28" i="5"/>
  <c r="F28" i="5"/>
  <c r="H28" i="5"/>
  <c r="W70" i="2"/>
  <c r="X70" i="2" s="1"/>
  <c r="AG70" i="2"/>
  <c r="AH70" i="2" s="1"/>
  <c r="AY70" i="2"/>
  <c r="BD70" i="2" s="1"/>
  <c r="BF70" i="2" s="1"/>
  <c r="H71" i="2"/>
  <c r="AZ71" i="2"/>
  <c r="BC71" i="2"/>
  <c r="K71" i="2"/>
  <c r="AN71" i="2"/>
  <c r="AO71" i="2" s="1"/>
  <c r="AP71" i="2" s="1"/>
  <c r="AM71" i="2"/>
  <c r="Z71" i="2"/>
  <c r="AC70" i="2"/>
  <c r="V71" i="2"/>
  <c r="AA71" i="2"/>
  <c r="AB71" i="2" s="1"/>
  <c r="A72" i="2"/>
  <c r="N71" i="2" l="1"/>
  <c r="S71" i="2" s="1"/>
  <c r="G71" i="2"/>
  <c r="L71" i="2" s="1"/>
  <c r="R72" i="2"/>
  <c r="O72" i="2"/>
  <c r="AS72" i="2"/>
  <c r="AV72" i="2"/>
  <c r="AR72" i="2" s="1"/>
  <c r="AW72" i="2" s="1"/>
  <c r="AT72" i="2"/>
  <c r="BA72" i="2"/>
  <c r="I72" i="2"/>
  <c r="P72" i="2"/>
  <c r="W71" i="2"/>
  <c r="X71" i="2" s="1"/>
  <c r="U72" i="2"/>
  <c r="AF72" i="2"/>
  <c r="AE72" i="2"/>
  <c r="B31" i="5"/>
  <c r="C30" i="5"/>
  <c r="D30" i="5" s="1"/>
  <c r="H29" i="5"/>
  <c r="F29" i="5"/>
  <c r="G29" i="5"/>
  <c r="E29" i="5"/>
  <c r="AG71" i="2"/>
  <c r="AH71" i="2" s="1"/>
  <c r="AY71" i="2"/>
  <c r="BD71" i="2" s="1"/>
  <c r="BF71" i="2" s="1"/>
  <c r="H72" i="2"/>
  <c r="AZ72" i="2"/>
  <c r="BC72" i="2"/>
  <c r="K72" i="2"/>
  <c r="AN72" i="2"/>
  <c r="AO72" i="2" s="1"/>
  <c r="AP72" i="2" s="1"/>
  <c r="AM72" i="2"/>
  <c r="Z72" i="2"/>
  <c r="AC71" i="2"/>
  <c r="V72" i="2"/>
  <c r="AA72" i="2"/>
  <c r="AB72" i="2" s="1"/>
  <c r="A73" i="2"/>
  <c r="N72" i="2" l="1"/>
  <c r="S72" i="2" s="1"/>
  <c r="R73" i="2"/>
  <c r="O73" i="2"/>
  <c r="AV73" i="2"/>
  <c r="AR73" i="2" s="1"/>
  <c r="AW73" i="2" s="1"/>
  <c r="AS73" i="2"/>
  <c r="AT73" i="2"/>
  <c r="BA73" i="2"/>
  <c r="P73" i="2"/>
  <c r="I73" i="2"/>
  <c r="G72" i="2"/>
  <c r="L72" i="2" s="1"/>
  <c r="W72" i="2"/>
  <c r="X72" i="2" s="1"/>
  <c r="AG72" i="2"/>
  <c r="AH72" i="2" s="1"/>
  <c r="U73" i="2"/>
  <c r="AF73" i="2"/>
  <c r="AE73" i="2"/>
  <c r="E30" i="5"/>
  <c r="G30" i="5"/>
  <c r="H30" i="5"/>
  <c r="F30" i="5"/>
  <c r="B32" i="5"/>
  <c r="C31" i="5"/>
  <c r="D31" i="5" s="1"/>
  <c r="AY72" i="2"/>
  <c r="BD72" i="2" s="1"/>
  <c r="BF72" i="2" s="1"/>
  <c r="H73" i="2"/>
  <c r="AZ73" i="2"/>
  <c r="BC73" i="2"/>
  <c r="K73" i="2"/>
  <c r="AM73" i="2"/>
  <c r="AN73" i="2"/>
  <c r="AO73" i="2" s="1"/>
  <c r="AP73" i="2" s="1"/>
  <c r="Z73" i="2"/>
  <c r="AC72" i="2"/>
  <c r="V73" i="2"/>
  <c r="AA73" i="2"/>
  <c r="A74" i="2"/>
  <c r="N73" i="2" l="1"/>
  <c r="S73" i="2" s="1"/>
  <c r="R74" i="2"/>
  <c r="O74" i="2"/>
  <c r="AV74" i="2"/>
  <c r="AR74" i="2" s="1"/>
  <c r="AW74" i="2" s="1"/>
  <c r="AS74" i="2"/>
  <c r="AT74" i="2"/>
  <c r="BA74" i="2"/>
  <c r="P74" i="2"/>
  <c r="I74" i="2"/>
  <c r="G73" i="2"/>
  <c r="L73" i="2" s="1"/>
  <c r="AG73" i="2"/>
  <c r="AH73" i="2" s="1"/>
  <c r="U74" i="2"/>
  <c r="AF74" i="2"/>
  <c r="AE74" i="2"/>
  <c r="F31" i="5"/>
  <c r="H31" i="5"/>
  <c r="E31" i="5"/>
  <c r="G31" i="5"/>
  <c r="C32" i="5"/>
  <c r="D32" i="5" s="1"/>
  <c r="B33" i="5"/>
  <c r="AB73" i="2"/>
  <c r="AC73" i="2" s="1"/>
  <c r="AY73" i="2"/>
  <c r="BD73" i="2" s="1"/>
  <c r="BF73" i="2" s="1"/>
  <c r="H74" i="2"/>
  <c r="AZ74" i="2"/>
  <c r="K74" i="2"/>
  <c r="BC74" i="2"/>
  <c r="AN74" i="2"/>
  <c r="AO74" i="2" s="1"/>
  <c r="AP74" i="2" s="1"/>
  <c r="AM74" i="2"/>
  <c r="Z74" i="2"/>
  <c r="W73" i="2"/>
  <c r="X73" i="2" s="1"/>
  <c r="V74" i="2"/>
  <c r="AA74" i="2"/>
  <c r="AB74" i="2" s="1"/>
  <c r="A75" i="2"/>
  <c r="N74" i="2" l="1"/>
  <c r="S74" i="2" s="1"/>
  <c r="R75" i="2"/>
  <c r="O75" i="2"/>
  <c r="AV75" i="2"/>
  <c r="AR75" i="2" s="1"/>
  <c r="AW75" i="2" s="1"/>
  <c r="AS75" i="2"/>
  <c r="AT75" i="2"/>
  <c r="BA75" i="2"/>
  <c r="P75" i="2"/>
  <c r="I75" i="2"/>
  <c r="G74" i="2"/>
  <c r="L74" i="2" s="1"/>
  <c r="AG74" i="2"/>
  <c r="AH74" i="2" s="1"/>
  <c r="U75" i="2"/>
  <c r="AE75" i="2"/>
  <c r="AF75" i="2"/>
  <c r="C33" i="5"/>
  <c r="D33" i="5" s="1"/>
  <c r="B34" i="5"/>
  <c r="G32" i="5"/>
  <c r="E32" i="5"/>
  <c r="F32" i="5"/>
  <c r="H32" i="5"/>
  <c r="W74" i="2"/>
  <c r="X74" i="2" s="1"/>
  <c r="H75" i="2"/>
  <c r="AZ75" i="2"/>
  <c r="BC75" i="2"/>
  <c r="K75" i="2"/>
  <c r="AN75" i="2"/>
  <c r="AO75" i="2" s="1"/>
  <c r="AP75" i="2" s="1"/>
  <c r="AM75" i="2"/>
  <c r="Z75" i="2"/>
  <c r="AY74" i="2"/>
  <c r="BD74" i="2" s="1"/>
  <c r="BF74" i="2" s="1"/>
  <c r="AC74" i="2"/>
  <c r="V75" i="2"/>
  <c r="AA75" i="2"/>
  <c r="A76" i="2"/>
  <c r="N75" i="2" l="1"/>
  <c r="S75" i="2" s="1"/>
  <c r="AG75" i="2"/>
  <c r="AH75" i="2" s="1"/>
  <c r="R76" i="2"/>
  <c r="O76" i="2"/>
  <c r="AS76" i="2"/>
  <c r="AV76" i="2"/>
  <c r="AR76" i="2" s="1"/>
  <c r="AW76" i="2" s="1"/>
  <c r="AT76" i="2"/>
  <c r="BA76" i="2"/>
  <c r="I76" i="2"/>
  <c r="P76" i="2"/>
  <c r="G75" i="2"/>
  <c r="L75" i="2" s="1"/>
  <c r="W75" i="2"/>
  <c r="X75" i="2" s="1"/>
  <c r="U76" i="2"/>
  <c r="AF76" i="2"/>
  <c r="AE76" i="2"/>
  <c r="B35" i="5"/>
  <c r="C34" i="5"/>
  <c r="D34" i="5" s="1"/>
  <c r="H33" i="5"/>
  <c r="F33" i="5"/>
  <c r="G33" i="5"/>
  <c r="E33" i="5"/>
  <c r="AY75" i="2"/>
  <c r="BD75" i="2" s="1"/>
  <c r="BF75" i="2" s="1"/>
  <c r="AB75" i="2"/>
  <c r="AC75" i="2" s="1"/>
  <c r="H76" i="2"/>
  <c r="AZ76" i="2"/>
  <c r="K76" i="2"/>
  <c r="BC76" i="2"/>
  <c r="AN76" i="2"/>
  <c r="AO76" i="2" s="1"/>
  <c r="AP76" i="2" s="1"/>
  <c r="AM76" i="2"/>
  <c r="Z76" i="2"/>
  <c r="V76" i="2"/>
  <c r="AA76" i="2"/>
  <c r="A77" i="2"/>
  <c r="N76" i="2" l="1"/>
  <c r="S76" i="2" s="1"/>
  <c r="O77" i="2"/>
  <c r="R77" i="2"/>
  <c r="AV77" i="2"/>
  <c r="AR77" i="2" s="1"/>
  <c r="AW77" i="2" s="1"/>
  <c r="AS77" i="2"/>
  <c r="AT77" i="2"/>
  <c r="BA77" i="2"/>
  <c r="P77" i="2"/>
  <c r="I77" i="2"/>
  <c r="G76" i="2"/>
  <c r="L76" i="2" s="1"/>
  <c r="W76" i="2"/>
  <c r="X76" i="2" s="1"/>
  <c r="AG76" i="2"/>
  <c r="AH76" i="2" s="1"/>
  <c r="U77" i="2"/>
  <c r="AF77" i="2"/>
  <c r="AE77" i="2"/>
  <c r="E34" i="5"/>
  <c r="G34" i="5"/>
  <c r="H34" i="5"/>
  <c r="F34" i="5"/>
  <c r="B36" i="5"/>
  <c r="C35" i="5"/>
  <c r="D35" i="5" s="1"/>
  <c r="AB76" i="2"/>
  <c r="AC76" i="2" s="1"/>
  <c r="AY76" i="2"/>
  <c r="BD76" i="2" s="1"/>
  <c r="BF76" i="2" s="1"/>
  <c r="H77" i="2"/>
  <c r="AZ77" i="2"/>
  <c r="BC77" i="2"/>
  <c r="K77" i="2"/>
  <c r="AN77" i="2"/>
  <c r="AO77" i="2" s="1"/>
  <c r="AP77" i="2" s="1"/>
  <c r="AM77" i="2"/>
  <c r="Z77" i="2"/>
  <c r="V77" i="2"/>
  <c r="AA77" i="2"/>
  <c r="AB77" i="2" s="1"/>
  <c r="A78" i="2"/>
  <c r="N77" i="2" l="1"/>
  <c r="S77" i="2" s="1"/>
  <c r="R78" i="2"/>
  <c r="O78" i="2"/>
  <c r="AV78" i="2"/>
  <c r="AR78" i="2" s="1"/>
  <c r="AW78" i="2" s="1"/>
  <c r="AS78" i="2"/>
  <c r="AT78" i="2"/>
  <c r="BA78" i="2"/>
  <c r="I78" i="2"/>
  <c r="P78" i="2"/>
  <c r="G77" i="2"/>
  <c r="L77" i="2" s="1"/>
  <c r="W77" i="2"/>
  <c r="X77" i="2" s="1"/>
  <c r="AG77" i="2"/>
  <c r="AH77" i="2" s="1"/>
  <c r="AY77" i="2"/>
  <c r="BD77" i="2" s="1"/>
  <c r="BF77" i="2" s="1"/>
  <c r="U78" i="2"/>
  <c r="AF78" i="2"/>
  <c r="AE78" i="2"/>
  <c r="F35" i="5"/>
  <c r="H35" i="5"/>
  <c r="E35" i="5"/>
  <c r="G35" i="5"/>
  <c r="C36" i="5"/>
  <c r="D36" i="5" s="1"/>
  <c r="B37" i="5"/>
  <c r="H78" i="2"/>
  <c r="AZ78" i="2"/>
  <c r="K78" i="2"/>
  <c r="BC78" i="2"/>
  <c r="AN78" i="2"/>
  <c r="AO78" i="2" s="1"/>
  <c r="AP78" i="2" s="1"/>
  <c r="AM78" i="2"/>
  <c r="Z78" i="2"/>
  <c r="AC77" i="2"/>
  <c r="V78" i="2"/>
  <c r="W78" i="2" s="1"/>
  <c r="X78" i="2" s="1"/>
  <c r="AA78" i="2"/>
  <c r="A79" i="2"/>
  <c r="N78" i="2" l="1"/>
  <c r="S78" i="2" s="1"/>
  <c r="AG78" i="2"/>
  <c r="AH78" i="2" s="1"/>
  <c r="O79" i="2"/>
  <c r="R79" i="2"/>
  <c r="AS79" i="2"/>
  <c r="AV79" i="2"/>
  <c r="AR79" i="2" s="1"/>
  <c r="AW79" i="2" s="1"/>
  <c r="AT79" i="2"/>
  <c r="BA79" i="2"/>
  <c r="P79" i="2"/>
  <c r="I79" i="2"/>
  <c r="G78" i="2"/>
  <c r="L78" i="2" s="1"/>
  <c r="U79" i="2"/>
  <c r="AE79" i="2"/>
  <c r="AF79" i="2"/>
  <c r="AG79" i="2" s="1"/>
  <c r="AH79" i="2" s="1"/>
  <c r="B38" i="5"/>
  <c r="C37" i="5"/>
  <c r="D37" i="5" s="1"/>
  <c r="G36" i="5"/>
  <c r="E36" i="5"/>
  <c r="F36" i="5"/>
  <c r="H36" i="5"/>
  <c r="AB78" i="2"/>
  <c r="AC78" i="2" s="1"/>
  <c r="AY78" i="2"/>
  <c r="BD78" i="2" s="1"/>
  <c r="BF78" i="2" s="1"/>
  <c r="H79" i="2"/>
  <c r="AZ79" i="2"/>
  <c r="BC79" i="2"/>
  <c r="K79" i="2"/>
  <c r="AN79" i="2"/>
  <c r="AO79" i="2" s="1"/>
  <c r="AP79" i="2" s="1"/>
  <c r="AM79" i="2"/>
  <c r="Z79" i="2"/>
  <c r="V79" i="2"/>
  <c r="W79" i="2" s="1"/>
  <c r="X79" i="2" s="1"/>
  <c r="AA79" i="2"/>
  <c r="AB79" i="2" s="1"/>
  <c r="A80" i="2"/>
  <c r="N79" i="2" l="1"/>
  <c r="S79" i="2" s="1"/>
  <c r="O80" i="2"/>
  <c r="R80" i="2"/>
  <c r="AS80" i="2"/>
  <c r="AV80" i="2"/>
  <c r="AR80" i="2" s="1"/>
  <c r="AW80" i="2" s="1"/>
  <c r="AT80" i="2"/>
  <c r="BA80" i="2"/>
  <c r="P80" i="2"/>
  <c r="I80" i="2"/>
  <c r="G79" i="2"/>
  <c r="L79" i="2" s="1"/>
  <c r="U80" i="2"/>
  <c r="AF80" i="2"/>
  <c r="AE80" i="2"/>
  <c r="H37" i="5"/>
  <c r="F37" i="5"/>
  <c r="G37" i="5"/>
  <c r="E37" i="5"/>
  <c r="B39" i="5"/>
  <c r="C39" i="5" s="1"/>
  <c r="D39" i="5" s="1"/>
  <c r="C38" i="5"/>
  <c r="D38" i="5" s="1"/>
  <c r="AY79" i="2"/>
  <c r="BD79" i="2" s="1"/>
  <c r="BF79" i="2" s="1"/>
  <c r="H80" i="2"/>
  <c r="AZ80" i="2"/>
  <c r="BC80" i="2"/>
  <c r="K80" i="2"/>
  <c r="AN80" i="2"/>
  <c r="AO80" i="2" s="1"/>
  <c r="AP80" i="2" s="1"/>
  <c r="AM80" i="2"/>
  <c r="Z80" i="2"/>
  <c r="AC79" i="2"/>
  <c r="V80" i="2"/>
  <c r="W80" i="2" s="1"/>
  <c r="X80" i="2" s="1"/>
  <c r="AA80" i="2"/>
  <c r="AB80" i="2" s="1"/>
  <c r="A81" i="2"/>
  <c r="A50" i="2"/>
  <c r="N80" i="2" l="1"/>
  <c r="S80" i="2" s="1"/>
  <c r="AG80" i="2"/>
  <c r="AH80" i="2" s="1"/>
  <c r="R81" i="2"/>
  <c r="O81" i="2"/>
  <c r="AS81" i="2"/>
  <c r="AV81" i="2"/>
  <c r="AR81" i="2" s="1"/>
  <c r="AW81" i="2" s="1"/>
  <c r="AT81" i="2"/>
  <c r="BA81" i="2"/>
  <c r="I81" i="2"/>
  <c r="P81" i="2"/>
  <c r="R50" i="2"/>
  <c r="O50" i="2"/>
  <c r="AV50" i="2"/>
  <c r="AR50" i="2" s="1"/>
  <c r="AW50" i="2" s="1"/>
  <c r="AX38" i="2" s="1"/>
  <c r="AS50" i="2"/>
  <c r="AT50" i="2"/>
  <c r="BA50" i="2"/>
  <c r="P50" i="2"/>
  <c r="I50" i="2"/>
  <c r="G80" i="2"/>
  <c r="L80" i="2" s="1"/>
  <c r="U50" i="2"/>
  <c r="W50" i="2" s="1"/>
  <c r="X50" i="2" s="1"/>
  <c r="AF50" i="2"/>
  <c r="AE50" i="2"/>
  <c r="AG50" i="2" s="1"/>
  <c r="AH50" i="2" s="1"/>
  <c r="AI38" i="2" s="1"/>
  <c r="U81" i="2"/>
  <c r="AF81" i="2"/>
  <c r="AE81" i="2"/>
  <c r="E38" i="5"/>
  <c r="G38" i="5"/>
  <c r="H38" i="5"/>
  <c r="F38" i="5"/>
  <c r="F39" i="5"/>
  <c r="H39" i="5"/>
  <c r="E39" i="5"/>
  <c r="G39" i="5"/>
  <c r="AY80" i="2"/>
  <c r="BD80" i="2" s="1"/>
  <c r="BF80" i="2" s="1"/>
  <c r="H81" i="2"/>
  <c r="AZ81" i="2"/>
  <c r="BC81" i="2"/>
  <c r="K81" i="2"/>
  <c r="AN81" i="2"/>
  <c r="AO81" i="2" s="1"/>
  <c r="AP81" i="2" s="1"/>
  <c r="AM81" i="2"/>
  <c r="Z81" i="2"/>
  <c r="AZ50" i="2"/>
  <c r="K50" i="2"/>
  <c r="BC50" i="2"/>
  <c r="AN50" i="2"/>
  <c r="AM50" i="2"/>
  <c r="AO50" i="2" s="1"/>
  <c r="AP50" i="2" s="1"/>
  <c r="AQ38" i="2" s="1"/>
  <c r="Z50" i="2"/>
  <c r="AB50" i="2" s="1"/>
  <c r="AC80" i="2"/>
  <c r="H50" i="2"/>
  <c r="V81" i="2"/>
  <c r="W81" i="2" s="1"/>
  <c r="X81" i="2" s="1"/>
  <c r="AA81" i="2"/>
  <c r="V50" i="2"/>
  <c r="AA50" i="2"/>
  <c r="A82" i="2"/>
  <c r="A51" i="2"/>
  <c r="N81" i="2" l="1"/>
  <c r="S81" i="2" s="1"/>
  <c r="N50" i="2"/>
  <c r="S50" i="2" s="1"/>
  <c r="T38" i="2" s="1"/>
  <c r="AG81" i="2"/>
  <c r="AH81" i="2" s="1"/>
  <c r="R82" i="2"/>
  <c r="O82" i="2"/>
  <c r="AV82" i="2"/>
  <c r="AR82" i="2" s="1"/>
  <c r="AW82" i="2" s="1"/>
  <c r="AS82" i="2"/>
  <c r="AT82" i="2"/>
  <c r="BA82" i="2"/>
  <c r="P82" i="2"/>
  <c r="I82" i="2"/>
  <c r="R51" i="2"/>
  <c r="O51" i="2"/>
  <c r="AS51" i="2"/>
  <c r="AV51" i="2"/>
  <c r="AR51" i="2" s="1"/>
  <c r="AW51" i="2" s="1"/>
  <c r="AT51" i="2"/>
  <c r="BA51" i="2"/>
  <c r="I51" i="2"/>
  <c r="P51" i="2"/>
  <c r="G50" i="2"/>
  <c r="L50" i="2" s="1"/>
  <c r="G81" i="2"/>
  <c r="L81" i="2" s="1"/>
  <c r="U82" i="2"/>
  <c r="AF82" i="2"/>
  <c r="AG82" i="2" s="1"/>
  <c r="AH82" i="2" s="1"/>
  <c r="AE82" i="2"/>
  <c r="U51" i="2"/>
  <c r="W51" i="2" s="1"/>
  <c r="X51" i="2" s="1"/>
  <c r="AE51" i="2"/>
  <c r="AG51" i="2" s="1"/>
  <c r="AH51" i="2" s="1"/>
  <c r="AF51" i="2"/>
  <c r="AB81" i="2"/>
  <c r="AC81" i="2" s="1"/>
  <c r="AY81" i="2"/>
  <c r="BD81" i="2" s="1"/>
  <c r="BF81" i="2" s="1"/>
  <c r="H82" i="2"/>
  <c r="AZ82" i="2"/>
  <c r="K82" i="2"/>
  <c r="BC82" i="2"/>
  <c r="AN82" i="2"/>
  <c r="AO82" i="2" s="1"/>
  <c r="AP82" i="2" s="1"/>
  <c r="AM82" i="2"/>
  <c r="Z82" i="2"/>
  <c r="AY50" i="2"/>
  <c r="BD50" i="2" s="1"/>
  <c r="AZ51" i="2"/>
  <c r="BC51" i="2"/>
  <c r="K51" i="2"/>
  <c r="AN51" i="2"/>
  <c r="AM51" i="2"/>
  <c r="AO51" i="2" s="1"/>
  <c r="AP51" i="2" s="1"/>
  <c r="Z51" i="2"/>
  <c r="AB51" i="2" s="1"/>
  <c r="AC51" i="2" s="1"/>
  <c r="H51" i="2"/>
  <c r="V51" i="2"/>
  <c r="AA51" i="2"/>
  <c r="V82" i="2"/>
  <c r="W82" i="2" s="1"/>
  <c r="X82" i="2" s="1"/>
  <c r="AA82" i="2"/>
  <c r="AB82" i="2" s="1"/>
  <c r="AC50" i="2"/>
  <c r="Y38" i="2"/>
  <c r="A83" i="2"/>
  <c r="A52" i="2"/>
  <c r="N51" i="2" l="1"/>
  <c r="S51" i="2" s="1"/>
  <c r="N82" i="2"/>
  <c r="S82" i="2" s="1"/>
  <c r="R52" i="2"/>
  <c r="O52" i="2"/>
  <c r="AS52" i="2"/>
  <c r="AV52" i="2"/>
  <c r="AR52" i="2" s="1"/>
  <c r="AW52" i="2" s="1"/>
  <c r="AT52" i="2"/>
  <c r="BA52" i="2"/>
  <c r="I52" i="2"/>
  <c r="P52" i="2"/>
  <c r="O83" i="2"/>
  <c r="R83" i="2"/>
  <c r="AV83" i="2"/>
  <c r="AR83" i="2" s="1"/>
  <c r="AW83" i="2" s="1"/>
  <c r="AS83" i="2"/>
  <c r="AT83" i="2"/>
  <c r="BA83" i="2"/>
  <c r="P83" i="2"/>
  <c r="I83" i="2"/>
  <c r="G82" i="2"/>
  <c r="L82" i="2" s="1"/>
  <c r="M38" i="2"/>
  <c r="G51" i="2"/>
  <c r="L51" i="2" s="1"/>
  <c r="BE38" i="2"/>
  <c r="BF50" i="2"/>
  <c r="U52" i="2"/>
  <c r="W52" i="2" s="1"/>
  <c r="X52" i="2" s="1"/>
  <c r="AF52" i="2"/>
  <c r="AE52" i="2"/>
  <c r="AG52" i="2" s="1"/>
  <c r="AH52" i="2" s="1"/>
  <c r="U83" i="2"/>
  <c r="AF83" i="2"/>
  <c r="AG83" i="2" s="1"/>
  <c r="AH83" i="2" s="1"/>
  <c r="AE83" i="2"/>
  <c r="AY82" i="2"/>
  <c r="BD82" i="2" s="1"/>
  <c r="BF82" i="2" s="1"/>
  <c r="AY51" i="2"/>
  <c r="BD51" i="2" s="1"/>
  <c r="BF51" i="2" s="1"/>
  <c r="AZ52" i="2"/>
  <c r="BC52" i="2"/>
  <c r="K52" i="2"/>
  <c r="AN52" i="2"/>
  <c r="AM52" i="2"/>
  <c r="AO52" i="2" s="1"/>
  <c r="AP52" i="2" s="1"/>
  <c r="Z52" i="2"/>
  <c r="AB52" i="2" s="1"/>
  <c r="H83" i="2"/>
  <c r="AZ83" i="2"/>
  <c r="BC83" i="2"/>
  <c r="K83" i="2"/>
  <c r="AN83" i="2"/>
  <c r="AO83" i="2" s="1"/>
  <c r="AP83" i="2" s="1"/>
  <c r="AM83" i="2"/>
  <c r="Z83" i="2"/>
  <c r="AC82" i="2"/>
  <c r="H52" i="2"/>
  <c r="V52" i="2"/>
  <c r="AA52" i="2"/>
  <c r="V83" i="2"/>
  <c r="W83" i="2" s="1"/>
  <c r="X83" i="2" s="1"/>
  <c r="AA83" i="2"/>
  <c r="AD38" i="2"/>
  <c r="A84" i="2"/>
  <c r="A53" i="2"/>
  <c r="N52" i="2" l="1"/>
  <c r="S52" i="2" s="1"/>
  <c r="N83" i="2"/>
  <c r="S83" i="2" s="1"/>
  <c r="R84" i="2"/>
  <c r="O84" i="2"/>
  <c r="AS84" i="2"/>
  <c r="AV84" i="2"/>
  <c r="AR84" i="2" s="1"/>
  <c r="AW84" i="2" s="1"/>
  <c r="AT84" i="2"/>
  <c r="BA84" i="2"/>
  <c r="P84" i="2"/>
  <c r="I84" i="2"/>
  <c r="O53" i="2"/>
  <c r="R53" i="2"/>
  <c r="AV53" i="2"/>
  <c r="AR53" i="2" s="1"/>
  <c r="AW53" i="2" s="1"/>
  <c r="AS53" i="2"/>
  <c r="AT53" i="2"/>
  <c r="BA53" i="2"/>
  <c r="P53" i="2"/>
  <c r="I53" i="2"/>
  <c r="G83" i="2"/>
  <c r="L83" i="2" s="1"/>
  <c r="G52" i="2"/>
  <c r="L52" i="2" s="1"/>
  <c r="U53" i="2"/>
  <c r="W53" i="2" s="1"/>
  <c r="X53" i="2" s="1"/>
  <c r="AE53" i="2"/>
  <c r="AG53" i="2" s="1"/>
  <c r="AH53" i="2" s="1"/>
  <c r="AF53" i="2"/>
  <c r="U84" i="2"/>
  <c r="AF84" i="2"/>
  <c r="AG84" i="2" s="1"/>
  <c r="AH84" i="2" s="1"/>
  <c r="AE84" i="2"/>
  <c r="AY52" i="2"/>
  <c r="BD52" i="2" s="1"/>
  <c r="BF52" i="2" s="1"/>
  <c r="AB83" i="2"/>
  <c r="AC83" i="2" s="1"/>
  <c r="AY83" i="2"/>
  <c r="BD83" i="2" s="1"/>
  <c r="BF83" i="2" s="1"/>
  <c r="H84" i="2"/>
  <c r="AZ84" i="2"/>
  <c r="K84" i="2"/>
  <c r="BC84" i="2"/>
  <c r="AN84" i="2"/>
  <c r="AO84" i="2" s="1"/>
  <c r="AP84" i="2" s="1"/>
  <c r="AM84" i="2"/>
  <c r="Z84" i="2"/>
  <c r="AZ53" i="2"/>
  <c r="BC53" i="2"/>
  <c r="K53" i="2"/>
  <c r="AM53" i="2"/>
  <c r="AO53" i="2" s="1"/>
  <c r="AP53" i="2" s="1"/>
  <c r="AN53" i="2"/>
  <c r="Z53" i="2"/>
  <c r="AB53" i="2" s="1"/>
  <c r="AC52" i="2"/>
  <c r="H53" i="2"/>
  <c r="V53" i="2"/>
  <c r="AA53" i="2"/>
  <c r="V84" i="2"/>
  <c r="W84" i="2" s="1"/>
  <c r="X84" i="2" s="1"/>
  <c r="AA84" i="2"/>
  <c r="AB84" i="2" s="1"/>
  <c r="A85" i="2"/>
  <c r="A54" i="2"/>
  <c r="N84" i="2" l="1"/>
  <c r="S84" i="2" s="1"/>
  <c r="N53" i="2"/>
  <c r="S53" i="2" s="1"/>
  <c r="R54" i="2"/>
  <c r="O54" i="2"/>
  <c r="AV54" i="2"/>
  <c r="AR54" i="2" s="1"/>
  <c r="AW54" i="2" s="1"/>
  <c r="AS54" i="2"/>
  <c r="AT54" i="2"/>
  <c r="BA54" i="2"/>
  <c r="I54" i="2"/>
  <c r="P54" i="2"/>
  <c r="R85" i="2"/>
  <c r="O85" i="2"/>
  <c r="AV85" i="2"/>
  <c r="AR85" i="2" s="1"/>
  <c r="AW85" i="2" s="1"/>
  <c r="AS85" i="2"/>
  <c r="AT85" i="2"/>
  <c r="BA85" i="2"/>
  <c r="I85" i="2"/>
  <c r="P85" i="2"/>
  <c r="G53" i="2"/>
  <c r="L53" i="2" s="1"/>
  <c r="G84" i="2"/>
  <c r="L84" i="2" s="1"/>
  <c r="U54" i="2"/>
  <c r="W54" i="2" s="1"/>
  <c r="X54" i="2" s="1"/>
  <c r="AE54" i="2"/>
  <c r="AG54" i="2" s="1"/>
  <c r="AH54" i="2" s="1"/>
  <c r="AF54" i="2"/>
  <c r="U85" i="2"/>
  <c r="AE85" i="2"/>
  <c r="AF85" i="2"/>
  <c r="AG85" i="2" s="1"/>
  <c r="AH85" i="2" s="1"/>
  <c r="AY53" i="2"/>
  <c r="BD53" i="2" s="1"/>
  <c r="BF53" i="2" s="1"/>
  <c r="AY84" i="2"/>
  <c r="BD84" i="2" s="1"/>
  <c r="BF84" i="2" s="1"/>
  <c r="H85" i="2"/>
  <c r="AZ85" i="2"/>
  <c r="BC85" i="2"/>
  <c r="K85" i="2"/>
  <c r="AN85" i="2"/>
  <c r="AO85" i="2" s="1"/>
  <c r="AP85" i="2" s="1"/>
  <c r="AM85" i="2"/>
  <c r="Z85" i="2"/>
  <c r="AZ54" i="2"/>
  <c r="K54" i="2"/>
  <c r="BC54" i="2"/>
  <c r="AN54" i="2"/>
  <c r="AM54" i="2"/>
  <c r="AO54" i="2" s="1"/>
  <c r="AP54" i="2" s="1"/>
  <c r="Z54" i="2"/>
  <c r="AB54" i="2" s="1"/>
  <c r="AC53" i="2"/>
  <c r="AC84" i="2"/>
  <c r="H54" i="2"/>
  <c r="V85" i="2"/>
  <c r="W85" i="2" s="1"/>
  <c r="X85" i="2" s="1"/>
  <c r="AA85" i="2"/>
  <c r="AB85" i="2" s="1"/>
  <c r="V54" i="2"/>
  <c r="AA54" i="2"/>
  <c r="A86" i="2"/>
  <c r="A55" i="2"/>
  <c r="N85" i="2" l="1"/>
  <c r="S85" i="2" s="1"/>
  <c r="N54" i="2"/>
  <c r="S54" i="2" s="1"/>
  <c r="O55" i="2"/>
  <c r="R55" i="2"/>
  <c r="AS55" i="2"/>
  <c r="AV55" i="2"/>
  <c r="AR55" i="2" s="1"/>
  <c r="AW55" i="2" s="1"/>
  <c r="AT55" i="2"/>
  <c r="BA55" i="2"/>
  <c r="I55" i="2"/>
  <c r="P55" i="2"/>
  <c r="O86" i="2"/>
  <c r="R86" i="2"/>
  <c r="AV86" i="2"/>
  <c r="AR86" i="2" s="1"/>
  <c r="AW86" i="2" s="1"/>
  <c r="AS86" i="2"/>
  <c r="AT86" i="2"/>
  <c r="BA86" i="2"/>
  <c r="I86" i="2"/>
  <c r="P86" i="2"/>
  <c r="G85" i="2"/>
  <c r="L85" i="2" s="1"/>
  <c r="G54" i="2"/>
  <c r="L54" i="2" s="1"/>
  <c r="U86" i="2"/>
  <c r="AF86" i="2"/>
  <c r="AG86" i="2" s="1"/>
  <c r="AH86" i="2" s="1"/>
  <c r="AE86" i="2"/>
  <c r="U55" i="2"/>
  <c r="W55" i="2" s="1"/>
  <c r="X55" i="2" s="1"/>
  <c r="AE55" i="2"/>
  <c r="AG55" i="2" s="1"/>
  <c r="AH55" i="2" s="1"/>
  <c r="AF55" i="2"/>
  <c r="AY85" i="2"/>
  <c r="BD85" i="2" s="1"/>
  <c r="BF85" i="2" s="1"/>
  <c r="AZ55" i="2"/>
  <c r="BC55" i="2"/>
  <c r="K55" i="2"/>
  <c r="AN55" i="2"/>
  <c r="AM55" i="2"/>
  <c r="AO55" i="2" s="1"/>
  <c r="AP55" i="2" s="1"/>
  <c r="Z55" i="2"/>
  <c r="AB55" i="2" s="1"/>
  <c r="H86" i="2"/>
  <c r="AZ86" i="2"/>
  <c r="K86" i="2"/>
  <c r="BC86" i="2"/>
  <c r="AN86" i="2"/>
  <c r="AO86" i="2" s="1"/>
  <c r="AP86" i="2" s="1"/>
  <c r="AM86" i="2"/>
  <c r="Z86" i="2"/>
  <c r="AY54" i="2"/>
  <c r="BD54" i="2" s="1"/>
  <c r="BF54" i="2" s="1"/>
  <c r="AC54" i="2"/>
  <c r="AC85" i="2"/>
  <c r="H55" i="2"/>
  <c r="V86" i="2"/>
  <c r="W86" i="2" s="1"/>
  <c r="X86" i="2" s="1"/>
  <c r="AA86" i="2"/>
  <c r="AB86" i="2" s="1"/>
  <c r="V55" i="2"/>
  <c r="AA55" i="2"/>
  <c r="A87" i="2"/>
  <c r="A56" i="2"/>
  <c r="N86" i="2" l="1"/>
  <c r="S86" i="2" s="1"/>
  <c r="N55" i="2"/>
  <c r="S55" i="2" s="1"/>
  <c r="O87" i="2"/>
  <c r="R87" i="2"/>
  <c r="AS87" i="2"/>
  <c r="AV87" i="2"/>
  <c r="AR87" i="2" s="1"/>
  <c r="AW87" i="2" s="1"/>
  <c r="AT87" i="2"/>
  <c r="BA87" i="2"/>
  <c r="P87" i="2"/>
  <c r="I87" i="2"/>
  <c r="R56" i="2"/>
  <c r="O56" i="2"/>
  <c r="AS56" i="2"/>
  <c r="AV56" i="2"/>
  <c r="AR56" i="2" s="1"/>
  <c r="AW56" i="2" s="1"/>
  <c r="AX51" i="2" s="1"/>
  <c r="AT56" i="2"/>
  <c r="BA56" i="2"/>
  <c r="P56" i="2"/>
  <c r="I56" i="2"/>
  <c r="G55" i="2"/>
  <c r="L55" i="2" s="1"/>
  <c r="G86" i="2"/>
  <c r="L86" i="2" s="1"/>
  <c r="U56" i="2"/>
  <c r="W56" i="2" s="1"/>
  <c r="X56" i="2" s="1"/>
  <c r="AF56" i="2"/>
  <c r="AE56" i="2"/>
  <c r="AG56" i="2" s="1"/>
  <c r="AH56" i="2" s="1"/>
  <c r="AI51" i="2" s="1"/>
  <c r="U87" i="2"/>
  <c r="AE87" i="2"/>
  <c r="AF87" i="2"/>
  <c r="AG87" i="2" s="1"/>
  <c r="AH87" i="2" s="1"/>
  <c r="AY86" i="2"/>
  <c r="BD86" i="2" s="1"/>
  <c r="BF86" i="2" s="1"/>
  <c r="AZ56" i="2"/>
  <c r="BC56" i="2"/>
  <c r="K56" i="2"/>
  <c r="AN56" i="2"/>
  <c r="AM56" i="2"/>
  <c r="AO56" i="2" s="1"/>
  <c r="AP56" i="2" s="1"/>
  <c r="AQ51" i="2" s="1"/>
  <c r="Z56" i="2"/>
  <c r="AB56" i="2" s="1"/>
  <c r="AY55" i="2"/>
  <c r="BD55" i="2" s="1"/>
  <c r="BF55" i="2" s="1"/>
  <c r="H87" i="2"/>
  <c r="AZ87" i="2"/>
  <c r="BC87" i="2"/>
  <c r="K87" i="2"/>
  <c r="AN87" i="2"/>
  <c r="AO87" i="2" s="1"/>
  <c r="AP87" i="2" s="1"/>
  <c r="AM87" i="2"/>
  <c r="Z87" i="2"/>
  <c r="AC55" i="2"/>
  <c r="AC86" i="2"/>
  <c r="H56" i="2"/>
  <c r="V56" i="2"/>
  <c r="AA56" i="2"/>
  <c r="V87" i="2"/>
  <c r="W87" i="2" s="1"/>
  <c r="X87" i="2" s="1"/>
  <c r="AA87" i="2"/>
  <c r="AB87" i="2" s="1"/>
  <c r="A88" i="2"/>
  <c r="N87" i="2" l="1"/>
  <c r="S87" i="2" s="1"/>
  <c r="N56" i="2"/>
  <c r="S56" i="2" s="1"/>
  <c r="T51" i="2" s="1"/>
  <c r="O88" i="2"/>
  <c r="R88" i="2"/>
  <c r="AS88" i="2"/>
  <c r="AV88" i="2"/>
  <c r="AR88" i="2" s="1"/>
  <c r="AW88" i="2" s="1"/>
  <c r="AT88" i="2"/>
  <c r="BA88" i="2"/>
  <c r="P88" i="2"/>
  <c r="I88" i="2"/>
  <c r="G87" i="2"/>
  <c r="L87" i="2" s="1"/>
  <c r="G56" i="2"/>
  <c r="L56" i="2" s="1"/>
  <c r="U88" i="2"/>
  <c r="AF88" i="2"/>
  <c r="AG88" i="2" s="1"/>
  <c r="AH88" i="2" s="1"/>
  <c r="AE88" i="2"/>
  <c r="AY87" i="2"/>
  <c r="BD87" i="2" s="1"/>
  <c r="BF87" i="2" s="1"/>
  <c r="H88" i="2"/>
  <c r="AZ88" i="2"/>
  <c r="BC88" i="2"/>
  <c r="K88" i="2"/>
  <c r="AN88" i="2"/>
  <c r="AO88" i="2" s="1"/>
  <c r="AP88" i="2" s="1"/>
  <c r="AM88" i="2"/>
  <c r="Z88" i="2"/>
  <c r="AY56" i="2"/>
  <c r="BD56" i="2" s="1"/>
  <c r="AC87" i="2"/>
  <c r="AC56" i="2"/>
  <c r="AD51" i="2" s="1"/>
  <c r="V88" i="2"/>
  <c r="W88" i="2" s="1"/>
  <c r="X88" i="2" s="1"/>
  <c r="AA88" i="2"/>
  <c r="AB88" i="2" s="1"/>
  <c r="Y51" i="2"/>
  <c r="A89" i="2"/>
  <c r="N88" i="2" l="1"/>
  <c r="S88" i="2" s="1"/>
  <c r="R89" i="2"/>
  <c r="O89" i="2"/>
  <c r="AS89" i="2"/>
  <c r="AV89" i="2"/>
  <c r="AR89" i="2" s="1"/>
  <c r="AW89" i="2" s="1"/>
  <c r="AT89" i="2"/>
  <c r="BA89" i="2"/>
  <c r="I89" i="2"/>
  <c r="P89" i="2"/>
  <c r="G88" i="2"/>
  <c r="L88" i="2" s="1"/>
  <c r="M51" i="2"/>
  <c r="BE51" i="2"/>
  <c r="BF56" i="2"/>
  <c r="U89" i="2"/>
  <c r="AF89" i="2"/>
  <c r="AG89" i="2" s="1"/>
  <c r="AH89" i="2" s="1"/>
  <c r="AE89" i="2"/>
  <c r="AY88" i="2"/>
  <c r="BD88" i="2" s="1"/>
  <c r="BF88" i="2" s="1"/>
  <c r="H89" i="2"/>
  <c r="AZ89" i="2"/>
  <c r="BC89" i="2"/>
  <c r="K89" i="2"/>
  <c r="AN89" i="2"/>
  <c r="AO89" i="2" s="1"/>
  <c r="AP89" i="2" s="1"/>
  <c r="AM89" i="2"/>
  <c r="Z89" i="2"/>
  <c r="AC88" i="2"/>
  <c r="V89" i="2"/>
  <c r="W89" i="2" s="1"/>
  <c r="X89" i="2" s="1"/>
  <c r="AA89" i="2"/>
  <c r="AB89" i="2" s="1"/>
  <c r="A90" i="2"/>
  <c r="G89" i="2" l="1"/>
  <c r="L89" i="2" s="1"/>
  <c r="N89" i="2"/>
  <c r="S89" i="2" s="1"/>
  <c r="R90" i="2"/>
  <c r="O90" i="2"/>
  <c r="AV90" i="2"/>
  <c r="AR90" i="2" s="1"/>
  <c r="AW90" i="2" s="1"/>
  <c r="AS90" i="2"/>
  <c r="AT90" i="2"/>
  <c r="BA90" i="2"/>
  <c r="I90" i="2"/>
  <c r="P90" i="2"/>
  <c r="AY89" i="2"/>
  <c r="BD89" i="2" s="1"/>
  <c r="BF89" i="2" s="1"/>
  <c r="U90" i="2"/>
  <c r="AF90" i="2"/>
  <c r="AG90" i="2" s="1"/>
  <c r="AH90" i="2" s="1"/>
  <c r="AE90" i="2"/>
  <c r="H90" i="2"/>
  <c r="AZ90" i="2"/>
  <c r="K90" i="2"/>
  <c r="BC90" i="2"/>
  <c r="AN90" i="2"/>
  <c r="AO90" i="2" s="1"/>
  <c r="AP90" i="2" s="1"/>
  <c r="AM90" i="2"/>
  <c r="Z90" i="2"/>
  <c r="AC89" i="2"/>
  <c r="V90" i="2"/>
  <c r="W90" i="2" s="1"/>
  <c r="X90" i="2" s="1"/>
  <c r="AA90" i="2"/>
  <c r="AB90" i="2" s="1"/>
  <c r="A91" i="2"/>
  <c r="N90" i="2" l="1"/>
  <c r="S90" i="2" s="1"/>
  <c r="R91" i="2"/>
  <c r="O91" i="2"/>
  <c r="AV91" i="2"/>
  <c r="AR91" i="2" s="1"/>
  <c r="AW91" i="2" s="1"/>
  <c r="AS91" i="2"/>
  <c r="AT91" i="2"/>
  <c r="BA91" i="2"/>
  <c r="P91" i="2"/>
  <c r="I91" i="2"/>
  <c r="G90" i="2"/>
  <c r="L90" i="2" s="1"/>
  <c r="U91" i="2"/>
  <c r="AE91" i="2"/>
  <c r="AF91" i="2"/>
  <c r="AG91" i="2" s="1"/>
  <c r="AH91" i="2" s="1"/>
  <c r="AY90" i="2"/>
  <c r="BD90" i="2" s="1"/>
  <c r="BF90" i="2" s="1"/>
  <c r="H91" i="2"/>
  <c r="AZ91" i="2"/>
  <c r="BC91" i="2"/>
  <c r="K91" i="2"/>
  <c r="AN91" i="2"/>
  <c r="AO91" i="2" s="1"/>
  <c r="AP91" i="2" s="1"/>
  <c r="AM91" i="2"/>
  <c r="Z91" i="2"/>
  <c r="AC90" i="2"/>
  <c r="V91" i="2"/>
  <c r="W91" i="2" s="1"/>
  <c r="X91" i="2" s="1"/>
  <c r="AA91" i="2"/>
  <c r="AB91" i="2" s="1"/>
  <c r="A92" i="2"/>
  <c r="N91" i="2" l="1"/>
  <c r="S91" i="2" s="1"/>
  <c r="O92" i="2"/>
  <c r="R92" i="2"/>
  <c r="AS92" i="2"/>
  <c r="AV92" i="2"/>
  <c r="AR92" i="2" s="1"/>
  <c r="AW92" i="2" s="1"/>
  <c r="AT92" i="2"/>
  <c r="BA92" i="2"/>
  <c r="I92" i="2"/>
  <c r="P92" i="2"/>
  <c r="G91" i="2"/>
  <c r="L91" i="2" s="1"/>
  <c r="U92" i="2"/>
  <c r="AF92" i="2"/>
  <c r="AG92" i="2" s="1"/>
  <c r="AH92" i="2" s="1"/>
  <c r="AE92" i="2"/>
  <c r="AY91" i="2"/>
  <c r="BD91" i="2" s="1"/>
  <c r="BF91" i="2" s="1"/>
  <c r="H92" i="2"/>
  <c r="AZ92" i="2"/>
  <c r="K92" i="2"/>
  <c r="BC92" i="2"/>
  <c r="AN92" i="2"/>
  <c r="AO92" i="2" s="1"/>
  <c r="AP92" i="2" s="1"/>
  <c r="AM92" i="2"/>
  <c r="Z92" i="2"/>
  <c r="AC91" i="2"/>
  <c r="V92" i="2"/>
  <c r="W92" i="2" s="1"/>
  <c r="X92" i="2" s="1"/>
  <c r="AA92" i="2"/>
  <c r="AB92" i="2" s="1"/>
  <c r="A93" i="2"/>
  <c r="N92" i="2" l="1"/>
  <c r="S92" i="2" s="1"/>
  <c r="O93" i="2"/>
  <c r="R93" i="2"/>
  <c r="AS93" i="2"/>
  <c r="AV93" i="2"/>
  <c r="AR93" i="2" s="1"/>
  <c r="AW93" i="2" s="1"/>
  <c r="AT93" i="2"/>
  <c r="BA93" i="2"/>
  <c r="I93" i="2"/>
  <c r="P93" i="2"/>
  <c r="G92" i="2"/>
  <c r="L92" i="2" s="1"/>
  <c r="U93" i="2"/>
  <c r="AF93" i="2"/>
  <c r="AG93" i="2" s="1"/>
  <c r="AH93" i="2" s="1"/>
  <c r="AE93" i="2"/>
  <c r="H93" i="2"/>
  <c r="AZ93" i="2"/>
  <c r="BC93" i="2"/>
  <c r="K93" i="2"/>
  <c r="AN93" i="2"/>
  <c r="AO93" i="2" s="1"/>
  <c r="AP93" i="2" s="1"/>
  <c r="AM93" i="2"/>
  <c r="Z93" i="2"/>
  <c r="AY92" i="2"/>
  <c r="BD92" i="2" s="1"/>
  <c r="BF92" i="2" s="1"/>
  <c r="AC92" i="2"/>
  <c r="V93" i="2"/>
  <c r="W93" i="2" s="1"/>
  <c r="X93" i="2" s="1"/>
  <c r="AA93" i="2"/>
  <c r="AB93" i="2" s="1"/>
  <c r="A94" i="2"/>
  <c r="N93" i="2" l="1"/>
  <c r="S93" i="2" s="1"/>
  <c r="R94" i="2"/>
  <c r="O94" i="2"/>
  <c r="AV94" i="2"/>
  <c r="AR94" i="2" s="1"/>
  <c r="AW94" i="2" s="1"/>
  <c r="AS94" i="2"/>
  <c r="AT94" i="2"/>
  <c r="BA94" i="2"/>
  <c r="I94" i="2"/>
  <c r="P94" i="2"/>
  <c r="G93" i="2"/>
  <c r="L93" i="2" s="1"/>
  <c r="U94" i="2"/>
  <c r="AE94" i="2"/>
  <c r="AF94" i="2"/>
  <c r="AG94" i="2" s="1"/>
  <c r="AH94" i="2" s="1"/>
  <c r="AY93" i="2"/>
  <c r="BD93" i="2" s="1"/>
  <c r="BF93" i="2" s="1"/>
  <c r="H94" i="2"/>
  <c r="AZ94" i="2"/>
  <c r="K94" i="2"/>
  <c r="BC94" i="2"/>
  <c r="AN94" i="2"/>
  <c r="AO94" i="2" s="1"/>
  <c r="AP94" i="2" s="1"/>
  <c r="AM94" i="2"/>
  <c r="Z94" i="2"/>
  <c r="AC93" i="2"/>
  <c r="V94" i="2"/>
  <c r="W94" i="2" s="1"/>
  <c r="X94" i="2" s="1"/>
  <c r="AA94" i="2"/>
  <c r="AB94" i="2" s="1"/>
  <c r="E34" i="2"/>
  <c r="AJ34" i="2" s="1"/>
  <c r="G94" i="2" l="1"/>
  <c r="L94" i="2" s="1"/>
  <c r="N94" i="2"/>
  <c r="S94" i="2" s="1"/>
  <c r="D34" i="2"/>
  <c r="BG34" i="2"/>
  <c r="BH34" i="2" s="1"/>
  <c r="AY94" i="2"/>
  <c r="BD94" i="2" s="1"/>
  <c r="BF94" i="2" s="1"/>
  <c r="AC94" i="2"/>
  <c r="E35" i="2"/>
  <c r="AJ35" i="2" s="1"/>
  <c r="BG35" i="2" l="1"/>
  <c r="BH35" i="2" s="1"/>
  <c r="D35" i="2"/>
  <c r="E36" i="2"/>
  <c r="AJ36" i="2" s="1"/>
  <c r="D36" i="2" l="1"/>
  <c r="BG36" i="2"/>
  <c r="BH36" i="2" s="1"/>
  <c r="E37" i="2"/>
  <c r="AJ37" i="2" s="1"/>
  <c r="D37" i="2" l="1"/>
  <c r="BG37" i="2"/>
  <c r="BH37" i="2" s="1"/>
  <c r="E38" i="2"/>
  <c r="AJ38" i="2" s="1"/>
  <c r="D38" i="2" l="1"/>
  <c r="BG38" i="2"/>
  <c r="BH38" i="2" s="1"/>
  <c r="E39" i="2"/>
  <c r="AJ39" i="2" s="1"/>
  <c r="D39" i="2" l="1"/>
  <c r="BG39" i="2"/>
  <c r="BH39" i="2" s="1"/>
  <c r="E40" i="2"/>
  <c r="AJ40" i="2" s="1"/>
  <c r="D40" i="2" l="1"/>
  <c r="BG40" i="2"/>
  <c r="BH40" i="2" s="1"/>
  <c r="E41" i="2"/>
  <c r="AJ41" i="2" s="1"/>
  <c r="D41" i="2" l="1"/>
  <c r="BG41" i="2"/>
  <c r="BH41" i="2" s="1"/>
  <c r="E42" i="2"/>
  <c r="AJ42" i="2" s="1"/>
  <c r="D42" i="2" l="1"/>
  <c r="BG42" i="2"/>
  <c r="BH42" i="2" s="1"/>
  <c r="E43" i="2"/>
  <c r="AJ43" i="2" s="1"/>
  <c r="D43" i="2" l="1"/>
  <c r="BG43" i="2"/>
  <c r="BH43" i="2" s="1"/>
  <c r="E44" i="2"/>
  <c r="AJ44" i="2" s="1"/>
  <c r="D44" i="2" l="1"/>
  <c r="BG44" i="2"/>
  <c r="BH44" i="2" s="1"/>
  <c r="E45" i="2"/>
  <c r="AJ45" i="2" s="1"/>
  <c r="D45" i="2" l="1"/>
  <c r="BG45" i="2"/>
  <c r="BH45" i="2" s="1"/>
  <c r="E46" i="2"/>
  <c r="AJ46" i="2" s="1"/>
  <c r="D46" i="2" l="1"/>
  <c r="BG46" i="2"/>
  <c r="BH46" i="2" s="1"/>
  <c r="E47" i="2"/>
  <c r="AJ47" i="2" s="1"/>
  <c r="D47" i="2" l="1"/>
  <c r="BG47" i="2"/>
  <c r="BH47" i="2" s="1"/>
  <c r="E48" i="2"/>
  <c r="AJ48" i="2" s="1"/>
  <c r="D48" i="2" l="1"/>
  <c r="BG48" i="2"/>
  <c r="BH48" i="2" s="1"/>
  <c r="E49" i="2"/>
  <c r="AJ49" i="2" s="1"/>
  <c r="D49" i="2" l="1"/>
  <c r="BG49" i="2"/>
  <c r="BH49" i="2" s="1"/>
  <c r="E50" i="2"/>
  <c r="AJ50" i="2" s="1"/>
  <c r="D50" i="2" l="1"/>
  <c r="BG50" i="2"/>
  <c r="BH50" i="2" s="1"/>
  <c r="E51" i="2"/>
  <c r="AJ51" i="2" s="1"/>
  <c r="F38" i="2"/>
  <c r="AK38" i="2" s="1"/>
  <c r="D51" i="2" l="1"/>
  <c r="BG51" i="2"/>
  <c r="BH51" i="2" s="1"/>
  <c r="E52" i="2"/>
  <c r="AJ52" i="2" s="1"/>
  <c r="D52" i="2" l="1"/>
  <c r="BG52" i="2"/>
  <c r="BH52" i="2" s="1"/>
  <c r="E53" i="2"/>
  <c r="AJ53" i="2" s="1"/>
  <c r="D53" i="2" l="1"/>
  <c r="BG53" i="2"/>
  <c r="BH53" i="2" s="1"/>
  <c r="E54" i="2"/>
  <c r="AJ54" i="2" s="1"/>
  <c r="D54" i="2" l="1"/>
  <c r="BG54" i="2"/>
  <c r="BH54" i="2" s="1"/>
  <c r="E55" i="2"/>
  <c r="AJ55" i="2" s="1"/>
  <c r="D55" i="2" l="1"/>
  <c r="BG55" i="2"/>
  <c r="BH55" i="2" s="1"/>
  <c r="E56" i="2"/>
  <c r="AJ56" i="2" s="1"/>
  <c r="D56" i="2" l="1"/>
  <c r="BG56" i="2"/>
  <c r="BH56" i="2" s="1"/>
  <c r="E57" i="2"/>
  <c r="AJ57" i="2" s="1"/>
  <c r="D57" i="2" l="1"/>
  <c r="BG57" i="2"/>
  <c r="BH57" i="2" s="1"/>
  <c r="E58" i="2"/>
  <c r="AJ58" i="2" s="1"/>
  <c r="D58" i="2" l="1"/>
  <c r="BG58" i="2"/>
  <c r="BH58" i="2" s="1"/>
  <c r="E59" i="2"/>
  <c r="AJ59" i="2" s="1"/>
  <c r="D59" i="2" l="1"/>
  <c r="BG59" i="2"/>
  <c r="BH59" i="2" s="1"/>
  <c r="E60" i="2"/>
  <c r="AJ60" i="2" s="1"/>
  <c r="F51" i="2" l="1"/>
  <c r="AK51" i="2" s="1"/>
  <c r="D60" i="2"/>
  <c r="E61" i="2"/>
  <c r="AJ61" i="2" s="1"/>
  <c r="BG60" i="2"/>
  <c r="BH60" i="2" s="1"/>
  <c r="D61" i="2" l="1"/>
  <c r="BG61" i="2"/>
  <c r="BH61" i="2" s="1"/>
  <c r="E62" i="2"/>
  <c r="AJ62" i="2" s="1"/>
  <c r="D62" i="2" l="1"/>
  <c r="BG62" i="2"/>
  <c r="BH62" i="2" s="1"/>
  <c r="E63" i="2"/>
  <c r="AJ63" i="2" s="1"/>
  <c r="D63" i="2" l="1"/>
  <c r="BG63" i="2"/>
  <c r="BH63" i="2" s="1"/>
  <c r="E64" i="2"/>
  <c r="AJ64" i="2" s="1"/>
  <c r="D64" i="2" l="1"/>
  <c r="BG64" i="2"/>
  <c r="BH64" i="2" s="1"/>
  <c r="E65" i="2"/>
  <c r="AJ65" i="2" s="1"/>
  <c r="D65" i="2" l="1"/>
  <c r="BG65" i="2"/>
  <c r="BH65" i="2" s="1"/>
  <c r="E66" i="2"/>
  <c r="AJ66" i="2" s="1"/>
  <c r="D66" i="2" l="1"/>
  <c r="BG66" i="2"/>
  <c r="BH66" i="2" s="1"/>
  <c r="E67" i="2"/>
  <c r="AJ67" i="2" s="1"/>
  <c r="D67" i="2" l="1"/>
  <c r="BG67" i="2"/>
  <c r="BH67" i="2" s="1"/>
  <c r="E68" i="2"/>
  <c r="AJ68" i="2" s="1"/>
  <c r="D68" i="2" l="1"/>
  <c r="BG68" i="2"/>
  <c r="BH68" i="2" s="1"/>
  <c r="E69" i="2"/>
  <c r="AJ69" i="2" s="1"/>
  <c r="D69" i="2" l="1"/>
  <c r="BG69" i="2"/>
  <c r="BH69" i="2" s="1"/>
  <c r="E70" i="2"/>
  <c r="AJ70" i="2" s="1"/>
  <c r="D70" i="2" l="1"/>
  <c r="BG70" i="2"/>
  <c r="BH70" i="2" s="1"/>
  <c r="E71" i="2"/>
  <c r="AJ71" i="2" s="1"/>
  <c r="D71" i="2" l="1"/>
  <c r="BG71" i="2"/>
  <c r="BH71" i="2" s="1"/>
  <c r="E72" i="2"/>
  <c r="AJ72" i="2" s="1"/>
  <c r="D72" i="2" l="1"/>
  <c r="BG72" i="2"/>
  <c r="BH72" i="2" s="1"/>
  <c r="E73" i="2"/>
  <c r="AJ73" i="2" s="1"/>
  <c r="D73" i="2" l="1"/>
  <c r="BG73" i="2"/>
  <c r="BH73" i="2" s="1"/>
  <c r="E74" i="2"/>
  <c r="AJ74" i="2" s="1"/>
  <c r="D74" i="2" l="1"/>
  <c r="BG74" i="2"/>
  <c r="BH74" i="2" s="1"/>
  <c r="E75" i="2"/>
  <c r="AJ75" i="2" s="1"/>
  <c r="D75" i="2" l="1"/>
  <c r="BG75" i="2"/>
  <c r="BH75" i="2" s="1"/>
  <c r="E76" i="2"/>
  <c r="AJ76" i="2" s="1"/>
  <c r="D76" i="2" l="1"/>
  <c r="BG76" i="2"/>
  <c r="BH76" i="2" s="1"/>
  <c r="E77" i="2"/>
  <c r="AJ77" i="2" s="1"/>
  <c r="D77" i="2" l="1"/>
  <c r="BG77" i="2"/>
  <c r="BH77" i="2" s="1"/>
  <c r="E78" i="2"/>
  <c r="AJ78" i="2" s="1"/>
  <c r="D78" i="2" l="1"/>
  <c r="BG78" i="2"/>
  <c r="BH78" i="2" s="1"/>
  <c r="E79" i="2"/>
  <c r="AJ79" i="2" s="1"/>
  <c r="D79" i="2" l="1"/>
  <c r="BG79" i="2"/>
  <c r="BH79" i="2" s="1"/>
  <c r="E80" i="2"/>
  <c r="AJ80" i="2" s="1"/>
  <c r="D80" i="2" l="1"/>
  <c r="BG80" i="2"/>
  <c r="BH80" i="2" s="1"/>
  <c r="E81" i="2"/>
  <c r="AJ81" i="2" s="1"/>
  <c r="D81" i="2" l="1"/>
  <c r="BG81" i="2"/>
  <c r="BH81" i="2" s="1"/>
  <c r="E82" i="2"/>
  <c r="AJ82" i="2" s="1"/>
  <c r="D82" i="2" l="1"/>
  <c r="BG82" i="2"/>
  <c r="BH82" i="2" s="1"/>
  <c r="E83" i="2"/>
  <c r="AJ83" i="2" s="1"/>
  <c r="D83" i="2" l="1"/>
  <c r="BG83" i="2"/>
  <c r="BH83" i="2" s="1"/>
  <c r="E84" i="2"/>
  <c r="AJ84" i="2" s="1"/>
  <c r="D84" i="2" l="1"/>
  <c r="BG84" i="2"/>
  <c r="BH84" i="2" s="1"/>
  <c r="E85" i="2"/>
  <c r="AJ85" i="2" s="1"/>
  <c r="E86" i="2" l="1"/>
  <c r="AJ86" i="2" s="1"/>
  <c r="D85" i="2"/>
  <c r="BG85" i="2"/>
  <c r="BH85" i="2" s="1"/>
  <c r="D86" i="2" l="1"/>
  <c r="BG86" i="2"/>
  <c r="BH86" i="2" s="1"/>
  <c r="E87" i="2"/>
  <c r="AJ87" i="2" s="1"/>
  <c r="D87" i="2" l="1"/>
  <c r="BG87" i="2"/>
  <c r="BH87" i="2" s="1"/>
  <c r="E88" i="2"/>
  <c r="AJ88" i="2" s="1"/>
  <c r="D88" i="2" l="1"/>
  <c r="BG88" i="2"/>
  <c r="BH88" i="2" s="1"/>
  <c r="E89" i="2"/>
  <c r="AJ89" i="2" s="1"/>
  <c r="D89" i="2" l="1"/>
  <c r="BG89" i="2"/>
  <c r="BH89" i="2" s="1"/>
  <c r="E90" i="2"/>
  <c r="AJ90" i="2" s="1"/>
  <c r="D90" i="2" l="1"/>
  <c r="BG90" i="2"/>
  <c r="BH90" i="2" s="1"/>
  <c r="E91" i="2"/>
  <c r="AJ91" i="2" s="1"/>
  <c r="D91" i="2" l="1"/>
  <c r="BG91" i="2"/>
  <c r="BH91" i="2" s="1"/>
  <c r="E92" i="2"/>
  <c r="AJ92" i="2" s="1"/>
  <c r="D92" i="2" l="1"/>
  <c r="BG92" i="2"/>
  <c r="BH92" i="2" s="1"/>
  <c r="E93" i="2"/>
  <c r="AJ93" i="2" s="1"/>
  <c r="D93" i="2" l="1"/>
  <c r="BG93" i="2"/>
  <c r="BH93" i="2" s="1"/>
  <c r="E94" i="2"/>
  <c r="AJ94" i="2" s="1"/>
  <c r="D94" i="2" l="1"/>
  <c r="BG94" i="2"/>
  <c r="BH94" i="2" s="1"/>
</calcChain>
</file>

<file path=xl/comments1.xml><?xml version="1.0" encoding="utf-8"?>
<comments xmlns="http://schemas.openxmlformats.org/spreadsheetml/2006/main">
  <authors>
    <author>Spatz, Mark</author>
  </authors>
  <commentList>
    <comment ref="BP6" authorId="0" shapeId="0">
      <text>
        <r>
          <rPr>
            <b/>
            <sz val="9"/>
            <color indexed="81"/>
            <rFont val="Tahoma"/>
            <family val="2"/>
          </rPr>
          <t>Spatz, Mark:</t>
        </r>
        <r>
          <rPr>
            <sz val="9"/>
            <color indexed="81"/>
            <rFont val="Tahoma"/>
            <family val="2"/>
          </rPr>
          <t xml:space="preserve">
guessed.</t>
        </r>
      </text>
    </comment>
    <comment ref="AG28" authorId="0" shapeId="0">
      <text>
        <r>
          <rPr>
            <b/>
            <sz val="9"/>
            <color indexed="81"/>
            <rFont val="Tahoma"/>
            <family val="2"/>
          </rPr>
          <t>MIN. 125hz
MAX. 600hz</t>
        </r>
      </text>
    </comment>
    <comment ref="AG30" authorId="0" shapeId="0">
      <text>
        <r>
          <rPr>
            <b/>
            <sz val="9"/>
            <color indexed="81"/>
            <rFont val="Tahoma"/>
            <family val="2"/>
          </rPr>
          <t>MIN. 105hz</t>
        </r>
      </text>
    </comment>
  </commentList>
</comments>
</file>

<file path=xl/sharedStrings.xml><?xml version="1.0" encoding="utf-8"?>
<sst xmlns="http://schemas.openxmlformats.org/spreadsheetml/2006/main" count="169" uniqueCount="105">
  <si>
    <t>Frequency</t>
  </si>
  <si>
    <t>Cut-off Freq.</t>
  </si>
  <si>
    <t>On</t>
  </si>
  <si>
    <r>
      <t>Gyro LPF
Phase Delay
(deg</t>
    </r>
    <r>
      <rPr>
        <b/>
        <sz val="8.8000000000000007"/>
        <color theme="1"/>
        <rFont val="Calibri"/>
        <family val="2"/>
      </rPr>
      <t>)</t>
    </r>
  </si>
  <si>
    <t>PT1 LPF
Phase Delay
(deg)</t>
  </si>
  <si>
    <t>Notch 1
Phase Shift
(deg)</t>
  </si>
  <si>
    <t>Static
Notch 2</t>
  </si>
  <si>
    <t>Static
Notch 1</t>
  </si>
  <si>
    <t>Dynamic
Notch</t>
  </si>
  <si>
    <t>Gyro LPF</t>
  </si>
  <si>
    <t>Notch 1 LPF Phase Shift
(deg)</t>
  </si>
  <si>
    <t>Notch 1 HPF Phase Shift
(deg)</t>
  </si>
  <si>
    <t>Center Freq.</t>
  </si>
  <si>
    <t xml:space="preserve">                                                      DATA PASSED TO PID LOOP</t>
  </si>
  <si>
    <t xml:space="preserve">Q = </t>
  </si>
  <si>
    <t>Notch 2 LPF Phase Shift
(deg)</t>
  </si>
  <si>
    <t>Notch 2 HPF Phase Shift
(deg)</t>
  </si>
  <si>
    <t>Notch 2
Phase Shift
(deg)</t>
  </si>
  <si>
    <t>Off</t>
  </si>
  <si>
    <t>Dyn. Notch
Phase Shift
(deg)</t>
  </si>
  <si>
    <t>Gyro ype</t>
  </si>
  <si>
    <t>MPU6000</t>
  </si>
  <si>
    <t>Gyro Setting</t>
  </si>
  <si>
    <t>Experimental</t>
  </si>
  <si>
    <t>MPU6500</t>
  </si>
  <si>
    <t>IMC20XX</t>
  </si>
  <si>
    <t>N/A</t>
  </si>
  <si>
    <t>DELAY (ms)</t>
  </si>
  <si>
    <t>BF Setting</t>
  </si>
  <si>
    <t>DLPF Cutoff</t>
  </si>
  <si>
    <t>delay =</t>
  </si>
  <si>
    <t>Filter Type</t>
  </si>
  <si>
    <t>PT1</t>
  </si>
  <si>
    <t>BiQUAD Phase Delay
(deg)</t>
  </si>
  <si>
    <t>FIR Phase Delay
(deg)</t>
  </si>
  <si>
    <t>D-Term Notch</t>
  </si>
  <si>
    <t>Gyro Latency (ms)</t>
  </si>
  <si>
    <t>D-Term Latency (ms)</t>
  </si>
  <si>
    <t>TOTAL Latency (ms)</t>
  </si>
  <si>
    <t>Dyn. Notch Latency (ms)</t>
  </si>
  <si>
    <t>Notch 1 Latency (ms)</t>
  </si>
  <si>
    <t>Notch 2 Latency (ms)</t>
  </si>
  <si>
    <t>Gyro LPF Latency (ms)</t>
  </si>
  <si>
    <t>D-Term LPF Phase Delay (deg)</t>
  </si>
  <si>
    <t>D-Term Notch Phase Shift (deg)</t>
  </si>
  <si>
    <t>D-Term Notch Latency (ms)</t>
  </si>
  <si>
    <t>Change Log</t>
  </si>
  <si>
    <t>V1</t>
  </si>
  <si>
    <t>Released</t>
  </si>
  <si>
    <t>actual --&gt;</t>
  </si>
  <si>
    <t>Noise Rediction</t>
  </si>
  <si>
    <t>dB</t>
  </si>
  <si>
    <t>32k</t>
  </si>
  <si>
    <t>16k</t>
  </si>
  <si>
    <t>8k</t>
  </si>
  <si>
    <t>4k</t>
  </si>
  <si>
    <t>filter gain</t>
  </si>
  <si>
    <t>Q/R</t>
  </si>
  <si>
    <t>R</t>
  </si>
  <si>
    <t>Q</t>
  </si>
  <si>
    <r>
      <rPr>
        <b/>
        <u/>
        <sz val="12"/>
        <color rgb="FF000000"/>
        <rFont val="Calibri"/>
        <family val="2"/>
      </rPr>
      <t>For Cutoff Chart</t>
    </r>
    <r>
      <rPr>
        <b/>
        <sz val="12"/>
        <color rgb="FF000000"/>
        <rFont val="Calibri"/>
        <family val="2"/>
      </rPr>
      <t xml:space="preserve">
FKF cutoff frequency in Hz (based on Gyro sampling rate)</t>
    </r>
  </si>
  <si>
    <r>
      <rPr>
        <b/>
        <u/>
        <sz val="12"/>
        <color rgb="FF000000"/>
        <rFont val="Calibri"/>
        <family val="2"/>
      </rPr>
      <t>For Filter Latency Calc</t>
    </r>
    <r>
      <rPr>
        <b/>
        <sz val="12"/>
        <color rgb="FF000000"/>
        <rFont val="Calibri"/>
        <family val="2"/>
      </rPr>
      <t xml:space="preserve">
FKF cutoff frequency in Hz (based on Gyro sampling rate)</t>
    </r>
  </si>
  <si>
    <t>32k-Normal</t>
  </si>
  <si>
    <t>Sample Rate</t>
  </si>
  <si>
    <t>FIR Phase Delay (ms)</t>
  </si>
  <si>
    <t>PID Rate</t>
  </si>
  <si>
    <t>BF Gyro Rate</t>
  </si>
  <si>
    <t>Gyro Sample Frequency (ms)</t>
  </si>
  <si>
    <t>Hardware Rate</t>
  </si>
  <si>
    <t>Gyro Sample Rate</t>
  </si>
  <si>
    <t>Digital Filtering: https://youtu.be/loHy8v9A8LY</t>
  </si>
  <si>
    <t>IIR vs. FIR: https://youtu.be/GIkTmrR9vfc</t>
  </si>
  <si>
    <t>Resources:</t>
  </si>
  <si>
    <t>Phase Delay: http://www.sengpielaudio.com/calculator-timedelayphase.htm</t>
  </si>
  <si>
    <t>CPU Type</t>
  </si>
  <si>
    <t>Taps</t>
  </si>
  <si>
    <t>D-Term LPF
Stage 1</t>
  </si>
  <si>
    <t>D-Term LPF
Stage 2</t>
  </si>
  <si>
    <t>D-Term Stage 2 LPF Latency (ms)</t>
  </si>
  <si>
    <t>D-Term Stage 1 LPF Latency (ms)</t>
  </si>
  <si>
    <t>~3000</t>
  </si>
  <si>
    <t>32k-Experimental</t>
  </si>
  <si>
    <t>Normal</t>
  </si>
  <si>
    <t>32K</t>
  </si>
  <si>
    <t>16K</t>
  </si>
  <si>
    <t>8K</t>
  </si>
  <si>
    <t>4K</t>
  </si>
  <si>
    <t>ms</t>
  </si>
  <si>
    <t>seconds</t>
  </si>
  <si>
    <t>Item</t>
  </si>
  <si>
    <t>Filter Phase Delay</t>
  </si>
  <si>
    <t>Motor Update Speed</t>
  </si>
  <si>
    <t>RC Smoothing</t>
  </si>
  <si>
    <t>Human Reaction</t>
  </si>
  <si>
    <t>Motor Update</t>
  </si>
  <si>
    <t>TOTAL Llatency (Hz)</t>
  </si>
  <si>
    <t>F4</t>
  </si>
  <si>
    <t>Lowpass 2</t>
  </si>
  <si>
    <t>Lowpass 1 Phase Delay (deg)</t>
  </si>
  <si>
    <t>Lowpass 1 Latency
(ms)</t>
  </si>
  <si>
    <t>Lowpass 2 Phase Delay (deg)</t>
  </si>
  <si>
    <t>Lowpass 2 Latency
(ms)</t>
  </si>
  <si>
    <t>Lowpass 1</t>
  </si>
  <si>
    <t>W</t>
  </si>
  <si>
    <t>BiQUAD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</si>
</sst>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&quot;hz&quot;"/>
    <numFmt numFmtId="166" formatCode="0.000"/>
    <numFmt numFmtId="167" formatCode="0.00000"/>
    <numFmt numFmtId="168" formatCode="0\ &quot;ms&quot;"/>
    <numFmt numFmtId="169" formatCode="0\ &quot;hz&quot;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Calibri"/>
      <family val="2"/>
    </font>
    <font>
      <sz val="12"/>
      <color theme="0" tint="-0.34998626667073579"/>
      <name val="Calibri"/>
      <family val="2"/>
    </font>
    <font>
      <b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sz val="12"/>
      <name val="Calibri"/>
      <family val="2"/>
    </font>
    <font>
      <sz val="11"/>
      <color theme="0" tint="-0.14999847407452621"/>
      <name val="Calibri"/>
      <family val="2"/>
      <scheme val="minor"/>
    </font>
    <font>
      <sz val="11"/>
      <color theme="7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2" fillId="9" borderId="0" applyNumberFormat="0" applyBorder="0" applyAlignment="0" applyProtection="0"/>
    <xf numFmtId="0" fontId="17" fillId="0" borderId="0"/>
  </cellStyleXfs>
  <cellXfs count="150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2" fontId="5" fillId="0" borderId="0" xfId="0" applyNumberFormat="1" applyFont="1"/>
    <xf numFmtId="0" fontId="6" fillId="0" borderId="0" xfId="0" applyFont="1"/>
    <xf numFmtId="2" fontId="6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Fill="1"/>
    <xf numFmtId="2" fontId="0" fillId="0" borderId="0" xfId="0" applyNumberFormat="1" applyFill="1"/>
    <xf numFmtId="0" fontId="0" fillId="0" borderId="0" xfId="0" applyFill="1"/>
    <xf numFmtId="0" fontId="0" fillId="4" borderId="0" xfId="0" applyFill="1"/>
    <xf numFmtId="0" fontId="1" fillId="4" borderId="0" xfId="0" applyFont="1" applyFill="1" applyAlignment="1">
      <alignment horizontal="center" vertical="top" wrapText="1"/>
    </xf>
    <xf numFmtId="2" fontId="0" fillId="4" borderId="0" xfId="0" applyNumberFormat="1" applyFill="1"/>
    <xf numFmtId="0" fontId="6" fillId="4" borderId="0" xfId="0" applyFont="1" applyFill="1"/>
    <xf numFmtId="0" fontId="0" fillId="5" borderId="0" xfId="0" applyFill="1"/>
    <xf numFmtId="0" fontId="1" fillId="5" borderId="0" xfId="0" applyFont="1" applyFill="1" applyAlignment="1">
      <alignment horizontal="center" vertical="top" wrapText="1"/>
    </xf>
    <xf numFmtId="0" fontId="6" fillId="5" borderId="0" xfId="0" applyFont="1" applyFill="1"/>
    <xf numFmtId="2" fontId="0" fillId="4" borderId="0" xfId="0" applyNumberFormat="1" applyFill="1" applyAlignment="1"/>
    <xf numFmtId="0" fontId="0" fillId="4" borderId="0" xfId="0" applyFill="1" applyAlignment="1"/>
    <xf numFmtId="2" fontId="7" fillId="0" borderId="0" xfId="0" applyNumberFormat="1" applyFont="1"/>
    <xf numFmtId="0" fontId="7" fillId="0" borderId="0" xfId="0" applyFont="1"/>
    <xf numFmtId="0" fontId="7" fillId="4" borderId="0" xfId="0" applyFont="1" applyFill="1"/>
    <xf numFmtId="0" fontId="3" fillId="0" borderId="0" xfId="0" applyFont="1" applyFill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4" fillId="3" borderId="0" xfId="0" applyFont="1" applyFill="1"/>
    <xf numFmtId="0" fontId="4" fillId="8" borderId="0" xfId="0" applyFont="1" applyFill="1"/>
    <xf numFmtId="0" fontId="4" fillId="0" borderId="0" xfId="0" applyFont="1" applyFill="1"/>
    <xf numFmtId="0" fontId="1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2" fontId="1" fillId="0" borderId="0" xfId="0" applyNumberFormat="1" applyFont="1" applyAlignment="1">
      <alignment horizontal="center"/>
    </xf>
    <xf numFmtId="165" fontId="0" fillId="0" borderId="0" xfId="0" applyNumberFormat="1"/>
    <xf numFmtId="0" fontId="1" fillId="0" borderId="0" xfId="0" applyFont="1"/>
    <xf numFmtId="0" fontId="1" fillId="0" borderId="0" xfId="0" applyFont="1" applyFill="1" applyAlignment="1">
      <alignment horizontal="center"/>
    </xf>
    <xf numFmtId="0" fontId="0" fillId="10" borderId="0" xfId="0" applyFill="1"/>
    <xf numFmtId="0" fontId="1" fillId="10" borderId="0" xfId="0" applyFont="1" applyFill="1" applyAlignment="1">
      <alignment horizontal="center" vertical="top" wrapText="1"/>
    </xf>
    <xf numFmtId="2" fontId="3" fillId="10" borderId="0" xfId="0" applyNumberFormat="1" applyFont="1" applyFill="1" applyAlignment="1">
      <alignment vertical="center" textRotation="90" wrapText="1"/>
    </xf>
    <xf numFmtId="0" fontId="4" fillId="5" borderId="0" xfId="0" applyFont="1" applyFill="1"/>
    <xf numFmtId="0" fontId="12" fillId="4" borderId="0" xfId="1" applyFill="1"/>
    <xf numFmtId="0" fontId="4" fillId="4" borderId="0" xfId="0" applyFont="1" applyFill="1"/>
    <xf numFmtId="0" fontId="12" fillId="4" borderId="0" xfId="1" applyFill="1" applyAlignment="1">
      <alignment horizontal="center" vertical="top" wrapText="1"/>
    </xf>
    <xf numFmtId="2" fontId="6" fillId="4" borderId="0" xfId="0" applyNumberFormat="1" applyFont="1" applyFill="1"/>
    <xf numFmtId="0" fontId="8" fillId="12" borderId="0" xfId="0" applyFont="1" applyFill="1" applyAlignment="1">
      <alignment horizontal="center" vertical="center" wrapText="1"/>
    </xf>
    <xf numFmtId="0" fontId="4" fillId="12" borderId="0" xfId="0" applyFont="1" applyFill="1"/>
    <xf numFmtId="0" fontId="0" fillId="12" borderId="0" xfId="0" applyFill="1"/>
    <xf numFmtId="0" fontId="1" fillId="12" borderId="0" xfId="0" applyFont="1" applyFill="1" applyAlignment="1">
      <alignment horizontal="center" vertical="top" wrapText="1"/>
    </xf>
    <xf numFmtId="0" fontId="8" fillId="13" borderId="0" xfId="0" applyFont="1" applyFill="1" applyAlignment="1">
      <alignment horizontal="center" vertical="center" wrapText="1"/>
    </xf>
    <xf numFmtId="0" fontId="4" fillId="13" borderId="0" xfId="0" applyFont="1" applyFill="1"/>
    <xf numFmtId="0" fontId="0" fillId="13" borderId="0" xfId="0" applyFill="1"/>
    <xf numFmtId="0" fontId="1" fillId="13" borderId="0" xfId="0" applyFont="1" applyFill="1" applyAlignment="1">
      <alignment horizontal="center" vertical="top" wrapText="1"/>
    </xf>
    <xf numFmtId="0" fontId="8" fillId="14" borderId="0" xfId="0" applyFont="1" applyFill="1" applyAlignment="1">
      <alignment horizontal="center" vertical="center" wrapText="1"/>
    </xf>
    <xf numFmtId="0" fontId="4" fillId="14" borderId="0" xfId="0" applyFont="1" applyFill="1"/>
    <xf numFmtId="0" fontId="0" fillId="14" borderId="0" xfId="0" applyFill="1"/>
    <xf numFmtId="0" fontId="1" fillId="14" borderId="0" xfId="0" applyFont="1" applyFill="1" applyAlignment="1">
      <alignment horizontal="center" vertical="top" wrapText="1"/>
    </xf>
    <xf numFmtId="164" fontId="0" fillId="13" borderId="0" xfId="0" applyNumberFormat="1" applyFill="1" applyAlignment="1">
      <alignment horizontal="center"/>
    </xf>
    <xf numFmtId="164" fontId="0" fillId="12" borderId="0" xfId="0" applyNumberFormat="1" applyFill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164" fontId="5" fillId="0" borderId="0" xfId="0" applyNumberFormat="1" applyFont="1"/>
    <xf numFmtId="164" fontId="7" fillId="0" borderId="0" xfId="0" applyNumberFormat="1" applyFont="1"/>
    <xf numFmtId="164" fontId="0" fillId="4" borderId="0" xfId="0" applyNumberFormat="1" applyFill="1"/>
    <xf numFmtId="164" fontId="0" fillId="4" borderId="0" xfId="0" applyNumberFormat="1" applyFill="1" applyAlignment="1"/>
    <xf numFmtId="164" fontId="0" fillId="14" borderId="0" xfId="0" applyNumberFormat="1" applyFill="1" applyAlignment="1">
      <alignment horizontal="center"/>
    </xf>
    <xf numFmtId="164" fontId="7" fillId="4" borderId="0" xfId="0" applyNumberFormat="1" applyFont="1" applyFill="1"/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166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6" borderId="0" xfId="0" applyFont="1" applyFill="1" applyAlignment="1" applyProtection="1">
      <alignment horizontal="center"/>
      <protection locked="0"/>
    </xf>
    <xf numFmtId="0" fontId="0" fillId="6" borderId="0" xfId="0" applyFill="1" applyAlignment="1" applyProtection="1">
      <alignment horizontal="center"/>
      <protection locked="0"/>
    </xf>
    <xf numFmtId="0" fontId="8" fillId="6" borderId="0" xfId="0" applyFont="1" applyFill="1" applyAlignment="1" applyProtection="1">
      <alignment horizontal="center"/>
      <protection locked="0"/>
    </xf>
    <xf numFmtId="0" fontId="0" fillId="7" borderId="0" xfId="0" applyFill="1" applyAlignment="1" applyProtection="1">
      <alignment horizontal="center"/>
      <protection locked="0"/>
    </xf>
    <xf numFmtId="0" fontId="0" fillId="15" borderId="0" xfId="0" applyFill="1"/>
    <xf numFmtId="0" fontId="0" fillId="15" borderId="0" xfId="0" applyFill="1" applyAlignment="1">
      <alignment horizontal="right"/>
    </xf>
    <xf numFmtId="0" fontId="13" fillId="15" borderId="0" xfId="0" applyFont="1" applyFill="1" applyAlignment="1">
      <alignment horizontal="right"/>
    </xf>
    <xf numFmtId="0" fontId="0" fillId="15" borderId="0" xfId="0" applyFill="1" applyAlignment="1">
      <alignment horizontal="left"/>
    </xf>
    <xf numFmtId="2" fontId="13" fillId="15" borderId="0" xfId="0" applyNumberFormat="1" applyFont="1" applyFill="1" applyAlignment="1">
      <alignment horizontal="right"/>
    </xf>
    <xf numFmtId="0" fontId="0" fillId="15" borderId="0" xfId="0" applyFill="1" applyAlignment="1">
      <alignment horizontal="center"/>
    </xf>
    <xf numFmtId="0" fontId="1" fillId="15" borderId="0" xfId="0" applyFont="1" applyFill="1" applyAlignment="1">
      <alignment horizontal="center" vertical="top" wrapText="1"/>
    </xf>
    <xf numFmtId="0" fontId="0" fillId="15" borderId="0" xfId="0" quotePrefix="1" applyFill="1"/>
    <xf numFmtId="0" fontId="6" fillId="15" borderId="0" xfId="0" applyFont="1" applyFill="1"/>
    <xf numFmtId="2" fontId="6" fillId="15" borderId="0" xfId="0" applyNumberFormat="1" applyFont="1" applyFill="1"/>
    <xf numFmtId="2" fontId="0" fillId="15" borderId="0" xfId="0" applyNumberFormat="1" applyFill="1"/>
    <xf numFmtId="0" fontId="0" fillId="16" borderId="0" xfId="0" applyFill="1"/>
    <xf numFmtId="166" fontId="0" fillId="16" borderId="0" xfId="0" applyNumberFormat="1" applyFill="1"/>
    <xf numFmtId="167" fontId="0" fillId="0" borderId="0" xfId="0" applyNumberFormat="1"/>
    <xf numFmtId="0" fontId="17" fillId="0" borderId="0" xfId="2" applyFont="1" applyAlignment="1"/>
    <xf numFmtId="0" fontId="17" fillId="0" borderId="0" xfId="2" applyFont="1" applyFill="1" applyAlignment="1"/>
    <xf numFmtId="164" fontId="17" fillId="0" borderId="0" xfId="2" applyNumberFormat="1" applyFont="1" applyBorder="1"/>
    <xf numFmtId="164" fontId="17" fillId="0" borderId="0" xfId="2" applyNumberFormat="1" applyFont="1" applyFill="1" applyBorder="1"/>
    <xf numFmtId="166" fontId="17" fillId="0" borderId="0" xfId="2" applyNumberFormat="1" applyFont="1" applyBorder="1"/>
    <xf numFmtId="2" fontId="17" fillId="0" borderId="0" xfId="2" applyNumberFormat="1" applyFont="1" applyBorder="1"/>
    <xf numFmtId="0" fontId="17" fillId="0" borderId="0" xfId="2" applyFont="1" applyBorder="1" applyAlignment="1"/>
    <xf numFmtId="164" fontId="17" fillId="0" borderId="1" xfId="2" applyNumberFormat="1" applyFont="1" applyFill="1" applyBorder="1"/>
    <xf numFmtId="166" fontId="18" fillId="0" borderId="1" xfId="2" applyNumberFormat="1" applyFont="1" applyFill="1" applyBorder="1"/>
    <xf numFmtId="2" fontId="18" fillId="0" borderId="1" xfId="2" applyNumberFormat="1" applyFont="1" applyFill="1" applyBorder="1"/>
    <xf numFmtId="0" fontId="17" fillId="16" borderId="1" xfId="2" applyFont="1" applyFill="1" applyBorder="1" applyAlignment="1">
      <alignment horizontal="right" wrapText="1"/>
    </xf>
    <xf numFmtId="164" fontId="17" fillId="12" borderId="1" xfId="2" applyNumberFormat="1" applyFont="1" applyFill="1" applyBorder="1"/>
    <xf numFmtId="166" fontId="18" fillId="12" borderId="1" xfId="2" applyNumberFormat="1" applyFont="1" applyFill="1" applyBorder="1"/>
    <xf numFmtId="2" fontId="18" fillId="12" borderId="1" xfId="2" applyNumberFormat="1" applyFont="1" applyFill="1" applyBorder="1"/>
    <xf numFmtId="0" fontId="17" fillId="12" borderId="1" xfId="2" applyFont="1" applyFill="1" applyBorder="1" applyAlignment="1">
      <alignment horizontal="right" wrapText="1"/>
    </xf>
    <xf numFmtId="1" fontId="17" fillId="17" borderId="1" xfId="2" applyNumberFormat="1" applyFont="1" applyFill="1" applyBorder="1"/>
    <xf numFmtId="1" fontId="17" fillId="17" borderId="1" xfId="2" applyNumberFormat="1" applyFont="1" applyFill="1" applyBorder="1" applyAlignment="1"/>
    <xf numFmtId="0" fontId="18" fillId="0" borderId="1" xfId="2" applyFont="1" applyFill="1" applyBorder="1"/>
    <xf numFmtId="0" fontId="18" fillId="0" borderId="1" xfId="2" applyFont="1" applyFill="1" applyBorder="1" applyAlignment="1"/>
    <xf numFmtId="0" fontId="17" fillId="17" borderId="1" xfId="2" applyFont="1" applyFill="1" applyBorder="1" applyAlignment="1"/>
    <xf numFmtId="0" fontId="21" fillId="17" borderId="1" xfId="2" applyFont="1" applyFill="1" applyBorder="1" applyAlignment="1"/>
    <xf numFmtId="0" fontId="22" fillId="15" borderId="0" xfId="0" applyFont="1" applyFill="1"/>
    <xf numFmtId="0" fontId="1" fillId="0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1" fillId="2" borderId="0" xfId="0" applyFont="1" applyFill="1" applyAlignment="1">
      <alignment vertical="center" textRotation="90"/>
    </xf>
    <xf numFmtId="0" fontId="1" fillId="2" borderId="0" xfId="0" applyFont="1" applyFill="1" applyAlignment="1">
      <alignment horizontal="center"/>
    </xf>
    <xf numFmtId="0" fontId="4" fillId="18" borderId="0" xfId="0" applyFont="1" applyFill="1"/>
    <xf numFmtId="0" fontId="0" fillId="0" borderId="0" xfId="0" applyFont="1" applyFill="1" applyAlignment="1">
      <alignment horizontal="center"/>
    </xf>
    <xf numFmtId="0" fontId="8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0" fontId="8" fillId="15" borderId="0" xfId="0" applyFont="1" applyFill="1" applyAlignment="1">
      <alignment horizontal="center" vertical="center" wrapText="1"/>
    </xf>
    <xf numFmtId="0" fontId="4" fillId="15" borderId="0" xfId="0" applyFont="1" applyFill="1"/>
    <xf numFmtId="1" fontId="0" fillId="1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23" fillId="0" borderId="0" xfId="0" applyNumberFormat="1" applyFont="1"/>
    <xf numFmtId="9" fontId="8" fillId="6" borderId="0" xfId="0" applyNumberFormat="1" applyFont="1" applyFill="1" applyAlignment="1" applyProtection="1">
      <alignment horizontal="center"/>
      <protection locked="0"/>
    </xf>
    <xf numFmtId="2" fontId="3" fillId="10" borderId="0" xfId="0" applyNumberFormat="1" applyFont="1" applyFill="1" applyAlignment="1">
      <alignment horizontal="center" vertical="center" textRotation="90"/>
    </xf>
    <xf numFmtId="2" fontId="2" fillId="11" borderId="0" xfId="1" applyNumberFormat="1" applyFont="1" applyFill="1" applyAlignment="1">
      <alignment horizontal="left" vertical="center" textRotation="90" wrapText="1"/>
    </xf>
    <xf numFmtId="2" fontId="4" fillId="12" borderId="0" xfId="1" applyNumberFormat="1" applyFont="1" applyFill="1" applyAlignment="1">
      <alignment horizontal="left" vertical="center" textRotation="90" wrapText="1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2" fontId="3" fillId="4" borderId="0" xfId="0" applyNumberFormat="1" applyFont="1" applyFill="1" applyAlignment="1">
      <alignment horizontal="center" vertical="center" textRotation="90" wrapText="1"/>
    </xf>
    <xf numFmtId="164" fontId="3" fillId="4" borderId="0" xfId="0" applyNumberFormat="1" applyFont="1" applyFill="1" applyAlignment="1">
      <alignment horizontal="center" vertical="center" textRotation="90" wrapText="1"/>
    </xf>
    <xf numFmtId="0" fontId="3" fillId="5" borderId="0" xfId="0" applyFont="1" applyFill="1" applyAlignment="1">
      <alignment horizontal="center" vertical="center" textRotation="90"/>
    </xf>
    <xf numFmtId="164" fontId="23" fillId="4" borderId="0" xfId="0" applyNumberFormat="1" applyFont="1" applyFill="1" applyAlignment="1">
      <alignment horizontal="center" vertical="center" textRotation="90" wrapText="1"/>
    </xf>
    <xf numFmtId="0" fontId="19" fillId="0" borderId="2" xfId="2" applyFont="1" applyBorder="1" applyAlignment="1">
      <alignment horizontal="center" wrapText="1"/>
    </xf>
    <xf numFmtId="0" fontId="19" fillId="0" borderId="2" xfId="2" applyFon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Neutral" xfId="1" builtinId="28"/>
    <cellStyle name="Normal" xfId="0" builtinId="0"/>
    <cellStyle name="Normal 2" xfId="2"/>
  </cellStyles>
  <dxfs count="24">
    <dxf>
      <font>
        <color theme="0" tint="-0.1499679555650502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42825896762905"/>
          <c:y val="2.5428331875182269E-2"/>
          <c:w val="0.81923840769903766"/>
          <c:h val="0.8416746864975212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'BF Filter Latency'!$D$26:$E$26</c:f>
              <c:strCache>
                <c:ptCount val="1"/>
                <c:pt idx="0">
                  <c:v>Gyro LPF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Latency'!$D$33:$D$94</c:f>
              <c:numCache>
                <c:formatCode>0.0</c:formatCode>
                <c:ptCount val="62"/>
                <c:pt idx="0">
                  <c:v>-3.96E-5</c:v>
                </c:pt>
                <c:pt idx="1">
                  <c:v>-3.96E-3</c:v>
                </c:pt>
                <c:pt idx="2">
                  <c:v>-1.9800000000000002E-2</c:v>
                </c:pt>
                <c:pt idx="3">
                  <c:v>-3.96E-3</c:v>
                </c:pt>
                <c:pt idx="4">
                  <c:v>-1.9800000000000002E-2</c:v>
                </c:pt>
                <c:pt idx="5">
                  <c:v>-3.9600000000000003E-2</c:v>
                </c:pt>
                <c:pt idx="6">
                  <c:v>-7.9200000000000007E-2</c:v>
                </c:pt>
                <c:pt idx="7">
                  <c:v>-0.11880000000000002</c:v>
                </c:pt>
                <c:pt idx="8">
                  <c:v>-0.15840000000000001</c:v>
                </c:pt>
                <c:pt idx="9">
                  <c:v>-0.19800000000000001</c:v>
                </c:pt>
                <c:pt idx="10">
                  <c:v>-0.23760000000000003</c:v>
                </c:pt>
                <c:pt idx="11">
                  <c:v>-0.2772</c:v>
                </c:pt>
                <c:pt idx="12">
                  <c:v>-0.31680000000000003</c:v>
                </c:pt>
                <c:pt idx="13">
                  <c:v>-0.35640000000000005</c:v>
                </c:pt>
                <c:pt idx="14">
                  <c:v>-0.39600000000000002</c:v>
                </c:pt>
                <c:pt idx="15">
                  <c:v>-0.47520000000000007</c:v>
                </c:pt>
                <c:pt idx="16">
                  <c:v>-0.59399999999999997</c:v>
                </c:pt>
                <c:pt idx="17">
                  <c:v>-0.79200000000000004</c:v>
                </c:pt>
                <c:pt idx="18">
                  <c:v>-0.99</c:v>
                </c:pt>
                <c:pt idx="19">
                  <c:v>-1.1879999999999999</c:v>
                </c:pt>
                <c:pt idx="20">
                  <c:v>-1.3859999999999999</c:v>
                </c:pt>
                <c:pt idx="21">
                  <c:v>-1.5840000000000001</c:v>
                </c:pt>
                <c:pt idx="22">
                  <c:v>-1.782</c:v>
                </c:pt>
                <c:pt idx="23">
                  <c:v>-1.98</c:v>
                </c:pt>
                <c:pt idx="24">
                  <c:v>-2.3759999999999999</c:v>
                </c:pt>
                <c:pt idx="25">
                  <c:v>-2.7719999999999998</c:v>
                </c:pt>
                <c:pt idx="26">
                  <c:v>-3.1680000000000001</c:v>
                </c:pt>
                <c:pt idx="27">
                  <c:v>-3.5640000000000001</c:v>
                </c:pt>
                <c:pt idx="28">
                  <c:v>-3.96</c:v>
                </c:pt>
                <c:pt idx="29">
                  <c:v>-4.95</c:v>
                </c:pt>
                <c:pt idx="30">
                  <c:v>-5.94</c:v>
                </c:pt>
                <c:pt idx="31">
                  <c:v>-6.93</c:v>
                </c:pt>
                <c:pt idx="32">
                  <c:v>-7.92</c:v>
                </c:pt>
                <c:pt idx="33">
                  <c:v>-8.91</c:v>
                </c:pt>
                <c:pt idx="34">
                  <c:v>-9.9</c:v>
                </c:pt>
                <c:pt idx="35">
                  <c:v>-10.89</c:v>
                </c:pt>
                <c:pt idx="36">
                  <c:v>-11.88</c:v>
                </c:pt>
                <c:pt idx="37">
                  <c:v>-12.87</c:v>
                </c:pt>
                <c:pt idx="38">
                  <c:v>-13.86</c:v>
                </c:pt>
                <c:pt idx="39">
                  <c:v>-14.85</c:v>
                </c:pt>
                <c:pt idx="40">
                  <c:v>-15.84</c:v>
                </c:pt>
                <c:pt idx="41">
                  <c:v>-16.829999999999998</c:v>
                </c:pt>
                <c:pt idx="42">
                  <c:v>-17.82</c:v>
                </c:pt>
                <c:pt idx="43">
                  <c:v>-18.809999999999999</c:v>
                </c:pt>
                <c:pt idx="44">
                  <c:v>-19.8</c:v>
                </c:pt>
                <c:pt idx="45">
                  <c:v>-20.79</c:v>
                </c:pt>
                <c:pt idx="46">
                  <c:v>-21.78</c:v>
                </c:pt>
                <c:pt idx="47">
                  <c:v>-22.77</c:v>
                </c:pt>
                <c:pt idx="48">
                  <c:v>-23.76</c:v>
                </c:pt>
                <c:pt idx="49">
                  <c:v>-27.72</c:v>
                </c:pt>
                <c:pt idx="50">
                  <c:v>-31.68</c:v>
                </c:pt>
                <c:pt idx="51">
                  <c:v>-35.64</c:v>
                </c:pt>
                <c:pt idx="52">
                  <c:v>-39.6</c:v>
                </c:pt>
                <c:pt idx="53">
                  <c:v>-79.2</c:v>
                </c:pt>
                <c:pt idx="54">
                  <c:v>-118.8</c:v>
                </c:pt>
                <c:pt idx="55">
                  <c:v>-158.4</c:v>
                </c:pt>
                <c:pt idx="56">
                  <c:v>-198</c:v>
                </c:pt>
                <c:pt idx="57">
                  <c:v>-237.6</c:v>
                </c:pt>
                <c:pt idx="58">
                  <c:v>-277.2</c:v>
                </c:pt>
                <c:pt idx="59">
                  <c:v>-316.8</c:v>
                </c:pt>
                <c:pt idx="60">
                  <c:v>-356.4</c:v>
                </c:pt>
                <c:pt idx="61">
                  <c:v>-396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'BF Filter Latency'!$AG$26:$AH$26</c:f>
              <c:strCache>
                <c:ptCount val="1"/>
                <c:pt idx="0">
                  <c:v>Dynamic
Notch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Latency'!$AG$33:$AG$94</c:f>
              <c:numCache>
                <c:formatCode>0.0</c:formatCode>
                <c:ptCount val="62"/>
                <c:pt idx="0">
                  <c:v>-1.637022271704029E-4</c:v>
                </c:pt>
                <c:pt idx="1">
                  <c:v>-1.6370224360611006E-2</c:v>
                </c:pt>
                <c:pt idx="2">
                  <c:v>-8.185131891428013E-2</c:v>
                </c:pt>
                <c:pt idx="3">
                  <c:v>-1.6370224360611006E-2</c:v>
                </c:pt>
                <c:pt idx="4">
                  <c:v>-8.185131891428013E-2</c:v>
                </c:pt>
                <c:pt idx="5">
                  <c:v>-0.16370386978238419</c:v>
                </c:pt>
                <c:pt idx="6">
                  <c:v>-0.32741759546009647</c:v>
                </c:pt>
                <c:pt idx="7">
                  <c:v>-0.49115103434093654</c:v>
                </c:pt>
                <c:pt idx="8">
                  <c:v>-0.65491404655763463</c:v>
                </c:pt>
                <c:pt idx="9">
                  <c:v>-0.81871649648084455</c:v>
                </c:pt>
                <c:pt idx="10">
                  <c:v>-0.98256825413245541</c:v>
                </c:pt>
                <c:pt idx="11">
                  <c:v>-1.1464791965996275</c:v>
                </c:pt>
                <c:pt idx="12">
                  <c:v>-1.3104592094495031</c:v>
                </c:pt>
                <c:pt idx="13">
                  <c:v>-1.474518188144974</c:v>
                </c:pt>
                <c:pt idx="14">
                  <c:v>-1.6386660394615029</c:v>
                </c:pt>
                <c:pt idx="15">
                  <c:v>-1.9672680521316865</c:v>
                </c:pt>
                <c:pt idx="16">
                  <c:v>-2.4610860931731473</c:v>
                </c:pt>
                <c:pt idx="17">
                  <c:v>-3.2872229694445489</c:v>
                </c:pt>
                <c:pt idx="18">
                  <c:v>-4.1183362813710103</c:v>
                </c:pt>
                <c:pt idx="19">
                  <c:v>-4.9557034314960733</c:v>
                </c:pt>
                <c:pt idx="20">
                  <c:v>-5.8006241437169708</c:v>
                </c:pt>
                <c:pt idx="21">
                  <c:v>-6.654425046006593</c:v>
                </c:pt>
                <c:pt idx="22">
                  <c:v>-7.5184643082035834</c:v>
                </c:pt>
                <c:pt idx="23">
                  <c:v>-8.3941363354150944</c:v>
                </c:pt>
                <c:pt idx="24">
                  <c:v>-10.186165991736594</c:v>
                </c:pt>
                <c:pt idx="25">
                  <c:v>-12.042575142884987</c:v>
                </c:pt>
                <c:pt idx="26">
                  <c:v>-13.976310666026887</c:v>
                </c:pt>
                <c:pt idx="27">
                  <c:v>-16.001355098311162</c:v>
                </c:pt>
                <c:pt idx="28">
                  <c:v>-18.132864911074034</c:v>
                </c:pt>
                <c:pt idx="29">
                  <c:v>-24.038660430218492</c:v>
                </c:pt>
                <c:pt idx="30">
                  <c:v>-31.008954350344595</c:v>
                </c:pt>
                <c:pt idx="31">
                  <c:v>-39.369317242364751</c:v>
                </c:pt>
                <c:pt idx="32">
                  <c:v>-49.398705354995549</c:v>
                </c:pt>
                <c:pt idx="33">
                  <c:v>-61.141224419809546</c:v>
                </c:pt>
                <c:pt idx="34">
                  <c:v>-74.149240741800241</c:v>
                </c:pt>
                <c:pt idx="35">
                  <c:v>-87.420643436049602</c:v>
                </c:pt>
                <c:pt idx="36">
                  <c:v>80.206172641552428</c:v>
                </c:pt>
                <c:pt idx="37">
                  <c:v>69.49572221384399</c:v>
                </c:pt>
                <c:pt idx="38">
                  <c:v>60.642246457208728</c:v>
                </c:pt>
                <c:pt idx="39">
                  <c:v>53.469921235587691</c:v>
                </c:pt>
                <c:pt idx="40">
                  <c:v>47.675426656029146</c:v>
                </c:pt>
                <c:pt idx="41">
                  <c:v>42.962096479998422</c:v>
                </c:pt>
                <c:pt idx="42">
                  <c:v>39.085167172170998</c:v>
                </c:pt>
                <c:pt idx="43">
                  <c:v>35.85576542348943</c:v>
                </c:pt>
                <c:pt idx="44">
                  <c:v>33.131707275329063</c:v>
                </c:pt>
                <c:pt idx="45">
                  <c:v>30.806494952111876</c:v>
                </c:pt>
                <c:pt idx="46">
                  <c:v>28.799996553101494</c:v>
                </c:pt>
                <c:pt idx="47">
                  <c:v>27.0513637224891</c:v>
                </c:pt>
                <c:pt idx="48">
                  <c:v>25.513870427534243</c:v>
                </c:pt>
                <c:pt idx="49">
                  <c:v>20.854458039578333</c:v>
                </c:pt>
                <c:pt idx="50">
                  <c:v>17.697275685489785</c:v>
                </c:pt>
                <c:pt idx="51">
                  <c:v>15.406098864545015</c:v>
                </c:pt>
                <c:pt idx="52">
                  <c:v>13.661153706905509</c:v>
                </c:pt>
                <c:pt idx="53">
                  <c:v>6.5171645832789409</c:v>
                </c:pt>
                <c:pt idx="54">
                  <c:v>4.3075451967782499</c:v>
                </c:pt>
                <c:pt idx="55">
                  <c:v>3.2209656750644058</c:v>
                </c:pt>
                <c:pt idx="56">
                  <c:v>2.5731944721339062</c:v>
                </c:pt>
                <c:pt idx="57">
                  <c:v>2.1427114962155827</c:v>
                </c:pt>
                <c:pt idx="58">
                  <c:v>1.8357747405457019</c:v>
                </c:pt>
                <c:pt idx="59">
                  <c:v>1.6058288834470034</c:v>
                </c:pt>
                <c:pt idx="60">
                  <c:v>1.4271146808455342</c:v>
                </c:pt>
                <c:pt idx="61">
                  <c:v>1.2842173581403244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'BF Filter Latency'!$W$26:$X$26</c:f>
              <c:strCache>
                <c:ptCount val="1"/>
                <c:pt idx="0">
                  <c:v>Static
Notch 1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Latency'!$A$33:$A$133</c:f>
              <c:numCache>
                <c:formatCode>General</c:formatCode>
                <c:ptCount val="98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Latency'!$W$33:$W$133</c:f>
              <c:numCache>
                <c:formatCode>0.0</c:formatCode>
                <c:ptCount val="98"/>
                <c:pt idx="0">
                  <c:v>-1.1317684840892259E-4</c:v>
                </c:pt>
                <c:pt idx="1">
                  <c:v>-1.1317685253791867E-2</c:v>
                </c:pt>
                <c:pt idx="2">
                  <c:v>-5.658847567279509E-2</c:v>
                </c:pt>
                <c:pt idx="3">
                  <c:v>-1.1317685253791867E-2</c:v>
                </c:pt>
                <c:pt idx="4">
                  <c:v>-5.658847567279509E-2</c:v>
                </c:pt>
                <c:pt idx="5">
                  <c:v>-0.11317726012036515</c:v>
                </c:pt>
                <c:pt idx="6">
                  <c:v>-0.22635699045968005</c:v>
                </c:pt>
                <c:pt idx="7">
                  <c:v>-0.33954166134778124</c:v>
                </c:pt>
                <c:pt idx="8">
                  <c:v>-0.45273374333615191</c:v>
                </c:pt>
                <c:pt idx="9">
                  <c:v>-0.56593570730896103</c:v>
                </c:pt>
                <c:pt idx="10">
                  <c:v>-0.67915002459377261</c:v>
                </c:pt>
                <c:pt idx="11">
                  <c:v>-0.79237916707239398</c:v>
                </c:pt>
                <c:pt idx="12">
                  <c:v>-0.90562560729180086</c:v>
                </c:pt>
                <c:pt idx="13">
                  <c:v>-1.0188918185748845</c:v>
                </c:pt>
                <c:pt idx="14">
                  <c:v>-1.1321802751313002</c:v>
                </c:pt>
                <c:pt idx="15">
                  <c:v>-1.3588338260012292</c:v>
                </c:pt>
                <c:pt idx="16">
                  <c:v>-1.699042910382659</c:v>
                </c:pt>
                <c:pt idx="17">
                  <c:v>-2.2668335126373966</c:v>
                </c:pt>
                <c:pt idx="18">
                  <c:v>-2.835863020082777</c:v>
                </c:pt>
                <c:pt idx="19">
                  <c:v>-3.4064437549947124</c:v>
                </c:pt>
                <c:pt idx="20">
                  <c:v>-3.9788897685275959</c:v>
                </c:pt>
                <c:pt idx="21">
                  <c:v>-4.5535171845692144</c:v>
                </c:pt>
                <c:pt idx="22">
                  <c:v>-5.1306445423586293</c:v>
                </c:pt>
                <c:pt idx="23">
                  <c:v>-5.7105931374996457</c:v>
                </c:pt>
                <c:pt idx="24">
                  <c:v>-6.8802550352737333</c:v>
                </c:pt>
                <c:pt idx="25">
                  <c:v>-8.065141180729249</c:v>
                </c:pt>
                <c:pt idx="26">
                  <c:v>-9.2679553415030274</c:v>
                </c:pt>
                <c:pt idx="27">
                  <c:v>-10.491477012331604</c:v>
                </c:pt>
                <c:pt idx="28">
                  <c:v>-11.738571206722327</c:v>
                </c:pt>
                <c:pt idx="29">
                  <c:v>-14.979113965881796</c:v>
                </c:pt>
                <c:pt idx="30">
                  <c:v>-18.434948822922014</c:v>
                </c:pt>
                <c:pt idx="31">
                  <c:v>-22.159727388530616</c:v>
                </c:pt>
                <c:pt idx="32">
                  <c:v>-26.211378017831539</c:v>
                </c:pt>
                <c:pt idx="33">
                  <c:v>-30.650667957052868</c:v>
                </c:pt>
                <c:pt idx="34">
                  <c:v>-35.537677791974382</c:v>
                </c:pt>
                <c:pt idx="35">
                  <c:v>-40.9251268500348</c:v>
                </c:pt>
                <c:pt idx="36">
                  <c:v>-46.847610265994611</c:v>
                </c:pt>
                <c:pt idx="37">
                  <c:v>-53.306804275086151</c:v>
                </c:pt>
                <c:pt idx="38">
                  <c:v>-60.255118703057789</c:v>
                </c:pt>
                <c:pt idx="39">
                  <c:v>-67.583852520656365</c:v>
                </c:pt>
                <c:pt idx="40">
                  <c:v>-75.124317998361221</c:v>
                </c:pt>
                <c:pt idx="41">
                  <c:v>-82.667672825306127</c:v>
                </c:pt>
                <c:pt idx="42">
                  <c:v>-90.000000000000014</c:v>
                </c:pt>
                <c:pt idx="43">
                  <c:v>83.06063153770134</c:v>
                </c:pt>
                <c:pt idx="44">
                  <c:v>76.639781555235515</c:v>
                </c:pt>
                <c:pt idx="45">
                  <c:v>70.801152716147996</c:v>
                </c:pt>
                <c:pt idx="46">
                  <c:v>65.556045219583453</c:v>
                </c:pt>
                <c:pt idx="47">
                  <c:v>60.879341307737505</c:v>
                </c:pt>
                <c:pt idx="48">
                  <c:v>56.725112015165081</c:v>
                </c:pt>
                <c:pt idx="49">
                  <c:v>44.242831134941468</c:v>
                </c:pt>
                <c:pt idx="50">
                  <c:v>36.182804077442427</c:v>
                </c:pt>
                <c:pt idx="51">
                  <c:v>30.65066795705286</c:v>
                </c:pt>
                <c:pt idx="52">
                  <c:v>26.636850361942379</c:v>
                </c:pt>
                <c:pt idx="53">
                  <c:v>11.89626173946229</c:v>
                </c:pt>
                <c:pt idx="54">
                  <c:v>7.767345725474172</c:v>
                </c:pt>
                <c:pt idx="55">
                  <c:v>5.7833012003129056</c:v>
                </c:pt>
                <c:pt idx="56">
                  <c:v>4.6111121443144327</c:v>
                </c:pt>
                <c:pt idx="57">
                  <c:v>3.8355861458966558</c:v>
                </c:pt>
                <c:pt idx="58">
                  <c:v>3.2840301589540672</c:v>
                </c:pt>
                <c:pt idx="59">
                  <c:v>2.8714756207132268</c:v>
                </c:pt>
                <c:pt idx="60">
                  <c:v>2.5511739195529799</c:v>
                </c:pt>
                <c:pt idx="61">
                  <c:v>2.295252974014744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'BF Filter Latency'!$AB$26:$AC$26</c:f>
              <c:strCache>
                <c:ptCount val="1"/>
                <c:pt idx="0">
                  <c:v>Static
Notch 2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Latency'!$AB$33:$AB$94</c:f>
              <c:numCache>
                <c:formatCode>0.0</c:formatCode>
                <c:ptCount val="62"/>
                <c:pt idx="0">
                  <c:v>-1.8334649444713569E-4</c:v>
                </c:pt>
                <c:pt idx="1">
                  <c:v>-1.8334651751900657E-2</c:v>
                </c:pt>
                <c:pt idx="2">
                  <c:v>-9.1673535686735405E-2</c:v>
                </c:pt>
                <c:pt idx="3">
                  <c:v>-1.8334651751900657E-2</c:v>
                </c:pt>
                <c:pt idx="4">
                  <c:v>-9.1673535686735405E-2</c:v>
                </c:pt>
                <c:pt idx="5">
                  <c:v>-0.18334880218381097</c:v>
                </c:pt>
                <c:pt idx="6">
                  <c:v>-0.36671145131717237</c:v>
                </c:pt>
                <c:pt idx="7">
                  <c:v>-0.55010179683878757</c:v>
                </c:pt>
                <c:pt idx="8">
                  <c:v>-0.73353369316611117</c:v>
                </c:pt>
                <c:pt idx="9">
                  <c:v>-0.91702100218555815</c:v>
                </c:pt>
                <c:pt idx="10">
                  <c:v>-1.1005775957437809</c:v>
                </c:pt>
                <c:pt idx="11">
                  <c:v>-1.284217358140296</c:v>
                </c:pt>
                <c:pt idx="12">
                  <c:v>-1.4679541886219676</c:v>
                </c:pt>
                <c:pt idx="13">
                  <c:v>-1.6518020038793477</c:v>
                </c:pt>
                <c:pt idx="14">
                  <c:v>-1.8357747405456908</c:v>
                </c:pt>
                <c:pt idx="15">
                  <c:v>-2.2041508393637494</c:v>
                </c:pt>
                <c:pt idx="16">
                  <c:v>-2.7580017386267301</c:v>
                </c:pt>
                <c:pt idx="17">
                  <c:v>-3.685458121435643</c:v>
                </c:pt>
                <c:pt idx="18">
                  <c:v>-4.6199234816603951</c:v>
                </c:pt>
                <c:pt idx="19">
                  <c:v>-5.5632088207439914</c:v>
                </c:pt>
                <c:pt idx="20">
                  <c:v>-6.5171645832789808</c:v>
                </c:pt>
                <c:pt idx="21">
                  <c:v>-7.483688797097213</c:v>
                </c:pt>
                <c:pt idx="22">
                  <c:v>-8.4647353231221079</c:v>
                </c:pt>
                <c:pt idx="23">
                  <c:v>-9.462322208025622</c:v>
                </c:pt>
                <c:pt idx="24">
                  <c:v>-11.515560816181015</c:v>
                </c:pt>
                <c:pt idx="25">
                  <c:v>-13.661153706905511</c:v>
                </c:pt>
                <c:pt idx="26">
                  <c:v>-15.918414137194272</c:v>
                </c:pt>
                <c:pt idx="27">
                  <c:v>-18.308468278894704</c:v>
                </c:pt>
                <c:pt idx="28">
                  <c:v>-20.854458039578347</c:v>
                </c:pt>
                <c:pt idx="29">
                  <c:v>-28.072486935852968</c:v>
                </c:pt>
                <c:pt idx="30">
                  <c:v>-36.869897645844027</c:v>
                </c:pt>
                <c:pt idx="31">
                  <c:v>-47.675426656029153</c:v>
                </c:pt>
                <c:pt idx="32">
                  <c:v>-60.642246457208735</c:v>
                </c:pt>
                <c:pt idx="33">
                  <c:v>-75.217273957384336</c:v>
                </c:pt>
                <c:pt idx="34">
                  <c:v>-90.000000000000014</c:v>
                </c:pt>
                <c:pt idx="35">
                  <c:v>76.578164932113779</c:v>
                </c:pt>
                <c:pt idx="36">
                  <c:v>65.376435213836388</c:v>
                </c:pt>
                <c:pt idx="37">
                  <c:v>56.437256218907592</c:v>
                </c:pt>
                <c:pt idx="38">
                  <c:v>49.398705354995514</c:v>
                </c:pt>
                <c:pt idx="39">
                  <c:v>43.83086067209257</c:v>
                </c:pt>
                <c:pt idx="40">
                  <c:v>39.36931724236473</c:v>
                </c:pt>
                <c:pt idx="41">
                  <c:v>35.737911852783782</c:v>
                </c:pt>
                <c:pt idx="42">
                  <c:v>32.73522627210761</c:v>
                </c:pt>
                <c:pt idx="43">
                  <c:v>30.215472599837398</c:v>
                </c:pt>
                <c:pt idx="44">
                  <c:v>28.072486935852965</c:v>
                </c:pt>
                <c:pt idx="45">
                  <c:v>26.228021067220169</c:v>
                </c:pt>
                <c:pt idx="46">
                  <c:v>24.623564786163598</c:v>
                </c:pt>
                <c:pt idx="47">
                  <c:v>23.214707469485575</c:v>
                </c:pt>
                <c:pt idx="48">
                  <c:v>21.967243406812912</c:v>
                </c:pt>
                <c:pt idx="49">
                  <c:v>18.132864911074023</c:v>
                </c:pt>
                <c:pt idx="50">
                  <c:v>15.48572615690972</c:v>
                </c:pt>
                <c:pt idx="51">
                  <c:v>13.539210530207157</c:v>
                </c:pt>
                <c:pt idx="52">
                  <c:v>12.042575142884942</c:v>
                </c:pt>
                <c:pt idx="53">
                  <c:v>5.8006241437169876</c:v>
                </c:pt>
                <c:pt idx="54">
                  <c:v>3.840667136991101</c:v>
                </c:pt>
                <c:pt idx="55">
                  <c:v>2.8736115668218076</c:v>
                </c:pt>
                <c:pt idx="56">
                  <c:v>2.2963447818359555</c:v>
                </c:pt>
                <c:pt idx="57">
                  <c:v>1.9124702345997378</c:v>
                </c:pt>
                <c:pt idx="58">
                  <c:v>1.6386660394614978</c:v>
                </c:pt>
                <c:pt idx="59">
                  <c:v>1.4334954988529489</c:v>
                </c:pt>
                <c:pt idx="60">
                  <c:v>1.2740127309521654</c:v>
                </c:pt>
                <c:pt idx="61">
                  <c:v>1.1464791965996142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'BF Filter Latency'!$G$26:$L$26</c:f>
              <c:strCache>
                <c:ptCount val="1"/>
                <c:pt idx="0">
                  <c:v>Lowpass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Latency'!$A$33:$A$133</c:f>
              <c:numCache>
                <c:formatCode>General</c:formatCode>
                <c:ptCount val="98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Latency'!$G$95:$G$133</c:f>
              <c:numCache>
                <c:formatCode>0.00</c:formatCode>
                <c:ptCount val="36"/>
              </c:numCache>
            </c:numRef>
          </c:yVal>
          <c:smooth val="1"/>
        </c:ser>
        <c:ser>
          <c:idx val="1"/>
          <c:order val="5"/>
          <c:tx>
            <c:strRef>
              <c:f>'BF Filter Latency'!$G$32</c:f>
              <c:strCache>
                <c:ptCount val="1"/>
                <c:pt idx="0">
                  <c:v>Lowpass 1 Phase Delay (deg)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Latency'!$G$33:$G$94</c:f>
              <c:numCache>
                <c:formatCode>0.0</c:formatCode>
                <c:ptCount val="62"/>
                <c:pt idx="0">
                  <c:v>-4.5836623609488006E-4</c:v>
                </c:pt>
                <c:pt idx="1">
                  <c:v>-4.583661383198992E-2</c:v>
                </c:pt>
                <c:pt idx="2">
                  <c:v>-0.22918189575410039</c:v>
                </c:pt>
                <c:pt idx="3">
                  <c:v>-4.583661383198992E-2</c:v>
                </c:pt>
                <c:pt idx="4">
                  <c:v>-0.22918189575410039</c:v>
                </c:pt>
                <c:pt idx="5">
                  <c:v>-0.45835645800043151</c:v>
                </c:pt>
                <c:pt idx="6">
                  <c:v>-0.91665425638528786</c:v>
                </c:pt>
                <c:pt idx="7">
                  <c:v>-1.3748347805694054</c:v>
                </c:pt>
                <c:pt idx="8">
                  <c:v>-1.8328395059420592</c:v>
                </c:pt>
                <c:pt idx="9">
                  <c:v>-2.2906100426385296</c:v>
                </c:pt>
                <c:pt idx="10">
                  <c:v>-2.7480881800537502</c:v>
                </c:pt>
                <c:pt idx="11">
                  <c:v>-3.2052159310134973</c:v>
                </c:pt>
                <c:pt idx="12">
                  <c:v>-3.6619355755198031</c:v>
                </c:pt>
                <c:pt idx="13">
                  <c:v>-4.1181897039887829</c:v>
                </c:pt>
                <c:pt idx="14">
                  <c:v>-4.5739212599008612</c:v>
                </c:pt>
                <c:pt idx="15">
                  <c:v>-5.483590444464439</c:v>
                </c:pt>
                <c:pt idx="16">
                  <c:v>-6.8427734126309403</c:v>
                </c:pt>
                <c:pt idx="17">
                  <c:v>-9.0902769208223226</c:v>
                </c:pt>
                <c:pt idx="18">
                  <c:v>-11.309932474020213</c:v>
                </c:pt>
                <c:pt idx="19">
                  <c:v>-13.495733280795813</c:v>
                </c:pt>
                <c:pt idx="20">
                  <c:v>-15.642246457208728</c:v>
                </c:pt>
                <c:pt idx="21">
                  <c:v>-17.744671625056935</c:v>
                </c:pt>
                <c:pt idx="22">
                  <c:v>-19.798876354524932</c:v>
                </c:pt>
                <c:pt idx="23">
                  <c:v>-21.801409486351812</c:v>
                </c:pt>
                <c:pt idx="24">
                  <c:v>-25.641005824305282</c:v>
                </c:pt>
                <c:pt idx="25">
                  <c:v>-29.248826336546976</c:v>
                </c:pt>
                <c:pt idx="26">
                  <c:v>-32.619243071192827</c:v>
                </c:pt>
                <c:pt idx="27">
                  <c:v>-35.753887254436748</c:v>
                </c:pt>
                <c:pt idx="28">
                  <c:v>-38.659808254090095</c:v>
                </c:pt>
                <c:pt idx="29">
                  <c:v>-45</c:v>
                </c:pt>
                <c:pt idx="30">
                  <c:v>-50.19442890773481</c:v>
                </c:pt>
                <c:pt idx="31">
                  <c:v>-54.462322208025618</c:v>
                </c:pt>
                <c:pt idx="32">
                  <c:v>-57.994616791916499</c:v>
                </c:pt>
                <c:pt idx="33">
                  <c:v>-60.945395900922861</c:v>
                </c:pt>
                <c:pt idx="34">
                  <c:v>-63.43494882292201</c:v>
                </c:pt>
                <c:pt idx="35">
                  <c:v>-65.556045219583467</c:v>
                </c:pt>
                <c:pt idx="36">
                  <c:v>-67.38013505195957</c:v>
                </c:pt>
                <c:pt idx="37">
                  <c:v>-68.962488974578193</c:v>
                </c:pt>
                <c:pt idx="38">
                  <c:v>-70.346175941946697</c:v>
                </c:pt>
                <c:pt idx="39">
                  <c:v>-71.56505117707799</c:v>
                </c:pt>
                <c:pt idx="40">
                  <c:v>-72.645975363738671</c:v>
                </c:pt>
                <c:pt idx="41">
                  <c:v>-73.610459665965223</c:v>
                </c:pt>
                <c:pt idx="42">
                  <c:v>-74.47588900324574</c:v>
                </c:pt>
                <c:pt idx="43">
                  <c:v>-75.25643716352927</c:v>
                </c:pt>
                <c:pt idx="44">
                  <c:v>-75.963756532073532</c:v>
                </c:pt>
                <c:pt idx="45">
                  <c:v>-76.607502246248899</c:v>
                </c:pt>
                <c:pt idx="46">
                  <c:v>-77.19573393471326</c:v>
                </c:pt>
                <c:pt idx="47">
                  <c:v>-77.735226272107596</c:v>
                </c:pt>
                <c:pt idx="48">
                  <c:v>-78.231711067979361</c:v>
                </c:pt>
                <c:pt idx="49">
                  <c:v>-79.875328344602195</c:v>
                </c:pt>
                <c:pt idx="50">
                  <c:v>-81.119340849479755</c:v>
                </c:pt>
                <c:pt idx="51">
                  <c:v>-82.092837297041555</c:v>
                </c:pt>
                <c:pt idx="52">
                  <c:v>-82.874983651098191</c:v>
                </c:pt>
                <c:pt idx="53">
                  <c:v>-86.423665625002656</c:v>
                </c:pt>
                <c:pt idx="54">
                  <c:v>-87.614055969611186</c:v>
                </c:pt>
                <c:pt idx="55">
                  <c:v>-88.210089391753939</c:v>
                </c:pt>
                <c:pt idx="56">
                  <c:v>-88.567903815835365</c:v>
                </c:pt>
                <c:pt idx="57">
                  <c:v>-88.80651057601797</c:v>
                </c:pt>
                <c:pt idx="58">
                  <c:v>-88.976969811332168</c:v>
                </c:pt>
                <c:pt idx="59">
                  <c:v>-89.104826289788932</c:v>
                </c:pt>
                <c:pt idx="60">
                  <c:v>-89.204276447260725</c:v>
                </c:pt>
                <c:pt idx="61">
                  <c:v>-89.283840054529591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937488"/>
        <c:axId val="712265784"/>
      </c:scatterChart>
      <c:valAx>
        <c:axId val="1043937488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65784"/>
        <c:crossesAt val="-180"/>
        <c:crossBetween val="midCat"/>
      </c:valAx>
      <c:valAx>
        <c:axId val="712265784"/>
        <c:scaling>
          <c:orientation val="minMax"/>
          <c:max val="9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37488"/>
        <c:crossesAt val="0.1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311022582965691"/>
          <c:y val="2.0213619130941981E-3"/>
          <c:w val="0.34164375302915889"/>
          <c:h val="0.89410542432195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2825896762905"/>
          <c:y val="2.5428331875182269E-2"/>
          <c:w val="0.81923840769903766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'BF Filter Latency'!$Z$32</c:f>
              <c:strCache>
                <c:ptCount val="1"/>
                <c:pt idx="0">
                  <c:v>Notch 2 LPF Phase Shift
(deg)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Latency'!$Z$33:$Z$94</c:f>
            </c:numRef>
          </c:yVal>
          <c:smooth val="1"/>
        </c:ser>
        <c:ser>
          <c:idx val="1"/>
          <c:order val="1"/>
          <c:tx>
            <c:strRef>
              <c:f>'BF Filter Latency'!$AA$32</c:f>
              <c:strCache>
                <c:ptCount val="1"/>
                <c:pt idx="0">
                  <c:v>Notch 2 HPF Phase Shift
(deg)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Latency'!$AA$33:$AA$94</c:f>
            </c:numRef>
          </c:yVal>
          <c:smooth val="1"/>
        </c:ser>
        <c:ser>
          <c:idx val="2"/>
          <c:order val="2"/>
          <c:tx>
            <c:strRef>
              <c:f>'BF Filter Latency'!$AG$32</c:f>
              <c:strCache>
                <c:ptCount val="1"/>
                <c:pt idx="0">
                  <c:v>Dyn. Notch
Phase Shift
(deg)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Latency'!$AG$33:$AG$94</c:f>
              <c:numCache>
                <c:formatCode>0.0</c:formatCode>
                <c:ptCount val="62"/>
                <c:pt idx="0">
                  <c:v>-1.637022271704029E-4</c:v>
                </c:pt>
                <c:pt idx="1">
                  <c:v>-1.6370224360611006E-2</c:v>
                </c:pt>
                <c:pt idx="2">
                  <c:v>-8.185131891428013E-2</c:v>
                </c:pt>
                <c:pt idx="3">
                  <c:v>-1.6370224360611006E-2</c:v>
                </c:pt>
                <c:pt idx="4">
                  <c:v>-8.185131891428013E-2</c:v>
                </c:pt>
                <c:pt idx="5">
                  <c:v>-0.16370386978238419</c:v>
                </c:pt>
                <c:pt idx="6">
                  <c:v>-0.32741759546009647</c:v>
                </c:pt>
                <c:pt idx="7">
                  <c:v>-0.49115103434093654</c:v>
                </c:pt>
                <c:pt idx="8">
                  <c:v>-0.65491404655763463</c:v>
                </c:pt>
                <c:pt idx="9">
                  <c:v>-0.81871649648084455</c:v>
                </c:pt>
                <c:pt idx="10">
                  <c:v>-0.98256825413245541</c:v>
                </c:pt>
                <c:pt idx="11">
                  <c:v>-1.1464791965996275</c:v>
                </c:pt>
                <c:pt idx="12">
                  <c:v>-1.3104592094495031</c:v>
                </c:pt>
                <c:pt idx="13">
                  <c:v>-1.474518188144974</c:v>
                </c:pt>
                <c:pt idx="14">
                  <c:v>-1.6386660394615029</c:v>
                </c:pt>
                <c:pt idx="15">
                  <c:v>-1.9672680521316865</c:v>
                </c:pt>
                <c:pt idx="16">
                  <c:v>-2.4610860931731473</c:v>
                </c:pt>
                <c:pt idx="17">
                  <c:v>-3.2872229694445489</c:v>
                </c:pt>
                <c:pt idx="18">
                  <c:v>-4.1183362813710103</c:v>
                </c:pt>
                <c:pt idx="19">
                  <c:v>-4.9557034314960733</c:v>
                </c:pt>
                <c:pt idx="20">
                  <c:v>-5.8006241437169708</c:v>
                </c:pt>
                <c:pt idx="21">
                  <c:v>-6.654425046006593</c:v>
                </c:pt>
                <c:pt idx="22">
                  <c:v>-7.5184643082035834</c:v>
                </c:pt>
                <c:pt idx="23">
                  <c:v>-8.3941363354150944</c:v>
                </c:pt>
                <c:pt idx="24">
                  <c:v>-10.186165991736594</c:v>
                </c:pt>
                <c:pt idx="25">
                  <c:v>-12.042575142884987</c:v>
                </c:pt>
                <c:pt idx="26">
                  <c:v>-13.976310666026887</c:v>
                </c:pt>
                <c:pt idx="27">
                  <c:v>-16.001355098311162</c:v>
                </c:pt>
                <c:pt idx="28">
                  <c:v>-18.132864911074034</c:v>
                </c:pt>
                <c:pt idx="29">
                  <c:v>-24.038660430218492</c:v>
                </c:pt>
                <c:pt idx="30">
                  <c:v>-31.008954350344595</c:v>
                </c:pt>
                <c:pt idx="31">
                  <c:v>-39.369317242364751</c:v>
                </c:pt>
                <c:pt idx="32">
                  <c:v>-49.398705354995549</c:v>
                </c:pt>
                <c:pt idx="33">
                  <c:v>-61.141224419809546</c:v>
                </c:pt>
                <c:pt idx="34">
                  <c:v>-74.149240741800241</c:v>
                </c:pt>
                <c:pt idx="35">
                  <c:v>-87.420643436049602</c:v>
                </c:pt>
                <c:pt idx="36">
                  <c:v>80.206172641552428</c:v>
                </c:pt>
                <c:pt idx="37">
                  <c:v>69.49572221384399</c:v>
                </c:pt>
                <c:pt idx="38">
                  <c:v>60.642246457208728</c:v>
                </c:pt>
                <c:pt idx="39">
                  <c:v>53.469921235587691</c:v>
                </c:pt>
                <c:pt idx="40">
                  <c:v>47.675426656029146</c:v>
                </c:pt>
                <c:pt idx="41">
                  <c:v>42.962096479998422</c:v>
                </c:pt>
                <c:pt idx="42">
                  <c:v>39.085167172170998</c:v>
                </c:pt>
                <c:pt idx="43">
                  <c:v>35.85576542348943</c:v>
                </c:pt>
                <c:pt idx="44">
                  <c:v>33.131707275329063</c:v>
                </c:pt>
                <c:pt idx="45">
                  <c:v>30.806494952111876</c:v>
                </c:pt>
                <c:pt idx="46">
                  <c:v>28.799996553101494</c:v>
                </c:pt>
                <c:pt idx="47">
                  <c:v>27.0513637224891</c:v>
                </c:pt>
                <c:pt idx="48">
                  <c:v>25.513870427534243</c:v>
                </c:pt>
                <c:pt idx="49">
                  <c:v>20.854458039578333</c:v>
                </c:pt>
                <c:pt idx="50">
                  <c:v>17.697275685489785</c:v>
                </c:pt>
                <c:pt idx="51">
                  <c:v>15.406098864545015</c:v>
                </c:pt>
                <c:pt idx="52">
                  <c:v>13.661153706905509</c:v>
                </c:pt>
                <c:pt idx="53">
                  <c:v>6.5171645832789409</c:v>
                </c:pt>
                <c:pt idx="54">
                  <c:v>4.3075451967782499</c:v>
                </c:pt>
                <c:pt idx="55">
                  <c:v>3.2209656750644058</c:v>
                </c:pt>
                <c:pt idx="56">
                  <c:v>2.5731944721339062</c:v>
                </c:pt>
                <c:pt idx="57">
                  <c:v>2.1427114962155827</c:v>
                </c:pt>
                <c:pt idx="58">
                  <c:v>1.8357747405457019</c:v>
                </c:pt>
                <c:pt idx="59">
                  <c:v>1.6058288834470034</c:v>
                </c:pt>
                <c:pt idx="60">
                  <c:v>1.4271146808455342</c:v>
                </c:pt>
                <c:pt idx="61">
                  <c:v>1.2842173581403244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266568"/>
        <c:axId val="712266960"/>
      </c:scatterChart>
      <c:valAx>
        <c:axId val="712266568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66960"/>
        <c:crossesAt val="-180"/>
        <c:crossBetween val="midCat"/>
      </c:valAx>
      <c:valAx>
        <c:axId val="712266960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66568"/>
        <c:crossesAt val="0.1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994653073643"/>
          <c:y val="0.61224147800579543"/>
          <c:w val="0.28662999672715511"/>
          <c:h val="0.38775852199420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Filter Delay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189976078865149E-2"/>
          <c:y val="0.10641388122328767"/>
          <c:w val="0.760382774709218"/>
          <c:h val="0.80585625126428306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'BF Filter Latency'!$E$32</c:f>
              <c:strCache>
                <c:ptCount val="1"/>
                <c:pt idx="0">
                  <c:v>Gyro LPF Latency (ms)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Latency'!$E$33:$E$94</c:f>
              <c:numCache>
                <c:formatCode>0.00</c:formatCode>
                <c:ptCount val="6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'BF Filter Latency'!$S$32</c:f>
              <c:strCache>
                <c:ptCount val="1"/>
                <c:pt idx="0">
                  <c:v>Lowpass 2 Latency
(ms)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Latency'!$S$33:$S$94</c:f>
              <c:numCache>
                <c:formatCode>0.0</c:formatCode>
                <c:ptCount val="62"/>
                <c:pt idx="0">
                  <c:v>0.39788735772953121</c:v>
                </c:pt>
                <c:pt idx="1">
                  <c:v>0.39788735565740835</c:v>
                </c:pt>
                <c:pt idx="2">
                  <c:v>0.39788730592150079</c:v>
                </c:pt>
                <c:pt idx="3">
                  <c:v>0.39788735565740835</c:v>
                </c:pt>
                <c:pt idx="4">
                  <c:v>0.39788730592150079</c:v>
                </c:pt>
                <c:pt idx="5">
                  <c:v>0.39788715049693385</c:v>
                </c:pt>
                <c:pt idx="6">
                  <c:v>0.39788652880085157</c:v>
                </c:pt>
                <c:pt idx="7">
                  <c:v>0.39788549264848561</c:v>
                </c:pt>
                <c:pt idx="8">
                  <c:v>0.39788404205149236</c:v>
                </c:pt>
                <c:pt idx="9">
                  <c:v>0.39788217702619016</c:v>
                </c:pt>
                <c:pt idx="10">
                  <c:v>0.39787989759355891</c:v>
                </c:pt>
                <c:pt idx="11">
                  <c:v>0.39787720377923935</c:v>
                </c:pt>
                <c:pt idx="12">
                  <c:v>0.39787409561353188</c:v>
                </c:pt>
                <c:pt idx="13">
                  <c:v>0.39787057313139618</c:v>
                </c:pt>
                <c:pt idx="14">
                  <c:v>0.39786663637244918</c:v>
                </c:pt>
                <c:pt idx="15">
                  <c:v>0.39785752020587078</c:v>
                </c:pt>
                <c:pt idx="16">
                  <c:v>0.39784074013800758</c:v>
                </c:pt>
                <c:pt idx="17">
                  <c:v>0.39780449560129066</c:v>
                </c:pt>
                <c:pt idx="18">
                  <c:v>0.39775791294357099</c:v>
                </c:pt>
                <c:pt idx="19">
                  <c:v>0.39770100524046353</c:v>
                </c:pt>
                <c:pt idx="20">
                  <c:v>0.39763378845101571</c:v>
                </c:pt>
                <c:pt idx="21">
                  <c:v>0.39755628140440935</c:v>
                </c:pt>
                <c:pt idx="22">
                  <c:v>0.39746850578429999</c:v>
                </c:pt>
                <c:pt idx="23">
                  <c:v>0.39737048611081682</c:v>
                </c:pt>
                <c:pt idx="24">
                  <c:v>0.3971438267425017</c:v>
                </c:pt>
                <c:pt idx="25">
                  <c:v>0.39687655536178046</c:v>
                </c:pt>
                <c:pt idx="26">
                  <c:v>0.39656896788191964</c:v>
                </c:pt>
                <c:pt idx="27">
                  <c:v>0.39622140310115961</c:v>
                </c:pt>
                <c:pt idx="28">
                  <c:v>0.39583424160565545</c:v>
                </c:pt>
                <c:pt idx="29">
                  <c:v>0.3946959622453442</c:v>
                </c:pt>
                <c:pt idx="30">
                  <c:v>0.39332056578352348</c:v>
                </c:pt>
                <c:pt idx="31">
                  <c:v>0.39171705645479987</c:v>
                </c:pt>
                <c:pt idx="32">
                  <c:v>0.38989565188684661</c:v>
                </c:pt>
                <c:pt idx="33">
                  <c:v>0.38786760071643822</c:v>
                </c:pt>
                <c:pt idx="34">
                  <c:v>0.38564499191691831</c:v>
                </c:pt>
                <c:pt idx="35">
                  <c:v>0.38324056178760696</c:v>
                </c:pt>
                <c:pt idx="36">
                  <c:v>0.38066750406636046</c:v>
                </c:pt>
                <c:pt idx="37">
                  <c:v>0.37793928792737902</c:v>
                </c:pt>
                <c:pt idx="38">
                  <c:v>0.37506948778820348</c:v>
                </c:pt>
                <c:pt idx="39">
                  <c:v>0.37207162794288245</c:v>
                </c:pt>
                <c:pt idx="40">
                  <c:v>0.36895904412608321</c:v>
                </c:pt>
                <c:pt idx="41">
                  <c:v>0.36574476324810645</c:v>
                </c:pt>
                <c:pt idx="42">
                  <c:v>0.36244140176285522</c:v>
                </c:pt>
                <c:pt idx="43">
                  <c:v>0.3590610824656657</c:v>
                </c:pt>
                <c:pt idx="44">
                  <c:v>0.35561536897870549</c:v>
                </c:pt>
                <c:pt idx="45">
                  <c:v>0.35211521677073992</c:v>
                </c:pt>
                <c:pt idx="46">
                  <c:v>0.34857093926937777</c:v>
                </c:pt>
                <c:pt idx="47">
                  <c:v>0.34499218744543853</c:v>
                </c:pt>
                <c:pt idx="48">
                  <c:v>0.34138794116522242</c:v>
                </c:pt>
                <c:pt idx="49">
                  <c:v>0.32687242195007665</c:v>
                </c:pt>
                <c:pt idx="50">
                  <c:v>0.3125</c:v>
                </c:pt>
                <c:pt idx="51">
                  <c:v>0.29855839915697419</c:v>
                </c:pt>
                <c:pt idx="52">
                  <c:v>0.28522328747727732</c:v>
                </c:pt>
                <c:pt idx="53">
                  <c:v>0.1894405292045783</c:v>
                </c:pt>
                <c:pt idx="54">
                  <c:v>0.13901589411456006</c:v>
                </c:pt>
                <c:pt idx="55">
                  <c:v>0.1092917604527497</c:v>
                </c:pt>
                <c:pt idx="56">
                  <c:v>8.989969231019744E-2</c:v>
                </c:pt>
                <c:pt idx="57">
                  <c:v>7.6301256140193105E-2</c:v>
                </c:pt>
                <c:pt idx="58">
                  <c:v>6.6254125593923033E-2</c:v>
                </c:pt>
                <c:pt idx="59">
                  <c:v>5.853431032118081E-2</c:v>
                </c:pt>
                <c:pt idx="60">
                  <c:v>5.2419995148139151E-2</c:v>
                </c:pt>
                <c:pt idx="61">
                  <c:v>4.7458932633388413E-2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'BF Filter Latency'!$AH$32</c:f>
              <c:strCache>
                <c:ptCount val="1"/>
                <c:pt idx="0">
                  <c:v>Dyn. Notch Latency (ms)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Latency'!$AH$33:$AH$94</c:f>
              <c:numCache>
                <c:formatCode>0.0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'BF Filter Latency'!$X$32</c:f>
              <c:strCache>
                <c:ptCount val="1"/>
                <c:pt idx="0">
                  <c:v>Notch 1 Latency (ms)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Latency'!$X$33:$X$94</c:f>
              <c:numCache>
                <c:formatCode>0.0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'BF Filter Latency'!$AC$32</c:f>
              <c:strCache>
                <c:ptCount val="1"/>
                <c:pt idx="0">
                  <c:v>Notch 2 Latency (ms)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Latency'!$AC$33:$AC$94</c:f>
              <c:numCache>
                <c:formatCode>0.0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'BF Filter Latency'!$L$32</c:f>
              <c:strCache>
                <c:ptCount val="1"/>
                <c:pt idx="0">
                  <c:v>Lowpass 1 Latency
(ms)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Latency'!$L$33:$L$94</c:f>
              <c:numCache>
                <c:formatCode>0.0</c:formatCode>
                <c:ptCount val="62"/>
                <c:pt idx="0">
                  <c:v>1.2732395447080003</c:v>
                </c:pt>
                <c:pt idx="1">
                  <c:v>1.2732392731108311</c:v>
                </c:pt>
                <c:pt idx="2">
                  <c:v>1.2732327541894466</c:v>
                </c:pt>
                <c:pt idx="3">
                  <c:v>1.2732392731108311</c:v>
                </c:pt>
                <c:pt idx="4">
                  <c:v>1.2732327541894466</c:v>
                </c:pt>
                <c:pt idx="5">
                  <c:v>1.2732123833345319</c:v>
                </c:pt>
                <c:pt idx="6">
                  <c:v>1.273130911646233</c:v>
                </c:pt>
                <c:pt idx="7">
                  <c:v>1.2729951671938939</c:v>
                </c:pt>
                <c:pt idx="8">
                  <c:v>1.2728052124597635</c:v>
                </c:pt>
                <c:pt idx="9">
                  <c:v>1.272561134799183</c:v>
                </c:pt>
                <c:pt idx="10">
                  <c:v>1.2722630463211806</c:v>
                </c:pt>
                <c:pt idx="11">
                  <c:v>1.2719110837355148</c:v>
                </c:pt>
                <c:pt idx="12">
                  <c:v>1.2715054081665982</c:v>
                </c:pt>
                <c:pt idx="13">
                  <c:v>1.2710462049348097</c:v>
                </c:pt>
                <c:pt idx="14">
                  <c:v>1.2705336833057947</c:v>
                </c:pt>
                <c:pt idx="15">
                  <c:v>1.2693496399223239</c:v>
                </c:pt>
                <c:pt idx="16">
                  <c:v>1.2671802615983223</c:v>
                </c:pt>
                <c:pt idx="17">
                  <c:v>1.2625384612253225</c:v>
                </c:pt>
                <c:pt idx="18">
                  <c:v>1.2566591637800237</c:v>
                </c:pt>
                <c:pt idx="19">
                  <c:v>1.2496049334070198</c:v>
                </c:pt>
                <c:pt idx="20">
                  <c:v>1.2414481315245023</c:v>
                </c:pt>
                <c:pt idx="21">
                  <c:v>1.232268862851176</c:v>
                </c:pt>
                <c:pt idx="22">
                  <c:v>1.222152861390428</c:v>
                </c:pt>
                <c:pt idx="23">
                  <c:v>1.211189415908434</c:v>
                </c:pt>
                <c:pt idx="24">
                  <c:v>1.1870836029770964</c:v>
                </c:pt>
                <c:pt idx="25">
                  <c:v>1.1606677117677371</c:v>
                </c:pt>
                <c:pt idx="26">
                  <c:v>1.1326126066386397</c:v>
                </c:pt>
                <c:pt idx="27">
                  <c:v>1.1035150387171835</c:v>
                </c:pt>
                <c:pt idx="28">
                  <c:v>1.0738835626136138</c:v>
                </c:pt>
                <c:pt idx="29">
                  <c:v>1</c:v>
                </c:pt>
                <c:pt idx="30">
                  <c:v>0.92952646125434835</c:v>
                </c:pt>
                <c:pt idx="31">
                  <c:v>0.86448130488929553</c:v>
                </c:pt>
                <c:pt idx="32">
                  <c:v>0.805480788776618</c:v>
                </c:pt>
                <c:pt idx="33">
                  <c:v>0.75241229507312168</c:v>
                </c:pt>
                <c:pt idx="34">
                  <c:v>0.70483276469913336</c:v>
                </c:pt>
                <c:pt idx="35">
                  <c:v>0.66218227494528759</c:v>
                </c:pt>
                <c:pt idx="36">
                  <c:v>0.62389013936999604</c:v>
                </c:pt>
                <c:pt idx="37">
                  <c:v>0.58942298268870252</c:v>
                </c:pt>
                <c:pt idx="38">
                  <c:v>0.55830298366624365</c:v>
                </c:pt>
                <c:pt idx="39">
                  <c:v>0.53011149020057768</c:v>
                </c:pt>
                <c:pt idx="40">
                  <c:v>0.50448594002596303</c:v>
                </c:pt>
                <c:pt idx="41">
                  <c:v>0.48111411546382499</c:v>
                </c:pt>
                <c:pt idx="42">
                  <c:v>0.45972770989657863</c:v>
                </c:pt>
                <c:pt idx="43">
                  <c:v>0.44009612376332907</c:v>
                </c:pt>
                <c:pt idx="44">
                  <c:v>0.42202086962263075</c:v>
                </c:pt>
                <c:pt idx="45">
                  <c:v>0.40533069971560265</c:v>
                </c:pt>
                <c:pt idx="46">
                  <c:v>0.38987744411471342</c:v>
                </c:pt>
                <c:pt idx="47">
                  <c:v>0.37553249406815264</c:v>
                </c:pt>
                <c:pt idx="48">
                  <c:v>0.36218384753694149</c:v>
                </c:pt>
                <c:pt idx="49">
                  <c:v>0.31696558866905633</c:v>
                </c:pt>
                <c:pt idx="50">
                  <c:v>0.28166437794958249</c:v>
                </c:pt>
                <c:pt idx="51">
                  <c:v>0.25337295462049864</c:v>
                </c:pt>
                <c:pt idx="52">
                  <c:v>0.2302082879197172</c:v>
                </c:pt>
                <c:pt idx="53">
                  <c:v>0.1200328689236148</c:v>
                </c:pt>
                <c:pt idx="54">
                  <c:v>8.1124125897788127E-2</c:v>
                </c:pt>
                <c:pt idx="55">
                  <c:v>6.1257006522051342E-2</c:v>
                </c:pt>
                <c:pt idx="56">
                  <c:v>4.9204391008797428E-2</c:v>
                </c:pt>
                <c:pt idx="57">
                  <c:v>4.1114125266674989E-2</c:v>
                </c:pt>
                <c:pt idx="58">
                  <c:v>3.5308321353703237E-2</c:v>
                </c:pt>
                <c:pt idx="59">
                  <c:v>3.0939175795065599E-2</c:v>
                </c:pt>
                <c:pt idx="60">
                  <c:v>2.7532184088660719E-2</c:v>
                </c:pt>
                <c:pt idx="61">
                  <c:v>2.4801066681813776E-2</c:v>
                </c:pt>
              </c:numCache>
            </c:numRef>
          </c:yVal>
          <c:smooth val="1"/>
        </c:ser>
        <c:ser>
          <c:idx val="6"/>
          <c:order val="6"/>
          <c:tx>
            <c:v>100 MARKER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00"/>
            <c:spPr>
              <a:noFill/>
              <a:ln w="9525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1"/>
        </c:ser>
        <c:ser>
          <c:idx val="7"/>
          <c:order val="7"/>
          <c:tx>
            <c:v>20 MARKER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9525">
                <a:solidFill>
                  <a:schemeClr val="tx1">
                    <a:lumMod val="95000"/>
                    <a:lumOff val="5000"/>
                  </a:schemeClr>
                </a:solidFill>
                <a:prstDash val="lg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20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1"/>
        </c:ser>
        <c:ser>
          <c:idx val="8"/>
          <c:order val="8"/>
          <c:tx>
            <c:strRef>
              <c:f>'BF Filter Latency'!$AP$32</c:f>
              <c:strCache>
                <c:ptCount val="1"/>
                <c:pt idx="0">
                  <c:v>D-Term Notch Latency (ms)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Latency'!$AP$33:$AP$94</c:f>
              <c:numCache>
                <c:formatCode>0.0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</c:ser>
        <c:ser>
          <c:idx val="13"/>
          <c:order val="9"/>
          <c:tx>
            <c:strRef>
              <c:f>'BF Filter Latency'!$AW$32</c:f>
              <c:strCache>
                <c:ptCount val="1"/>
                <c:pt idx="0">
                  <c:v>D-Term Stage 1 LPF Latency (ms)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Latency'!$AW$33:$AW$94</c:f>
              <c:numCache>
                <c:formatCode>0.0</c:formatCode>
                <c:ptCount val="62"/>
                <c:pt idx="0">
                  <c:v>1.3262911924017602</c:v>
                </c:pt>
                <c:pt idx="1">
                  <c:v>1.3262908854207394</c:v>
                </c:pt>
                <c:pt idx="2">
                  <c:v>1.3262835172161587</c:v>
                </c:pt>
                <c:pt idx="3">
                  <c:v>1.3262908854207394</c:v>
                </c:pt>
                <c:pt idx="4">
                  <c:v>1.3262835172161587</c:v>
                </c:pt>
                <c:pt idx="5">
                  <c:v>1.3262604925266037</c:v>
                </c:pt>
                <c:pt idx="6">
                  <c:v>1.3261684081558174</c:v>
                </c:pt>
                <c:pt idx="7">
                  <c:v>1.3260149853376357</c:v>
                </c:pt>
                <c:pt idx="8">
                  <c:v>1.3258003006919279</c:v>
                </c:pt>
                <c:pt idx="9">
                  <c:v>1.3255244613271182</c:v>
                </c:pt>
                <c:pt idx="10">
                  <c:v>1.3251876046813644</c:v>
                </c:pt>
                <c:pt idx="11">
                  <c:v>1.3247898983191873</c:v>
                </c:pt>
                <c:pt idx="12">
                  <c:v>1.3243315396841508</c:v>
                </c:pt>
                <c:pt idx="13">
                  <c:v>1.3238127558083388</c:v>
                </c:pt>
                <c:pt idx="14">
                  <c:v>1.3232338029794937</c:v>
                </c:pt>
                <c:pt idx="15">
                  <c:v>1.321896559606399</c:v>
                </c:pt>
                <c:pt idx="16">
                  <c:v>1.3194474720188514</c:v>
                </c:pt>
                <c:pt idx="17">
                  <c:v>1.3142114177813355</c:v>
                </c:pt>
                <c:pt idx="18">
                  <c:v>1.3075876591134052</c:v>
                </c:pt>
                <c:pt idx="19">
                  <c:v>1.2996521729561554</c:v>
                </c:pt>
                <c:pt idx="20">
                  <c:v>1.2904924371676161</c:v>
                </c:pt>
                <c:pt idx="21">
                  <c:v>1.2802047793695841</c:v>
                </c:pt>
                <c:pt idx="22">
                  <c:v>1.2688916802212016</c:v>
                </c:pt>
                <c:pt idx="23">
                  <c:v>1.2566591637800237</c:v>
                </c:pt>
                <c:pt idx="24">
                  <c:v>1.2298634804202773</c:v>
                </c:pt>
                <c:pt idx="25">
                  <c:v>1.2006522683940184</c:v>
                </c:pt>
                <c:pt idx="26">
                  <c:v>1.1697940113187426</c:v>
                </c:pt>
                <c:pt idx="27">
                  <c:v>1.1379598038840748</c:v>
                </c:pt>
                <c:pt idx="28">
                  <c:v>1.1057103081184778</c:v>
                </c:pt>
                <c:pt idx="29">
                  <c:v>1.0259808739534984</c:v>
                </c:pt>
                <c:pt idx="30">
                  <c:v>0.95074429159092422</c:v>
                </c:pt>
                <c:pt idx="31">
                  <c:v>0.88192080462216493</c:v>
                </c:pt>
                <c:pt idx="32">
                  <c:v>0.81994782594342341</c:v>
                </c:pt>
                <c:pt idx="33">
                  <c:v>0.76453719832280298</c:v>
                </c:pt>
                <c:pt idx="34">
                  <c:v>0.71509993528549698</c:v>
                </c:pt>
                <c:pt idx="35">
                  <c:v>0.67096256361704443</c:v>
                </c:pt>
                <c:pt idx="36">
                  <c:v>0.63146843068192771</c:v>
                </c:pt>
                <c:pt idx="37">
                  <c:v>0.59601967973549141</c:v>
                </c:pt>
                <c:pt idx="38">
                  <c:v>0.56409012368213307</c:v>
                </c:pt>
                <c:pt idx="39">
                  <c:v>0.53522465462920787</c:v>
                </c:pt>
                <c:pt idx="40">
                  <c:v>0.50903302615282209</c:v>
                </c:pt>
                <c:pt idx="41">
                  <c:v>0.48518181344787137</c:v>
                </c:pt>
                <c:pt idx="42">
                  <c:v>0.46338631371520023</c:v>
                </c:pt>
                <c:pt idx="43">
                  <c:v>0.44340313207773746</c:v>
                </c:pt>
                <c:pt idx="44">
                  <c:v>0.42502370399557887</c:v>
                </c:pt>
                <c:pt idx="45">
                  <c:v>0.40806877481686521</c:v>
                </c:pt>
                <c:pt idx="46">
                  <c:v>0.3923837584978388</c:v>
                </c:pt>
                <c:pt idx="47">
                  <c:v>0.37783486328933519</c:v>
                </c:pt>
                <c:pt idx="48">
                  <c:v>0.36430586817583233</c:v>
                </c:pt>
                <c:pt idx="49">
                  <c:v>0.3185413549547555</c:v>
                </c:pt>
                <c:pt idx="50">
                  <c:v>0.28287928607656904</c:v>
                </c:pt>
                <c:pt idx="51">
                  <c:v>0.25433752046731034</c:v>
                </c:pt>
                <c:pt idx="52">
                  <c:v>0.23099229607602514</c:v>
                </c:pt>
                <c:pt idx="53">
                  <c:v>0.12023106894104095</c:v>
                </c:pt>
                <c:pt idx="54">
                  <c:v>8.1212398108668024E-2</c:v>
                </c:pt>
                <c:pt idx="55">
                  <c:v>6.1306695832183712E-2</c:v>
                </c:pt>
                <c:pt idx="56">
                  <c:v>4.9236202899683668E-2</c:v>
                </c:pt>
                <c:pt idx="57">
                  <c:v>4.1136220908252266E-2</c:v>
                </c:pt>
                <c:pt idx="58">
                  <c:v>3.532455668126025E-2</c:v>
                </c:pt>
                <c:pt idx="59">
                  <c:v>3.0951606859845601E-2</c:v>
                </c:pt>
                <c:pt idx="60">
                  <c:v>2.7542006647861116E-2</c:v>
                </c:pt>
                <c:pt idx="61">
                  <c:v>2.4809023234822473E-2</c:v>
                </c:pt>
              </c:numCache>
            </c:numRef>
          </c:yVal>
          <c:smooth val="1"/>
        </c:ser>
        <c:ser>
          <c:idx val="9"/>
          <c:order val="10"/>
          <c:tx>
            <c:strRef>
              <c:f>'BF Filter Latency'!$BD$32</c:f>
              <c:strCache>
                <c:ptCount val="1"/>
                <c:pt idx="0">
                  <c:v>D-Term Stage 2 LPF Latency (ms)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</a:ln>
            <a:effectLst>
              <a:glow rad="63500">
                <a:schemeClr val="accent3">
                  <a:satMod val="175000"/>
                  <a:alpha val="40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glow rad="63500">
                  <a:schemeClr val="accent3">
                    <a:satMod val="175000"/>
                    <a:alpha val="40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Latency'!$BD$33:$BD$94</c:f>
              <c:numCache>
                <c:formatCode>0.0</c:formatCode>
                <c:ptCount val="62"/>
                <c:pt idx="0">
                  <c:v>0.7957747154528455</c:v>
                </c:pt>
                <c:pt idx="1">
                  <c:v>0.79577464914492702</c:v>
                </c:pt>
                <c:pt idx="2">
                  <c:v>0.79577305760170314</c:v>
                </c:pt>
                <c:pt idx="3">
                  <c:v>0.79577464914492702</c:v>
                </c:pt>
                <c:pt idx="4">
                  <c:v>0.79577305760170314</c:v>
                </c:pt>
                <c:pt idx="5">
                  <c:v>0.79576808410298472</c:v>
                </c:pt>
                <c:pt idx="6">
                  <c:v>0.79574819122706375</c:v>
                </c:pt>
                <c:pt idx="7">
                  <c:v>0.79571504041174157</c:v>
                </c:pt>
                <c:pt idx="8">
                  <c:v>0.79566863762159967</c:v>
                </c:pt>
                <c:pt idx="9">
                  <c:v>0.79560899120258133</c:v>
                </c:pt>
                <c:pt idx="10">
                  <c:v>0.79553611187752649</c:v>
                </c:pt>
                <c:pt idx="11">
                  <c:v>0.79545001274043825</c:v>
                </c:pt>
                <c:pt idx="12">
                  <c:v>0.79535070924948947</c:v>
                </c:pt>
                <c:pt idx="13">
                  <c:v>0.7952382192187748</c:v>
                </c:pt>
                <c:pt idx="14">
                  <c:v>0.7951125628088187</c:v>
                </c:pt>
                <c:pt idx="15">
                  <c:v>0.79482184315984317</c:v>
                </c:pt>
                <c:pt idx="16">
                  <c:v>0.79428765348500341</c:v>
                </c:pt>
                <c:pt idx="17">
                  <c:v>0.79313793576383929</c:v>
                </c:pt>
                <c:pt idx="18">
                  <c:v>0.79166848321131089</c:v>
                </c:pt>
                <c:pt idx="19">
                  <c:v>0.78988570462482721</c:v>
                </c:pt>
                <c:pt idx="20">
                  <c:v>0.78779726243267501</c:v>
                </c:pt>
                <c:pt idx="21">
                  <c:v>0.78541197736251478</c:v>
                </c:pt>
                <c:pt idx="22">
                  <c:v>0.7827397217172728</c:v>
                </c:pt>
                <c:pt idx="23">
                  <c:v>0.77979130377369321</c:v>
                </c:pt>
                <c:pt idx="24">
                  <c:v>0.77311315898118615</c:v>
                </c:pt>
                <c:pt idx="25">
                  <c:v>0.76547802457098157</c:v>
                </c:pt>
                <c:pt idx="26">
                  <c:v>0.75699338494277124</c:v>
                </c:pt>
                <c:pt idx="27">
                  <c:v>0.74776991722080766</c:v>
                </c:pt>
                <c:pt idx="28">
                  <c:v>0.73791808825216643</c:v>
                </c:pt>
                <c:pt idx="29">
                  <c:v>0.71123073795741099</c:v>
                </c:pt>
                <c:pt idx="30">
                  <c:v>0.68277588233044484</c:v>
                </c:pt>
                <c:pt idx="31">
                  <c:v>0.65374484390015331</c:v>
                </c:pt>
                <c:pt idx="32">
                  <c:v>0.625</c:v>
                </c:pt>
                <c:pt idx="33">
                  <c:v>0.59711679831394837</c:v>
                </c:pt>
                <c:pt idx="34">
                  <c:v>0.57044657495455464</c:v>
                </c:pt>
                <c:pt idx="35">
                  <c:v>0.54517804661511504</c:v>
                </c:pt>
                <c:pt idx="36">
                  <c:v>0.52138826364833524</c:v>
                </c:pt>
                <c:pt idx="37">
                  <c:v>0.49908117738248797</c:v>
                </c:pt>
                <c:pt idx="38">
                  <c:v>0.47821522780204595</c:v>
                </c:pt>
                <c:pt idx="39">
                  <c:v>0.45872231899368177</c:v>
                </c:pt>
                <c:pt idx="40">
                  <c:v>0.44052047793695842</c:v>
                </c:pt>
                <c:pt idx="41">
                  <c:v>0.42352206767663347</c:v>
                </c:pt>
                <c:pt idx="42">
                  <c:v>0.40763895694704827</c:v>
                </c:pt>
                <c:pt idx="43">
                  <c:v>0.3927856480823535</c:v>
                </c:pt>
                <c:pt idx="44">
                  <c:v>0.37888105840915659</c:v>
                </c:pt>
                <c:pt idx="45">
                  <c:v>0.36584942836201934</c:v>
                </c:pt>
                <c:pt idx="46">
                  <c:v>0.3536206741318183</c:v>
                </c:pt>
                <c:pt idx="47">
                  <c:v>0.34213039601057621</c:v>
                </c:pt>
                <c:pt idx="48">
                  <c:v>0.33131968137536111</c:v>
                </c:pt>
                <c:pt idx="49">
                  <c:v>0.29386747658363949</c:v>
                </c:pt>
                <c:pt idx="50">
                  <c:v>0.2637630435141442</c:v>
                </c:pt>
                <c:pt idx="51">
                  <c:v>0.23910861818163115</c:v>
                </c:pt>
                <c:pt idx="52">
                  <c:v>0.2185835209054994</c:v>
                </c:pt>
                <c:pt idx="53">
                  <c:v>0.11706862064236162</c:v>
                </c:pt>
                <c:pt idx="54">
                  <c:v>7.9801782560842263E-2</c:v>
                </c:pt>
                <c:pt idx="55">
                  <c:v>6.0512218592977951E-2</c:v>
                </c:pt>
                <c:pt idx="56">
                  <c:v>4.8727438865200819E-2</c:v>
                </c:pt>
                <c:pt idx="57">
                  <c:v>4.0782799799538715E-2</c:v>
                </c:pt>
                <c:pt idx="58">
                  <c:v>3.5064850380310819E-2</c:v>
                </c:pt>
                <c:pt idx="59">
                  <c:v>3.0752744380498388E-2</c:v>
                </c:pt>
                <c:pt idx="60">
                  <c:v>2.738486727776027E-2</c:v>
                </c:pt>
                <c:pt idx="61">
                  <c:v>2.468173254495136E-2</c:v>
                </c:pt>
              </c:numCache>
            </c:numRef>
          </c:yVal>
          <c:smooth val="1"/>
        </c:ser>
        <c:ser>
          <c:idx val="10"/>
          <c:order val="11"/>
          <c:tx>
            <c:v>Lowpass 2 Cutoff</c:v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75"/>
            <c:spPr>
              <a:noFill/>
              <a:ln w="9525" cmpd="sng">
                <a:solidFill>
                  <a:srgbClr val="FFC000"/>
                </a:solidFill>
                <a:prstDash val="lgDash"/>
                <a:round/>
                <a:headEnd type="none"/>
                <a:tailEnd type="none"/>
              </a:ln>
              <a:effectLst>
                <a:glow rad="38100">
                  <a:schemeClr val="accent4">
                    <a:alpha val="20000"/>
                  </a:schemeClr>
                </a:glow>
              </a:effectLst>
            </c:spPr>
          </c:errBars>
          <c:xVal>
            <c:numRef>
              <c:f>'BF Filter Latency'!$S$29</c:f>
              <c:numCache>
                <c:formatCode>General</c:formatCode>
                <c:ptCount val="1"/>
                <c:pt idx="0">
                  <c:v>800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1"/>
        </c:ser>
        <c:ser>
          <c:idx val="11"/>
          <c:order val="12"/>
          <c:tx>
            <c:v>Lowpass 1 Cutoff</c:v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75"/>
            <c:spPr>
              <a:noFill/>
              <a:ln w="9525">
                <a:solidFill>
                  <a:srgbClr val="00B0F0"/>
                </a:solidFill>
                <a:prstDash val="dash"/>
                <a:round/>
              </a:ln>
              <a:effectLst>
                <a:glow rad="63500">
                  <a:schemeClr val="accent1">
                    <a:satMod val="175000"/>
                    <a:alpha val="20000"/>
                  </a:schemeClr>
                </a:glow>
              </a:effectLst>
            </c:spPr>
          </c:errBars>
          <c:xVal>
            <c:numRef>
              <c:f>'BF Filter Latency'!$L$29</c:f>
              <c:numCache>
                <c:formatCode>General</c:formatCode>
                <c:ptCount val="1"/>
                <c:pt idx="0">
                  <c:v>125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1"/>
        </c:ser>
        <c:ser>
          <c:idx val="12"/>
          <c:order val="13"/>
          <c:tx>
            <c:v>D-Term Cutoff</c:v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75"/>
            <c:spPr>
              <a:noFill/>
              <a:ln w="9525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>
                <a:glow rad="63500">
                  <a:schemeClr val="accent3">
                    <a:satMod val="175000"/>
                    <a:alpha val="20000"/>
                  </a:schemeClr>
                </a:glow>
              </a:effectLst>
            </c:spPr>
          </c:errBars>
          <c:xVal>
            <c:numRef>
              <c:f>'BF Filter Latency'!$AY$30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764120"/>
        <c:axId val="748764512"/>
      </c:scatterChart>
      <c:valAx>
        <c:axId val="748764120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Motion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64512"/>
        <c:crosses val="autoZero"/>
        <c:crossBetween val="midCat"/>
      </c:valAx>
      <c:valAx>
        <c:axId val="748764512"/>
        <c:scaling>
          <c:orientation val="minMax"/>
          <c:max val="2.4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6412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3995532854140664"/>
          <c:y val="3.8217996707760882E-2"/>
          <c:w val="0.16004467145859333"/>
          <c:h val="0.93319204295128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Filtering</a:t>
            </a:r>
            <a:r>
              <a:rPr lang="en-US" baseline="0"/>
              <a:t> Delay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'BF Filter Latency'!$BG$26</c:f>
              <c:strCache>
                <c:ptCount val="1"/>
                <c:pt idx="0">
                  <c:v>TOTAL Latency (ms)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FFC000"/>
                </a:solidFill>
              </a:ln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Latency'!$BG$33:$BG$94</c:f>
              <c:numCache>
                <c:formatCode>0.0</c:formatCode>
                <c:ptCount val="62"/>
                <c:pt idx="0">
                  <c:v>3.9656928102921372</c:v>
                </c:pt>
                <c:pt idx="1">
                  <c:v>3.9656921633339062</c:v>
                </c:pt>
                <c:pt idx="2">
                  <c:v>3.9656766349288093</c:v>
                </c:pt>
                <c:pt idx="3">
                  <c:v>3.9656921633339062</c:v>
                </c:pt>
                <c:pt idx="4">
                  <c:v>3.9656766349288093</c:v>
                </c:pt>
                <c:pt idx="5">
                  <c:v>3.9656281104610542</c:v>
                </c:pt>
                <c:pt idx="6">
                  <c:v>3.9654340398299661</c:v>
                </c:pt>
                <c:pt idx="7">
                  <c:v>3.9651106855917568</c:v>
                </c:pt>
                <c:pt idx="8">
                  <c:v>3.9646581928247833</c:v>
                </c:pt>
                <c:pt idx="9">
                  <c:v>3.9640767643550725</c:v>
                </c:pt>
                <c:pt idx="10">
                  <c:v>3.9633666604736302</c:v>
                </c:pt>
                <c:pt idx="11">
                  <c:v>3.9625281985743799</c:v>
                </c:pt>
                <c:pt idx="12">
                  <c:v>3.9615617527137705</c:v>
                </c:pt>
                <c:pt idx="13">
                  <c:v>3.9604677530933197</c:v>
                </c:pt>
                <c:pt idx="14">
                  <c:v>3.9592466854665562</c:v>
                </c:pt>
                <c:pt idx="15">
                  <c:v>3.9564255628944371</c:v>
                </c:pt>
                <c:pt idx="16">
                  <c:v>3.9512561272401845</c:v>
                </c:pt>
                <c:pt idx="17">
                  <c:v>3.9401923103717875</c:v>
                </c:pt>
                <c:pt idx="18">
                  <c:v>3.9261732190483105</c:v>
                </c:pt>
                <c:pt idx="19">
                  <c:v>3.9093438162284659</c:v>
                </c:pt>
                <c:pt idx="20">
                  <c:v>3.8898716195758092</c:v>
                </c:pt>
                <c:pt idx="21">
                  <c:v>3.8679419009876841</c:v>
                </c:pt>
                <c:pt idx="22">
                  <c:v>3.8437527691132027</c:v>
                </c:pt>
                <c:pt idx="23">
                  <c:v>3.8175103695729677</c:v>
                </c:pt>
                <c:pt idx="24">
                  <c:v>3.7597040691210619</c:v>
                </c:pt>
                <c:pt idx="25">
                  <c:v>3.6961745600945175</c:v>
                </c:pt>
                <c:pt idx="26">
                  <c:v>3.6284689707820732</c:v>
                </c:pt>
                <c:pt idx="27">
                  <c:v>3.5579661629232255</c:v>
                </c:pt>
                <c:pt idx="28">
                  <c:v>3.4858462005899131</c:v>
                </c:pt>
                <c:pt idx="29">
                  <c:v>3.3044075741562535</c:v>
                </c:pt>
                <c:pt idx="30">
                  <c:v>3.1288672009592409</c:v>
                </c:pt>
                <c:pt idx="31">
                  <c:v>2.9643640098664137</c:v>
                </c:pt>
                <c:pt idx="32">
                  <c:v>2.8128242666068881</c:v>
                </c:pt>
                <c:pt idx="33">
                  <c:v>2.6744338924263111</c:v>
                </c:pt>
                <c:pt idx="34">
                  <c:v>2.5485242668561034</c:v>
                </c:pt>
                <c:pt idx="35">
                  <c:v>2.4340634469650544</c:v>
                </c:pt>
                <c:pt idx="36">
                  <c:v>2.3299143377666196</c:v>
                </c:pt>
                <c:pt idx="37">
                  <c:v>2.2349631277340611</c:v>
                </c:pt>
                <c:pt idx="38">
                  <c:v>2.1481778229386261</c:v>
                </c:pt>
                <c:pt idx="39">
                  <c:v>2.0686300917663498</c:v>
                </c:pt>
                <c:pt idx="40">
                  <c:v>1.9954984882418265</c:v>
                </c:pt>
                <c:pt idx="41">
                  <c:v>1.9280627598364362</c:v>
                </c:pt>
                <c:pt idx="42">
                  <c:v>1.8656943823216823</c:v>
                </c:pt>
                <c:pt idx="43">
                  <c:v>1.8078459863890857</c:v>
                </c:pt>
                <c:pt idx="44">
                  <c:v>1.7540410010060716</c:v>
                </c:pt>
                <c:pt idx="45">
                  <c:v>1.7038641196652269</c:v>
                </c:pt>
                <c:pt idx="46">
                  <c:v>1.6569528160137483</c:v>
                </c:pt>
                <c:pt idx="47">
                  <c:v>1.6129899408135024</c:v>
                </c:pt>
                <c:pt idx="48">
                  <c:v>1.5716973382533572</c:v>
                </c:pt>
                <c:pt idx="49">
                  <c:v>1.428746842157528</c:v>
                </c:pt>
                <c:pt idx="50">
                  <c:v>1.3133067075402958</c:v>
                </c:pt>
                <c:pt idx="51">
                  <c:v>1.2178774924264144</c:v>
                </c:pt>
                <c:pt idx="52">
                  <c:v>1.1375073923785191</c:v>
                </c:pt>
                <c:pt idx="53">
                  <c:v>0.7192730877115957</c:v>
                </c:pt>
                <c:pt idx="54">
                  <c:v>0.55365420068185844</c:v>
                </c:pt>
                <c:pt idx="55">
                  <c:v>0.46486768139996271</c:v>
                </c:pt>
                <c:pt idx="56">
                  <c:v>0.40956772508387934</c:v>
                </c:pt>
                <c:pt idx="57">
                  <c:v>0.37183440211465912</c:v>
                </c:pt>
                <c:pt idx="58">
                  <c:v>0.34445185400919731</c:v>
                </c:pt>
                <c:pt idx="59">
                  <c:v>0.32367783735659039</c:v>
                </c:pt>
                <c:pt idx="60">
                  <c:v>0.30737905316242126</c:v>
                </c:pt>
                <c:pt idx="61">
                  <c:v>0.294250755094976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'BF Filter Latency'!$AJ$26</c:f>
              <c:strCache>
                <c:ptCount val="1"/>
                <c:pt idx="0">
                  <c:v>Gyro Latency (ms)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63500">
                <a:schemeClr val="accent6">
                  <a:satMod val="175000"/>
                  <a:alpha val="40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92D050"/>
                </a:solidFill>
              </a:ln>
              <a:effectLst>
                <a:glow rad="63500">
                  <a:schemeClr val="accent6">
                    <a:satMod val="175000"/>
                    <a:alpha val="40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Latency'!$AJ$33:$AJ$94</c:f>
              <c:numCache>
                <c:formatCode>0.0</c:formatCode>
                <c:ptCount val="62"/>
                <c:pt idx="0">
                  <c:v>1.8436269024375314</c:v>
                </c:pt>
                <c:pt idx="1">
                  <c:v>1.8436266287682395</c:v>
                </c:pt>
                <c:pt idx="2">
                  <c:v>1.8436200601109474</c:v>
                </c:pt>
                <c:pt idx="3">
                  <c:v>1.8436266287682395</c:v>
                </c:pt>
                <c:pt idx="4">
                  <c:v>1.8436200601109474</c:v>
                </c:pt>
                <c:pt idx="5">
                  <c:v>1.8435995338314657</c:v>
                </c:pt>
                <c:pt idx="6">
                  <c:v>1.8435174404470847</c:v>
                </c:pt>
                <c:pt idx="7">
                  <c:v>1.8433806598423796</c:v>
                </c:pt>
                <c:pt idx="8">
                  <c:v>1.8431892545112558</c:v>
                </c:pt>
                <c:pt idx="9">
                  <c:v>1.8429433118253731</c:v>
                </c:pt>
                <c:pt idx="10">
                  <c:v>1.8426429439147394</c:v>
                </c:pt>
                <c:pt idx="11">
                  <c:v>1.8422882875147542</c:v>
                </c:pt>
                <c:pt idx="12">
                  <c:v>1.8418795037801301</c:v>
                </c:pt>
                <c:pt idx="13">
                  <c:v>1.8414167780662059</c:v>
                </c:pt>
                <c:pt idx="14">
                  <c:v>1.8409003196782439</c:v>
                </c:pt>
                <c:pt idx="15">
                  <c:v>1.8397071601281947</c:v>
                </c:pt>
                <c:pt idx="16">
                  <c:v>1.8375210017363299</c:v>
                </c:pt>
                <c:pt idx="17">
                  <c:v>1.8328429568266131</c:v>
                </c:pt>
                <c:pt idx="18">
                  <c:v>1.8269170767235947</c:v>
                </c:pt>
                <c:pt idx="19">
                  <c:v>1.8198059386474834</c:v>
                </c:pt>
                <c:pt idx="20">
                  <c:v>1.8115819199755179</c:v>
                </c:pt>
                <c:pt idx="21">
                  <c:v>1.8023251442555854</c:v>
                </c:pt>
                <c:pt idx="22">
                  <c:v>1.792121367174728</c:v>
                </c:pt>
                <c:pt idx="23">
                  <c:v>1.7810599020192508</c:v>
                </c:pt>
                <c:pt idx="24">
                  <c:v>1.7567274297195981</c:v>
                </c:pt>
                <c:pt idx="25">
                  <c:v>1.7300442671295175</c:v>
                </c:pt>
                <c:pt idx="26">
                  <c:v>1.7016815745205593</c:v>
                </c:pt>
                <c:pt idx="27">
                  <c:v>1.6722364418183431</c:v>
                </c:pt>
                <c:pt idx="28">
                  <c:v>1.6422178042192692</c:v>
                </c:pt>
                <c:pt idx="29">
                  <c:v>1.5671959622453442</c:v>
                </c:pt>
                <c:pt idx="30">
                  <c:v>1.4953470270378717</c:v>
                </c:pt>
                <c:pt idx="31">
                  <c:v>1.4286983613440953</c:v>
                </c:pt>
                <c:pt idx="32">
                  <c:v>1.3678764406634647</c:v>
                </c:pt>
                <c:pt idx="33">
                  <c:v>1.3127798957895598</c:v>
                </c:pt>
                <c:pt idx="34">
                  <c:v>1.2629777566160518</c:v>
                </c:pt>
                <c:pt idx="35">
                  <c:v>1.2179228367328947</c:v>
                </c:pt>
                <c:pt idx="36">
                  <c:v>1.1770576434363564</c:v>
                </c:pt>
                <c:pt idx="37">
                  <c:v>1.1398622706160815</c:v>
                </c:pt>
                <c:pt idx="38">
                  <c:v>1.1058724714544472</c:v>
                </c:pt>
                <c:pt idx="39">
                  <c:v>1.0746831181434602</c:v>
                </c:pt>
                <c:pt idx="40">
                  <c:v>1.0459449841520461</c:v>
                </c:pt>
                <c:pt idx="41">
                  <c:v>1.0193588787119314</c:v>
                </c:pt>
                <c:pt idx="42">
                  <c:v>0.99466911165943384</c:v>
                </c:pt>
                <c:pt idx="43">
                  <c:v>0.97165720622899476</c:v>
                </c:pt>
                <c:pt idx="44">
                  <c:v>0.95013623860133622</c:v>
                </c:pt>
                <c:pt idx="45">
                  <c:v>0.92994591648634251</c:v>
                </c:pt>
                <c:pt idx="46">
                  <c:v>0.91094838338409123</c:v>
                </c:pt>
                <c:pt idx="47">
                  <c:v>0.89302468151359116</c:v>
                </c:pt>
                <c:pt idx="48">
                  <c:v>0.87607178870216385</c:v>
                </c:pt>
                <c:pt idx="49">
                  <c:v>0.81633801061913291</c:v>
                </c:pt>
                <c:pt idx="50">
                  <c:v>0.76666437794958253</c:v>
                </c:pt>
                <c:pt idx="51">
                  <c:v>0.72443135377747281</c:v>
                </c:pt>
                <c:pt idx="52">
                  <c:v>0.68793157539699457</c:v>
                </c:pt>
                <c:pt idx="53">
                  <c:v>0.48197339812819312</c:v>
                </c:pt>
                <c:pt idx="54">
                  <c:v>0.39264002001234816</c:v>
                </c:pt>
                <c:pt idx="55">
                  <c:v>0.34304876697480102</c:v>
                </c:pt>
                <c:pt idx="56">
                  <c:v>0.31160408331899486</c:v>
                </c:pt>
                <c:pt idx="57">
                  <c:v>0.28991538140686812</c:v>
                </c:pt>
                <c:pt idx="58">
                  <c:v>0.27406244694762627</c:v>
                </c:pt>
                <c:pt idx="59">
                  <c:v>0.26197348611624638</c:v>
                </c:pt>
                <c:pt idx="60">
                  <c:v>0.25245217923679986</c:v>
                </c:pt>
                <c:pt idx="61">
                  <c:v>0.24475999931520218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'BF Filter Latency'!$BF$26</c:f>
              <c:strCache>
                <c:ptCount val="1"/>
                <c:pt idx="0">
                  <c:v>D-Term Latency (ms)</c:v>
                </c:pt>
              </c:strCache>
            </c:strRef>
          </c:tx>
          <c:spPr>
            <a:ln w="22225" cap="rnd">
              <a:solidFill>
                <a:srgbClr val="0070C0"/>
              </a:solidFill>
            </a:ln>
            <a:effectLst>
              <a:glow rad="63500">
                <a:schemeClr val="accent5">
                  <a:satMod val="175000"/>
                  <a:alpha val="40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70C0"/>
                </a:solidFill>
              </a:ln>
              <a:effectLst>
                <a:glow rad="63500">
                  <a:schemeClr val="accent5">
                    <a:satMod val="175000"/>
                    <a:alpha val="40000"/>
                  </a:schemeClr>
                </a:glow>
              </a:effectLst>
            </c:spPr>
          </c:marker>
          <c:xVal>
            <c:numRef>
              <c:f>'BF Filter Latency'!$A$33:$A$94</c:f>
              <c:numCache>
                <c:formatCode>General</c:formatCode>
                <c:ptCount val="62"/>
                <c:pt idx="0">
                  <c:v>1E-3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125</c:v>
                </c:pt>
                <c:pt idx="30">
                  <c:v>150</c:v>
                </c:pt>
                <c:pt idx="31">
                  <c:v>175</c:v>
                </c:pt>
                <c:pt idx="32">
                  <c:v>200</c:v>
                </c:pt>
                <c:pt idx="33">
                  <c:v>225</c:v>
                </c:pt>
                <c:pt idx="34">
                  <c:v>250</c:v>
                </c:pt>
                <c:pt idx="35">
                  <c:v>275</c:v>
                </c:pt>
                <c:pt idx="36">
                  <c:v>300</c:v>
                </c:pt>
                <c:pt idx="37">
                  <c:v>325</c:v>
                </c:pt>
                <c:pt idx="38">
                  <c:v>350</c:v>
                </c:pt>
                <c:pt idx="39">
                  <c:v>375</c:v>
                </c:pt>
                <c:pt idx="40">
                  <c:v>400</c:v>
                </c:pt>
                <c:pt idx="41">
                  <c:v>425</c:v>
                </c:pt>
                <c:pt idx="42">
                  <c:v>450</c:v>
                </c:pt>
                <c:pt idx="43">
                  <c:v>475</c:v>
                </c:pt>
                <c:pt idx="44">
                  <c:v>500</c:v>
                </c:pt>
                <c:pt idx="45">
                  <c:v>525</c:v>
                </c:pt>
                <c:pt idx="46">
                  <c:v>550</c:v>
                </c:pt>
                <c:pt idx="47">
                  <c:v>575</c:v>
                </c:pt>
                <c:pt idx="48">
                  <c:v>600</c:v>
                </c:pt>
                <c:pt idx="49">
                  <c:v>700</c:v>
                </c:pt>
                <c:pt idx="50">
                  <c:v>800</c:v>
                </c:pt>
                <c:pt idx="51">
                  <c:v>900</c:v>
                </c:pt>
                <c:pt idx="52">
                  <c:v>1000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5000</c:v>
                </c:pt>
                <c:pt idx="57">
                  <c:v>6000</c:v>
                </c:pt>
                <c:pt idx="58">
                  <c:v>7000</c:v>
                </c:pt>
                <c:pt idx="59">
                  <c:v>8000</c:v>
                </c:pt>
                <c:pt idx="60">
                  <c:v>9000</c:v>
                </c:pt>
                <c:pt idx="61">
                  <c:v>10000</c:v>
                </c:pt>
              </c:numCache>
            </c:numRef>
          </c:xVal>
          <c:yVal>
            <c:numRef>
              <c:f>'BF Filter Latency'!$BF$33:$BF$94</c:f>
              <c:numCache>
                <c:formatCode>0.0</c:formatCode>
                <c:ptCount val="62"/>
                <c:pt idx="0">
                  <c:v>2.1220659078546058</c:v>
                </c:pt>
                <c:pt idx="1">
                  <c:v>2.1220655345656665</c:v>
                </c:pt>
                <c:pt idx="2">
                  <c:v>2.1220565748178619</c:v>
                </c:pt>
                <c:pt idx="3">
                  <c:v>2.1220655345656665</c:v>
                </c:pt>
                <c:pt idx="4">
                  <c:v>2.1220565748178619</c:v>
                </c:pt>
                <c:pt idx="5">
                  <c:v>2.1220285766295883</c:v>
                </c:pt>
                <c:pt idx="6">
                  <c:v>2.1219165993828812</c:v>
                </c:pt>
                <c:pt idx="7">
                  <c:v>2.1217300257493772</c:v>
                </c:pt>
                <c:pt idx="8">
                  <c:v>2.1214689383135275</c:v>
                </c:pt>
                <c:pt idx="9">
                  <c:v>2.1211334525296994</c:v>
                </c:pt>
                <c:pt idx="10">
                  <c:v>2.1207237165588908</c:v>
                </c:pt>
                <c:pt idx="11">
                  <c:v>2.1202399110596257</c:v>
                </c:pt>
                <c:pt idx="12">
                  <c:v>2.1196822489336404</c:v>
                </c:pt>
                <c:pt idx="13">
                  <c:v>2.1190509750271138</c:v>
                </c:pt>
                <c:pt idx="14">
                  <c:v>2.1183463657883124</c:v>
                </c:pt>
                <c:pt idx="15">
                  <c:v>2.1167184027662422</c:v>
                </c:pt>
                <c:pt idx="16">
                  <c:v>2.1137351255038546</c:v>
                </c:pt>
                <c:pt idx="17">
                  <c:v>2.1073493535451746</c:v>
                </c:pt>
                <c:pt idx="18">
                  <c:v>2.099256142324716</c:v>
                </c:pt>
                <c:pt idx="19">
                  <c:v>2.0895378775809825</c:v>
                </c:pt>
                <c:pt idx="20">
                  <c:v>2.0782896996002913</c:v>
                </c:pt>
                <c:pt idx="21">
                  <c:v>2.0656167567320987</c:v>
                </c:pt>
                <c:pt idx="22">
                  <c:v>2.0516314019384745</c:v>
                </c:pt>
                <c:pt idx="23">
                  <c:v>2.0364504675537169</c:v>
                </c:pt>
                <c:pt idx="24">
                  <c:v>2.0029766394014636</c:v>
                </c:pt>
                <c:pt idx="25">
                  <c:v>1.966130292965</c:v>
                </c:pt>
                <c:pt idx="26">
                  <c:v>1.9267873962615139</c:v>
                </c:pt>
                <c:pt idx="27">
                  <c:v>1.8857297211048825</c:v>
                </c:pt>
                <c:pt idx="28">
                  <c:v>1.8436283963706441</c:v>
                </c:pt>
                <c:pt idx="29">
                  <c:v>1.7372116119109093</c:v>
                </c:pt>
                <c:pt idx="30">
                  <c:v>1.6335201739213692</c:v>
                </c:pt>
                <c:pt idx="31">
                  <c:v>1.5356656485223183</c:v>
                </c:pt>
                <c:pt idx="32">
                  <c:v>1.4449478259434234</c:v>
                </c:pt>
                <c:pt idx="33">
                  <c:v>1.3616539966367514</c:v>
                </c:pt>
                <c:pt idx="34">
                  <c:v>1.2855465102400516</c:v>
                </c:pt>
                <c:pt idx="35">
                  <c:v>1.2161406102321595</c:v>
                </c:pt>
                <c:pt idx="36">
                  <c:v>1.1528566943302629</c:v>
                </c:pt>
                <c:pt idx="37">
                  <c:v>1.0951008571179794</c:v>
                </c:pt>
                <c:pt idx="38">
                  <c:v>1.0423053514841789</c:v>
                </c:pt>
                <c:pt idx="39">
                  <c:v>0.99394697362288964</c:v>
                </c:pt>
                <c:pt idx="40">
                  <c:v>0.94955350408978045</c:v>
                </c:pt>
                <c:pt idx="41">
                  <c:v>0.90870388112450484</c:v>
                </c:pt>
                <c:pt idx="42">
                  <c:v>0.87102527066224855</c:v>
                </c:pt>
                <c:pt idx="43">
                  <c:v>0.83618878016009091</c:v>
                </c:pt>
                <c:pt idx="44">
                  <c:v>0.80390476240473552</c:v>
                </c:pt>
                <c:pt idx="45">
                  <c:v>0.77391820317888449</c:v>
                </c:pt>
                <c:pt idx="46">
                  <c:v>0.7460044326296571</c:v>
                </c:pt>
                <c:pt idx="47">
                  <c:v>0.7199652592999114</c:v>
                </c:pt>
                <c:pt idx="48">
                  <c:v>0.69562554955119338</c:v>
                </c:pt>
                <c:pt idx="49">
                  <c:v>0.61240883153839498</c:v>
                </c:pt>
                <c:pt idx="50">
                  <c:v>0.54664232959071324</c:v>
                </c:pt>
                <c:pt idx="51">
                  <c:v>0.49344613864894149</c:v>
                </c:pt>
                <c:pt idx="52">
                  <c:v>0.44957581698152455</c:v>
                </c:pt>
                <c:pt idx="53">
                  <c:v>0.23729968958340258</c:v>
                </c:pt>
                <c:pt idx="54">
                  <c:v>0.16101418066951029</c:v>
                </c:pt>
                <c:pt idx="55">
                  <c:v>0.12181891442516166</c:v>
                </c:pt>
                <c:pt idx="56">
                  <c:v>9.7963641764884479E-2</c:v>
                </c:pt>
                <c:pt idx="57">
                  <c:v>8.1919020707790974E-2</c:v>
                </c:pt>
                <c:pt idx="58">
                  <c:v>7.0389407061571069E-2</c:v>
                </c:pt>
                <c:pt idx="59">
                  <c:v>6.1704351240343985E-2</c:v>
                </c:pt>
                <c:pt idx="60">
                  <c:v>5.4926873925621386E-2</c:v>
                </c:pt>
                <c:pt idx="61">
                  <c:v>4.9490755779773833E-2</c:v>
                </c:pt>
              </c:numCache>
            </c:numRef>
          </c:yVal>
          <c:smooth val="1"/>
        </c:ser>
        <c:ser>
          <c:idx val="1"/>
          <c:order val="3"/>
          <c:tx>
            <c:v>100 MARKER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none"/>
            </c:marker>
            <c:bubble3D val="0"/>
          </c:dPt>
          <c:errBars>
            <c:errDir val="y"/>
            <c:errBarType val="both"/>
            <c:errValType val="percentage"/>
            <c:noEndCap val="1"/>
            <c:val val="100"/>
            <c:spPr>
              <a:noFill/>
              <a:ln w="9525">
                <a:solidFill>
                  <a:schemeClr val="bg1"/>
                </a:solidFill>
                <a:prstDash val="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Ref>
              <c:f>'BF Filter Latency'!$AJ$38</c:f>
              <c:numCache>
                <c:formatCode>0.0</c:formatCode>
                <c:ptCount val="1"/>
                <c:pt idx="0">
                  <c:v>1.8435995338314657</c:v>
                </c:pt>
              </c:numCache>
            </c:numRef>
          </c:yVal>
          <c:smooth val="1"/>
        </c:ser>
        <c:ser>
          <c:idx val="2"/>
          <c:order val="4"/>
          <c:tx>
            <c:v>20 MARKER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3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errBars>
            <c:errDir val="x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12700" cap="sq">
                <a:solidFill>
                  <a:schemeClr val="bg1"/>
                </a:solidFill>
                <a:prstDash val="lgDash"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20</c:v>
              </c:pt>
            </c:numLit>
          </c:xVal>
          <c:yVal>
            <c:numRef>
              <c:f>'BF Filter Latency'!$AJ$38</c:f>
              <c:numCache>
                <c:formatCode>0.0</c:formatCode>
                <c:ptCount val="1"/>
                <c:pt idx="0">
                  <c:v>1.8435995338314657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28608"/>
        <c:axId val="748929000"/>
      </c:scatterChart>
      <c:valAx>
        <c:axId val="74892860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29000"/>
        <c:crossesAt val="0"/>
        <c:crossBetween val="midCat"/>
        <c:minorUnit val="10"/>
      </c:valAx>
      <c:valAx>
        <c:axId val="74892900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2860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2811545208756121"/>
          <c:y val="3.3663724255890891E-2"/>
          <c:w val="0.15705737322707269"/>
          <c:h val="0.19145184209366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Fast Kalman Filter (FKF) Values</a:t>
            </a:r>
          </a:p>
        </c:rich>
      </c:tx>
      <c:layout>
        <c:manualLayout>
          <c:xMode val="edge"/>
          <c:yMode val="edge"/>
          <c:x val="0.11711361567858676"/>
          <c:y val="1.2125206601904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82941186720619E-2"/>
          <c:y val="7.4953985477439561E-2"/>
          <c:w val="0.879357059037151"/>
          <c:h val="0.837778261159446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'FKF-Cutoff Calcs'!$E$7</c:f>
              <c:strCache>
                <c:ptCount val="1"/>
                <c:pt idx="0">
                  <c:v>4k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31"/>
              <c:layout>
                <c:manualLayout>
                  <c:x val="1.2896854360748881E-3"/>
                  <c:y val="4.05685226135897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'FKF-Cutoff Calcs'!$E$8:$E$41</c:f>
              <c:numCache>
                <c:formatCode>0.0</c:formatCode>
                <c:ptCount val="34"/>
                <c:pt idx="0">
                  <c:v>4.2993463824683271</c:v>
                </c:pt>
                <c:pt idx="1">
                  <c:v>6.0844635555280915</c:v>
                </c:pt>
                <c:pt idx="2">
                  <c:v>7.4559371589833283</c:v>
                </c:pt>
                <c:pt idx="3">
                  <c:v>8.6132966843503755</c:v>
                </c:pt>
                <c:pt idx="4">
                  <c:v>10.557166948824053</c:v>
                </c:pt>
                <c:pt idx="5">
                  <c:v>12.198248401776363</c:v>
                </c:pt>
                <c:pt idx="6">
                  <c:v>13.645837544508129</c:v>
                </c:pt>
                <c:pt idx="7">
                  <c:v>14.955987667387655</c:v>
                </c:pt>
                <c:pt idx="8">
                  <c:v>16.161996640174145</c:v>
                </c:pt>
                <c:pt idx="9">
                  <c:v>17.285559637303912</c:v>
                </c:pt>
                <c:pt idx="10">
                  <c:v>19.341527581990071</c:v>
                </c:pt>
                <c:pt idx="11">
                  <c:v>21.203159234378983</c:v>
                </c:pt>
                <c:pt idx="12">
                  <c:v>22.917542258831897</c:v>
                </c:pt>
                <c:pt idx="13">
                  <c:v>24.515356224901691</c:v>
                </c:pt>
                <c:pt idx="14">
                  <c:v>27.440721047396064</c:v>
                </c:pt>
                <c:pt idx="15">
                  <c:v>30.091345070434599</c:v>
                </c:pt>
                <c:pt idx="16">
                  <c:v>32.23825017376528</c:v>
                </c:pt>
                <c:pt idx="17">
                  <c:v>34.811506171242975</c:v>
                </c:pt>
                <c:pt idx="18">
                  <c:v>38.984902420621772</c:v>
                </c:pt>
                <c:pt idx="19">
                  <c:v>43.667537306356451</c:v>
                </c:pt>
                <c:pt idx="20">
                  <c:v>49.519224193828258</c:v>
                </c:pt>
                <c:pt idx="21">
                  <c:v>55.496061402588019</c:v>
                </c:pt>
                <c:pt idx="22">
                  <c:v>62.21288195512313</c:v>
                </c:pt>
                <c:pt idx="23">
                  <c:v>70.622723032218573</c:v>
                </c:pt>
                <c:pt idx="24">
                  <c:v>76.635550824124977</c:v>
                </c:pt>
                <c:pt idx="25">
                  <c:v>82.986879482812967</c:v>
                </c:pt>
                <c:pt idx="26">
                  <c:v>88.928601983823256</c:v>
                </c:pt>
                <c:pt idx="27">
                  <c:v>101.10545446448107</c:v>
                </c:pt>
                <c:pt idx="28">
                  <c:v>109.83609532121264</c:v>
                </c:pt>
                <c:pt idx="29">
                  <c:v>119.08088875587225</c:v>
                </c:pt>
                <c:pt idx="30">
                  <c:v>131.90487730966353</c:v>
                </c:pt>
                <c:pt idx="31">
                  <c:v>145.58561294149561</c:v>
                </c:pt>
              </c:numCache>
            </c:numRef>
          </c:xVal>
          <c:yVal>
            <c:numRef>
              <c:f>'FKF-Cutoff Calcs'!$A$8:$A$41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48</c:v>
                </c:pt>
                <c:pt idx="16">
                  <c:v>55</c:v>
                </c:pt>
                <c:pt idx="17">
                  <c:v>64</c:v>
                </c:pt>
                <c:pt idx="18">
                  <c:v>80</c:v>
                </c:pt>
                <c:pt idx="19">
                  <c:v>100</c:v>
                </c:pt>
                <c:pt idx="20">
                  <c:v>128</c:v>
                </c:pt>
                <c:pt idx="21">
                  <c:v>160</c:v>
                </c:pt>
                <c:pt idx="22">
                  <c:v>200</c:v>
                </c:pt>
                <c:pt idx="23">
                  <c:v>256</c:v>
                </c:pt>
                <c:pt idx="24">
                  <c:v>300</c:v>
                </c:pt>
                <c:pt idx="25">
                  <c:v>350</c:v>
                </c:pt>
                <c:pt idx="26">
                  <c:v>400</c:v>
                </c:pt>
                <c:pt idx="27">
                  <c:v>512</c:v>
                </c:pt>
                <c:pt idx="28">
                  <c:v>600</c:v>
                </c:pt>
                <c:pt idx="29">
                  <c:v>700</c:v>
                </c:pt>
                <c:pt idx="30">
                  <c:v>850</c:v>
                </c:pt>
                <c:pt idx="31">
                  <c:v>1024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'FKF-Cutoff Calcs'!$F$7</c:f>
              <c:strCache>
                <c:ptCount val="1"/>
                <c:pt idx="0">
                  <c:v>8k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'FKF-Cutoff Calcs'!$F$8:$F$41</c:f>
              <c:numCache>
                <c:formatCode>0.0</c:formatCode>
                <c:ptCount val="34"/>
                <c:pt idx="0">
                  <c:v>8.5986927649366542</c:v>
                </c:pt>
                <c:pt idx="1">
                  <c:v>12.168927111056183</c:v>
                </c:pt>
                <c:pt idx="2">
                  <c:v>14.911874317966657</c:v>
                </c:pt>
                <c:pt idx="3">
                  <c:v>17.226593368700751</c:v>
                </c:pt>
                <c:pt idx="4">
                  <c:v>21.114333897648105</c:v>
                </c:pt>
                <c:pt idx="5">
                  <c:v>24.396496803552726</c:v>
                </c:pt>
                <c:pt idx="6">
                  <c:v>27.291675089016259</c:v>
                </c:pt>
                <c:pt idx="7">
                  <c:v>29.91197533477531</c:v>
                </c:pt>
                <c:pt idx="8">
                  <c:v>32.32399328034829</c:v>
                </c:pt>
                <c:pt idx="9">
                  <c:v>34.571119274607824</c:v>
                </c:pt>
                <c:pt idx="10">
                  <c:v>38.683055163980143</c:v>
                </c:pt>
                <c:pt idx="11">
                  <c:v>42.406318468757966</c:v>
                </c:pt>
                <c:pt idx="12">
                  <c:v>45.835084517663795</c:v>
                </c:pt>
                <c:pt idx="13">
                  <c:v>49.030712449803382</c:v>
                </c:pt>
                <c:pt idx="14">
                  <c:v>54.881442094792128</c:v>
                </c:pt>
                <c:pt idx="15">
                  <c:v>60.182690140869198</c:v>
                </c:pt>
                <c:pt idx="16">
                  <c:v>64.47650034753056</c:v>
                </c:pt>
                <c:pt idx="17">
                  <c:v>69.62301234248595</c:v>
                </c:pt>
                <c:pt idx="18">
                  <c:v>77.969804841243544</c:v>
                </c:pt>
                <c:pt idx="19">
                  <c:v>87.335074612712901</c:v>
                </c:pt>
                <c:pt idx="20">
                  <c:v>99.038448387656516</c:v>
                </c:pt>
                <c:pt idx="21">
                  <c:v>110.99212280517604</c:v>
                </c:pt>
                <c:pt idx="22">
                  <c:v>124.42576391024626</c:v>
                </c:pt>
                <c:pt idx="23">
                  <c:v>141.24544606443715</c:v>
                </c:pt>
                <c:pt idx="24">
                  <c:v>153.27110164824995</c:v>
                </c:pt>
                <c:pt idx="25">
                  <c:v>165.97375896562593</c:v>
                </c:pt>
                <c:pt idx="26">
                  <c:v>177.85720396764651</c:v>
                </c:pt>
                <c:pt idx="27">
                  <c:v>202.21090892896214</c:v>
                </c:pt>
                <c:pt idx="28">
                  <c:v>219.67219064242528</c:v>
                </c:pt>
                <c:pt idx="29">
                  <c:v>238.1617775117445</c:v>
                </c:pt>
                <c:pt idx="30">
                  <c:v>263.80975461932707</c:v>
                </c:pt>
                <c:pt idx="31">
                  <c:v>291.17122588299122</c:v>
                </c:pt>
              </c:numCache>
            </c:numRef>
          </c:xVal>
          <c:yVal>
            <c:numRef>
              <c:f>'FKF-Cutoff Calcs'!$A$8:$A$41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48</c:v>
                </c:pt>
                <c:pt idx="16">
                  <c:v>55</c:v>
                </c:pt>
                <c:pt idx="17">
                  <c:v>64</c:v>
                </c:pt>
                <c:pt idx="18">
                  <c:v>80</c:v>
                </c:pt>
                <c:pt idx="19">
                  <c:v>100</c:v>
                </c:pt>
                <c:pt idx="20">
                  <c:v>128</c:v>
                </c:pt>
                <c:pt idx="21">
                  <c:v>160</c:v>
                </c:pt>
                <c:pt idx="22">
                  <c:v>200</c:v>
                </c:pt>
                <c:pt idx="23">
                  <c:v>256</c:v>
                </c:pt>
                <c:pt idx="24">
                  <c:v>300</c:v>
                </c:pt>
                <c:pt idx="25">
                  <c:v>350</c:v>
                </c:pt>
                <c:pt idx="26">
                  <c:v>400</c:v>
                </c:pt>
                <c:pt idx="27">
                  <c:v>512</c:v>
                </c:pt>
                <c:pt idx="28">
                  <c:v>600</c:v>
                </c:pt>
                <c:pt idx="29">
                  <c:v>700</c:v>
                </c:pt>
                <c:pt idx="30">
                  <c:v>850</c:v>
                </c:pt>
                <c:pt idx="31">
                  <c:v>1024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'FKF-Cutoff Calcs'!$G$7</c:f>
              <c:strCache>
                <c:ptCount val="1"/>
                <c:pt idx="0">
                  <c:v>16k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'FKF-Cutoff Calcs'!$G$8:$G$41</c:f>
              <c:numCache>
                <c:formatCode>0.0</c:formatCode>
                <c:ptCount val="34"/>
                <c:pt idx="0">
                  <c:v>17.197385529873308</c:v>
                </c:pt>
                <c:pt idx="1">
                  <c:v>24.337854222112366</c:v>
                </c:pt>
                <c:pt idx="2">
                  <c:v>29.823748635933313</c:v>
                </c:pt>
                <c:pt idx="3">
                  <c:v>34.453186737401502</c:v>
                </c:pt>
                <c:pt idx="4">
                  <c:v>42.228667795296211</c:v>
                </c:pt>
                <c:pt idx="5">
                  <c:v>48.792993607105451</c:v>
                </c:pt>
                <c:pt idx="6">
                  <c:v>54.583350178032518</c:v>
                </c:pt>
                <c:pt idx="7">
                  <c:v>59.823950669550619</c:v>
                </c:pt>
                <c:pt idx="8">
                  <c:v>64.64798656069658</c:v>
                </c:pt>
                <c:pt idx="9">
                  <c:v>69.142238549215648</c:v>
                </c:pt>
                <c:pt idx="10">
                  <c:v>77.366110327960286</c:v>
                </c:pt>
                <c:pt idx="11">
                  <c:v>84.812636937515933</c:v>
                </c:pt>
                <c:pt idx="12">
                  <c:v>91.670169035327589</c:v>
                </c:pt>
                <c:pt idx="13">
                  <c:v>98.061424899606763</c:v>
                </c:pt>
                <c:pt idx="14">
                  <c:v>109.76288418958426</c:v>
                </c:pt>
                <c:pt idx="15">
                  <c:v>120.3653802817384</c:v>
                </c:pt>
                <c:pt idx="16">
                  <c:v>128.95300069506112</c:v>
                </c:pt>
                <c:pt idx="17">
                  <c:v>139.2460246849719</c:v>
                </c:pt>
                <c:pt idx="18">
                  <c:v>155.93960968248709</c:v>
                </c:pt>
                <c:pt idx="19">
                  <c:v>174.6701492254258</c:v>
                </c:pt>
                <c:pt idx="20">
                  <c:v>198.07689677531303</c:v>
                </c:pt>
                <c:pt idx="21">
                  <c:v>221.98424561035208</c:v>
                </c:pt>
                <c:pt idx="22">
                  <c:v>248.85152782049252</c:v>
                </c:pt>
                <c:pt idx="23">
                  <c:v>282.49089212887429</c:v>
                </c:pt>
                <c:pt idx="24">
                  <c:v>306.54220329649991</c:v>
                </c:pt>
                <c:pt idx="25">
                  <c:v>331.94751793125187</c:v>
                </c:pt>
                <c:pt idx="26">
                  <c:v>355.71440793529302</c:v>
                </c:pt>
                <c:pt idx="27">
                  <c:v>404.42181785792428</c:v>
                </c:pt>
                <c:pt idx="28">
                  <c:v>439.34438128485056</c:v>
                </c:pt>
                <c:pt idx="29">
                  <c:v>476.32355502348901</c:v>
                </c:pt>
                <c:pt idx="30">
                  <c:v>527.61950923865413</c:v>
                </c:pt>
                <c:pt idx="31">
                  <c:v>582.34245176598245</c:v>
                </c:pt>
              </c:numCache>
            </c:numRef>
          </c:xVal>
          <c:yVal>
            <c:numRef>
              <c:f>'FKF-Cutoff Calcs'!$A$8:$A$41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48</c:v>
                </c:pt>
                <c:pt idx="16">
                  <c:v>55</c:v>
                </c:pt>
                <c:pt idx="17">
                  <c:v>64</c:v>
                </c:pt>
                <c:pt idx="18">
                  <c:v>80</c:v>
                </c:pt>
                <c:pt idx="19">
                  <c:v>100</c:v>
                </c:pt>
                <c:pt idx="20">
                  <c:v>128</c:v>
                </c:pt>
                <c:pt idx="21">
                  <c:v>160</c:v>
                </c:pt>
                <c:pt idx="22">
                  <c:v>200</c:v>
                </c:pt>
                <c:pt idx="23">
                  <c:v>256</c:v>
                </c:pt>
                <c:pt idx="24">
                  <c:v>300</c:v>
                </c:pt>
                <c:pt idx="25">
                  <c:v>350</c:v>
                </c:pt>
                <c:pt idx="26">
                  <c:v>400</c:v>
                </c:pt>
                <c:pt idx="27">
                  <c:v>512</c:v>
                </c:pt>
                <c:pt idx="28">
                  <c:v>600</c:v>
                </c:pt>
                <c:pt idx="29">
                  <c:v>700</c:v>
                </c:pt>
                <c:pt idx="30">
                  <c:v>850</c:v>
                </c:pt>
                <c:pt idx="31">
                  <c:v>1024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'FKF-Cutoff Calcs'!$H$7</c:f>
              <c:strCache>
                <c:ptCount val="1"/>
                <c:pt idx="0">
                  <c:v>32k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'FKF-Cutoff Calcs'!$H$8:$H$41</c:f>
              <c:numCache>
                <c:formatCode>0.0</c:formatCode>
                <c:ptCount val="34"/>
                <c:pt idx="0">
                  <c:v>34.394771059746617</c:v>
                </c:pt>
                <c:pt idx="1">
                  <c:v>48.675708444224732</c:v>
                </c:pt>
                <c:pt idx="2">
                  <c:v>59.647497271866627</c:v>
                </c:pt>
                <c:pt idx="3">
                  <c:v>68.906373474803004</c:v>
                </c:pt>
                <c:pt idx="4">
                  <c:v>84.457335590592422</c:v>
                </c:pt>
                <c:pt idx="5">
                  <c:v>97.585987214210903</c:v>
                </c:pt>
                <c:pt idx="6">
                  <c:v>109.16670035606504</c:v>
                </c:pt>
                <c:pt idx="7">
                  <c:v>119.64790133910124</c:v>
                </c:pt>
                <c:pt idx="8">
                  <c:v>129.29597312139316</c:v>
                </c:pt>
                <c:pt idx="9">
                  <c:v>138.2844770984313</c:v>
                </c:pt>
                <c:pt idx="10">
                  <c:v>154.73222065592057</c:v>
                </c:pt>
                <c:pt idx="11">
                  <c:v>169.62527387503187</c:v>
                </c:pt>
                <c:pt idx="12">
                  <c:v>183.34033807065518</c:v>
                </c:pt>
                <c:pt idx="13">
                  <c:v>196.12284979921353</c:v>
                </c:pt>
                <c:pt idx="14">
                  <c:v>219.52576837916851</c:v>
                </c:pt>
                <c:pt idx="15">
                  <c:v>240.73076056347679</c:v>
                </c:pt>
                <c:pt idx="16">
                  <c:v>257.90600139012224</c:v>
                </c:pt>
                <c:pt idx="17">
                  <c:v>278.4920493699438</c:v>
                </c:pt>
                <c:pt idx="18">
                  <c:v>311.87921936497418</c:v>
                </c:pt>
                <c:pt idx="19">
                  <c:v>349.34029845085161</c:v>
                </c:pt>
                <c:pt idx="20">
                  <c:v>396.15379355062606</c:v>
                </c:pt>
                <c:pt idx="21">
                  <c:v>443.96849122070415</c:v>
                </c:pt>
                <c:pt idx="22">
                  <c:v>497.70305564098504</c:v>
                </c:pt>
                <c:pt idx="23">
                  <c:v>564.98178425774859</c:v>
                </c:pt>
                <c:pt idx="24">
                  <c:v>613.08440659299981</c:v>
                </c:pt>
                <c:pt idx="25">
                  <c:v>663.89503586250373</c:v>
                </c:pt>
                <c:pt idx="26">
                  <c:v>711.42881587058605</c:v>
                </c:pt>
                <c:pt idx="27">
                  <c:v>808.84363571584856</c:v>
                </c:pt>
                <c:pt idx="28">
                  <c:v>878.68876256970111</c:v>
                </c:pt>
                <c:pt idx="29">
                  <c:v>952.64711004697801</c:v>
                </c:pt>
                <c:pt idx="30">
                  <c:v>1055.2390184773083</c:v>
                </c:pt>
                <c:pt idx="31">
                  <c:v>1164.6849035319649</c:v>
                </c:pt>
              </c:numCache>
            </c:numRef>
          </c:xVal>
          <c:yVal>
            <c:numRef>
              <c:f>'FKF-Cutoff Calcs'!$A$8:$A$41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48</c:v>
                </c:pt>
                <c:pt idx="16">
                  <c:v>55</c:v>
                </c:pt>
                <c:pt idx="17">
                  <c:v>64</c:v>
                </c:pt>
                <c:pt idx="18">
                  <c:v>80</c:v>
                </c:pt>
                <c:pt idx="19">
                  <c:v>100</c:v>
                </c:pt>
                <c:pt idx="20">
                  <c:v>128</c:v>
                </c:pt>
                <c:pt idx="21">
                  <c:v>160</c:v>
                </c:pt>
                <c:pt idx="22">
                  <c:v>200</c:v>
                </c:pt>
                <c:pt idx="23">
                  <c:v>256</c:v>
                </c:pt>
                <c:pt idx="24">
                  <c:v>300</c:v>
                </c:pt>
                <c:pt idx="25">
                  <c:v>350</c:v>
                </c:pt>
                <c:pt idx="26">
                  <c:v>400</c:v>
                </c:pt>
                <c:pt idx="27">
                  <c:v>512</c:v>
                </c:pt>
                <c:pt idx="28">
                  <c:v>600</c:v>
                </c:pt>
                <c:pt idx="29">
                  <c:v>700</c:v>
                </c:pt>
                <c:pt idx="30">
                  <c:v>850</c:v>
                </c:pt>
                <c:pt idx="31">
                  <c:v>1024</c:v>
                </c:pt>
              </c:numCache>
            </c:numRef>
          </c:yVal>
          <c:smooth val="0"/>
        </c:ser>
        <c:ser>
          <c:idx val="4"/>
          <c:order val="4"/>
          <c:tx>
            <c:v>Q=400 / R=88</c:v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50"/>
            <c:spPr>
              <a:noFill/>
              <a:ln w="9525" cap="flat" cmpd="sng" algn="ctr">
                <a:solidFill>
                  <a:schemeClr val="bg1">
                    <a:lumMod val="75000"/>
                  </a:schemeClr>
                </a:solidFill>
                <a:prstDash val="lg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50"/>
            <c:spPr>
              <a:noFill/>
              <a:ln w="9525" cap="flat" cmpd="sng" algn="ctr">
                <a:solidFill>
                  <a:schemeClr val="bg1">
                    <a:lumMod val="75000"/>
                  </a:schemeClr>
                </a:solidFill>
                <a:prstDash val="lgDash"/>
                <a:round/>
              </a:ln>
              <a:effectLst/>
            </c:spPr>
          </c:errBars>
          <c:xVal>
            <c:numRef>
              <c:f>'FKF-Cutoff Calcs'!$H$34</c:f>
              <c:numCache>
                <c:formatCode>0.0</c:formatCode>
                <c:ptCount val="1"/>
                <c:pt idx="0">
                  <c:v>711.42881587058605</c:v>
                </c:pt>
              </c:numCache>
            </c:numRef>
          </c:xVal>
          <c:yVal>
            <c:numRef>
              <c:f>'FKF-Cutoff Calcs'!$A$34</c:f>
              <c:numCache>
                <c:formatCode>General</c:formatCode>
                <c:ptCount val="1"/>
                <c:pt idx="0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64016"/>
        <c:axId val="774964408"/>
      </c:scatterChart>
      <c:valAx>
        <c:axId val="774964016"/>
        <c:scaling>
          <c:logBase val="2"/>
          <c:orientation val="minMax"/>
          <c:max val="1024"/>
          <c:min val="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/>
                  <a:t>Peak Motor Noise  (in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64408"/>
        <c:crosses val="autoZero"/>
        <c:crossBetween val="midCat"/>
      </c:valAx>
      <c:valAx>
        <c:axId val="774964408"/>
        <c:scaling>
          <c:logBase val="2"/>
          <c:orientation val="minMax"/>
          <c:max val="102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 w="31750">
              <a:solidFill>
                <a:schemeClr val="bg1"/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cap="none" baseline="0"/>
                  <a:t>Q Setting with R = 88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6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1187501868001339"/>
          <c:y val="9.4903610176835435E-2"/>
          <c:w val="0.28869346678537045"/>
          <c:h val="4.6300962379702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189976078865149E-2"/>
          <c:y val="0.10641388122328767"/>
          <c:w val="0.87264235660075851"/>
          <c:h val="0.80585625126428306"/>
        </c:manualLayout>
      </c:layout>
      <c:scatterChart>
        <c:scatterStyle val="smoothMarker"/>
        <c:varyColors val="0"/>
        <c:ser>
          <c:idx val="0"/>
          <c:order val="0"/>
          <c:tx>
            <c:v>SAMPLE</c:v>
          </c:tx>
          <c:spPr>
            <a:ln w="22225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'Attenuation-DRAFT'!$B$26:$B$27</c:f>
              <c:numCache>
                <c:formatCode>General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xVal>
          <c:yVal>
            <c:numRef>
              <c:f>'Attenuation-DRAFT'!$A$26:$A$27</c:f>
              <c:numCache>
                <c:formatCode>General</c:formatCode>
                <c:ptCount val="2"/>
                <c:pt idx="0">
                  <c:v>0</c:v>
                </c:pt>
                <c:pt idx="1">
                  <c:v>-20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77304"/>
        <c:axId val="1044077696"/>
      </c:scatterChart>
      <c:valAx>
        <c:axId val="1044077304"/>
        <c:scaling>
          <c:logBase val="10"/>
          <c:orientation val="minMax"/>
          <c:max val="10000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Motion/Noise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77696"/>
        <c:crosses val="max"/>
        <c:crossBetween val="midCat"/>
      </c:valAx>
      <c:valAx>
        <c:axId val="1044077696"/>
        <c:scaling>
          <c:orientation val="minMax"/>
          <c:max val="0"/>
          <c:min val="-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7730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</a:t>
            </a:r>
            <a:r>
              <a:rPr lang="en-US" baseline="0"/>
              <a:t> Milliseconds (</a:t>
            </a:r>
            <a:r>
              <a:rPr lang="en-US"/>
              <a:t>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'Delay and Timing'!$C$3</c:f>
              <c:strCache>
                <c:ptCount val="1"/>
                <c:pt idx="0">
                  <c:v>ms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'Delay and Timing'!$A$4:$A$11</c:f>
              <c:strCache>
                <c:ptCount val="8"/>
                <c:pt idx="0">
                  <c:v>32K</c:v>
                </c:pt>
                <c:pt idx="1">
                  <c:v>16K</c:v>
                </c:pt>
                <c:pt idx="2">
                  <c:v>8K</c:v>
                </c:pt>
                <c:pt idx="3">
                  <c:v>4K</c:v>
                </c:pt>
                <c:pt idx="4">
                  <c:v>Motor Update Speed</c:v>
                </c:pt>
                <c:pt idx="5">
                  <c:v>Filter Phase Delay</c:v>
                </c:pt>
                <c:pt idx="6">
                  <c:v>RC Smoothing</c:v>
                </c:pt>
                <c:pt idx="7">
                  <c:v>Human Reaction</c:v>
                </c:pt>
              </c:strCache>
            </c:strRef>
          </c:cat>
          <c:val>
            <c:numRef>
              <c:f>'Delay and Timing'!$C$4:$C$11</c:f>
              <c:numCache>
                <c:formatCode>0.000</c:formatCode>
                <c:ptCount val="8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 formatCode="General">
                  <c:v>2</c:v>
                </c:pt>
                <c:pt idx="5" formatCode="General">
                  <c:v>5</c:v>
                </c:pt>
                <c:pt idx="6" formatCode="General">
                  <c:v>15</c:v>
                </c:pt>
                <c:pt idx="7" formatCode="General">
                  <c:v>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74963624"/>
        <c:axId val="1044078872"/>
      </c:barChart>
      <c:catAx>
        <c:axId val="774963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78872"/>
        <c:crosses val="autoZero"/>
        <c:auto val="1"/>
        <c:lblAlgn val="ctr"/>
        <c:lblOffset val="100"/>
        <c:noMultiLvlLbl val="0"/>
      </c:catAx>
      <c:valAx>
        <c:axId val="104407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6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http://www.analog.com/en/analog-dialogue/articles/phase-response-in-active-filters-2.html" TargetMode="External"/><Relationship Id="rId6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95</xdr:row>
      <xdr:rowOff>12370</xdr:rowOff>
    </xdr:from>
    <xdr:to>
      <xdr:col>33</xdr:col>
      <xdr:colOff>492177</xdr:colOff>
      <xdr:row>97</xdr:row>
      <xdr:rowOff>86591</xdr:rowOff>
    </xdr:to>
    <xdr:sp macro="" textlink="">
      <xdr:nvSpPr>
        <xdr:cNvPr id="9" name="TextBox 8">
          <a:hlinkClick xmlns:r="http://schemas.openxmlformats.org/officeDocument/2006/relationships" r:id="rId1"/>
        </xdr:cNvPr>
        <xdr:cNvSpPr txBox="1"/>
      </xdr:nvSpPr>
      <xdr:spPr>
        <a:xfrm>
          <a:off x="0" y="19408734"/>
          <a:ext cx="12043404" cy="4552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Reference: http://www.analog.com/en/analog-dialogue/articles/phase-response-in-active-filters-2.html </a:t>
          </a:r>
        </a:p>
      </xdr:txBody>
    </xdr:sp>
    <xdr:clientData/>
  </xdr:twoCellAnchor>
  <xdr:twoCellAnchor>
    <xdr:from>
      <xdr:col>69</xdr:col>
      <xdr:colOff>72837</xdr:colOff>
      <xdr:row>0</xdr:row>
      <xdr:rowOff>0</xdr:rowOff>
    </xdr:from>
    <xdr:to>
      <xdr:col>78</xdr:col>
      <xdr:colOff>71437</xdr:colOff>
      <xdr:row>22</xdr:row>
      <xdr:rowOff>133070</xdr:rowOff>
    </xdr:to>
    <xdr:graphicFrame macro="">
      <xdr:nvGraphicFramePr>
        <xdr:cNvPr id="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78</xdr:col>
      <xdr:colOff>83343</xdr:colOff>
      <xdr:row>0</xdr:row>
      <xdr:rowOff>0</xdr:rowOff>
    </xdr:from>
    <xdr:to>
      <xdr:col>87</xdr:col>
      <xdr:colOff>0</xdr:colOff>
      <xdr:row>22</xdr:row>
      <xdr:rowOff>133070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23</xdr:col>
      <xdr:colOff>168088</xdr:colOff>
      <xdr:row>22</xdr:row>
      <xdr:rowOff>119744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142875</xdr:colOff>
      <xdr:row>39</xdr:row>
      <xdr:rowOff>142876</xdr:rowOff>
    </xdr:from>
    <xdr:to>
      <xdr:col>36</xdr:col>
      <xdr:colOff>369092</xdr:colOff>
      <xdr:row>47</xdr:row>
      <xdr:rowOff>59532</xdr:rowOff>
    </xdr:to>
    <xdr:sp macro="" textlink="">
      <xdr:nvSpPr>
        <xdr:cNvPr id="3" name="TextBox 2"/>
        <xdr:cNvSpPr txBox="1"/>
      </xdr:nvSpPr>
      <xdr:spPr>
        <a:xfrm rot="16200000">
          <a:off x="11656219" y="8643939"/>
          <a:ext cx="1440656" cy="226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(Copter Motion Band)</a:t>
          </a:r>
        </a:p>
      </xdr:txBody>
    </xdr:sp>
    <xdr:clientData/>
  </xdr:twoCellAnchor>
  <xdr:twoCellAnchor>
    <xdr:from>
      <xdr:col>36</xdr:col>
      <xdr:colOff>166686</xdr:colOff>
      <xdr:row>51</xdr:row>
      <xdr:rowOff>11906</xdr:rowOff>
    </xdr:from>
    <xdr:to>
      <xdr:col>36</xdr:col>
      <xdr:colOff>416717</xdr:colOff>
      <xdr:row>58</xdr:row>
      <xdr:rowOff>119062</xdr:rowOff>
    </xdr:to>
    <xdr:sp macro="" textlink="">
      <xdr:nvSpPr>
        <xdr:cNvPr id="7" name="TextBox 6"/>
        <xdr:cNvSpPr txBox="1"/>
      </xdr:nvSpPr>
      <xdr:spPr>
        <a:xfrm rot="16200000">
          <a:off x="11691937" y="10787062"/>
          <a:ext cx="1440656" cy="250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(Prop</a:t>
          </a:r>
          <a:r>
            <a:rPr lang="en-US" sz="1100" baseline="0">
              <a:solidFill>
                <a:schemeClr val="bg1"/>
              </a:solidFill>
            </a:rPr>
            <a:t> Wash</a:t>
          </a:r>
          <a:r>
            <a:rPr lang="en-US" sz="1100">
              <a:solidFill>
                <a:schemeClr val="bg1"/>
              </a:solidFill>
            </a:rPr>
            <a:t> Band)</a:t>
          </a:r>
        </a:p>
      </xdr:txBody>
    </xdr:sp>
    <xdr:clientData/>
  </xdr:twoCellAnchor>
  <xdr:twoCellAnchor>
    <xdr:from>
      <xdr:col>23</xdr:col>
      <xdr:colOff>189941</xdr:colOff>
      <xdr:row>0</xdr:row>
      <xdr:rowOff>0</xdr:rowOff>
    </xdr:from>
    <xdr:to>
      <xdr:col>57</xdr:col>
      <xdr:colOff>467844</xdr:colOff>
      <xdr:row>22</xdr:row>
      <xdr:rowOff>119744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98</xdr:row>
      <xdr:rowOff>49918</xdr:rowOff>
    </xdr:from>
    <xdr:to>
      <xdr:col>30</xdr:col>
      <xdr:colOff>0</xdr:colOff>
      <xdr:row>138</xdr:row>
      <xdr:rowOff>163442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017782"/>
          <a:ext cx="9871364" cy="6209524"/>
        </a:xfrm>
        <a:prstGeom prst="rect">
          <a:avLst/>
        </a:prstGeom>
      </xdr:spPr>
    </xdr:pic>
    <xdr:clientData/>
  </xdr:twoCellAnchor>
  <xdr:twoCellAnchor>
    <xdr:from>
      <xdr:col>0</xdr:col>
      <xdr:colOff>59531</xdr:colOff>
      <xdr:row>23</xdr:row>
      <xdr:rowOff>51955</xdr:rowOff>
    </xdr:from>
    <xdr:to>
      <xdr:col>50</xdr:col>
      <xdr:colOff>588819</xdr:colOff>
      <xdr:row>24</xdr:row>
      <xdr:rowOff>324972</xdr:rowOff>
    </xdr:to>
    <xdr:sp macro="" textlink="">
      <xdr:nvSpPr>
        <xdr:cNvPr id="6" name="Right Arrow 5"/>
        <xdr:cNvSpPr/>
      </xdr:nvSpPr>
      <xdr:spPr>
        <a:xfrm>
          <a:off x="59531" y="4433455"/>
          <a:ext cx="17812833" cy="394244"/>
        </a:xfrm>
        <a:prstGeom prst="right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Betaflight</a:t>
          </a:r>
          <a:r>
            <a:rPr lang="en-US" sz="1400" baseline="0"/>
            <a:t> Noise Filtering Sequence (high frequency noise to low frequency noise)</a:t>
          </a:r>
          <a:endParaRPr lang="en-US" sz="1400"/>
        </a:p>
      </xdr:txBody>
    </xdr:sp>
    <xdr:clientData/>
  </xdr:twoCellAnchor>
  <xdr:twoCellAnchor>
    <xdr:from>
      <xdr:col>35</xdr:col>
      <xdr:colOff>0</xdr:colOff>
      <xdr:row>19</xdr:row>
      <xdr:rowOff>151279</xdr:rowOff>
    </xdr:from>
    <xdr:to>
      <xdr:col>37</xdr:col>
      <xdr:colOff>108857</xdr:colOff>
      <xdr:row>21</xdr:row>
      <xdr:rowOff>27214</xdr:rowOff>
    </xdr:to>
    <xdr:sp macro="" textlink="">
      <xdr:nvSpPr>
        <xdr:cNvPr id="11" name="TextBox 10"/>
        <xdr:cNvSpPr txBox="1"/>
      </xdr:nvSpPr>
      <xdr:spPr>
        <a:xfrm>
          <a:off x="10066884" y="3770779"/>
          <a:ext cx="2342830" cy="256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Prop. Wash Handling Freq. Zone</a:t>
          </a:r>
        </a:p>
      </xdr:txBody>
    </xdr:sp>
    <xdr:clientData/>
  </xdr:twoCellAnchor>
  <xdr:twoCellAnchor>
    <xdr:from>
      <xdr:col>24</xdr:col>
      <xdr:colOff>100952</xdr:colOff>
      <xdr:row>17</xdr:row>
      <xdr:rowOff>130170</xdr:rowOff>
    </xdr:from>
    <xdr:to>
      <xdr:col>28</xdr:col>
      <xdr:colOff>55329</xdr:colOff>
      <xdr:row>21</xdr:row>
      <xdr:rowOff>6905</xdr:rowOff>
    </xdr:to>
    <xdr:sp macro="" textlink="">
      <xdr:nvSpPr>
        <xdr:cNvPr id="12" name="TextBox 11"/>
        <xdr:cNvSpPr txBox="1"/>
      </xdr:nvSpPr>
      <xdr:spPr>
        <a:xfrm>
          <a:off x="7982890" y="3368670"/>
          <a:ext cx="978314" cy="63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Copter Base Motion Freq. Zone</a:t>
          </a:r>
        </a:p>
      </xdr:txBody>
    </xdr:sp>
    <xdr:clientData/>
  </xdr:twoCellAnchor>
  <xdr:twoCellAnchor>
    <xdr:from>
      <xdr:col>50</xdr:col>
      <xdr:colOff>488155</xdr:colOff>
      <xdr:row>6</xdr:row>
      <xdr:rowOff>130969</xdr:rowOff>
    </xdr:from>
    <xdr:to>
      <xdr:col>57</xdr:col>
      <xdr:colOff>428622</xdr:colOff>
      <xdr:row>15</xdr:row>
      <xdr:rowOff>107157</xdr:rowOff>
    </xdr:to>
    <xdr:sp macro="" textlink="">
      <xdr:nvSpPr>
        <xdr:cNvPr id="13" name="TextBox 12"/>
        <xdr:cNvSpPr txBox="1"/>
      </xdr:nvSpPr>
      <xdr:spPr>
        <a:xfrm>
          <a:off x="14858999" y="1273969"/>
          <a:ext cx="1547811" cy="1690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IMPORTANT NOTE:</a:t>
          </a:r>
        </a:p>
        <a:p>
          <a:pPr algn="l"/>
          <a:r>
            <a:rPr lang="en-US" sz="1100">
              <a:solidFill>
                <a:schemeClr val="bg1"/>
              </a:solidFill>
            </a:rPr>
            <a:t>Delay reported is for estimating purposes</a:t>
          </a:r>
          <a:r>
            <a:rPr lang="en-US" sz="1100" baseline="0">
              <a:solidFill>
                <a:schemeClr val="bg1"/>
              </a:solidFill>
            </a:rPr>
            <a:t> ONLY to compair differient filter combinations.  Field results may vary due to a number of very complicated factors.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6</xdr:row>
      <xdr:rowOff>9526</xdr:rowOff>
    </xdr:from>
    <xdr:to>
      <xdr:col>10</xdr:col>
      <xdr:colOff>619125</xdr:colOff>
      <xdr:row>9</xdr:row>
      <xdr:rowOff>38101</xdr:rowOff>
    </xdr:to>
    <xdr:sp macro="" textlink="">
      <xdr:nvSpPr>
        <xdr:cNvPr id="2" name="TextBox 1"/>
        <xdr:cNvSpPr txBox="1"/>
      </xdr:nvSpPr>
      <xdr:spPr>
        <a:xfrm>
          <a:off x="6915150" y="209551"/>
          <a:ext cx="2276475" cy="628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Feel free to change highlighted cells to calc new cutoff</a:t>
          </a:r>
          <a:r>
            <a:rPr lang="en-US" sz="1100" baseline="0"/>
            <a:t> frequency results. </a:t>
          </a:r>
          <a:endParaRPr lang="en-US" sz="1100"/>
        </a:p>
      </xdr:txBody>
    </xdr:sp>
    <xdr:clientData/>
  </xdr:twoCellAnchor>
  <xdr:twoCellAnchor>
    <xdr:from>
      <xdr:col>8</xdr:col>
      <xdr:colOff>76199</xdr:colOff>
      <xdr:row>9</xdr:row>
      <xdr:rowOff>85724</xdr:rowOff>
    </xdr:from>
    <xdr:to>
      <xdr:col>19</xdr:col>
      <xdr:colOff>353785</xdr:colOff>
      <xdr:row>35</xdr:row>
      <xdr:rowOff>190500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0.08551</cdr:x>
      <cdr:y>0.21736</cdr:y>
    </cdr:from>
    <cdr:to>
      <cdr:x>0.29527</cdr:x>
      <cdr:y>0.43499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193" y="1368506"/>
          <a:ext cx="1818147" cy="1370204"/>
        </a:xfrm>
        <a:prstGeom xmlns:a="http://schemas.openxmlformats.org/drawingml/2006/main" prst="ellipse">
          <a:avLst/>
        </a:prstGeom>
        <a:ln xmlns:a="http://schemas.openxmlformats.org/drawingml/2006/main">
          <a:noFill/>
        </a:ln>
        <a:effectLst xmlns:a="http://schemas.openxmlformats.org/drawingml/2006/main">
          <a:softEdge rad="112500"/>
        </a:effectLst>
      </cdr:spPr>
    </cdr:pic>
  </cdr:relSizeAnchor>
  <cdr:relSizeAnchor xmlns:cdr="http://schemas.openxmlformats.org/drawingml/2006/chartDrawing">
    <cdr:from>
      <cdr:x>0.76374</cdr:x>
      <cdr:y>0.18853</cdr:y>
    </cdr:from>
    <cdr:to>
      <cdr:x>0.76374</cdr:x>
      <cdr:y>0.91528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6619875" y="1186962"/>
          <a:ext cx="0" cy="457566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0.63846</cdr:x>
      <cdr:y>0.18969</cdr:y>
    </cdr:from>
    <cdr:to>
      <cdr:x>0.63846</cdr:x>
      <cdr:y>0.91225</cdr:y>
    </cdr:to>
    <cdr:cxnSp macro="">
      <cdr:nvCxnSpPr>
        <cdr:cNvPr id="9" name="Straight Arrow Connector 8"/>
        <cdr:cNvCxnSpPr/>
      </cdr:nvCxnSpPr>
      <cdr:spPr>
        <a:xfrm xmlns:a="http://schemas.openxmlformats.org/drawingml/2006/main">
          <a:off x="5534025" y="1194288"/>
          <a:ext cx="0" cy="454928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0.51209</cdr:x>
      <cdr:y>0.18853</cdr:y>
    </cdr:from>
    <cdr:to>
      <cdr:x>0.51209</cdr:x>
      <cdr:y>0.91074</cdr:y>
    </cdr:to>
    <cdr:cxnSp macro="">
      <cdr:nvCxnSpPr>
        <cdr:cNvPr id="11" name="Straight Arrow Connector 10"/>
        <cdr:cNvCxnSpPr/>
      </cdr:nvCxnSpPr>
      <cdr:spPr>
        <a:xfrm xmlns:a="http://schemas.openxmlformats.org/drawingml/2006/main">
          <a:off x="4438650" y="1186962"/>
          <a:ext cx="0" cy="45470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0.57426</cdr:x>
      <cdr:y>0.61326</cdr:y>
    </cdr:from>
    <cdr:to>
      <cdr:x>0.93405</cdr:x>
      <cdr:y>0.87746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220753" y="3291574"/>
          <a:ext cx="2644392" cy="1418050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tx1">
            <a:lumMod val="85000"/>
            <a:lumOff val="1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Example:</a:t>
          </a:r>
          <a:br>
            <a:rPr lang="en-US" sz="1100">
              <a:solidFill>
                <a:schemeClr val="bg1"/>
              </a:solidFill>
            </a:rPr>
          </a:br>
          <a:r>
            <a:rPr lang="en-US" sz="1100">
              <a:solidFill>
                <a:schemeClr val="bg1"/>
              </a:solidFill>
            </a:rPr>
            <a:t>Q = 400</a:t>
          </a:r>
          <a:r>
            <a:rPr lang="en-US" sz="1100" baseline="0">
              <a:solidFill>
                <a:schemeClr val="bg1"/>
              </a:solidFill>
            </a:rPr>
            <a:t> / </a:t>
          </a:r>
          <a:r>
            <a:rPr lang="en-US" sz="1100">
              <a:solidFill>
                <a:schemeClr val="bg1"/>
              </a:solidFill>
            </a:rPr>
            <a:t>R = 88  </a:t>
          </a:r>
          <a:br>
            <a:rPr lang="en-US" sz="1100">
              <a:solidFill>
                <a:schemeClr val="bg1"/>
              </a:solidFill>
            </a:rPr>
          </a:br>
          <a:r>
            <a:rPr lang="en-US" sz="1100">
              <a:solidFill>
                <a:schemeClr val="bg1"/>
              </a:solidFill>
            </a:rPr>
            <a:t>FKF cutoff result =  711.4hz @</a:t>
          </a:r>
          <a:r>
            <a:rPr lang="en-US" sz="1100" baseline="0">
              <a:solidFill>
                <a:schemeClr val="bg1"/>
              </a:solidFill>
            </a:rPr>
            <a:t> 32k</a:t>
          </a:r>
          <a:br>
            <a:rPr lang="en-US" sz="1100" baseline="0">
              <a:solidFill>
                <a:schemeClr val="bg1"/>
              </a:solidFill>
            </a:rPr>
          </a:b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FKF cutoff result =  355.7hz @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16k</a:t>
          </a:r>
        </a:p>
        <a:p xmlns:a="http://schemas.openxmlformats.org/drawingml/2006/main"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FKF cutoff result =  177.9hz @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8k</a:t>
          </a:r>
          <a:r>
            <a:rPr lang="en-US" sz="1100">
              <a:solidFill>
                <a:schemeClr val="bg1"/>
              </a:solidFill>
            </a:rPr>
            <a:t/>
          </a:r>
          <a:br>
            <a:rPr lang="en-US" sz="1100">
              <a:solidFill>
                <a:schemeClr val="bg1"/>
              </a:solidFill>
            </a:rPr>
          </a:b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FKF cutoff result =  88.9hz @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8k</a:t>
          </a:r>
          <a:r>
            <a:rPr lang="en-US" sz="1100">
              <a:solidFill>
                <a:schemeClr val="bg1"/>
              </a:solidFill>
            </a:rPr>
            <a:t/>
          </a:r>
          <a:br>
            <a:rPr lang="en-US" sz="1100">
              <a:solidFill>
                <a:schemeClr val="bg1"/>
              </a:solidFill>
            </a:rPr>
          </a:br>
          <a:endParaRPr lang="en-US" sz="1100">
            <a:solidFill>
              <a:schemeClr val="bg1"/>
            </a:solidFill>
          </a:endParaRPr>
        </a:p>
        <a:p xmlns:a="http://schemas.openxmlformats.org/drawingml/2006/main">
          <a:r>
            <a:rPr lang="en-US" sz="1100">
              <a:solidFill>
                <a:schemeClr val="bg1"/>
              </a:solidFill>
            </a:rPr>
            <a:t>(see Cutoff Calcs</a:t>
          </a:r>
          <a:r>
            <a:rPr lang="en-US" sz="1100" baseline="0">
              <a:solidFill>
                <a:schemeClr val="bg1"/>
              </a:solidFill>
            </a:rPr>
            <a:t> tab)</a:t>
          </a:r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0.27348</cdr:x>
      <cdr:y>0.19255</cdr:y>
    </cdr:from>
    <cdr:to>
      <cdr:x>0.42701</cdr:x>
      <cdr:y>0.24384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010050" y="1033463"/>
          <a:ext cx="1128438" cy="275309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tx1">
            <a:lumMod val="85000"/>
            <a:lumOff val="15000"/>
          </a:scheme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Q = 400</a:t>
          </a:r>
          <a:r>
            <a:rPr lang="en-US" sz="1100" baseline="0">
              <a:solidFill>
                <a:schemeClr val="bg1"/>
              </a:solidFill>
            </a:rPr>
            <a:t> / </a:t>
          </a:r>
          <a:r>
            <a:rPr lang="en-US" sz="1100">
              <a:solidFill>
                <a:schemeClr val="bg1"/>
              </a:solidFill>
            </a:rPr>
            <a:t>R = 88  </a:t>
          </a:r>
        </a:p>
      </cdr:txBody>
    </cdr:sp>
  </cdr:relSizeAnchor>
  <cdr:relSizeAnchor xmlns:cdr="http://schemas.openxmlformats.org/drawingml/2006/chartDrawing">
    <cdr:from>
      <cdr:x>0.89036</cdr:x>
      <cdr:y>0.19728</cdr:y>
    </cdr:from>
    <cdr:to>
      <cdr:x>0.89036</cdr:x>
      <cdr:y>0.91327</cdr:y>
    </cdr:to>
    <cdr:cxnSp macro="">
      <cdr:nvCxnSpPr>
        <cdr:cNvPr id="6" name="Straight Arrow Connector 5"/>
        <cdr:cNvCxnSpPr/>
      </cdr:nvCxnSpPr>
      <cdr:spPr>
        <a:xfrm xmlns:a="http://schemas.openxmlformats.org/drawingml/2006/main">
          <a:off x="7709667" y="1240220"/>
          <a:ext cx="0" cy="450105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0.07484</cdr:x>
      <cdr:y>0.18902</cdr:y>
    </cdr:from>
    <cdr:to>
      <cdr:x>0.88577</cdr:x>
      <cdr:y>0.18902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648730" y="1190098"/>
          <a:ext cx="7028939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0.18791</cdr:x>
      <cdr:y>0.06354</cdr:y>
    </cdr:from>
    <cdr:to>
      <cdr:x>0.34066</cdr:x>
      <cdr:y>0.10741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28774" y="400050"/>
          <a:ext cx="13239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Gyro Sampling Rate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21981</xdr:colOff>
      <xdr:row>0</xdr:row>
      <xdr:rowOff>0</xdr:rowOff>
    </xdr:from>
    <xdr:to>
      <xdr:col>12</xdr:col>
      <xdr:colOff>173400</xdr:colOff>
      <xdr:row>22</xdr:row>
      <xdr:rowOff>119744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428749</xdr:colOff>
      <xdr:row>15</xdr:row>
      <xdr:rowOff>87923</xdr:rowOff>
    </xdr:from>
    <xdr:to>
      <xdr:col>2</xdr:col>
      <xdr:colOff>166545</xdr:colOff>
      <xdr:row>20</xdr:row>
      <xdr:rowOff>145073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749" y="2945423"/>
          <a:ext cx="1335065" cy="10096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</cdr:x>
      <cdr:y>0.10305</cdr:y>
    </cdr:from>
    <cdr:to>
      <cdr:x>0.71508</cdr:x>
      <cdr:y>0.91103</cdr:y>
    </cdr:to>
    <cdr:sp macro="" textlink="">
      <cdr:nvSpPr>
        <cdr:cNvPr id="5" name="Freeform 4"/>
        <cdr:cNvSpPr/>
      </cdr:nvSpPr>
      <cdr:spPr>
        <a:xfrm xmlns:a="http://schemas.openxmlformats.org/drawingml/2006/main">
          <a:off x="446942" y="444225"/>
          <a:ext cx="4879734" cy="3482995"/>
        </a:xfrm>
        <a:custGeom xmlns:a="http://schemas.openxmlformats.org/drawingml/2006/main">
          <a:avLst/>
          <a:gdLst>
            <a:gd name="connsiteX0" fmla="*/ 0 w 6491654"/>
            <a:gd name="connsiteY0" fmla="*/ 25381 h 1761862"/>
            <a:gd name="connsiteX1" fmla="*/ 1597270 w 6491654"/>
            <a:gd name="connsiteY1" fmla="*/ 25381 h 1761862"/>
            <a:gd name="connsiteX2" fmla="*/ 3245827 w 6491654"/>
            <a:gd name="connsiteY2" fmla="*/ 289150 h 1761862"/>
            <a:gd name="connsiteX3" fmla="*/ 6491654 w 6491654"/>
            <a:gd name="connsiteY3" fmla="*/ 1761862 h 1761862"/>
            <a:gd name="connsiteX0" fmla="*/ 0 w 6491654"/>
            <a:gd name="connsiteY0" fmla="*/ 21140 h 1757621"/>
            <a:gd name="connsiteX1" fmla="*/ 2388577 w 6491654"/>
            <a:gd name="connsiteY1" fmla="*/ 28467 h 1757621"/>
            <a:gd name="connsiteX2" fmla="*/ 3245827 w 6491654"/>
            <a:gd name="connsiteY2" fmla="*/ 284909 h 1757621"/>
            <a:gd name="connsiteX3" fmla="*/ 6491654 w 6491654"/>
            <a:gd name="connsiteY3" fmla="*/ 1757621 h 1757621"/>
            <a:gd name="connsiteX0" fmla="*/ 0 w 6491654"/>
            <a:gd name="connsiteY0" fmla="*/ 8175 h 1744656"/>
            <a:gd name="connsiteX1" fmla="*/ 2388577 w 6491654"/>
            <a:gd name="connsiteY1" fmla="*/ 15502 h 1744656"/>
            <a:gd name="connsiteX2" fmla="*/ 3245827 w 6491654"/>
            <a:gd name="connsiteY2" fmla="*/ 271944 h 1744656"/>
            <a:gd name="connsiteX3" fmla="*/ 6491654 w 6491654"/>
            <a:gd name="connsiteY3" fmla="*/ 1744656 h 1744656"/>
            <a:gd name="connsiteX0" fmla="*/ 0 w 6491654"/>
            <a:gd name="connsiteY0" fmla="*/ 15667 h 1752148"/>
            <a:gd name="connsiteX1" fmla="*/ 2388577 w 6491654"/>
            <a:gd name="connsiteY1" fmla="*/ 22994 h 1752148"/>
            <a:gd name="connsiteX2" fmla="*/ 3245827 w 6491654"/>
            <a:gd name="connsiteY2" fmla="*/ 279436 h 1752148"/>
            <a:gd name="connsiteX3" fmla="*/ 6491654 w 6491654"/>
            <a:gd name="connsiteY3" fmla="*/ 1752148 h 1752148"/>
            <a:gd name="connsiteX0" fmla="*/ 0 w 6491654"/>
            <a:gd name="connsiteY0" fmla="*/ 7675 h 1744156"/>
            <a:gd name="connsiteX1" fmla="*/ 2417885 w 6491654"/>
            <a:gd name="connsiteY1" fmla="*/ 44310 h 1744156"/>
            <a:gd name="connsiteX2" fmla="*/ 3245827 w 6491654"/>
            <a:gd name="connsiteY2" fmla="*/ 271444 h 1744156"/>
            <a:gd name="connsiteX3" fmla="*/ 6491654 w 6491654"/>
            <a:gd name="connsiteY3" fmla="*/ 1744156 h 1744156"/>
            <a:gd name="connsiteX0" fmla="*/ 0 w 6491654"/>
            <a:gd name="connsiteY0" fmla="*/ 15667 h 1752148"/>
            <a:gd name="connsiteX1" fmla="*/ 2432539 w 6491654"/>
            <a:gd name="connsiteY1" fmla="*/ 22994 h 1752148"/>
            <a:gd name="connsiteX2" fmla="*/ 3245827 w 6491654"/>
            <a:gd name="connsiteY2" fmla="*/ 279436 h 1752148"/>
            <a:gd name="connsiteX3" fmla="*/ 6491654 w 6491654"/>
            <a:gd name="connsiteY3" fmla="*/ 1752148 h 1752148"/>
            <a:gd name="connsiteX0" fmla="*/ 0 w 6491654"/>
            <a:gd name="connsiteY0" fmla="*/ 39564 h 1776045"/>
            <a:gd name="connsiteX1" fmla="*/ 2432539 w 6491654"/>
            <a:gd name="connsiteY1" fmla="*/ 46891 h 1776045"/>
            <a:gd name="connsiteX2" fmla="*/ 3245827 w 6491654"/>
            <a:gd name="connsiteY2" fmla="*/ 303333 h 1776045"/>
            <a:gd name="connsiteX3" fmla="*/ 6491654 w 6491654"/>
            <a:gd name="connsiteY3" fmla="*/ 1776045 h 1776045"/>
            <a:gd name="connsiteX0" fmla="*/ 0 w 6491654"/>
            <a:gd name="connsiteY0" fmla="*/ 10486 h 1746967"/>
            <a:gd name="connsiteX1" fmla="*/ 2725616 w 6491654"/>
            <a:gd name="connsiteY1" fmla="*/ 83755 h 1746967"/>
            <a:gd name="connsiteX2" fmla="*/ 3245827 w 6491654"/>
            <a:gd name="connsiteY2" fmla="*/ 274255 h 1746967"/>
            <a:gd name="connsiteX3" fmla="*/ 6491654 w 6491654"/>
            <a:gd name="connsiteY3" fmla="*/ 1746967 h 1746967"/>
            <a:gd name="connsiteX0" fmla="*/ 0 w 6491654"/>
            <a:gd name="connsiteY0" fmla="*/ 19631 h 1756112"/>
            <a:gd name="connsiteX1" fmla="*/ 2725616 w 6491654"/>
            <a:gd name="connsiteY1" fmla="*/ 92900 h 1756112"/>
            <a:gd name="connsiteX2" fmla="*/ 3245827 w 6491654"/>
            <a:gd name="connsiteY2" fmla="*/ 283400 h 1756112"/>
            <a:gd name="connsiteX3" fmla="*/ 6491654 w 6491654"/>
            <a:gd name="connsiteY3" fmla="*/ 1756112 h 1756112"/>
            <a:gd name="connsiteX0" fmla="*/ 0 w 6491654"/>
            <a:gd name="connsiteY0" fmla="*/ 19631 h 1756112"/>
            <a:gd name="connsiteX1" fmla="*/ 2725616 w 6491654"/>
            <a:gd name="connsiteY1" fmla="*/ 92900 h 1756112"/>
            <a:gd name="connsiteX2" fmla="*/ 3245827 w 6491654"/>
            <a:gd name="connsiteY2" fmla="*/ 283400 h 1756112"/>
            <a:gd name="connsiteX3" fmla="*/ 3201866 w 6491654"/>
            <a:gd name="connsiteY3" fmla="*/ 276074 h 1756112"/>
            <a:gd name="connsiteX4" fmla="*/ 6491654 w 6491654"/>
            <a:gd name="connsiteY4" fmla="*/ 1756112 h 1756112"/>
            <a:gd name="connsiteX0" fmla="*/ 0 w 6491654"/>
            <a:gd name="connsiteY0" fmla="*/ 19631 h 1756112"/>
            <a:gd name="connsiteX1" fmla="*/ 2725616 w 6491654"/>
            <a:gd name="connsiteY1" fmla="*/ 92900 h 1756112"/>
            <a:gd name="connsiteX2" fmla="*/ 3245827 w 6491654"/>
            <a:gd name="connsiteY2" fmla="*/ 283400 h 1756112"/>
            <a:gd name="connsiteX3" fmla="*/ 3824654 w 6491654"/>
            <a:gd name="connsiteY3" fmla="*/ 532516 h 1756112"/>
            <a:gd name="connsiteX4" fmla="*/ 6491654 w 6491654"/>
            <a:gd name="connsiteY4" fmla="*/ 1756112 h 1756112"/>
            <a:gd name="connsiteX0" fmla="*/ 0 w 6491654"/>
            <a:gd name="connsiteY0" fmla="*/ 65769 h 1802250"/>
            <a:gd name="connsiteX1" fmla="*/ 1641231 w 6491654"/>
            <a:gd name="connsiteY1" fmla="*/ 58442 h 1802250"/>
            <a:gd name="connsiteX2" fmla="*/ 3245827 w 6491654"/>
            <a:gd name="connsiteY2" fmla="*/ 329538 h 1802250"/>
            <a:gd name="connsiteX3" fmla="*/ 3824654 w 6491654"/>
            <a:gd name="connsiteY3" fmla="*/ 578654 h 1802250"/>
            <a:gd name="connsiteX4" fmla="*/ 6491654 w 6491654"/>
            <a:gd name="connsiteY4" fmla="*/ 1802250 h 1802250"/>
            <a:gd name="connsiteX0" fmla="*/ 0 w 6491654"/>
            <a:gd name="connsiteY0" fmla="*/ 10067 h 1746548"/>
            <a:gd name="connsiteX1" fmla="*/ 1641231 w 6491654"/>
            <a:gd name="connsiteY1" fmla="*/ 2740 h 1746548"/>
            <a:gd name="connsiteX2" fmla="*/ 3245827 w 6491654"/>
            <a:gd name="connsiteY2" fmla="*/ 273836 h 1746548"/>
            <a:gd name="connsiteX3" fmla="*/ 3824654 w 6491654"/>
            <a:gd name="connsiteY3" fmla="*/ 522952 h 1746548"/>
            <a:gd name="connsiteX4" fmla="*/ 6491654 w 6491654"/>
            <a:gd name="connsiteY4" fmla="*/ 1746548 h 1746548"/>
            <a:gd name="connsiteX0" fmla="*/ 0 w 6491654"/>
            <a:gd name="connsiteY0" fmla="*/ 18041 h 1754522"/>
            <a:gd name="connsiteX1" fmla="*/ 1641231 w 6491654"/>
            <a:gd name="connsiteY1" fmla="*/ 10714 h 1754522"/>
            <a:gd name="connsiteX2" fmla="*/ 2894135 w 6491654"/>
            <a:gd name="connsiteY2" fmla="*/ 113290 h 1754522"/>
            <a:gd name="connsiteX3" fmla="*/ 3824654 w 6491654"/>
            <a:gd name="connsiteY3" fmla="*/ 530926 h 1754522"/>
            <a:gd name="connsiteX4" fmla="*/ 6491654 w 6491654"/>
            <a:gd name="connsiteY4" fmla="*/ 1754522 h 1754522"/>
            <a:gd name="connsiteX0" fmla="*/ 0 w 6491654"/>
            <a:gd name="connsiteY0" fmla="*/ 18041 h 1754522"/>
            <a:gd name="connsiteX1" fmla="*/ 1641231 w 6491654"/>
            <a:gd name="connsiteY1" fmla="*/ 10714 h 1754522"/>
            <a:gd name="connsiteX2" fmla="*/ 2894135 w 6491654"/>
            <a:gd name="connsiteY2" fmla="*/ 113290 h 1754522"/>
            <a:gd name="connsiteX3" fmla="*/ 3824654 w 6491654"/>
            <a:gd name="connsiteY3" fmla="*/ 530926 h 1754522"/>
            <a:gd name="connsiteX4" fmla="*/ 6491654 w 6491654"/>
            <a:gd name="connsiteY4" fmla="*/ 1754522 h 1754522"/>
            <a:gd name="connsiteX0" fmla="*/ 0 w 6491654"/>
            <a:gd name="connsiteY0" fmla="*/ 19055 h 1755536"/>
            <a:gd name="connsiteX1" fmla="*/ 1641231 w 6491654"/>
            <a:gd name="connsiteY1" fmla="*/ 11728 h 1755536"/>
            <a:gd name="connsiteX2" fmla="*/ 2952750 w 6491654"/>
            <a:gd name="connsiteY2" fmla="*/ 128958 h 1755536"/>
            <a:gd name="connsiteX3" fmla="*/ 3824654 w 6491654"/>
            <a:gd name="connsiteY3" fmla="*/ 531940 h 1755536"/>
            <a:gd name="connsiteX4" fmla="*/ 6491654 w 6491654"/>
            <a:gd name="connsiteY4" fmla="*/ 1755536 h 1755536"/>
            <a:gd name="connsiteX0" fmla="*/ 0 w 6491654"/>
            <a:gd name="connsiteY0" fmla="*/ 10046 h 1746527"/>
            <a:gd name="connsiteX1" fmla="*/ 1663212 w 6491654"/>
            <a:gd name="connsiteY1" fmla="*/ 24700 h 1746527"/>
            <a:gd name="connsiteX2" fmla="*/ 2952750 w 6491654"/>
            <a:gd name="connsiteY2" fmla="*/ 119949 h 1746527"/>
            <a:gd name="connsiteX3" fmla="*/ 3824654 w 6491654"/>
            <a:gd name="connsiteY3" fmla="*/ 522931 h 1746527"/>
            <a:gd name="connsiteX4" fmla="*/ 6491654 w 6491654"/>
            <a:gd name="connsiteY4" fmla="*/ 1746527 h 1746527"/>
            <a:gd name="connsiteX0" fmla="*/ 0 w 6491654"/>
            <a:gd name="connsiteY0" fmla="*/ 8631 h 1745112"/>
            <a:gd name="connsiteX1" fmla="*/ 1663212 w 6491654"/>
            <a:gd name="connsiteY1" fmla="*/ 23285 h 1745112"/>
            <a:gd name="connsiteX2" fmla="*/ 2952750 w 6491654"/>
            <a:gd name="connsiteY2" fmla="*/ 118534 h 1745112"/>
            <a:gd name="connsiteX3" fmla="*/ 3824654 w 6491654"/>
            <a:gd name="connsiteY3" fmla="*/ 521516 h 1745112"/>
            <a:gd name="connsiteX4" fmla="*/ 6491654 w 6491654"/>
            <a:gd name="connsiteY4" fmla="*/ 1745112 h 1745112"/>
            <a:gd name="connsiteX0" fmla="*/ 0 w 6491654"/>
            <a:gd name="connsiteY0" fmla="*/ 10317 h 1746798"/>
            <a:gd name="connsiteX1" fmla="*/ 1311520 w 6491654"/>
            <a:gd name="connsiteY1" fmla="*/ 17644 h 1746798"/>
            <a:gd name="connsiteX2" fmla="*/ 2952750 w 6491654"/>
            <a:gd name="connsiteY2" fmla="*/ 120220 h 1746798"/>
            <a:gd name="connsiteX3" fmla="*/ 3824654 w 6491654"/>
            <a:gd name="connsiteY3" fmla="*/ 523202 h 1746798"/>
            <a:gd name="connsiteX4" fmla="*/ 6491654 w 6491654"/>
            <a:gd name="connsiteY4" fmla="*/ 1746798 h 1746798"/>
            <a:gd name="connsiteX0" fmla="*/ 0 w 6491654"/>
            <a:gd name="connsiteY0" fmla="*/ 10317 h 1746798"/>
            <a:gd name="connsiteX1" fmla="*/ 1311520 w 6491654"/>
            <a:gd name="connsiteY1" fmla="*/ 17644 h 1746798"/>
            <a:gd name="connsiteX2" fmla="*/ 2952750 w 6491654"/>
            <a:gd name="connsiteY2" fmla="*/ 120220 h 1746798"/>
            <a:gd name="connsiteX3" fmla="*/ 3831981 w 6491654"/>
            <a:gd name="connsiteY3" fmla="*/ 493894 h 1746798"/>
            <a:gd name="connsiteX4" fmla="*/ 6491654 w 6491654"/>
            <a:gd name="connsiteY4" fmla="*/ 1746798 h 1746798"/>
            <a:gd name="connsiteX0" fmla="*/ 0 w 6491654"/>
            <a:gd name="connsiteY0" fmla="*/ 10317 h 1746798"/>
            <a:gd name="connsiteX1" fmla="*/ 1311520 w 6491654"/>
            <a:gd name="connsiteY1" fmla="*/ 17644 h 1746798"/>
            <a:gd name="connsiteX2" fmla="*/ 2952750 w 6491654"/>
            <a:gd name="connsiteY2" fmla="*/ 120220 h 1746798"/>
            <a:gd name="connsiteX3" fmla="*/ 3831981 w 6491654"/>
            <a:gd name="connsiteY3" fmla="*/ 493894 h 1746798"/>
            <a:gd name="connsiteX4" fmla="*/ 6491654 w 6491654"/>
            <a:gd name="connsiteY4" fmla="*/ 1746798 h 1746798"/>
            <a:gd name="connsiteX0" fmla="*/ 0 w 6491654"/>
            <a:gd name="connsiteY0" fmla="*/ 10317 h 1746798"/>
            <a:gd name="connsiteX1" fmla="*/ 1311520 w 6491654"/>
            <a:gd name="connsiteY1" fmla="*/ 17644 h 1746798"/>
            <a:gd name="connsiteX2" fmla="*/ 2952750 w 6491654"/>
            <a:gd name="connsiteY2" fmla="*/ 120220 h 1746798"/>
            <a:gd name="connsiteX3" fmla="*/ 3846635 w 6491654"/>
            <a:gd name="connsiteY3" fmla="*/ 501221 h 1746798"/>
            <a:gd name="connsiteX4" fmla="*/ 6491654 w 6491654"/>
            <a:gd name="connsiteY4" fmla="*/ 1746798 h 1746798"/>
            <a:gd name="connsiteX0" fmla="*/ 0 w 6491654"/>
            <a:gd name="connsiteY0" fmla="*/ 14836 h 1751317"/>
            <a:gd name="connsiteX1" fmla="*/ 1311520 w 6491654"/>
            <a:gd name="connsiteY1" fmla="*/ 22163 h 1751317"/>
            <a:gd name="connsiteX2" fmla="*/ 2857500 w 6491654"/>
            <a:gd name="connsiteY2" fmla="*/ 176028 h 1751317"/>
            <a:gd name="connsiteX3" fmla="*/ 3846635 w 6491654"/>
            <a:gd name="connsiteY3" fmla="*/ 505740 h 1751317"/>
            <a:gd name="connsiteX4" fmla="*/ 6491654 w 6491654"/>
            <a:gd name="connsiteY4" fmla="*/ 1751317 h 1751317"/>
            <a:gd name="connsiteX0" fmla="*/ 0 w 6491654"/>
            <a:gd name="connsiteY0" fmla="*/ 14836 h 1751317"/>
            <a:gd name="connsiteX1" fmla="*/ 1311520 w 6491654"/>
            <a:gd name="connsiteY1" fmla="*/ 22163 h 1751317"/>
            <a:gd name="connsiteX2" fmla="*/ 2857500 w 6491654"/>
            <a:gd name="connsiteY2" fmla="*/ 176028 h 1751317"/>
            <a:gd name="connsiteX3" fmla="*/ 3846635 w 6491654"/>
            <a:gd name="connsiteY3" fmla="*/ 505740 h 1751317"/>
            <a:gd name="connsiteX4" fmla="*/ 6491654 w 6491654"/>
            <a:gd name="connsiteY4" fmla="*/ 1751317 h 1751317"/>
            <a:gd name="connsiteX0" fmla="*/ 0 w 6491654"/>
            <a:gd name="connsiteY0" fmla="*/ 12195 h 1748676"/>
            <a:gd name="connsiteX1" fmla="*/ 1311520 w 6491654"/>
            <a:gd name="connsiteY1" fmla="*/ 19522 h 1748676"/>
            <a:gd name="connsiteX2" fmla="*/ 2923443 w 6491654"/>
            <a:gd name="connsiteY2" fmla="*/ 122098 h 1748676"/>
            <a:gd name="connsiteX3" fmla="*/ 3846635 w 6491654"/>
            <a:gd name="connsiteY3" fmla="*/ 503099 h 1748676"/>
            <a:gd name="connsiteX4" fmla="*/ 6491654 w 6491654"/>
            <a:gd name="connsiteY4" fmla="*/ 1748676 h 1748676"/>
            <a:gd name="connsiteX0" fmla="*/ 0 w 6491654"/>
            <a:gd name="connsiteY0" fmla="*/ 12195 h 1748676"/>
            <a:gd name="connsiteX1" fmla="*/ 1311520 w 6491654"/>
            <a:gd name="connsiteY1" fmla="*/ 19522 h 1748676"/>
            <a:gd name="connsiteX2" fmla="*/ 2923443 w 6491654"/>
            <a:gd name="connsiteY2" fmla="*/ 122098 h 1748676"/>
            <a:gd name="connsiteX3" fmla="*/ 3846635 w 6491654"/>
            <a:gd name="connsiteY3" fmla="*/ 503099 h 1748676"/>
            <a:gd name="connsiteX4" fmla="*/ 6491654 w 6491654"/>
            <a:gd name="connsiteY4" fmla="*/ 1748676 h 1748676"/>
            <a:gd name="connsiteX0" fmla="*/ 0 w 6491654"/>
            <a:gd name="connsiteY0" fmla="*/ 10318 h 1746799"/>
            <a:gd name="connsiteX1" fmla="*/ 1311520 w 6491654"/>
            <a:gd name="connsiteY1" fmla="*/ 17645 h 1746799"/>
            <a:gd name="connsiteX2" fmla="*/ 2923443 w 6491654"/>
            <a:gd name="connsiteY2" fmla="*/ 120221 h 1746799"/>
            <a:gd name="connsiteX3" fmla="*/ 3846635 w 6491654"/>
            <a:gd name="connsiteY3" fmla="*/ 501222 h 1746799"/>
            <a:gd name="connsiteX4" fmla="*/ 6491654 w 6491654"/>
            <a:gd name="connsiteY4" fmla="*/ 1746799 h 1746799"/>
            <a:gd name="connsiteX0" fmla="*/ 0 w 6498981"/>
            <a:gd name="connsiteY0" fmla="*/ 10318 h 3497934"/>
            <a:gd name="connsiteX1" fmla="*/ 1311520 w 6498981"/>
            <a:gd name="connsiteY1" fmla="*/ 17645 h 3497934"/>
            <a:gd name="connsiteX2" fmla="*/ 2923443 w 6498981"/>
            <a:gd name="connsiteY2" fmla="*/ 120221 h 3497934"/>
            <a:gd name="connsiteX3" fmla="*/ 3846635 w 6498981"/>
            <a:gd name="connsiteY3" fmla="*/ 501222 h 3497934"/>
            <a:gd name="connsiteX4" fmla="*/ 6498981 w 6498981"/>
            <a:gd name="connsiteY4" fmla="*/ 3497934 h 3497934"/>
            <a:gd name="connsiteX0" fmla="*/ 0 w 6498981"/>
            <a:gd name="connsiteY0" fmla="*/ 10318 h 3497934"/>
            <a:gd name="connsiteX1" fmla="*/ 1311520 w 6498981"/>
            <a:gd name="connsiteY1" fmla="*/ 17645 h 3497934"/>
            <a:gd name="connsiteX2" fmla="*/ 2923443 w 6498981"/>
            <a:gd name="connsiteY2" fmla="*/ 120221 h 3497934"/>
            <a:gd name="connsiteX3" fmla="*/ 3678116 w 6498981"/>
            <a:gd name="connsiteY3" fmla="*/ 603799 h 3497934"/>
            <a:gd name="connsiteX4" fmla="*/ 6498981 w 6498981"/>
            <a:gd name="connsiteY4" fmla="*/ 3497934 h 3497934"/>
            <a:gd name="connsiteX0" fmla="*/ 0 w 6498981"/>
            <a:gd name="connsiteY0" fmla="*/ 10318 h 3497934"/>
            <a:gd name="connsiteX1" fmla="*/ 1311520 w 6498981"/>
            <a:gd name="connsiteY1" fmla="*/ 17645 h 3497934"/>
            <a:gd name="connsiteX2" fmla="*/ 2923443 w 6498981"/>
            <a:gd name="connsiteY2" fmla="*/ 120221 h 3497934"/>
            <a:gd name="connsiteX3" fmla="*/ 3678116 w 6498981"/>
            <a:gd name="connsiteY3" fmla="*/ 603799 h 3497934"/>
            <a:gd name="connsiteX4" fmla="*/ 6498981 w 6498981"/>
            <a:gd name="connsiteY4" fmla="*/ 3497934 h 3497934"/>
            <a:gd name="connsiteX0" fmla="*/ 0 w 6498981"/>
            <a:gd name="connsiteY0" fmla="*/ 10318 h 3497934"/>
            <a:gd name="connsiteX1" fmla="*/ 1311520 w 6498981"/>
            <a:gd name="connsiteY1" fmla="*/ 17645 h 3497934"/>
            <a:gd name="connsiteX2" fmla="*/ 2923443 w 6498981"/>
            <a:gd name="connsiteY2" fmla="*/ 120221 h 3497934"/>
            <a:gd name="connsiteX3" fmla="*/ 3531577 w 6498981"/>
            <a:gd name="connsiteY3" fmla="*/ 655088 h 3497934"/>
            <a:gd name="connsiteX4" fmla="*/ 6498981 w 6498981"/>
            <a:gd name="connsiteY4" fmla="*/ 3497934 h 3497934"/>
            <a:gd name="connsiteX0" fmla="*/ 0 w 6498981"/>
            <a:gd name="connsiteY0" fmla="*/ 10318 h 3497934"/>
            <a:gd name="connsiteX1" fmla="*/ 1311520 w 6498981"/>
            <a:gd name="connsiteY1" fmla="*/ 17645 h 3497934"/>
            <a:gd name="connsiteX2" fmla="*/ 2923443 w 6498981"/>
            <a:gd name="connsiteY2" fmla="*/ 120221 h 3497934"/>
            <a:gd name="connsiteX3" fmla="*/ 3531577 w 6498981"/>
            <a:gd name="connsiteY3" fmla="*/ 655088 h 3497934"/>
            <a:gd name="connsiteX4" fmla="*/ 6498981 w 6498981"/>
            <a:gd name="connsiteY4" fmla="*/ 3497934 h 3497934"/>
            <a:gd name="connsiteX0" fmla="*/ 0 w 6498981"/>
            <a:gd name="connsiteY0" fmla="*/ 11855 h 3499471"/>
            <a:gd name="connsiteX1" fmla="*/ 1311520 w 6498981"/>
            <a:gd name="connsiteY1" fmla="*/ 19182 h 3499471"/>
            <a:gd name="connsiteX2" fmla="*/ 2710962 w 6498981"/>
            <a:gd name="connsiteY2" fmla="*/ 114431 h 3499471"/>
            <a:gd name="connsiteX3" fmla="*/ 3531577 w 6498981"/>
            <a:gd name="connsiteY3" fmla="*/ 656625 h 3499471"/>
            <a:gd name="connsiteX4" fmla="*/ 6498981 w 6498981"/>
            <a:gd name="connsiteY4" fmla="*/ 3499471 h 3499471"/>
            <a:gd name="connsiteX0" fmla="*/ 0 w 6498981"/>
            <a:gd name="connsiteY0" fmla="*/ 11855 h 3499471"/>
            <a:gd name="connsiteX1" fmla="*/ 1311520 w 6498981"/>
            <a:gd name="connsiteY1" fmla="*/ 19182 h 3499471"/>
            <a:gd name="connsiteX2" fmla="*/ 2710962 w 6498981"/>
            <a:gd name="connsiteY2" fmla="*/ 114431 h 3499471"/>
            <a:gd name="connsiteX3" fmla="*/ 3253154 w 6498981"/>
            <a:gd name="connsiteY3" fmla="*/ 451471 h 3499471"/>
            <a:gd name="connsiteX4" fmla="*/ 6498981 w 6498981"/>
            <a:gd name="connsiteY4" fmla="*/ 3499471 h 3499471"/>
            <a:gd name="connsiteX0" fmla="*/ 0 w 6498981"/>
            <a:gd name="connsiteY0" fmla="*/ 11855 h 3499471"/>
            <a:gd name="connsiteX1" fmla="*/ 1311520 w 6498981"/>
            <a:gd name="connsiteY1" fmla="*/ 19182 h 3499471"/>
            <a:gd name="connsiteX2" fmla="*/ 2710962 w 6498981"/>
            <a:gd name="connsiteY2" fmla="*/ 114431 h 3499471"/>
            <a:gd name="connsiteX3" fmla="*/ 3253154 w 6498981"/>
            <a:gd name="connsiteY3" fmla="*/ 451471 h 3499471"/>
            <a:gd name="connsiteX4" fmla="*/ 6498981 w 6498981"/>
            <a:gd name="connsiteY4" fmla="*/ 3499471 h 3499471"/>
            <a:gd name="connsiteX0" fmla="*/ 0 w 6498981"/>
            <a:gd name="connsiteY0" fmla="*/ 10318 h 3497934"/>
            <a:gd name="connsiteX1" fmla="*/ 1311520 w 6498981"/>
            <a:gd name="connsiteY1" fmla="*/ 17645 h 3497934"/>
            <a:gd name="connsiteX2" fmla="*/ 2732943 w 6498981"/>
            <a:gd name="connsiteY2" fmla="*/ 76260 h 3497934"/>
            <a:gd name="connsiteX3" fmla="*/ 3253154 w 6498981"/>
            <a:gd name="connsiteY3" fmla="*/ 449934 h 3497934"/>
            <a:gd name="connsiteX4" fmla="*/ 6498981 w 6498981"/>
            <a:gd name="connsiteY4" fmla="*/ 3497934 h 3497934"/>
            <a:gd name="connsiteX0" fmla="*/ 0 w 6498981"/>
            <a:gd name="connsiteY0" fmla="*/ 10041 h 3497657"/>
            <a:gd name="connsiteX1" fmla="*/ 1311520 w 6498981"/>
            <a:gd name="connsiteY1" fmla="*/ 17368 h 3497657"/>
            <a:gd name="connsiteX2" fmla="*/ 2615712 w 6498981"/>
            <a:gd name="connsiteY2" fmla="*/ 68657 h 3497657"/>
            <a:gd name="connsiteX3" fmla="*/ 3253154 w 6498981"/>
            <a:gd name="connsiteY3" fmla="*/ 449657 h 3497657"/>
            <a:gd name="connsiteX4" fmla="*/ 6498981 w 6498981"/>
            <a:gd name="connsiteY4" fmla="*/ 3497657 h 3497657"/>
            <a:gd name="connsiteX0" fmla="*/ 0 w 6498981"/>
            <a:gd name="connsiteY0" fmla="*/ 10041 h 3497657"/>
            <a:gd name="connsiteX1" fmla="*/ 1311520 w 6498981"/>
            <a:gd name="connsiteY1" fmla="*/ 17368 h 3497657"/>
            <a:gd name="connsiteX2" fmla="*/ 2615712 w 6498981"/>
            <a:gd name="connsiteY2" fmla="*/ 68657 h 3497657"/>
            <a:gd name="connsiteX3" fmla="*/ 3253154 w 6498981"/>
            <a:gd name="connsiteY3" fmla="*/ 449657 h 3497657"/>
            <a:gd name="connsiteX4" fmla="*/ 6498981 w 6498981"/>
            <a:gd name="connsiteY4" fmla="*/ 3497657 h 3497657"/>
            <a:gd name="connsiteX0" fmla="*/ 0 w 6498981"/>
            <a:gd name="connsiteY0" fmla="*/ 10041 h 3497657"/>
            <a:gd name="connsiteX1" fmla="*/ 1311520 w 6498981"/>
            <a:gd name="connsiteY1" fmla="*/ 17368 h 3497657"/>
            <a:gd name="connsiteX2" fmla="*/ 2615712 w 6498981"/>
            <a:gd name="connsiteY2" fmla="*/ 68657 h 3497657"/>
            <a:gd name="connsiteX3" fmla="*/ 3260481 w 6498981"/>
            <a:gd name="connsiteY3" fmla="*/ 537580 h 3497657"/>
            <a:gd name="connsiteX4" fmla="*/ 6498981 w 6498981"/>
            <a:gd name="connsiteY4" fmla="*/ 3497657 h 3497657"/>
            <a:gd name="connsiteX0" fmla="*/ 0 w 6498981"/>
            <a:gd name="connsiteY0" fmla="*/ 10041 h 3497657"/>
            <a:gd name="connsiteX1" fmla="*/ 1311520 w 6498981"/>
            <a:gd name="connsiteY1" fmla="*/ 17368 h 3497657"/>
            <a:gd name="connsiteX2" fmla="*/ 2615712 w 6498981"/>
            <a:gd name="connsiteY2" fmla="*/ 68657 h 3497657"/>
            <a:gd name="connsiteX3" fmla="*/ 3260481 w 6498981"/>
            <a:gd name="connsiteY3" fmla="*/ 537580 h 3497657"/>
            <a:gd name="connsiteX4" fmla="*/ 6498981 w 6498981"/>
            <a:gd name="connsiteY4" fmla="*/ 3497657 h 3497657"/>
            <a:gd name="connsiteX0" fmla="*/ 0 w 6498981"/>
            <a:gd name="connsiteY0" fmla="*/ 10604 h 3498220"/>
            <a:gd name="connsiteX1" fmla="*/ 1311520 w 6498981"/>
            <a:gd name="connsiteY1" fmla="*/ 17931 h 3498220"/>
            <a:gd name="connsiteX2" fmla="*/ 2593731 w 6498981"/>
            <a:gd name="connsiteY2" fmla="*/ 83874 h 3498220"/>
            <a:gd name="connsiteX3" fmla="*/ 3260481 w 6498981"/>
            <a:gd name="connsiteY3" fmla="*/ 538143 h 3498220"/>
            <a:gd name="connsiteX4" fmla="*/ 6498981 w 6498981"/>
            <a:gd name="connsiteY4" fmla="*/ 3498220 h 3498220"/>
            <a:gd name="connsiteX0" fmla="*/ 0 w 6498981"/>
            <a:gd name="connsiteY0" fmla="*/ 10604 h 3498220"/>
            <a:gd name="connsiteX1" fmla="*/ 827943 w 6498981"/>
            <a:gd name="connsiteY1" fmla="*/ 17931 h 3498220"/>
            <a:gd name="connsiteX2" fmla="*/ 2593731 w 6498981"/>
            <a:gd name="connsiteY2" fmla="*/ 83874 h 3498220"/>
            <a:gd name="connsiteX3" fmla="*/ 3260481 w 6498981"/>
            <a:gd name="connsiteY3" fmla="*/ 538143 h 3498220"/>
            <a:gd name="connsiteX4" fmla="*/ 6498981 w 6498981"/>
            <a:gd name="connsiteY4" fmla="*/ 3498220 h 3498220"/>
            <a:gd name="connsiteX0" fmla="*/ 0 w 6498981"/>
            <a:gd name="connsiteY0" fmla="*/ 10604 h 3498220"/>
            <a:gd name="connsiteX1" fmla="*/ 827943 w 6498981"/>
            <a:gd name="connsiteY1" fmla="*/ 17931 h 3498220"/>
            <a:gd name="connsiteX2" fmla="*/ 2593731 w 6498981"/>
            <a:gd name="connsiteY2" fmla="*/ 83874 h 3498220"/>
            <a:gd name="connsiteX3" fmla="*/ 3260481 w 6498981"/>
            <a:gd name="connsiteY3" fmla="*/ 538143 h 3498220"/>
            <a:gd name="connsiteX4" fmla="*/ 6498981 w 6498981"/>
            <a:gd name="connsiteY4" fmla="*/ 3498220 h 3498220"/>
            <a:gd name="connsiteX0" fmla="*/ 0 w 4879732"/>
            <a:gd name="connsiteY0" fmla="*/ 10604 h 3483566"/>
            <a:gd name="connsiteX1" fmla="*/ 827943 w 4879732"/>
            <a:gd name="connsiteY1" fmla="*/ 17931 h 3483566"/>
            <a:gd name="connsiteX2" fmla="*/ 2593731 w 4879732"/>
            <a:gd name="connsiteY2" fmla="*/ 83874 h 3483566"/>
            <a:gd name="connsiteX3" fmla="*/ 3260481 w 4879732"/>
            <a:gd name="connsiteY3" fmla="*/ 538143 h 3483566"/>
            <a:gd name="connsiteX4" fmla="*/ 4879732 w 4879732"/>
            <a:gd name="connsiteY4" fmla="*/ 3483566 h 3483566"/>
            <a:gd name="connsiteX0" fmla="*/ 0 w 4879732"/>
            <a:gd name="connsiteY0" fmla="*/ 10604 h 3483566"/>
            <a:gd name="connsiteX1" fmla="*/ 827943 w 4879732"/>
            <a:gd name="connsiteY1" fmla="*/ 17931 h 3483566"/>
            <a:gd name="connsiteX2" fmla="*/ 2593731 w 4879732"/>
            <a:gd name="connsiteY2" fmla="*/ 83874 h 3483566"/>
            <a:gd name="connsiteX3" fmla="*/ 3260481 w 4879732"/>
            <a:gd name="connsiteY3" fmla="*/ 538143 h 3483566"/>
            <a:gd name="connsiteX4" fmla="*/ 4879732 w 4879732"/>
            <a:gd name="connsiteY4" fmla="*/ 3483566 h 3483566"/>
            <a:gd name="connsiteX0" fmla="*/ 0 w 4879732"/>
            <a:gd name="connsiteY0" fmla="*/ 10604 h 3483566"/>
            <a:gd name="connsiteX1" fmla="*/ 827943 w 4879732"/>
            <a:gd name="connsiteY1" fmla="*/ 17931 h 3483566"/>
            <a:gd name="connsiteX2" fmla="*/ 2593731 w 4879732"/>
            <a:gd name="connsiteY2" fmla="*/ 83874 h 3483566"/>
            <a:gd name="connsiteX3" fmla="*/ 3260481 w 4879732"/>
            <a:gd name="connsiteY3" fmla="*/ 538143 h 3483566"/>
            <a:gd name="connsiteX4" fmla="*/ 4879732 w 4879732"/>
            <a:gd name="connsiteY4" fmla="*/ 3483566 h 3483566"/>
            <a:gd name="connsiteX0" fmla="*/ 0 w 4879732"/>
            <a:gd name="connsiteY0" fmla="*/ 10041 h 3483003"/>
            <a:gd name="connsiteX1" fmla="*/ 827943 w 4879732"/>
            <a:gd name="connsiteY1" fmla="*/ 17368 h 3483003"/>
            <a:gd name="connsiteX2" fmla="*/ 2725615 w 4879732"/>
            <a:gd name="connsiteY2" fmla="*/ 68658 h 3483003"/>
            <a:gd name="connsiteX3" fmla="*/ 3260481 w 4879732"/>
            <a:gd name="connsiteY3" fmla="*/ 537580 h 3483003"/>
            <a:gd name="connsiteX4" fmla="*/ 4879732 w 4879732"/>
            <a:gd name="connsiteY4" fmla="*/ 3483003 h 3483003"/>
            <a:gd name="connsiteX0" fmla="*/ 0 w 4879732"/>
            <a:gd name="connsiteY0" fmla="*/ 10041 h 3483003"/>
            <a:gd name="connsiteX1" fmla="*/ 827943 w 4879732"/>
            <a:gd name="connsiteY1" fmla="*/ 17368 h 3483003"/>
            <a:gd name="connsiteX2" fmla="*/ 2725615 w 4879732"/>
            <a:gd name="connsiteY2" fmla="*/ 68658 h 3483003"/>
            <a:gd name="connsiteX3" fmla="*/ 3260481 w 4879732"/>
            <a:gd name="connsiteY3" fmla="*/ 537580 h 3483003"/>
            <a:gd name="connsiteX4" fmla="*/ 4879732 w 4879732"/>
            <a:gd name="connsiteY4" fmla="*/ 3483003 h 3483003"/>
            <a:gd name="connsiteX0" fmla="*/ 0 w 4879732"/>
            <a:gd name="connsiteY0" fmla="*/ 10041 h 3483003"/>
            <a:gd name="connsiteX1" fmla="*/ 827943 w 4879732"/>
            <a:gd name="connsiteY1" fmla="*/ 17368 h 3483003"/>
            <a:gd name="connsiteX2" fmla="*/ 2725615 w 4879732"/>
            <a:gd name="connsiteY2" fmla="*/ 68658 h 3483003"/>
            <a:gd name="connsiteX3" fmla="*/ 3260481 w 4879732"/>
            <a:gd name="connsiteY3" fmla="*/ 537580 h 3483003"/>
            <a:gd name="connsiteX4" fmla="*/ 4879732 w 4879732"/>
            <a:gd name="connsiteY4" fmla="*/ 3483003 h 348300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879732" h="3483003">
              <a:moveTo>
                <a:pt x="0" y="10041"/>
              </a:moveTo>
              <a:cubicBezTo>
                <a:pt x="528149" y="-11940"/>
                <a:pt x="373674" y="7599"/>
                <a:pt x="827943" y="17368"/>
              </a:cubicBezTo>
              <a:cubicBezTo>
                <a:pt x="1460500" y="34465"/>
                <a:pt x="2334846" y="-40025"/>
                <a:pt x="2725615" y="68658"/>
              </a:cubicBezTo>
              <a:cubicBezTo>
                <a:pt x="3116384" y="177341"/>
                <a:pt x="3100510" y="277474"/>
                <a:pt x="3260481" y="537580"/>
              </a:cubicBezTo>
              <a:cubicBezTo>
                <a:pt x="4823558" y="3392643"/>
                <a:pt x="3433887" y="818442"/>
                <a:pt x="4879732" y="3483003"/>
              </a:cubicBezTo>
            </a:path>
          </a:pathLst>
        </a:cu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0.32852</cdr:x>
      <cdr:y>0.66968</cdr:y>
    </cdr:from>
    <cdr:to>
      <cdr:x>0.63344</cdr:x>
      <cdr:y>0.66968</cdr:y>
    </cdr:to>
    <cdr:cxnSp macro="">
      <cdr:nvCxnSpPr>
        <cdr:cNvPr id="16" name="Straight Arrow Connector 15"/>
        <cdr:cNvCxnSpPr/>
      </cdr:nvCxnSpPr>
      <cdr:spPr>
        <a:xfrm xmlns:a="http://schemas.openxmlformats.org/drawingml/2006/main">
          <a:off x="2447193" y="2886808"/>
          <a:ext cx="2271346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0.49475</cdr:x>
      <cdr:y>0.5286</cdr:y>
    </cdr:from>
    <cdr:to>
      <cdr:x>0.49475</cdr:x>
      <cdr:y>0.80735</cdr:y>
    </cdr:to>
    <cdr:cxnSp macro="">
      <cdr:nvCxnSpPr>
        <cdr:cNvPr id="18" name="Straight Connector 17"/>
        <cdr:cNvCxnSpPr/>
      </cdr:nvCxnSpPr>
      <cdr:spPr>
        <a:xfrm xmlns:a="http://schemas.openxmlformats.org/drawingml/2006/main">
          <a:off x="3685442" y="2278673"/>
          <a:ext cx="0" cy="1201615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0.53213</cdr:x>
      <cdr:y>0.66798</cdr:y>
    </cdr:from>
    <cdr:to>
      <cdr:x>0.62361</cdr:x>
      <cdr:y>0.72577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963865" y="2879481"/>
          <a:ext cx="681404" cy="249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Noise</a:t>
          </a:r>
        </a:p>
      </cdr:txBody>
    </cdr:sp>
  </cdr:relSizeAnchor>
  <cdr:relSizeAnchor xmlns:cdr="http://schemas.openxmlformats.org/drawingml/2006/chartDrawing">
    <cdr:from>
      <cdr:x>0.37279</cdr:x>
      <cdr:y>0.66458</cdr:y>
    </cdr:from>
    <cdr:to>
      <cdr:x>0.47803</cdr:x>
      <cdr:y>0.71217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776904" y="2864827"/>
          <a:ext cx="783980" cy="2051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Motion</a:t>
          </a:r>
        </a:p>
      </cdr:txBody>
    </cdr:sp>
  </cdr:relSizeAnchor>
  <cdr:relSizeAnchor xmlns:cdr="http://schemas.openxmlformats.org/drawingml/2006/chartDrawing">
    <cdr:from>
      <cdr:x>0.47551</cdr:x>
      <cdr:y>0.7868</cdr:y>
    </cdr:from>
    <cdr:to>
      <cdr:x>0.50895</cdr:x>
      <cdr:y>1</cdr:y>
    </cdr:to>
    <cdr:sp macro="" textlink="">
      <cdr:nvSpPr>
        <cdr:cNvPr id="21" name="TextBox 1"/>
        <cdr:cNvSpPr txBox="1"/>
      </cdr:nvSpPr>
      <cdr:spPr>
        <a:xfrm xmlns:a="http://schemas.openxmlformats.org/drawingml/2006/main" rot="16200000">
          <a:off x="3207116" y="3726665"/>
          <a:ext cx="919040" cy="249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Cutoff Freq.</a:t>
          </a:r>
        </a:p>
      </cdr:txBody>
    </cdr:sp>
  </cdr:relSizeAnchor>
  <cdr:relSizeAnchor xmlns:cdr="http://schemas.openxmlformats.org/drawingml/2006/chartDrawing">
    <cdr:from>
      <cdr:x>0.19279</cdr:x>
      <cdr:y>0.19376</cdr:y>
    </cdr:from>
    <cdr:to>
      <cdr:x>0.26066</cdr:x>
      <cdr:y>0.25835</cdr:y>
    </cdr:to>
    <cdr:sp macro="" textlink="">
      <cdr:nvSpPr>
        <cdr:cNvPr id="23" name="Right Arrow 22"/>
        <cdr:cNvSpPr/>
      </cdr:nvSpPr>
      <cdr:spPr>
        <a:xfrm xmlns:a="http://schemas.openxmlformats.org/drawingml/2006/main">
          <a:off x="1436094" y="835250"/>
          <a:ext cx="505566" cy="278431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tIns="9144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-3dB</a:t>
          </a:r>
          <a:endParaRPr lang="en-US" sz="800">
            <a:effectLst/>
          </a:endParaRPr>
        </a:p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0.61167</cdr:x>
      <cdr:y>0.31971</cdr:y>
    </cdr:from>
    <cdr:to>
      <cdr:x>0.64465</cdr:x>
      <cdr:y>0.83112</cdr:y>
    </cdr:to>
    <cdr:sp macro="" textlink="">
      <cdr:nvSpPr>
        <cdr:cNvPr id="24" name="TextBox 23"/>
        <cdr:cNvSpPr txBox="1"/>
      </cdr:nvSpPr>
      <cdr:spPr>
        <a:xfrm xmlns:a="http://schemas.openxmlformats.org/drawingml/2006/main" rot="3645023">
          <a:off x="3576916" y="2357637"/>
          <a:ext cx="2204541" cy="24566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bg1"/>
              </a:solidFill>
            </a:rPr>
            <a:t>PT1 at 100hz cutoff</a:t>
          </a:r>
        </a:p>
      </cdr:txBody>
    </cdr:sp>
  </cdr:relSizeAnchor>
  <cdr:relSizeAnchor xmlns:cdr="http://schemas.openxmlformats.org/drawingml/2006/chartDrawing">
    <cdr:from>
      <cdr:x>0.55869</cdr:x>
      <cdr:y>0.0061</cdr:y>
    </cdr:from>
    <cdr:to>
      <cdr:x>0.55869</cdr:x>
      <cdr:y>0.20566</cdr:y>
    </cdr:to>
    <cdr:cxnSp macro="">
      <cdr:nvCxnSpPr>
        <cdr:cNvPr id="26" name="Straight Connector 25"/>
        <cdr:cNvCxnSpPr/>
      </cdr:nvCxnSpPr>
      <cdr:spPr>
        <a:xfrm xmlns:a="http://schemas.openxmlformats.org/drawingml/2006/main">
          <a:off x="4180325" y="26276"/>
          <a:ext cx="0" cy="86028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0.62754</cdr:x>
      <cdr:y>0.0061</cdr:y>
    </cdr:from>
    <cdr:to>
      <cdr:x>0.62754</cdr:x>
      <cdr:y>0.21076</cdr:y>
    </cdr:to>
    <cdr:cxnSp macro="">
      <cdr:nvCxnSpPr>
        <cdr:cNvPr id="28" name="Straight Connector 27"/>
        <cdr:cNvCxnSpPr/>
      </cdr:nvCxnSpPr>
      <cdr:spPr>
        <a:xfrm xmlns:a="http://schemas.openxmlformats.org/drawingml/2006/main">
          <a:off x="4695506" y="26276"/>
          <a:ext cx="0" cy="88226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0.62854</cdr:x>
      <cdr:y>0</cdr:y>
    </cdr:from>
    <cdr:to>
      <cdr:x>0.7987</cdr:x>
      <cdr:y>0.06119</cdr:y>
    </cdr:to>
    <cdr:sp macro="" textlink="">
      <cdr:nvSpPr>
        <cdr:cNvPr id="29" name="Left Arrow 28"/>
        <cdr:cNvSpPr/>
      </cdr:nvSpPr>
      <cdr:spPr>
        <a:xfrm xmlns:a="http://schemas.openxmlformats.org/drawingml/2006/main">
          <a:off x="4702985" y="0"/>
          <a:ext cx="1273233" cy="263769"/>
        </a:xfrm>
        <a:prstGeom xmlns:a="http://schemas.openxmlformats.org/drawingml/2006/main" prst="leftArrow">
          <a:avLst/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3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tIns="9144" bIns="9144"/>
        <a:lstStyle xmlns:a="http://schemas.openxmlformats.org/drawingml/2006/main"/>
        <a:p xmlns:a="http://schemas.openxmlformats.org/drawingml/2006/main">
          <a:r>
            <a:rPr lang="en-US" sz="800"/>
            <a:t>Motor Noise Peak Zone</a:t>
          </a:r>
        </a:p>
      </cdr:txBody>
    </cdr:sp>
  </cdr:relSizeAnchor>
  <cdr:relSizeAnchor xmlns:cdr="http://schemas.openxmlformats.org/drawingml/2006/chartDrawing">
    <cdr:from>
      <cdr:x>0.47213</cdr:x>
      <cdr:y>0.10538</cdr:y>
    </cdr:from>
    <cdr:to>
      <cdr:x>0.47213</cdr:x>
      <cdr:y>0.10538</cdr:y>
    </cdr:to>
    <cdr:sp macro="" textlink="">
      <cdr:nvSpPr>
        <cdr:cNvPr id="33" name="Freeform 32"/>
        <cdr:cNvSpPr/>
      </cdr:nvSpPr>
      <cdr:spPr>
        <a:xfrm xmlns:a="http://schemas.openxmlformats.org/drawingml/2006/main">
          <a:off x="3516923" y="454269"/>
          <a:ext cx="0" cy="0"/>
        </a:xfrm>
        <a:custGeom xmlns:a="http://schemas.openxmlformats.org/drawingml/2006/main">
          <a:avLst/>
          <a:gdLst>
            <a:gd name="connsiteX0" fmla="*/ 0 w 0"/>
            <a:gd name="connsiteY0" fmla="*/ 0 h 0"/>
            <a:gd name="connsiteX1" fmla="*/ 0 w 0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>
              <a:moveTo>
                <a:pt x="0" y="0"/>
              </a:moveTo>
              <a:lnTo>
                <a:pt x="0" y="0"/>
              </a:lnTo>
            </a:path>
          </a:pathLst>
        </a:cu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0.4891</cdr:x>
      <cdr:y>0.1048</cdr:y>
    </cdr:from>
    <cdr:to>
      <cdr:x>0.67061</cdr:x>
      <cdr:y>0.22727</cdr:y>
    </cdr:to>
    <cdr:sp macro="" textlink="">
      <cdr:nvSpPr>
        <cdr:cNvPr id="38" name="Freeform 37"/>
        <cdr:cNvSpPr/>
      </cdr:nvSpPr>
      <cdr:spPr>
        <a:xfrm xmlns:a="http://schemas.openxmlformats.org/drawingml/2006/main">
          <a:off x="3651948" y="451757"/>
          <a:ext cx="1355271" cy="527957"/>
        </a:xfrm>
        <a:custGeom xmlns:a="http://schemas.openxmlformats.org/drawingml/2006/main">
          <a:avLst/>
          <a:gdLst>
            <a:gd name="connsiteX0" fmla="*/ 0 w 1355271"/>
            <a:gd name="connsiteY0" fmla="*/ 5443 h 527957"/>
            <a:gd name="connsiteX1" fmla="*/ 522514 w 1355271"/>
            <a:gd name="connsiteY1" fmla="*/ 10886 h 527957"/>
            <a:gd name="connsiteX2" fmla="*/ 816428 w 1355271"/>
            <a:gd name="connsiteY2" fmla="*/ 527957 h 527957"/>
            <a:gd name="connsiteX3" fmla="*/ 832757 w 1355271"/>
            <a:gd name="connsiteY3" fmla="*/ 478972 h 527957"/>
            <a:gd name="connsiteX4" fmla="*/ 1034142 w 1355271"/>
            <a:gd name="connsiteY4" fmla="*/ 0 h 527957"/>
            <a:gd name="connsiteX5" fmla="*/ 1355271 w 1355271"/>
            <a:gd name="connsiteY5" fmla="*/ 0 h 5279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355271" h="527957">
              <a:moveTo>
                <a:pt x="0" y="5443"/>
              </a:moveTo>
              <a:lnTo>
                <a:pt x="522514" y="10886"/>
              </a:lnTo>
              <a:lnTo>
                <a:pt x="816428" y="527957"/>
              </a:lnTo>
              <a:lnTo>
                <a:pt x="832757" y="478972"/>
              </a:lnTo>
              <a:lnTo>
                <a:pt x="1034142" y="0"/>
              </a:lnTo>
              <a:lnTo>
                <a:pt x="1355271" y="0"/>
              </a:lnTo>
            </a:path>
          </a:pathLst>
        </a:custGeom>
        <a:ln xmlns:a="http://schemas.openxmlformats.org/drawingml/2006/main">
          <a:solidFill>
            <a:schemeClr val="tx1">
              <a:lumMod val="75000"/>
              <a:lumOff val="25000"/>
            </a:schemeClr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0.37369</cdr:x>
      <cdr:y>0.10522</cdr:y>
    </cdr:from>
    <cdr:to>
      <cdr:x>0.93293</cdr:x>
      <cdr:y>0.75888</cdr:y>
    </cdr:to>
    <cdr:sp macro="" textlink="">
      <cdr:nvSpPr>
        <cdr:cNvPr id="39" name="Freeform 38"/>
        <cdr:cNvSpPr/>
      </cdr:nvSpPr>
      <cdr:spPr>
        <a:xfrm xmlns:a="http://schemas.openxmlformats.org/drawingml/2006/main">
          <a:off x="2783643" y="453568"/>
          <a:ext cx="4165779" cy="2817776"/>
        </a:xfrm>
        <a:custGeom xmlns:a="http://schemas.openxmlformats.org/drawingml/2006/main">
          <a:avLst/>
          <a:gdLst>
            <a:gd name="connsiteX0" fmla="*/ 0 w 3731172"/>
            <a:gd name="connsiteY0" fmla="*/ 6569 h 2791810"/>
            <a:gd name="connsiteX1" fmla="*/ 735724 w 3731172"/>
            <a:gd name="connsiteY1" fmla="*/ 0 h 2791810"/>
            <a:gd name="connsiteX2" fmla="*/ 3731172 w 3731172"/>
            <a:gd name="connsiteY2" fmla="*/ 2791810 h 2791810"/>
            <a:gd name="connsiteX0" fmla="*/ 0 w 3731172"/>
            <a:gd name="connsiteY0" fmla="*/ 0 h 2785241"/>
            <a:gd name="connsiteX1" fmla="*/ 1028595 w 3731172"/>
            <a:gd name="connsiteY1" fmla="*/ 12252 h 2785241"/>
            <a:gd name="connsiteX2" fmla="*/ 3731172 w 3731172"/>
            <a:gd name="connsiteY2" fmla="*/ 2785241 h 2785241"/>
            <a:gd name="connsiteX0" fmla="*/ 0 w 3731172"/>
            <a:gd name="connsiteY0" fmla="*/ 0 h 2691135"/>
            <a:gd name="connsiteX1" fmla="*/ 1028595 w 3731172"/>
            <a:gd name="connsiteY1" fmla="*/ 12252 h 2691135"/>
            <a:gd name="connsiteX2" fmla="*/ 3731172 w 3731172"/>
            <a:gd name="connsiteY2" fmla="*/ 2691135 h 26911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731172" h="2691135">
              <a:moveTo>
                <a:pt x="0" y="0"/>
              </a:moveTo>
              <a:lnTo>
                <a:pt x="1028595" y="12252"/>
              </a:lnTo>
              <a:lnTo>
                <a:pt x="3731172" y="2691135"/>
              </a:lnTo>
            </a:path>
          </a:pathLst>
        </a:custGeom>
        <a:ln xmlns:a="http://schemas.openxmlformats.org/drawingml/2006/main">
          <a:solidFill>
            <a:schemeClr val="tx1">
              <a:lumMod val="75000"/>
              <a:lumOff val="2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21981</xdr:colOff>
      <xdr:row>1</xdr:row>
      <xdr:rowOff>0</xdr:rowOff>
    </xdr:from>
    <xdr:to>
      <xdr:col>14</xdr:col>
      <xdr:colOff>337037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135673</xdr:colOff>
      <xdr:row>8</xdr:row>
      <xdr:rowOff>146539</xdr:rowOff>
    </xdr:from>
    <xdr:to>
      <xdr:col>12</xdr:col>
      <xdr:colOff>254469</xdr:colOff>
      <xdr:row>14</xdr:row>
      <xdr:rowOff>13189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6442" y="1480039"/>
          <a:ext cx="1335065" cy="10096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7</xdr:col>
      <xdr:colOff>65942</xdr:colOff>
      <xdr:row>6</xdr:row>
      <xdr:rowOff>36634</xdr:rowOff>
    </xdr:from>
    <xdr:to>
      <xdr:col>14</xdr:col>
      <xdr:colOff>263768</xdr:colOff>
      <xdr:row>6</xdr:row>
      <xdr:rowOff>36634</xdr:rowOff>
    </xdr:to>
    <xdr:cxnSp macro="">
      <xdr:nvCxnSpPr>
        <xdr:cNvPr id="6" name="Straight Connector 5"/>
        <xdr:cNvCxnSpPr/>
      </xdr:nvCxnSpPr>
      <xdr:spPr>
        <a:xfrm>
          <a:off x="4982307" y="989134"/>
          <a:ext cx="4454769" cy="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65943</xdr:colOff>
      <xdr:row>7</xdr:row>
      <xdr:rowOff>80596</xdr:rowOff>
    </xdr:from>
    <xdr:to>
      <xdr:col>14</xdr:col>
      <xdr:colOff>263769</xdr:colOff>
      <xdr:row>7</xdr:row>
      <xdr:rowOff>80596</xdr:rowOff>
    </xdr:to>
    <xdr:cxnSp macro="">
      <xdr:nvCxnSpPr>
        <xdr:cNvPr id="7" name="Straight Connector 6"/>
        <xdr:cNvCxnSpPr/>
      </xdr:nvCxnSpPr>
      <xdr:spPr>
        <a:xfrm>
          <a:off x="4982308" y="1223596"/>
          <a:ext cx="4454769" cy="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DE141"/>
  <sheetViews>
    <sheetView showGridLines="0" tabSelected="1" topLeftCell="A4" zoomScale="55" zoomScaleNormal="55" workbookViewId="0">
      <selection activeCell="N31" sqref="N31"/>
    </sheetView>
  </sheetViews>
  <sheetFormatPr defaultColWidth="0" defaultRowHeight="15" zeroHeight="1" x14ac:dyDescent="0.25"/>
  <cols>
    <col min="1" max="1" width="10.85546875" customWidth="1"/>
    <col min="2" max="2" width="12.7109375" customWidth="1"/>
    <col min="3" max="3" width="2.7109375" style="18" customWidth="1"/>
    <col min="4" max="4" width="11.7109375" customWidth="1"/>
    <col min="5" max="5" width="10.7109375" customWidth="1"/>
    <col min="6" max="6" width="2.7109375" style="14" customWidth="1"/>
    <col min="7" max="7" width="12.7109375" customWidth="1"/>
    <col min="8" max="9" width="12.7109375" hidden="1" customWidth="1"/>
    <col min="10" max="10" width="10.5703125" hidden="1" customWidth="1"/>
    <col min="11" max="11" width="12.7109375" hidden="1" customWidth="1"/>
    <col min="12" max="12" width="8.7109375" customWidth="1"/>
    <col min="13" max="13" width="2.7109375" style="14" customWidth="1"/>
    <col min="14" max="14" width="12.7109375" customWidth="1"/>
    <col min="15" max="15" width="0.28515625" customWidth="1"/>
    <col min="16" max="16" width="12.7109375" hidden="1" customWidth="1"/>
    <col min="17" max="17" width="10.5703125" hidden="1" customWidth="1"/>
    <col min="18" max="18" width="12.7109375" hidden="1" customWidth="1"/>
    <col min="19" max="19" width="8.7109375" customWidth="1"/>
    <col min="20" max="20" width="2.7109375" style="14" customWidth="1"/>
    <col min="21" max="22" width="12.7109375" hidden="1" customWidth="1"/>
    <col min="23" max="23" width="12.7109375" customWidth="1"/>
    <col min="24" max="24" width="8.7109375" customWidth="1"/>
    <col min="25" max="25" width="2.7109375" style="14" customWidth="1"/>
    <col min="26" max="26" width="12.7109375" style="13" hidden="1" customWidth="1"/>
    <col min="27" max="27" width="12.7109375" hidden="1" customWidth="1"/>
    <col min="28" max="28" width="12.7109375" customWidth="1"/>
    <col min="29" max="29" width="8.7109375" customWidth="1"/>
    <col min="30" max="30" width="2.7109375" style="14" customWidth="1"/>
    <col min="31" max="32" width="12.7109375" hidden="1" customWidth="1"/>
    <col min="33" max="33" width="12.7109375" customWidth="1"/>
    <col min="34" max="34" width="8.7109375" customWidth="1"/>
    <col min="35" max="35" width="2.7109375" style="14" customWidth="1"/>
    <col min="36" max="36" width="8.7109375" style="14" customWidth="1"/>
    <col min="37" max="37" width="6.7109375" style="14" customWidth="1"/>
    <col min="38" max="38" width="10.7109375" style="13" customWidth="1"/>
    <col min="39" max="39" width="12.7109375" style="13" hidden="1" customWidth="1"/>
    <col min="40" max="40" width="12.7109375" hidden="1" customWidth="1"/>
    <col min="41" max="41" width="12.7109375" customWidth="1"/>
    <col min="42" max="42" width="8.7109375" customWidth="1"/>
    <col min="43" max="43" width="2.7109375" style="14" customWidth="1"/>
    <col min="44" max="44" width="12.7109375" customWidth="1"/>
    <col min="45" max="46" width="12.7109375" hidden="1" customWidth="1"/>
    <col min="47" max="47" width="10.5703125" hidden="1" customWidth="1"/>
    <col min="48" max="48" width="12.7109375" hidden="1" customWidth="1"/>
    <col min="49" max="49" width="8.7109375" customWidth="1"/>
    <col min="50" max="50" width="2.7109375" style="14" customWidth="1"/>
    <col min="51" max="51" width="12.7109375" customWidth="1"/>
    <col min="52" max="53" width="12.7109375" hidden="1" customWidth="1"/>
    <col min="54" max="54" width="10.5703125" hidden="1" customWidth="1"/>
    <col min="55" max="55" width="12.7109375" hidden="1" customWidth="1"/>
    <col min="56" max="56" width="8.7109375" customWidth="1"/>
    <col min="57" max="57" width="2.7109375" style="14" customWidth="1"/>
    <col min="58" max="60" width="8.7109375" style="14" customWidth="1"/>
    <col min="61" max="61" width="2.7109375" style="40" customWidth="1"/>
    <col min="62" max="68" width="9.140625" style="80" customWidth="1"/>
    <col min="69" max="69" width="9.140625" style="85" customWidth="1"/>
    <col min="70" max="87" width="9.140625" style="80" customWidth="1"/>
    <col min="88" max="109" width="0" hidden="1" customWidth="1"/>
    <col min="110" max="16384" width="9.140625" hidden="1"/>
  </cols>
  <sheetData>
    <row r="1" spans="1:69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/>
      <c r="BH1"/>
      <c r="BJ1" s="80" t="s">
        <v>28</v>
      </c>
      <c r="BK1" s="81" t="s">
        <v>21</v>
      </c>
      <c r="BL1" s="82" t="s">
        <v>27</v>
      </c>
      <c r="BM1" s="81" t="s">
        <v>24</v>
      </c>
      <c r="BN1" s="82" t="s">
        <v>27</v>
      </c>
      <c r="BO1" s="81" t="s">
        <v>25</v>
      </c>
      <c r="BP1" s="82" t="s">
        <v>27</v>
      </c>
      <c r="BQ1" s="81" t="s">
        <v>63</v>
      </c>
    </row>
    <row r="2" spans="1:69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/>
      <c r="BH2"/>
      <c r="BJ2" s="80" t="s">
        <v>81</v>
      </c>
      <c r="BK2" s="81" t="s">
        <v>26</v>
      </c>
      <c r="BL2" s="82" t="s">
        <v>26</v>
      </c>
      <c r="BM2" s="81">
        <v>8800</v>
      </c>
      <c r="BN2" s="82">
        <v>6.4000000000000001E-2</v>
      </c>
      <c r="BO2" s="81">
        <v>8173</v>
      </c>
      <c r="BP2" s="82">
        <v>6.4000000000000001E-2</v>
      </c>
      <c r="BQ2" s="81">
        <v>32000</v>
      </c>
    </row>
    <row r="3" spans="1:69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/>
      <c r="BH3"/>
      <c r="BJ3" s="80" t="s">
        <v>62</v>
      </c>
      <c r="BK3" s="81" t="s">
        <v>26</v>
      </c>
      <c r="BL3" s="82" t="s">
        <v>26</v>
      </c>
      <c r="BM3" s="81">
        <v>3600</v>
      </c>
      <c r="BN3" s="82">
        <v>0.11</v>
      </c>
      <c r="BO3" s="81">
        <v>3281</v>
      </c>
      <c r="BP3" s="84">
        <v>0.11</v>
      </c>
      <c r="BQ3" s="81">
        <v>32000</v>
      </c>
    </row>
    <row r="4" spans="1:69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/>
      <c r="BH4"/>
      <c r="BJ4" s="83" t="s">
        <v>23</v>
      </c>
      <c r="BK4" s="81" t="s">
        <v>80</v>
      </c>
      <c r="BL4" s="82">
        <v>0.11</v>
      </c>
      <c r="BM4" s="81">
        <v>3600</v>
      </c>
      <c r="BN4" s="82">
        <v>0.11</v>
      </c>
      <c r="BO4" s="81">
        <v>3281</v>
      </c>
      <c r="BP4" s="84">
        <v>0.11</v>
      </c>
      <c r="BQ4" s="81">
        <v>8000</v>
      </c>
    </row>
    <row r="5" spans="1:69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/>
      <c r="BH5"/>
      <c r="BJ5" s="83" t="s">
        <v>82</v>
      </c>
      <c r="BK5" s="81">
        <v>256</v>
      </c>
      <c r="BL5" s="82">
        <v>0.98</v>
      </c>
      <c r="BM5" s="81">
        <v>250</v>
      </c>
      <c r="BN5" s="82">
        <v>0.97</v>
      </c>
      <c r="BO5" s="81">
        <v>250</v>
      </c>
      <c r="BP5" s="82">
        <v>0.97</v>
      </c>
      <c r="BQ5" s="81">
        <f>8000</f>
        <v>8000</v>
      </c>
    </row>
    <row r="6" spans="1:69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/>
      <c r="BH6"/>
      <c r="BJ6" s="83">
        <v>188</v>
      </c>
      <c r="BK6" s="81">
        <v>188</v>
      </c>
      <c r="BL6" s="82">
        <v>1.98</v>
      </c>
      <c r="BM6" s="81">
        <v>184</v>
      </c>
      <c r="BN6" s="82">
        <v>2.9</v>
      </c>
      <c r="BO6" s="81">
        <v>176</v>
      </c>
      <c r="BP6" s="82">
        <v>3.1</v>
      </c>
      <c r="BQ6" s="81">
        <v>1000</v>
      </c>
    </row>
    <row r="7" spans="1:69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/>
      <c r="BH7"/>
      <c r="BJ7" s="83">
        <v>98</v>
      </c>
      <c r="BK7" s="81">
        <v>98</v>
      </c>
      <c r="BL7" s="82">
        <v>2.8</v>
      </c>
      <c r="BM7" s="81">
        <v>92</v>
      </c>
      <c r="BN7" s="82">
        <v>3.9</v>
      </c>
      <c r="BO7" s="81">
        <v>92</v>
      </c>
      <c r="BP7" s="82">
        <v>3.9</v>
      </c>
      <c r="BQ7" s="81">
        <v>1000</v>
      </c>
    </row>
    <row r="8" spans="1:69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/>
      <c r="BH8"/>
      <c r="BJ8" s="83">
        <v>42</v>
      </c>
      <c r="BK8" s="81">
        <v>42</v>
      </c>
      <c r="BL8" s="82">
        <v>4.8</v>
      </c>
      <c r="BM8" s="81">
        <v>41</v>
      </c>
      <c r="BN8" s="82">
        <v>5.9</v>
      </c>
      <c r="BO8" s="81">
        <v>41</v>
      </c>
      <c r="BP8" s="82">
        <v>5.9</v>
      </c>
      <c r="BQ8" s="81">
        <v>1000</v>
      </c>
    </row>
    <row r="9" spans="1:69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/>
      <c r="BH9"/>
      <c r="BJ9" s="83">
        <v>20</v>
      </c>
      <c r="BK9" s="81">
        <v>20</v>
      </c>
      <c r="BL9" s="82">
        <v>8.3000000000000007</v>
      </c>
      <c r="BM9" s="81">
        <v>20</v>
      </c>
      <c r="BN9" s="82">
        <v>9.9</v>
      </c>
      <c r="BO9" s="81">
        <v>20</v>
      </c>
      <c r="BP9" s="82">
        <v>9.9</v>
      </c>
      <c r="BQ9" s="81">
        <v>1000</v>
      </c>
    </row>
    <row r="10" spans="1:69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/>
      <c r="BH10"/>
      <c r="BJ10" s="83">
        <v>10</v>
      </c>
      <c r="BK10" s="81">
        <v>10</v>
      </c>
      <c r="BL10" s="82">
        <v>13.4</v>
      </c>
      <c r="BM10" s="81">
        <v>10</v>
      </c>
      <c r="BN10" s="82">
        <v>17.850000000000001</v>
      </c>
      <c r="BO10" s="81">
        <v>10</v>
      </c>
      <c r="BP10" s="82">
        <v>17.850000000000001</v>
      </c>
      <c r="BQ10" s="81">
        <v>1000</v>
      </c>
    </row>
    <row r="11" spans="1:69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/>
      <c r="BH11"/>
      <c r="BJ11" s="83">
        <v>5</v>
      </c>
      <c r="BK11" s="81">
        <v>5</v>
      </c>
      <c r="BL11" s="82">
        <v>18.600000000000001</v>
      </c>
      <c r="BM11" s="81">
        <v>5</v>
      </c>
      <c r="BN11" s="82">
        <v>33.479999999999997</v>
      </c>
      <c r="BO11" s="81">
        <v>5</v>
      </c>
      <c r="BP11" s="82">
        <v>33.479999999999997</v>
      </c>
      <c r="BQ11" s="81">
        <v>1000</v>
      </c>
    </row>
    <row r="12" spans="1:69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/>
      <c r="BH12"/>
    </row>
    <row r="13" spans="1:69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/>
      <c r="BH13"/>
    </row>
    <row r="14" spans="1:69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/>
      <c r="BH14"/>
    </row>
    <row r="15" spans="1:69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/>
      <c r="BH15"/>
      <c r="BJ15" s="115"/>
    </row>
    <row r="16" spans="1:69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/>
      <c r="BH16"/>
      <c r="BJ16" s="115"/>
    </row>
    <row r="17" spans="1:87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/>
      <c r="BH17"/>
      <c r="BJ17" s="115"/>
    </row>
    <row r="18" spans="1:87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/>
      <c r="BH18"/>
      <c r="BJ18" s="115"/>
    </row>
    <row r="19" spans="1:87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/>
      <c r="BH19"/>
      <c r="BJ19" s="115"/>
    </row>
    <row r="20" spans="1:87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/>
      <c r="BH20"/>
      <c r="BJ20" s="115"/>
    </row>
    <row r="21" spans="1:87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/>
      <c r="BH21"/>
      <c r="BJ21" s="115"/>
    </row>
    <row r="22" spans="1:87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/>
      <c r="BH22"/>
      <c r="BJ22" s="115"/>
    </row>
    <row r="23" spans="1:87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/>
      <c r="BH23"/>
    </row>
    <row r="24" spans="1:87" ht="9.9499999999999993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/>
      <c r="BH24"/>
    </row>
    <row r="25" spans="1:87" ht="30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/>
      <c r="BH25"/>
    </row>
    <row r="26" spans="1:87" ht="60" customHeight="1" x14ac:dyDescent="0.35">
      <c r="A26" s="31"/>
      <c r="B26" s="117" t="s">
        <v>69</v>
      </c>
      <c r="C26" s="43"/>
      <c r="D26" s="141" t="s">
        <v>9</v>
      </c>
      <c r="E26" s="141"/>
      <c r="F26" s="43"/>
      <c r="G26" s="142" t="s">
        <v>102</v>
      </c>
      <c r="H26" s="142"/>
      <c r="I26" s="142"/>
      <c r="J26" s="142"/>
      <c r="K26" s="142"/>
      <c r="L26" s="141"/>
      <c r="M26" s="43"/>
      <c r="N26" s="142" t="s">
        <v>97</v>
      </c>
      <c r="O26" s="142"/>
      <c r="P26" s="142"/>
      <c r="Q26" s="142"/>
      <c r="R26" s="142"/>
      <c r="S26" s="141"/>
      <c r="T26" s="43"/>
      <c r="U26" s="29"/>
      <c r="V26" s="29"/>
      <c r="W26" s="142" t="s">
        <v>7</v>
      </c>
      <c r="X26" s="141"/>
      <c r="Y26" s="43"/>
      <c r="Z26" s="30"/>
      <c r="AA26" s="29"/>
      <c r="AB26" s="142" t="s">
        <v>6</v>
      </c>
      <c r="AC26" s="141"/>
      <c r="AD26" s="43"/>
      <c r="AE26" s="29"/>
      <c r="AF26" s="29"/>
      <c r="AG26" s="142" t="s">
        <v>8</v>
      </c>
      <c r="AH26" s="141"/>
      <c r="AI26" s="43"/>
      <c r="AJ26" s="56" t="s">
        <v>36</v>
      </c>
      <c r="AK26" s="44"/>
      <c r="AL26" s="121" t="s">
        <v>13</v>
      </c>
      <c r="AM26" s="30"/>
      <c r="AN26" s="29"/>
      <c r="AO26" s="142" t="s">
        <v>35</v>
      </c>
      <c r="AP26" s="141"/>
      <c r="AQ26" s="43"/>
      <c r="AR26" s="142" t="s">
        <v>76</v>
      </c>
      <c r="AS26" s="142"/>
      <c r="AT26" s="142"/>
      <c r="AU26" s="142"/>
      <c r="AV26" s="142"/>
      <c r="AW26" s="141"/>
      <c r="AX26" s="43"/>
      <c r="AY26" s="142" t="s">
        <v>77</v>
      </c>
      <c r="AZ26" s="142"/>
      <c r="BA26" s="142"/>
      <c r="BB26" s="142"/>
      <c r="BC26" s="142"/>
      <c r="BD26" s="141"/>
      <c r="BE26" s="45"/>
      <c r="BF26" s="52" t="s">
        <v>37</v>
      </c>
      <c r="BG26" s="48" t="s">
        <v>38</v>
      </c>
      <c r="BH26" s="132" t="s">
        <v>95</v>
      </c>
    </row>
    <row r="27" spans="1:87" ht="15" customHeight="1" x14ac:dyDescent="0.25">
      <c r="A27" s="31"/>
      <c r="B27" s="120" t="s">
        <v>68</v>
      </c>
      <c r="C27" s="43"/>
      <c r="D27" s="2" t="s">
        <v>20</v>
      </c>
      <c r="E27" s="39" t="s">
        <v>74</v>
      </c>
      <c r="F27" s="43"/>
      <c r="G27" s="2" t="s">
        <v>31</v>
      </c>
      <c r="H27" s="2"/>
      <c r="I27" s="2"/>
      <c r="J27" s="2"/>
      <c r="K27" s="2"/>
      <c r="L27" s="32"/>
      <c r="M27" s="43"/>
      <c r="N27" s="2" t="s">
        <v>31</v>
      </c>
      <c r="O27" s="2"/>
      <c r="P27" s="2"/>
      <c r="Q27" s="2"/>
      <c r="R27" s="2"/>
      <c r="S27" s="32"/>
      <c r="T27" s="43"/>
      <c r="U27" s="31"/>
      <c r="V27" s="31"/>
      <c r="W27" s="2" t="s">
        <v>12</v>
      </c>
      <c r="X27" s="32"/>
      <c r="Y27" s="43"/>
      <c r="Z27" s="31"/>
      <c r="AA27" s="31"/>
      <c r="AB27" s="2" t="s">
        <v>12</v>
      </c>
      <c r="AC27" s="32"/>
      <c r="AD27" s="43"/>
      <c r="AE27" s="31"/>
      <c r="AF27" s="31"/>
      <c r="AG27" s="2" t="s">
        <v>12</v>
      </c>
      <c r="AH27" s="2" t="s">
        <v>103</v>
      </c>
      <c r="AI27" s="43"/>
      <c r="AJ27" s="57"/>
      <c r="AK27" s="44"/>
      <c r="AL27" s="121"/>
      <c r="AM27" s="31"/>
      <c r="AN27" s="31"/>
      <c r="AO27" s="2" t="s">
        <v>12</v>
      </c>
      <c r="AP27" s="32"/>
      <c r="AQ27" s="43"/>
      <c r="AR27" s="2" t="s">
        <v>31</v>
      </c>
      <c r="AS27" s="2"/>
      <c r="AT27" s="2"/>
      <c r="AU27" s="2"/>
      <c r="AV27" s="2"/>
      <c r="AW27" s="32"/>
      <c r="AX27" s="43"/>
      <c r="AY27" s="2" t="s">
        <v>31</v>
      </c>
      <c r="AZ27" s="2"/>
      <c r="BA27" s="2"/>
      <c r="BB27" s="2"/>
      <c r="BC27" s="2"/>
      <c r="BD27" s="32"/>
      <c r="BE27" s="45"/>
      <c r="BF27" s="53"/>
      <c r="BG27" s="49"/>
      <c r="BH27" s="133"/>
    </row>
    <row r="28" spans="1:87" ht="17.25" customHeight="1" x14ac:dyDescent="0.25">
      <c r="A28" s="31"/>
      <c r="B28" s="116">
        <f>INDEX($BK$2:$BQ$11,MATCH($D$30,$BJ$2:$BJ$11,0),MATCH("Sample Rate",$BK$1:$BQ$1,0))</f>
        <v>32000</v>
      </c>
      <c r="C28" s="43"/>
      <c r="D28" s="76" t="s">
        <v>25</v>
      </c>
      <c r="E28" s="76" t="s">
        <v>96</v>
      </c>
      <c r="F28" s="43"/>
      <c r="G28" s="76" t="s">
        <v>32</v>
      </c>
      <c r="H28" s="39"/>
      <c r="I28" s="39"/>
      <c r="J28" s="39"/>
      <c r="K28" s="39"/>
      <c r="L28" s="32"/>
      <c r="M28" s="43"/>
      <c r="N28" s="76" t="s">
        <v>104</v>
      </c>
      <c r="O28" s="39"/>
      <c r="P28" s="39"/>
      <c r="Q28" s="39"/>
      <c r="R28" s="39"/>
      <c r="S28" s="32"/>
      <c r="T28" s="43"/>
      <c r="U28" s="31"/>
      <c r="V28" s="31"/>
      <c r="W28" s="78">
        <v>450</v>
      </c>
      <c r="X28" s="32"/>
      <c r="Y28" s="43"/>
      <c r="Z28" s="31"/>
      <c r="AA28" s="31"/>
      <c r="AB28" s="78">
        <v>250</v>
      </c>
      <c r="AC28" s="32"/>
      <c r="AD28" s="43"/>
      <c r="AE28" s="31"/>
      <c r="AF28" s="31"/>
      <c r="AG28" s="78">
        <v>280</v>
      </c>
      <c r="AH28" s="137">
        <v>0.4</v>
      </c>
      <c r="AI28" s="43"/>
      <c r="AJ28" s="57"/>
      <c r="AK28" s="44"/>
      <c r="AL28" s="121"/>
      <c r="AM28" s="31"/>
      <c r="AN28" s="31"/>
      <c r="AO28" s="78">
        <v>250</v>
      </c>
      <c r="AP28" s="32"/>
      <c r="AQ28" s="43"/>
      <c r="AR28" s="76" t="s">
        <v>32</v>
      </c>
      <c r="AS28" s="39"/>
      <c r="AT28" s="39"/>
      <c r="AU28" s="39"/>
      <c r="AV28" s="39"/>
      <c r="AW28" s="32"/>
      <c r="AX28" s="43"/>
      <c r="AY28" s="76" t="s">
        <v>32</v>
      </c>
      <c r="AZ28" s="39"/>
      <c r="BA28" s="39"/>
      <c r="BB28" s="39"/>
      <c r="BC28" s="39"/>
      <c r="BD28" s="32"/>
      <c r="BE28" s="45"/>
      <c r="BF28" s="53"/>
      <c r="BG28" s="49"/>
      <c r="BH28" s="133"/>
    </row>
    <row r="29" spans="1:87" x14ac:dyDescent="0.25">
      <c r="B29" s="119" t="s">
        <v>66</v>
      </c>
      <c r="C29" s="27"/>
      <c r="D29" s="2" t="s">
        <v>22</v>
      </c>
      <c r="E29" s="38" t="s">
        <v>29</v>
      </c>
      <c r="G29" s="2" t="s">
        <v>1</v>
      </c>
      <c r="H29" s="39"/>
      <c r="I29" s="39"/>
      <c r="J29" s="39"/>
      <c r="K29" s="39"/>
      <c r="L29" s="75">
        <f>IF(L30="on",G30,0)</f>
        <v>125</v>
      </c>
      <c r="N29" s="2" t="s">
        <v>1</v>
      </c>
      <c r="O29" s="39"/>
      <c r="P29" s="39"/>
      <c r="Q29" s="39"/>
      <c r="R29" s="39"/>
      <c r="S29" s="75">
        <f>IF(S30="on",N30,0)</f>
        <v>800</v>
      </c>
      <c r="W29" s="2" t="s">
        <v>1</v>
      </c>
      <c r="Z29"/>
      <c r="AB29" s="2" t="s">
        <v>1</v>
      </c>
      <c r="AG29" s="2" t="s">
        <v>1</v>
      </c>
      <c r="AJ29" s="58"/>
      <c r="AK29" s="44"/>
      <c r="AL29" s="122" t="s">
        <v>65</v>
      </c>
      <c r="AM29"/>
      <c r="AO29" s="2" t="s">
        <v>1</v>
      </c>
      <c r="AR29" s="2" t="s">
        <v>1</v>
      </c>
      <c r="AS29" s="39"/>
      <c r="AT29" s="39"/>
      <c r="AU29" s="39"/>
      <c r="AV29" s="39"/>
      <c r="AY29" s="2" t="s">
        <v>1</v>
      </c>
      <c r="AZ29" s="39"/>
      <c r="BA29" s="39"/>
      <c r="BB29" s="39"/>
      <c r="BC29" s="39"/>
      <c r="BF29" s="54"/>
      <c r="BG29" s="50"/>
      <c r="BH29" s="80"/>
    </row>
    <row r="30" spans="1:87" x14ac:dyDescent="0.25">
      <c r="B30" s="77">
        <v>16000</v>
      </c>
      <c r="C30" s="28"/>
      <c r="D30" s="76" t="s">
        <v>62</v>
      </c>
      <c r="E30" s="37">
        <f>INDEX($BK$2:$BP$11,MATCH($D$30,$BJ$2:$BJ$11,0),MATCH($D$28,$BK$1:$BP$1,0))</f>
        <v>3281</v>
      </c>
      <c r="G30" s="76">
        <v>125</v>
      </c>
      <c r="H30" s="39"/>
      <c r="I30" s="39"/>
      <c r="J30" s="124" t="s">
        <v>75</v>
      </c>
      <c r="K30" s="39"/>
      <c r="L30" s="79" t="s">
        <v>2</v>
      </c>
      <c r="N30" s="76">
        <v>800</v>
      </c>
      <c r="O30" s="39"/>
      <c r="P30" s="39"/>
      <c r="Q30" s="124" t="s">
        <v>75</v>
      </c>
      <c r="R30" s="39"/>
      <c r="S30" s="79" t="s">
        <v>2</v>
      </c>
      <c r="U30" s="10">
        <f>W30</f>
        <v>250</v>
      </c>
      <c r="V30" s="10">
        <f>W28+(W28-W30)</f>
        <v>650</v>
      </c>
      <c r="W30" s="78">
        <f>W28-200</f>
        <v>250</v>
      </c>
      <c r="X30" s="79" t="s">
        <v>18</v>
      </c>
      <c r="Z30" s="10">
        <f>AB30</f>
        <v>150</v>
      </c>
      <c r="AA30" s="10">
        <f>AB28+(AB28-AB30)</f>
        <v>350</v>
      </c>
      <c r="AB30" s="78">
        <v>150</v>
      </c>
      <c r="AC30" s="79" t="s">
        <v>18</v>
      </c>
      <c r="AE30">
        <f>AG30</f>
        <v>168</v>
      </c>
      <c r="AF30">
        <f>AG28+(AG28-AG30)</f>
        <v>392</v>
      </c>
      <c r="AG30" s="125">
        <f>IF(AG28-(AG28*AH28)&gt;105,AG28-(AG28*AH28),105)</f>
        <v>168</v>
      </c>
      <c r="AH30" s="79" t="s">
        <v>18</v>
      </c>
      <c r="AJ30" s="58"/>
      <c r="AK30" s="44"/>
      <c r="AL30" s="77">
        <v>8000</v>
      </c>
      <c r="AM30" s="10">
        <f>AO30</f>
        <v>150</v>
      </c>
      <c r="AN30" s="10">
        <f>AO28+(AO28-AO30)</f>
        <v>350</v>
      </c>
      <c r="AO30" s="78">
        <v>150</v>
      </c>
      <c r="AP30" s="79" t="s">
        <v>18</v>
      </c>
      <c r="AR30" s="76">
        <v>120</v>
      </c>
      <c r="AS30" s="39"/>
      <c r="AT30" s="39"/>
      <c r="AU30" s="39"/>
      <c r="AV30" s="39"/>
      <c r="AW30" s="79" t="s">
        <v>2</v>
      </c>
      <c r="AY30" s="76">
        <v>200</v>
      </c>
      <c r="AZ30" s="39"/>
      <c r="BA30" s="39"/>
      <c r="BB30" s="39"/>
      <c r="BC30" s="39"/>
      <c r="BD30" s="79" t="s">
        <v>2</v>
      </c>
      <c r="BF30" s="54"/>
      <c r="BG30" s="50"/>
      <c r="BH30" s="80"/>
    </row>
    <row r="31" spans="1:87" x14ac:dyDescent="0.25">
      <c r="A31" s="35" t="s">
        <v>49</v>
      </c>
      <c r="B31" s="10">
        <f>MIN(B28,B30)</f>
        <v>16000</v>
      </c>
      <c r="D31" s="35" t="s">
        <v>30</v>
      </c>
      <c r="E31" s="36">
        <f>INDEX($BK$2:$BP$11,MATCH($D$30,$BJ$2:$BJ$11,0),MATCH($D$28,$BK$1:$BP$1,0)+1)</f>
        <v>0.11</v>
      </c>
      <c r="G31" s="9">
        <v>2</v>
      </c>
      <c r="H31" s="9"/>
      <c r="J31" s="118">
        <f>IF(OR($E$28="F4",$E$28="F7"),120,"unknown")</f>
        <v>120</v>
      </c>
      <c r="N31" s="9">
        <v>2</v>
      </c>
      <c r="O31" s="9"/>
      <c r="Q31" s="135">
        <f>IF(OR($E$28="F4",$E$28="F7"),120,"unknown")</f>
        <v>120</v>
      </c>
      <c r="U31" s="34" t="s">
        <v>14</v>
      </c>
      <c r="V31" s="33">
        <f>W28/(V30-U30)</f>
        <v>1.125</v>
      </c>
      <c r="Z31" s="34" t="s">
        <v>14</v>
      </c>
      <c r="AA31" s="33">
        <f>AB28/(AA30-Z30)</f>
        <v>1.25</v>
      </c>
      <c r="AE31" s="34" t="s">
        <v>14</v>
      </c>
      <c r="AF31" s="33">
        <f>AG28/(AF30-AE30)</f>
        <v>1.25</v>
      </c>
      <c r="AG31" s="2"/>
      <c r="AJ31" s="58"/>
      <c r="AK31" s="44"/>
      <c r="AL31" s="121"/>
      <c r="AM31" s="34" t="s">
        <v>14</v>
      </c>
      <c r="AN31" s="33">
        <f>AO28/(AN30-AM30)</f>
        <v>1.25</v>
      </c>
      <c r="AR31" s="9">
        <v>2</v>
      </c>
      <c r="AS31" s="9"/>
      <c r="AY31" s="9">
        <v>2</v>
      </c>
      <c r="AZ31" s="9"/>
      <c r="BF31" s="54"/>
      <c r="BG31" s="50"/>
      <c r="BH31" s="80"/>
    </row>
    <row r="32" spans="1:87" s="1" customFormat="1" ht="60" customHeight="1" x14ac:dyDescent="0.25">
      <c r="A32" s="1" t="s">
        <v>0</v>
      </c>
      <c r="B32" s="1" t="s">
        <v>67</v>
      </c>
      <c r="C32" s="19"/>
      <c r="D32" s="1" t="s">
        <v>3</v>
      </c>
      <c r="E32" s="1" t="s">
        <v>42</v>
      </c>
      <c r="F32" s="15"/>
      <c r="G32" s="1" t="s">
        <v>98</v>
      </c>
      <c r="H32" s="1" t="s">
        <v>33</v>
      </c>
      <c r="I32" s="1" t="s">
        <v>34</v>
      </c>
      <c r="J32" s="1" t="s">
        <v>64</v>
      </c>
      <c r="K32" s="1" t="s">
        <v>4</v>
      </c>
      <c r="L32" s="1" t="s">
        <v>99</v>
      </c>
      <c r="M32" s="15"/>
      <c r="N32" s="1" t="s">
        <v>100</v>
      </c>
      <c r="O32" s="1" t="s">
        <v>33</v>
      </c>
      <c r="P32" s="1" t="s">
        <v>34</v>
      </c>
      <c r="Q32" s="1" t="s">
        <v>64</v>
      </c>
      <c r="R32" s="1" t="s">
        <v>4</v>
      </c>
      <c r="S32" s="1" t="s">
        <v>101</v>
      </c>
      <c r="T32" s="15"/>
      <c r="U32" s="1" t="s">
        <v>10</v>
      </c>
      <c r="V32" s="1" t="s">
        <v>11</v>
      </c>
      <c r="W32" s="1" t="s">
        <v>5</v>
      </c>
      <c r="X32" s="1" t="s">
        <v>40</v>
      </c>
      <c r="Y32" s="15"/>
      <c r="Z32" s="1" t="s">
        <v>15</v>
      </c>
      <c r="AA32" s="1" t="s">
        <v>16</v>
      </c>
      <c r="AB32" s="1" t="s">
        <v>17</v>
      </c>
      <c r="AC32" s="1" t="s">
        <v>41</v>
      </c>
      <c r="AD32" s="15"/>
      <c r="AE32" s="1" t="s">
        <v>10</v>
      </c>
      <c r="AF32" s="1" t="s">
        <v>11</v>
      </c>
      <c r="AG32" s="1" t="s">
        <v>19</v>
      </c>
      <c r="AH32" s="1" t="s">
        <v>39</v>
      </c>
      <c r="AI32" s="15"/>
      <c r="AJ32" s="59"/>
      <c r="AK32" s="46"/>
      <c r="AL32" s="121"/>
      <c r="AM32" s="1" t="s">
        <v>15</v>
      </c>
      <c r="AN32" s="1" t="s">
        <v>16</v>
      </c>
      <c r="AO32" s="1" t="s">
        <v>44</v>
      </c>
      <c r="AP32" s="1" t="s">
        <v>45</v>
      </c>
      <c r="AQ32" s="15"/>
      <c r="AR32" s="1" t="s">
        <v>43</v>
      </c>
      <c r="AS32" s="1" t="s">
        <v>33</v>
      </c>
      <c r="AT32" s="1" t="s">
        <v>34</v>
      </c>
      <c r="AU32" s="1" t="s">
        <v>64</v>
      </c>
      <c r="AV32" s="1" t="s">
        <v>4</v>
      </c>
      <c r="AW32" s="1" t="s">
        <v>79</v>
      </c>
      <c r="AX32" s="15"/>
      <c r="AY32" s="1" t="s">
        <v>43</v>
      </c>
      <c r="AZ32" s="1" t="s">
        <v>33</v>
      </c>
      <c r="BA32" s="1" t="s">
        <v>34</v>
      </c>
      <c r="BB32" s="1" t="s">
        <v>64</v>
      </c>
      <c r="BC32" s="1" t="s">
        <v>4</v>
      </c>
      <c r="BD32" s="1" t="s">
        <v>78</v>
      </c>
      <c r="BE32" s="15"/>
      <c r="BF32" s="55"/>
      <c r="BG32" s="51"/>
      <c r="BH32" s="86"/>
      <c r="BI32" s="41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</row>
    <row r="33" spans="1:63" x14ac:dyDescent="0.25">
      <c r="A33">
        <v>1E-3</v>
      </c>
      <c r="B33" s="70">
        <f>1/$B$31*1000</f>
        <v>6.25E-2</v>
      </c>
      <c r="C33" s="145">
        <f>AVERAGE(B33:B60)</f>
        <v>6.25E-2</v>
      </c>
      <c r="D33" s="62">
        <f>-(E33*360*$A33)/1000</f>
        <v>-3.96E-5</v>
      </c>
      <c r="E33" s="3">
        <f>E31</f>
        <v>0.11</v>
      </c>
      <c r="F33" s="66"/>
      <c r="G33" s="62">
        <f t="shared" ref="G33:G64" si="0">IF(G$28="PT1",K33,IF(G$28="BiQUAD",H33,IF(G$28="FIR",I33,"N/A")))</f>
        <v>-4.5836623609488006E-4</v>
      </c>
      <c r="H33" s="62">
        <f t="shared" ref="H33:H64" si="1">(-ATAN(1/G$31*(2*$A33/G$30+SQRT(4-G$31^2)))-ATAN(1/G$31*(2*$A33/G$30-SQRT(4-G$31^2))))*180/PI()</f>
        <v>-9.1673247218976013E-4</v>
      </c>
      <c r="I33" s="62">
        <f t="shared" ref="I33:I64" si="2">-360*$A33*J33/1000</f>
        <v>-1.3387499999999999E-3</v>
      </c>
      <c r="J33" s="62">
        <f t="shared" ref="J33:J64" si="3">($J$31-1)/(2*$B$31)*1000</f>
        <v>3.71875</v>
      </c>
      <c r="K33" s="62">
        <f t="shared" ref="K33:K64" si="4">-ATAN($A33/G$30)*180/PI()</f>
        <v>-4.5836623609488006E-4</v>
      </c>
      <c r="L33" s="62">
        <f t="shared" ref="L33:L64" si="5">IF(L$30="On",ABS((G33/(360*$A33))*1000),0)</f>
        <v>1.2732395447080003</v>
      </c>
      <c r="M33" s="67"/>
      <c r="N33" s="62">
        <f t="shared" ref="N33:N64" si="6">IF(N$28="PT1",R33,IF(N$28="BiQUAD",O33,IF(N$28="FIR",P33,"N/A")))</f>
        <v>-1.4323944878263123E-4</v>
      </c>
      <c r="O33" s="62">
        <f t="shared" ref="O33:O64" si="7">(-ATAN(1/N$31*(2*$A33/N$30+SQRT(4-N$31^2)))-ATAN(1/N$31*(2*$A33/N$30-SQRT(4-N$31^2))))*180/PI()</f>
        <v>-1.4323944878263123E-4</v>
      </c>
      <c r="P33" s="62">
        <f t="shared" ref="P33:P64" si="8">-360*$A33*Q33/1000</f>
        <v>-1.3387499999999999E-3</v>
      </c>
      <c r="Q33" s="62">
        <f t="shared" ref="Q33:Q64" si="9">($J$31-1)/(2*$B$31)*1000</f>
        <v>3.71875</v>
      </c>
      <c r="R33" s="62">
        <f t="shared" ref="R33:R64" si="10">-ATAN($A33/N$30)*180/PI()</f>
        <v>-7.1619724391315615E-5</v>
      </c>
      <c r="S33" s="62">
        <f t="shared" ref="S33:S64" si="11">IF(S$30="On",ABS((N33/(360*$A33))*1000),0)</f>
        <v>0.39788735772953121</v>
      </c>
      <c r="T33" s="67"/>
      <c r="U33" s="62">
        <f t="shared" ref="U33:U64" si="12">(-ATAN(2*V$31*$A33/$W$28+SQRT(4*V$31^2-1))-ATAN(2*V$31*$A33/W$28-SQRT(4*V$31^2-1)))*180/PI()</f>
        <v>-1.1317684840892259E-4</v>
      </c>
      <c r="V33" s="62">
        <f t="shared" ref="V33:V64" si="13">(-ATAN(2*V$31*$A33/W$28+SQRT(4*V$31^2-1))-ATAN(2*V$31*$A33/W$28-SQRT(4*V$31^2-1)))*180/PI()+180</f>
        <v>179.9998868231516</v>
      </c>
      <c r="W33" s="62">
        <f>IF($A33&lt;=W$28,U33,V33)</f>
        <v>-1.1317684840892259E-4</v>
      </c>
      <c r="X33" s="62">
        <f>IF(X$30="On",ABS((W33/(360*$A33))*1000),0)</f>
        <v>0</v>
      </c>
      <c r="Y33" s="66"/>
      <c r="Z33" s="62">
        <f t="shared" ref="Z33:Z64" si="14">(-ATAN(2*AA$31*$A33/AB$28+SQRT(4*AA$31^2-1))-ATAN(2*AA$31*$A33/AB$28-SQRT(4*AA$31^2-1)))*180/PI()</f>
        <v>-1.8334649444713569E-4</v>
      </c>
      <c r="AA33" s="62">
        <f t="shared" ref="AA33:AA64" si="15">(-ATAN(2*AA$31*$A33/AB$28+SQRT(4*AA$31^2-1))-ATAN(2*AA$31*$A33/AB$28-SQRT(4*AA$31^2-1)))*180/PI()+180</f>
        <v>179.99981665350555</v>
      </c>
      <c r="AB33" s="62">
        <f>IF($A33&lt;=AB$28,Z33,AA33)</f>
        <v>-1.8334649444713569E-4</v>
      </c>
      <c r="AC33" s="62">
        <f>IF(AC$30="On",ABS((AB33/(360*$A33))*1000),0)</f>
        <v>0</v>
      </c>
      <c r="AD33" s="66"/>
      <c r="AE33" s="62">
        <f t="shared" ref="AE33:AE64" si="16">(-ATAN(2*AF$31*$A33/$AG$28+SQRT(4*AF$31^2-1))-ATAN(2*AF$31*$A33/AG$28-SQRT(4*AF$31^2-1)))*180/PI()</f>
        <v>-1.637022271704029E-4</v>
      </c>
      <c r="AF33" s="62">
        <f t="shared" ref="AF33:AF64" si="17">(-ATAN(2*AF$31*$A33/AG$28+SQRT(4*AF$31^2-1))-ATAN(2*AF$31*$A33/AG$28-SQRT(4*AF$31^2-1)))*180/PI()+180</f>
        <v>179.99983629777282</v>
      </c>
      <c r="AG33" s="62">
        <f t="shared" ref="AG33:AG64" si="18">IF($A33&lt;=AG$28,AE33,AF33)</f>
        <v>-1.637022271704029E-4</v>
      </c>
      <c r="AH33" s="62">
        <f t="shared" ref="AH33:AH64" si="19">IF(AH$30="On",ABS((AG33/(360*$A33))*1000),0)</f>
        <v>0</v>
      </c>
      <c r="AI33" s="66"/>
      <c r="AJ33" s="68">
        <f>SUM(B33,E33,S33,AH33,X33,AC33,L33)</f>
        <v>1.8436269024375314</v>
      </c>
      <c r="AK33" s="44"/>
      <c r="AL33" s="121"/>
      <c r="AM33" s="3">
        <f t="shared" ref="AM33:AM64" si="20">(-ATAN(2*AN$31*$A33/AO$28+SQRT(4*AN$31^2-1))-ATAN(2*AN$31*$A33/AO$28-SQRT(4*AN$31^2-1)))*180/PI()</f>
        <v>-1.8334649444713569E-4</v>
      </c>
      <c r="AN33" s="3">
        <f t="shared" ref="AN33:AN64" si="21">(-ATAN(2*AN$31*$A33/AO$28+SQRT(4*AN$31^2-1))-ATAN(2*AN$31*$A33/AO$28-SQRT(4*AN$31^2-1)))*180/PI()+180</f>
        <v>179.99981665350555</v>
      </c>
      <c r="AO33" s="62">
        <f>IF($A33&lt;=AO$28,AM33,AN33)</f>
        <v>-1.8334649444713569E-4</v>
      </c>
      <c r="AP33" s="62">
        <f>IF(AP$30="On",ABS((AO33/(360*$A33))*1000),0)</f>
        <v>0</v>
      </c>
      <c r="AR33" s="62">
        <f>IF(AR$28="PT1",AV33,IF(AR$28="BiQUAD",AS33,IF(AR$28="FIR",AT33,"N/A")))</f>
        <v>-4.7746482926463361E-4</v>
      </c>
      <c r="AS33" s="62">
        <f>(-ATAN(1/AR$31*(2*$A33/AR$30+SQRT(4-AR$31^2)))-ATAN(1/AR$31*(2*$A33/AR$30-SQRT(4-AR$31^2))))*180/PI()</f>
        <v>-9.5492965852926723E-4</v>
      </c>
      <c r="AT33" s="62">
        <f>-360*$A33*AU33/1000</f>
        <v>-2.6774999999999998E-3</v>
      </c>
      <c r="AU33" s="62">
        <f>(120-1)/(2*$AL$30)*1000</f>
        <v>7.4375</v>
      </c>
      <c r="AV33" s="62">
        <f>-ATAN($A33/AR$30)*180/PI()</f>
        <v>-4.7746482926463361E-4</v>
      </c>
      <c r="AW33" s="62">
        <f>IF(AW$30="On",ABS((AR33/(360*$A33))*1000),0)</f>
        <v>1.3262911924017602</v>
      </c>
      <c r="AY33" s="62">
        <f>IF(AY$28="PT1",BC33,IF(AY$28="BiQUAD",AZ33,IF(AY$28="FIR",BA33,"N/A")))</f>
        <v>-2.8647889756302434E-4</v>
      </c>
      <c r="AZ33" s="62">
        <f>(-ATAN(1/AY$31*(2*$A33/AY$30+SQRT(4-AY$31^2)))-ATAN(1/AY$31*(2*$A33/AY$30-SQRT(4-AY$31^2))))*180/PI()</f>
        <v>-5.7295779512604869E-4</v>
      </c>
      <c r="BA33" s="62">
        <f>-360*$A33*BB33/1000</f>
        <v>-2.6774999999999998E-3</v>
      </c>
      <c r="BB33" s="62">
        <f>(120-1)/(2*$AL$30)*1000</f>
        <v>7.4375</v>
      </c>
      <c r="BC33" s="62">
        <f>-ATAN($A33/AY$30)*180/PI()</f>
        <v>-2.8647889756302434E-4</v>
      </c>
      <c r="BD33" s="62">
        <f>IF(BD$30="On",ABS((AY33/(360*$A33))*1000),0)</f>
        <v>0.7957747154528455</v>
      </c>
      <c r="BE33" s="21"/>
      <c r="BF33" s="60">
        <f>SUM(AP33,AW33,BD33)</f>
        <v>2.1220659078546058</v>
      </c>
      <c r="BG33" s="61">
        <f>SUM(AJ33,BF33)</f>
        <v>3.9656928102921372</v>
      </c>
      <c r="BH33" s="134">
        <f>1/(BG33/1000)</f>
        <v>252.16274881521494</v>
      </c>
      <c r="BJ33" s="80" t="s">
        <v>46</v>
      </c>
    </row>
    <row r="34" spans="1:63" x14ac:dyDescent="0.25">
      <c r="A34">
        <v>0.1</v>
      </c>
      <c r="B34" s="70">
        <f>B33</f>
        <v>6.25E-2</v>
      </c>
      <c r="C34" s="145"/>
      <c r="D34" s="62">
        <f t="shared" ref="D34:D94" si="22">-(E34*360*$A34)/1000</f>
        <v>-3.96E-3</v>
      </c>
      <c r="E34" s="3">
        <f>E33</f>
        <v>0.11</v>
      </c>
      <c r="F34" s="66"/>
      <c r="G34" s="62">
        <f t="shared" si="0"/>
        <v>-4.583661383198992E-2</v>
      </c>
      <c r="H34" s="62">
        <f t="shared" si="1"/>
        <v>-9.1673227663979839E-2</v>
      </c>
      <c r="I34" s="62">
        <f t="shared" si="2"/>
        <v>-0.13387499999999999</v>
      </c>
      <c r="J34" s="62">
        <f t="shared" si="3"/>
        <v>3.71875</v>
      </c>
      <c r="K34" s="62">
        <f t="shared" si="4"/>
        <v>-4.583661383198992E-2</v>
      </c>
      <c r="L34" s="62">
        <f t="shared" si="5"/>
        <v>1.2732392731108311</v>
      </c>
      <c r="M34" s="67"/>
      <c r="N34" s="62">
        <f t="shared" si="6"/>
        <v>-1.4323944803666701E-2</v>
      </c>
      <c r="O34" s="62">
        <f t="shared" si="7"/>
        <v>-1.4323944803666701E-2</v>
      </c>
      <c r="P34" s="62">
        <f t="shared" si="8"/>
        <v>-0.13387499999999999</v>
      </c>
      <c r="Q34" s="62">
        <f t="shared" si="9"/>
        <v>3.71875</v>
      </c>
      <c r="R34" s="62">
        <f t="shared" si="10"/>
        <v>-7.1619724018333504E-3</v>
      </c>
      <c r="S34" s="62">
        <f t="shared" si="11"/>
        <v>0.39788735565740835</v>
      </c>
      <c r="T34" s="67"/>
      <c r="U34" s="62">
        <f t="shared" si="12"/>
        <v>-1.1317685253791867E-2</v>
      </c>
      <c r="V34" s="62">
        <f t="shared" si="13"/>
        <v>179.9886823147462</v>
      </c>
      <c r="W34" s="62">
        <f t="shared" ref="W34:W94" si="23">IF($A34&lt;=W$28,U34,V34)</f>
        <v>-1.1317685253791867E-2</v>
      </c>
      <c r="X34" s="62">
        <f t="shared" ref="X34:X94" si="24">IF(X$30="On",ABS((W34/(360*$A34))*1000),0)</f>
        <v>0</v>
      </c>
      <c r="Y34" s="66"/>
      <c r="Z34" s="62">
        <f t="shared" si="14"/>
        <v>-1.8334651751900657E-2</v>
      </c>
      <c r="AA34" s="62">
        <f t="shared" si="15"/>
        <v>179.9816653482481</v>
      </c>
      <c r="AB34" s="62">
        <f t="shared" ref="AB34:AB94" si="25">IF($A34&lt;=AB$28,Z34,AA34)</f>
        <v>-1.8334651751900657E-2</v>
      </c>
      <c r="AC34" s="62">
        <f t="shared" ref="AC34:AC94" si="26">IF(AC$30="On",ABS((AB34/(360*$A34))*1000),0)</f>
        <v>0</v>
      </c>
      <c r="AD34" s="66"/>
      <c r="AE34" s="62">
        <f t="shared" si="16"/>
        <v>-1.6370224360611006E-2</v>
      </c>
      <c r="AF34" s="62">
        <f t="shared" si="17"/>
        <v>179.9836297756394</v>
      </c>
      <c r="AG34" s="62">
        <f t="shared" si="18"/>
        <v>-1.6370224360611006E-2</v>
      </c>
      <c r="AH34" s="62">
        <f t="shared" si="19"/>
        <v>0</v>
      </c>
      <c r="AI34" s="66"/>
      <c r="AJ34" s="68">
        <f t="shared" ref="AJ34:AJ94" si="27">SUM(B34,E34,S34,AH34,X34,AC34,L34)</f>
        <v>1.8436266287682395</v>
      </c>
      <c r="AK34" s="44"/>
      <c r="AL34" s="121"/>
      <c r="AM34" s="3">
        <f t="shared" si="20"/>
        <v>-1.8334651751900657E-2</v>
      </c>
      <c r="AN34" s="3">
        <f t="shared" si="21"/>
        <v>179.9816653482481</v>
      </c>
      <c r="AO34" s="62">
        <f t="shared" ref="AO34:AO94" si="28">IF($A34&lt;=AO$28,AM34,AN34)</f>
        <v>-1.8334651751900657E-2</v>
      </c>
      <c r="AP34" s="62">
        <f t="shared" ref="AP34:AP94" si="29">IF(AP$30="On",ABS((AO34/(360*$A34))*1000),0)</f>
        <v>0</v>
      </c>
      <c r="AR34" s="62">
        <f t="shared" ref="AR34:AR94" si="30">IF(AR$28="PT1",AV34,IF(AR$28="BiQUAD",AS34,IF(AR$28="FIR",AT34,"N/A")))</f>
        <v>-4.7746471875146614E-2</v>
      </c>
      <c r="AS34" s="62">
        <f t="shared" ref="AS34:AS94" si="31">(-ATAN(1/AR$31*(2*$A34/AR$30+SQRT(4-AR$31^2)))-ATAN(1/AR$31*(2*$A34/AR$30-SQRT(4-AR$31^2))))*180/PI()</f>
        <v>-9.5492943750293227E-2</v>
      </c>
      <c r="AT34" s="62">
        <f t="shared" ref="AT34:AT94" si="32">-360*$A34*AU34/1000</f>
        <v>-0.26774999999999999</v>
      </c>
      <c r="AU34" s="62">
        <f t="shared" ref="AU34:AU94" si="33">(120-1)/(2*$AL$30)*1000</f>
        <v>7.4375</v>
      </c>
      <c r="AV34" s="62">
        <f t="shared" ref="AV34:AV94" si="34">-ATAN($A34/AR$30)*180/PI()</f>
        <v>-4.7746471875146614E-2</v>
      </c>
      <c r="AW34" s="62">
        <f t="shared" ref="AW34:AW94" si="35">IF(AW$30="On",ABS((AR34/(360*$A34))*1000),0)</f>
        <v>1.3262908854207394</v>
      </c>
      <c r="AY34" s="62">
        <f t="shared" ref="AY34:AY94" si="36">IF(AY$28="PT1",BC34,IF(AY$28="BiQUAD",AZ34,IF(AY$28="FIR",BA34,"N/A")))</f>
        <v>-2.8647887369217372E-2</v>
      </c>
      <c r="AZ34" s="62">
        <f t="shared" ref="AZ34:AZ94" si="37">(-ATAN(1/AY$31*(2*$A34/AY$30+SQRT(4-AY$31^2)))-ATAN(1/AY$31*(2*$A34/AY$30-SQRT(4-AY$31^2))))*180/PI()</f>
        <v>-5.7295774738434745E-2</v>
      </c>
      <c r="BA34" s="62">
        <f t="shared" ref="BA34:BA94" si="38">-360*$A34*BB34/1000</f>
        <v>-0.26774999999999999</v>
      </c>
      <c r="BB34" s="62">
        <f t="shared" ref="BB34:BB94" si="39">(120-1)/(2*$AL$30)*1000</f>
        <v>7.4375</v>
      </c>
      <c r="BC34" s="62">
        <f t="shared" ref="BC34:BC94" si="40">-ATAN($A34/AY$30)*180/PI()</f>
        <v>-2.8647887369217372E-2</v>
      </c>
      <c r="BD34" s="62">
        <f t="shared" ref="BD34:BD94" si="41">IF(BD$30="On",ABS((AY34/(360*$A34))*1000),0)</f>
        <v>0.79577464914492702</v>
      </c>
      <c r="BE34" s="22"/>
      <c r="BF34" s="60">
        <f t="shared" ref="BF34:BF94" si="42">SUM(AP34,AW34,BD34)</f>
        <v>2.1220655345656665</v>
      </c>
      <c r="BG34" s="61">
        <f t="shared" ref="BG34:BG94" si="43">SUM(AJ34,BF34)</f>
        <v>3.9656921633339062</v>
      </c>
      <c r="BH34" s="134">
        <f t="shared" ref="BH34:BH94" si="44">1/(BG34/1000)</f>
        <v>252.16278995274129</v>
      </c>
      <c r="BJ34" s="80" t="s">
        <v>47</v>
      </c>
      <c r="BK34" s="80" t="s">
        <v>48</v>
      </c>
    </row>
    <row r="35" spans="1:63" x14ac:dyDescent="0.25">
      <c r="A35">
        <v>0.5</v>
      </c>
      <c r="B35" s="70">
        <f t="shared" ref="B35:B94" si="45">B34</f>
        <v>6.25E-2</v>
      </c>
      <c r="C35" s="145"/>
      <c r="D35" s="62">
        <f t="shared" si="22"/>
        <v>-1.9800000000000002E-2</v>
      </c>
      <c r="E35" s="3">
        <f t="shared" ref="E35:E85" si="46">E34</f>
        <v>0.11</v>
      </c>
      <c r="F35" s="66"/>
      <c r="G35" s="62">
        <f t="shared" si="0"/>
        <v>-0.22918189575410039</v>
      </c>
      <c r="H35" s="62">
        <f t="shared" si="1"/>
        <v>-0.45836379150820078</v>
      </c>
      <c r="I35" s="62">
        <f t="shared" si="2"/>
        <v>-0.66937500000000005</v>
      </c>
      <c r="J35" s="62">
        <f t="shared" si="3"/>
        <v>3.71875</v>
      </c>
      <c r="K35" s="62">
        <f t="shared" si="4"/>
        <v>-0.22918189575410039</v>
      </c>
      <c r="L35" s="62">
        <f t="shared" si="5"/>
        <v>1.2732327541894466</v>
      </c>
      <c r="M35" s="67"/>
      <c r="N35" s="62">
        <f t="shared" si="6"/>
        <v>-7.1619715065870143E-2</v>
      </c>
      <c r="O35" s="62">
        <f t="shared" si="7"/>
        <v>-7.1619715065870143E-2</v>
      </c>
      <c r="P35" s="62">
        <f t="shared" si="8"/>
        <v>-0.66937500000000005</v>
      </c>
      <c r="Q35" s="62">
        <f t="shared" si="9"/>
        <v>3.71875</v>
      </c>
      <c r="R35" s="62">
        <f t="shared" si="10"/>
        <v>-3.5809857532935072E-2</v>
      </c>
      <c r="S35" s="62">
        <f t="shared" si="11"/>
        <v>0.39788730592150079</v>
      </c>
      <c r="T35" s="67"/>
      <c r="U35" s="62">
        <f t="shared" si="12"/>
        <v>-5.658847567279509E-2</v>
      </c>
      <c r="V35" s="62">
        <f t="shared" si="13"/>
        <v>179.94341152432722</v>
      </c>
      <c r="W35" s="62">
        <f t="shared" si="23"/>
        <v>-5.658847567279509E-2</v>
      </c>
      <c r="X35" s="62">
        <f t="shared" si="24"/>
        <v>0</v>
      </c>
      <c r="Y35" s="66"/>
      <c r="Z35" s="62">
        <f t="shared" si="14"/>
        <v>-9.1673535686735405E-2</v>
      </c>
      <c r="AA35" s="62">
        <f t="shared" si="15"/>
        <v>179.90832646431326</v>
      </c>
      <c r="AB35" s="62">
        <f t="shared" si="25"/>
        <v>-9.1673535686735405E-2</v>
      </c>
      <c r="AC35" s="62">
        <f t="shared" si="26"/>
        <v>0</v>
      </c>
      <c r="AD35" s="66"/>
      <c r="AE35" s="62">
        <f t="shared" si="16"/>
        <v>-8.185131891428013E-2</v>
      </c>
      <c r="AF35" s="62">
        <f t="shared" si="17"/>
        <v>179.91814868108571</v>
      </c>
      <c r="AG35" s="62">
        <f t="shared" si="18"/>
        <v>-8.185131891428013E-2</v>
      </c>
      <c r="AH35" s="62">
        <f t="shared" si="19"/>
        <v>0</v>
      </c>
      <c r="AI35" s="66"/>
      <c r="AJ35" s="68">
        <f t="shared" si="27"/>
        <v>1.8436200601109474</v>
      </c>
      <c r="AK35" s="44"/>
      <c r="AL35" s="121"/>
      <c r="AM35" s="3">
        <f t="shared" si="20"/>
        <v>-9.1673535686735405E-2</v>
      </c>
      <c r="AN35" s="3">
        <f t="shared" si="21"/>
        <v>179.90832646431326</v>
      </c>
      <c r="AO35" s="62">
        <f t="shared" si="28"/>
        <v>-9.1673535686735405E-2</v>
      </c>
      <c r="AP35" s="62">
        <f t="shared" si="29"/>
        <v>0</v>
      </c>
      <c r="AR35" s="62">
        <f t="shared" si="30"/>
        <v>-0.23873103309890856</v>
      </c>
      <c r="AS35" s="62">
        <f t="shared" si="31"/>
        <v>-0.47746206619781711</v>
      </c>
      <c r="AT35" s="62">
        <f t="shared" si="32"/>
        <v>-1.3387500000000001</v>
      </c>
      <c r="AU35" s="62">
        <f t="shared" si="33"/>
        <v>7.4375</v>
      </c>
      <c r="AV35" s="62">
        <f t="shared" si="34"/>
        <v>-0.23873103309890856</v>
      </c>
      <c r="AW35" s="62">
        <f t="shared" si="35"/>
        <v>1.3262835172161587</v>
      </c>
      <c r="AY35" s="62">
        <f t="shared" si="36"/>
        <v>-0.14323915036830656</v>
      </c>
      <c r="AZ35" s="62">
        <f t="shared" si="37"/>
        <v>-0.28647830073661312</v>
      </c>
      <c r="BA35" s="62">
        <f t="shared" si="38"/>
        <v>-1.3387500000000001</v>
      </c>
      <c r="BB35" s="62">
        <f t="shared" si="39"/>
        <v>7.4375</v>
      </c>
      <c r="BC35" s="62">
        <f t="shared" si="40"/>
        <v>-0.14323915036830656</v>
      </c>
      <c r="BD35" s="62">
        <f t="shared" si="41"/>
        <v>0.79577305760170314</v>
      </c>
      <c r="BE35" s="22"/>
      <c r="BF35" s="60">
        <f t="shared" si="42"/>
        <v>2.1220565748178619</v>
      </c>
      <c r="BG35" s="61">
        <f t="shared" si="43"/>
        <v>3.9656766349288093</v>
      </c>
      <c r="BH35" s="134">
        <f t="shared" si="44"/>
        <v>252.16377734690201</v>
      </c>
      <c r="BK35" s="87"/>
    </row>
    <row r="36" spans="1:63" x14ac:dyDescent="0.25">
      <c r="A36">
        <v>0.1</v>
      </c>
      <c r="B36" s="70">
        <f t="shared" si="45"/>
        <v>6.25E-2</v>
      </c>
      <c r="C36" s="145"/>
      <c r="D36" s="62">
        <f t="shared" si="22"/>
        <v>-3.96E-3</v>
      </c>
      <c r="E36" s="3">
        <f t="shared" si="46"/>
        <v>0.11</v>
      </c>
      <c r="F36" s="66"/>
      <c r="G36" s="62">
        <f t="shared" si="0"/>
        <v>-4.583661383198992E-2</v>
      </c>
      <c r="H36" s="62">
        <f t="shared" si="1"/>
        <v>-9.1673227663979839E-2</v>
      </c>
      <c r="I36" s="62">
        <f t="shared" si="2"/>
        <v>-0.13387499999999999</v>
      </c>
      <c r="J36" s="62">
        <f t="shared" si="3"/>
        <v>3.71875</v>
      </c>
      <c r="K36" s="62">
        <f t="shared" si="4"/>
        <v>-4.583661383198992E-2</v>
      </c>
      <c r="L36" s="62">
        <f t="shared" si="5"/>
        <v>1.2732392731108311</v>
      </c>
      <c r="M36" s="67"/>
      <c r="N36" s="62">
        <f t="shared" si="6"/>
        <v>-1.4323944803666701E-2</v>
      </c>
      <c r="O36" s="62">
        <f t="shared" si="7"/>
        <v>-1.4323944803666701E-2</v>
      </c>
      <c r="P36" s="62">
        <f t="shared" si="8"/>
        <v>-0.13387499999999999</v>
      </c>
      <c r="Q36" s="62">
        <f t="shared" si="9"/>
        <v>3.71875</v>
      </c>
      <c r="R36" s="62">
        <f t="shared" si="10"/>
        <v>-7.1619724018333504E-3</v>
      </c>
      <c r="S36" s="62">
        <f t="shared" si="11"/>
        <v>0.39788735565740835</v>
      </c>
      <c r="T36" s="67"/>
      <c r="U36" s="62">
        <f t="shared" si="12"/>
        <v>-1.1317685253791867E-2</v>
      </c>
      <c r="V36" s="62">
        <f t="shared" si="13"/>
        <v>179.9886823147462</v>
      </c>
      <c r="W36" s="62">
        <f t="shared" si="23"/>
        <v>-1.1317685253791867E-2</v>
      </c>
      <c r="X36" s="62">
        <f t="shared" si="24"/>
        <v>0</v>
      </c>
      <c r="Y36" s="66"/>
      <c r="Z36" s="62">
        <f t="shared" si="14"/>
        <v>-1.8334651751900657E-2</v>
      </c>
      <c r="AA36" s="62">
        <f t="shared" si="15"/>
        <v>179.9816653482481</v>
      </c>
      <c r="AB36" s="62">
        <f t="shared" si="25"/>
        <v>-1.8334651751900657E-2</v>
      </c>
      <c r="AC36" s="62">
        <f t="shared" si="26"/>
        <v>0</v>
      </c>
      <c r="AD36" s="66"/>
      <c r="AE36" s="62">
        <f t="shared" si="16"/>
        <v>-1.6370224360611006E-2</v>
      </c>
      <c r="AF36" s="62">
        <f t="shared" si="17"/>
        <v>179.9836297756394</v>
      </c>
      <c r="AG36" s="62">
        <f t="shared" si="18"/>
        <v>-1.6370224360611006E-2</v>
      </c>
      <c r="AH36" s="62">
        <f t="shared" si="19"/>
        <v>0</v>
      </c>
      <c r="AI36" s="66"/>
      <c r="AJ36" s="68">
        <f t="shared" si="27"/>
        <v>1.8436266287682395</v>
      </c>
      <c r="AK36" s="44"/>
      <c r="AL36" s="121"/>
      <c r="AM36" s="3">
        <f t="shared" si="20"/>
        <v>-1.8334651751900657E-2</v>
      </c>
      <c r="AN36" s="3">
        <f t="shared" si="21"/>
        <v>179.9816653482481</v>
      </c>
      <c r="AO36" s="62">
        <f t="shared" si="28"/>
        <v>-1.8334651751900657E-2</v>
      </c>
      <c r="AP36" s="62">
        <f t="shared" si="29"/>
        <v>0</v>
      </c>
      <c r="AR36" s="62">
        <f t="shared" si="30"/>
        <v>-4.7746471875146614E-2</v>
      </c>
      <c r="AS36" s="62">
        <f t="shared" si="31"/>
        <v>-9.5492943750293227E-2</v>
      </c>
      <c r="AT36" s="62">
        <f t="shared" si="32"/>
        <v>-0.26774999999999999</v>
      </c>
      <c r="AU36" s="62">
        <f t="shared" si="33"/>
        <v>7.4375</v>
      </c>
      <c r="AV36" s="62">
        <f t="shared" si="34"/>
        <v>-4.7746471875146614E-2</v>
      </c>
      <c r="AW36" s="62">
        <f t="shared" si="35"/>
        <v>1.3262908854207394</v>
      </c>
      <c r="AY36" s="62">
        <f t="shared" si="36"/>
        <v>-2.8647887369217372E-2</v>
      </c>
      <c r="AZ36" s="62">
        <f t="shared" si="37"/>
        <v>-5.7295774738434745E-2</v>
      </c>
      <c r="BA36" s="62">
        <f t="shared" si="38"/>
        <v>-0.26774999999999999</v>
      </c>
      <c r="BB36" s="62">
        <f t="shared" si="39"/>
        <v>7.4375</v>
      </c>
      <c r="BC36" s="62">
        <f t="shared" si="40"/>
        <v>-2.8647887369217372E-2</v>
      </c>
      <c r="BD36" s="62">
        <f t="shared" si="41"/>
        <v>0.79577464914492702</v>
      </c>
      <c r="BE36" s="22"/>
      <c r="BF36" s="60">
        <f t="shared" si="42"/>
        <v>2.1220655345656665</v>
      </c>
      <c r="BG36" s="61">
        <f t="shared" si="43"/>
        <v>3.9656921633339062</v>
      </c>
      <c r="BH36" s="134">
        <f t="shared" si="44"/>
        <v>252.16278995274129</v>
      </c>
      <c r="BK36" s="87"/>
    </row>
    <row r="37" spans="1:63" x14ac:dyDescent="0.25">
      <c r="A37">
        <v>0.5</v>
      </c>
      <c r="B37" s="70">
        <f t="shared" si="45"/>
        <v>6.25E-2</v>
      </c>
      <c r="C37" s="145"/>
      <c r="D37" s="62">
        <f t="shared" si="22"/>
        <v>-1.9800000000000002E-2</v>
      </c>
      <c r="E37" s="3">
        <f t="shared" si="46"/>
        <v>0.11</v>
      </c>
      <c r="F37" s="66"/>
      <c r="G37" s="62">
        <f t="shared" si="0"/>
        <v>-0.22918189575410039</v>
      </c>
      <c r="H37" s="62">
        <f t="shared" si="1"/>
        <v>-0.45836379150820078</v>
      </c>
      <c r="I37" s="62">
        <f t="shared" si="2"/>
        <v>-0.66937500000000005</v>
      </c>
      <c r="J37" s="62">
        <f t="shared" si="3"/>
        <v>3.71875</v>
      </c>
      <c r="K37" s="62">
        <f t="shared" si="4"/>
        <v>-0.22918189575410039</v>
      </c>
      <c r="L37" s="62">
        <f t="shared" si="5"/>
        <v>1.2732327541894466</v>
      </c>
      <c r="M37" s="67"/>
      <c r="N37" s="62">
        <f t="shared" si="6"/>
        <v>-7.1619715065870143E-2</v>
      </c>
      <c r="O37" s="62">
        <f t="shared" si="7"/>
        <v>-7.1619715065870143E-2</v>
      </c>
      <c r="P37" s="62">
        <f t="shared" si="8"/>
        <v>-0.66937500000000005</v>
      </c>
      <c r="Q37" s="62">
        <f t="shared" si="9"/>
        <v>3.71875</v>
      </c>
      <c r="R37" s="62">
        <f t="shared" si="10"/>
        <v>-3.5809857532935072E-2</v>
      </c>
      <c r="S37" s="62">
        <f t="shared" si="11"/>
        <v>0.39788730592150079</v>
      </c>
      <c r="T37" s="67"/>
      <c r="U37" s="62">
        <f t="shared" si="12"/>
        <v>-5.658847567279509E-2</v>
      </c>
      <c r="V37" s="62">
        <f t="shared" si="13"/>
        <v>179.94341152432722</v>
      </c>
      <c r="W37" s="62">
        <f t="shared" si="23"/>
        <v>-5.658847567279509E-2</v>
      </c>
      <c r="X37" s="62">
        <f t="shared" si="24"/>
        <v>0</v>
      </c>
      <c r="Y37" s="66"/>
      <c r="Z37" s="62">
        <f t="shared" si="14"/>
        <v>-9.1673535686735405E-2</v>
      </c>
      <c r="AA37" s="62">
        <f t="shared" si="15"/>
        <v>179.90832646431326</v>
      </c>
      <c r="AB37" s="62">
        <f t="shared" si="25"/>
        <v>-9.1673535686735405E-2</v>
      </c>
      <c r="AC37" s="62">
        <f t="shared" si="26"/>
        <v>0</v>
      </c>
      <c r="AD37" s="66"/>
      <c r="AE37" s="62">
        <f t="shared" si="16"/>
        <v>-8.185131891428013E-2</v>
      </c>
      <c r="AF37" s="62">
        <f t="shared" si="17"/>
        <v>179.91814868108571</v>
      </c>
      <c r="AG37" s="62">
        <f t="shared" si="18"/>
        <v>-8.185131891428013E-2</v>
      </c>
      <c r="AH37" s="62">
        <f t="shared" si="19"/>
        <v>0</v>
      </c>
      <c r="AI37" s="66"/>
      <c r="AJ37" s="68">
        <f t="shared" si="27"/>
        <v>1.8436200601109474</v>
      </c>
      <c r="AK37" s="44"/>
      <c r="AL37" s="121"/>
      <c r="AM37" s="3">
        <f t="shared" si="20"/>
        <v>-9.1673535686735405E-2</v>
      </c>
      <c r="AN37" s="3">
        <f t="shared" si="21"/>
        <v>179.90832646431326</v>
      </c>
      <c r="AO37" s="62">
        <f t="shared" si="28"/>
        <v>-9.1673535686735405E-2</v>
      </c>
      <c r="AP37" s="62">
        <f t="shared" si="29"/>
        <v>0</v>
      </c>
      <c r="AR37" s="62">
        <f t="shared" si="30"/>
        <v>-0.23873103309890856</v>
      </c>
      <c r="AS37" s="62">
        <f t="shared" si="31"/>
        <v>-0.47746206619781711</v>
      </c>
      <c r="AT37" s="62">
        <f t="shared" si="32"/>
        <v>-1.3387500000000001</v>
      </c>
      <c r="AU37" s="62">
        <f t="shared" si="33"/>
        <v>7.4375</v>
      </c>
      <c r="AV37" s="62">
        <f t="shared" si="34"/>
        <v>-0.23873103309890856</v>
      </c>
      <c r="AW37" s="62">
        <f t="shared" si="35"/>
        <v>1.3262835172161587</v>
      </c>
      <c r="AY37" s="62">
        <f t="shared" si="36"/>
        <v>-0.14323915036830656</v>
      </c>
      <c r="AZ37" s="62">
        <f t="shared" si="37"/>
        <v>-0.28647830073661312</v>
      </c>
      <c r="BA37" s="62">
        <f t="shared" si="38"/>
        <v>-1.3387500000000001</v>
      </c>
      <c r="BB37" s="62">
        <f t="shared" si="39"/>
        <v>7.4375</v>
      </c>
      <c r="BC37" s="62">
        <f t="shared" si="40"/>
        <v>-0.14323915036830656</v>
      </c>
      <c r="BD37" s="62">
        <f t="shared" si="41"/>
        <v>0.79577305760170314</v>
      </c>
      <c r="BE37" s="22"/>
      <c r="BF37" s="60">
        <f t="shared" si="42"/>
        <v>2.1220565748178619</v>
      </c>
      <c r="BG37" s="61">
        <f t="shared" si="43"/>
        <v>3.9656766349288093</v>
      </c>
      <c r="BH37" s="134">
        <f t="shared" si="44"/>
        <v>252.16377734690201</v>
      </c>
      <c r="BK37" s="87"/>
    </row>
    <row r="38" spans="1:63" ht="15" customHeight="1" x14ac:dyDescent="0.25">
      <c r="A38" s="4">
        <v>1</v>
      </c>
      <c r="B38" s="71">
        <f t="shared" si="45"/>
        <v>6.25E-2</v>
      </c>
      <c r="C38" s="145"/>
      <c r="D38" s="63">
        <f t="shared" si="22"/>
        <v>-3.9600000000000003E-2</v>
      </c>
      <c r="E38" s="5">
        <f t="shared" si="46"/>
        <v>0.11</v>
      </c>
      <c r="F38" s="144">
        <f>AVERAGE(E38:E50)</f>
        <v>0.11000000000000003</v>
      </c>
      <c r="G38" s="63">
        <f t="shared" si="0"/>
        <v>-0.45835645800043151</v>
      </c>
      <c r="H38" s="63">
        <f t="shared" si="1"/>
        <v>-0.91671291600086302</v>
      </c>
      <c r="I38" s="63">
        <f t="shared" si="2"/>
        <v>-1.3387500000000001</v>
      </c>
      <c r="J38" s="63">
        <f t="shared" si="3"/>
        <v>3.71875</v>
      </c>
      <c r="K38" s="63">
        <f t="shared" si="4"/>
        <v>-0.45835645800043151</v>
      </c>
      <c r="L38" s="63">
        <f t="shared" si="5"/>
        <v>1.2732123833345319</v>
      </c>
      <c r="M38" s="144">
        <f>AVERAGE(L38:L50)</f>
        <v>1.2708486614341132</v>
      </c>
      <c r="N38" s="63">
        <f t="shared" si="6"/>
        <v>-0.14323937417889618</v>
      </c>
      <c r="O38" s="63">
        <f t="shared" si="7"/>
        <v>-0.14323937417889618</v>
      </c>
      <c r="P38" s="63">
        <f t="shared" si="8"/>
        <v>-1.3387500000000001</v>
      </c>
      <c r="Q38" s="63">
        <f t="shared" si="9"/>
        <v>3.71875</v>
      </c>
      <c r="R38" s="63">
        <f t="shared" si="10"/>
        <v>-7.1619687089448089E-2</v>
      </c>
      <c r="S38" s="63">
        <f t="shared" si="11"/>
        <v>0.39788715049693385</v>
      </c>
      <c r="T38" s="144">
        <f>AVERAGE(S38:S50)</f>
        <v>0.39786896565071522</v>
      </c>
      <c r="U38" s="63">
        <f t="shared" si="12"/>
        <v>-0.11317726012036515</v>
      </c>
      <c r="V38" s="63">
        <f t="shared" si="13"/>
        <v>179.88682273987965</v>
      </c>
      <c r="W38" s="63">
        <f t="shared" si="23"/>
        <v>-0.11317726012036515</v>
      </c>
      <c r="X38" s="63">
        <f t="shared" si="24"/>
        <v>0</v>
      </c>
      <c r="Y38" s="144">
        <f>AVERAGE(X38:X50)</f>
        <v>0</v>
      </c>
      <c r="Z38" s="63">
        <f t="shared" si="14"/>
        <v>-0.18334880218381097</v>
      </c>
      <c r="AA38" s="63">
        <f t="shared" si="15"/>
        <v>179.81665119781619</v>
      </c>
      <c r="AB38" s="63">
        <f t="shared" si="25"/>
        <v>-0.18334880218381097</v>
      </c>
      <c r="AC38" s="63">
        <f t="shared" si="26"/>
        <v>0</v>
      </c>
      <c r="AD38" s="144">
        <f>AVERAGE(AC38:AC50)</f>
        <v>0</v>
      </c>
      <c r="AE38" s="63">
        <f t="shared" si="16"/>
        <v>-0.16370386978238419</v>
      </c>
      <c r="AF38" s="63">
        <f t="shared" si="17"/>
        <v>179.83629613021762</v>
      </c>
      <c r="AG38" s="63">
        <f t="shared" si="18"/>
        <v>-0.16370386978238419</v>
      </c>
      <c r="AH38" s="63">
        <f t="shared" si="19"/>
        <v>0</v>
      </c>
      <c r="AI38" s="144">
        <f>AVERAGE(AH38:AH50)</f>
        <v>0</v>
      </c>
      <c r="AJ38" s="68">
        <f t="shared" si="27"/>
        <v>1.8435995338314657</v>
      </c>
      <c r="AK38" s="139">
        <f>SUM(C33,F38,M38,T38,Y38,AD38,AI38)</f>
        <v>1.8412176270848286</v>
      </c>
      <c r="AL38" s="121"/>
      <c r="AM38" s="5">
        <f t="shared" si="20"/>
        <v>-0.18334880218381097</v>
      </c>
      <c r="AN38" s="5">
        <f t="shared" si="21"/>
        <v>179.81665119781619</v>
      </c>
      <c r="AO38" s="63">
        <f t="shared" si="28"/>
        <v>-0.18334880218381097</v>
      </c>
      <c r="AP38" s="63">
        <f t="shared" si="29"/>
        <v>0</v>
      </c>
      <c r="AQ38" s="143">
        <f>AVERAGE(AP38:AP50)</f>
        <v>0</v>
      </c>
      <c r="AR38" s="63">
        <f t="shared" si="30"/>
        <v>-0.47745377730957739</v>
      </c>
      <c r="AS38" s="63">
        <f t="shared" si="31"/>
        <v>-0.95490755461915477</v>
      </c>
      <c r="AT38" s="63">
        <f t="shared" si="32"/>
        <v>-2.6775000000000002</v>
      </c>
      <c r="AU38" s="63">
        <f t="shared" si="33"/>
        <v>7.4375</v>
      </c>
      <c r="AV38" s="63">
        <f t="shared" si="34"/>
        <v>-0.47745377730957739</v>
      </c>
      <c r="AW38" s="63">
        <f t="shared" si="35"/>
        <v>1.3262604925266037</v>
      </c>
      <c r="AX38" s="143">
        <f>AVERAGE(AW38:AW50)</f>
        <v>1.3235907460706324</v>
      </c>
      <c r="AY38" s="63">
        <f t="shared" si="36"/>
        <v>-0.28647651027707449</v>
      </c>
      <c r="AZ38" s="63">
        <f t="shared" si="37"/>
        <v>-0.57295302055414898</v>
      </c>
      <c r="BA38" s="63">
        <f t="shared" si="38"/>
        <v>-2.6775000000000002</v>
      </c>
      <c r="BB38" s="63">
        <f t="shared" si="39"/>
        <v>7.4375</v>
      </c>
      <c r="BC38" s="63">
        <f t="shared" si="40"/>
        <v>-0.28647651027707449</v>
      </c>
      <c r="BD38" s="63">
        <f t="shared" si="41"/>
        <v>0.79576808410298472</v>
      </c>
      <c r="BE38" s="143">
        <f>AVERAGE(BD38:BD50)</f>
        <v>0.79518799945151575</v>
      </c>
      <c r="BF38" s="60">
        <f t="shared" si="42"/>
        <v>2.1220285766295883</v>
      </c>
      <c r="BG38" s="61">
        <f t="shared" si="43"/>
        <v>3.9656281104610542</v>
      </c>
      <c r="BH38" s="134">
        <f t="shared" si="44"/>
        <v>252.16686288915213</v>
      </c>
      <c r="BI38" s="138"/>
      <c r="BK38" s="87"/>
    </row>
    <row r="39" spans="1:63" x14ac:dyDescent="0.25">
      <c r="A39" s="4">
        <v>2</v>
      </c>
      <c r="B39" s="71">
        <f t="shared" si="45"/>
        <v>6.25E-2</v>
      </c>
      <c r="C39" s="145"/>
      <c r="D39" s="63">
        <f t="shared" si="22"/>
        <v>-7.9200000000000007E-2</v>
      </c>
      <c r="E39" s="5">
        <f t="shared" si="46"/>
        <v>0.11</v>
      </c>
      <c r="F39" s="144"/>
      <c r="G39" s="63">
        <f t="shared" si="0"/>
        <v>-0.91665425638528786</v>
      </c>
      <c r="H39" s="63">
        <f t="shared" si="1"/>
        <v>-1.8333085127705757</v>
      </c>
      <c r="I39" s="63">
        <f t="shared" si="2"/>
        <v>-2.6775000000000002</v>
      </c>
      <c r="J39" s="63">
        <f t="shared" si="3"/>
        <v>3.71875</v>
      </c>
      <c r="K39" s="63">
        <f t="shared" si="4"/>
        <v>-0.91665425638528786</v>
      </c>
      <c r="L39" s="63">
        <f t="shared" si="5"/>
        <v>1.273130911646233</v>
      </c>
      <c r="M39" s="144"/>
      <c r="N39" s="63">
        <f t="shared" si="6"/>
        <v>-0.28647830073661312</v>
      </c>
      <c r="O39" s="63">
        <f t="shared" si="7"/>
        <v>-0.28647830073661312</v>
      </c>
      <c r="P39" s="63">
        <f t="shared" si="8"/>
        <v>-2.6775000000000002</v>
      </c>
      <c r="Q39" s="63">
        <f t="shared" si="9"/>
        <v>3.71875</v>
      </c>
      <c r="R39" s="63">
        <f t="shared" si="10"/>
        <v>-0.14323915036830656</v>
      </c>
      <c r="S39" s="63">
        <f t="shared" si="11"/>
        <v>0.39788652880085157</v>
      </c>
      <c r="T39" s="144"/>
      <c r="U39" s="63">
        <f t="shared" si="12"/>
        <v>-0.22635699045968005</v>
      </c>
      <c r="V39" s="63">
        <f t="shared" si="13"/>
        <v>179.77364300954031</v>
      </c>
      <c r="W39" s="63">
        <f t="shared" si="23"/>
        <v>-0.22635699045968005</v>
      </c>
      <c r="X39" s="63">
        <f t="shared" si="24"/>
        <v>0</v>
      </c>
      <c r="Y39" s="144"/>
      <c r="Z39" s="63">
        <f t="shared" si="14"/>
        <v>-0.36671145131717237</v>
      </c>
      <c r="AA39" s="63">
        <f t="shared" si="15"/>
        <v>179.63328854868283</v>
      </c>
      <c r="AB39" s="63">
        <f t="shared" si="25"/>
        <v>-0.36671145131717237</v>
      </c>
      <c r="AC39" s="63">
        <f t="shared" si="26"/>
        <v>0</v>
      </c>
      <c r="AD39" s="144"/>
      <c r="AE39" s="63">
        <f t="shared" si="16"/>
        <v>-0.32741759546009647</v>
      </c>
      <c r="AF39" s="63">
        <f t="shared" si="17"/>
        <v>179.6725824045399</v>
      </c>
      <c r="AG39" s="63">
        <f t="shared" si="18"/>
        <v>-0.32741759546009647</v>
      </c>
      <c r="AH39" s="63">
        <f t="shared" si="19"/>
        <v>0</v>
      </c>
      <c r="AI39" s="144"/>
      <c r="AJ39" s="68">
        <f t="shared" si="27"/>
        <v>1.8435174404470847</v>
      </c>
      <c r="AK39" s="139"/>
      <c r="AL39" s="121"/>
      <c r="AM39" s="5">
        <f t="shared" si="20"/>
        <v>-0.36671145131717237</v>
      </c>
      <c r="AN39" s="5">
        <f t="shared" si="21"/>
        <v>179.63328854868283</v>
      </c>
      <c r="AO39" s="63">
        <f t="shared" si="28"/>
        <v>-0.36671145131717237</v>
      </c>
      <c r="AP39" s="63">
        <f t="shared" si="29"/>
        <v>0</v>
      </c>
      <c r="AQ39" s="143"/>
      <c r="AR39" s="63">
        <f t="shared" si="30"/>
        <v>-0.95484125387218866</v>
      </c>
      <c r="AS39" s="63">
        <f t="shared" si="31"/>
        <v>-1.9096825077443773</v>
      </c>
      <c r="AT39" s="63">
        <f t="shared" si="32"/>
        <v>-5.3550000000000004</v>
      </c>
      <c r="AU39" s="63">
        <f t="shared" si="33"/>
        <v>7.4375</v>
      </c>
      <c r="AV39" s="63">
        <f t="shared" si="34"/>
        <v>-0.95484125387218866</v>
      </c>
      <c r="AW39" s="63">
        <f t="shared" si="35"/>
        <v>1.3261684081558174</v>
      </c>
      <c r="AX39" s="143"/>
      <c r="AY39" s="63">
        <f t="shared" si="36"/>
        <v>-0.57293869768348593</v>
      </c>
      <c r="AZ39" s="63">
        <f t="shared" si="37"/>
        <v>-1.1458773953669719</v>
      </c>
      <c r="BA39" s="63">
        <f t="shared" si="38"/>
        <v>-5.3550000000000004</v>
      </c>
      <c r="BB39" s="63">
        <f t="shared" si="39"/>
        <v>7.4375</v>
      </c>
      <c r="BC39" s="63">
        <f t="shared" si="40"/>
        <v>-0.57293869768348593</v>
      </c>
      <c r="BD39" s="63">
        <f t="shared" si="41"/>
        <v>0.79574819122706375</v>
      </c>
      <c r="BE39" s="143"/>
      <c r="BF39" s="60">
        <f t="shared" si="42"/>
        <v>2.1219165993828812</v>
      </c>
      <c r="BG39" s="61">
        <f t="shared" si="43"/>
        <v>3.9654340398299661</v>
      </c>
      <c r="BH39" s="134">
        <f t="shared" si="44"/>
        <v>252.17920408099363</v>
      </c>
      <c r="BI39" s="138"/>
      <c r="BK39" s="87"/>
    </row>
    <row r="40" spans="1:63" x14ac:dyDescent="0.25">
      <c r="A40" s="4">
        <v>3</v>
      </c>
      <c r="B40" s="71">
        <f t="shared" si="45"/>
        <v>6.25E-2</v>
      </c>
      <c r="C40" s="145"/>
      <c r="D40" s="63">
        <f t="shared" si="22"/>
        <v>-0.11880000000000002</v>
      </c>
      <c r="E40" s="5">
        <f t="shared" si="46"/>
        <v>0.11</v>
      </c>
      <c r="F40" s="144"/>
      <c r="G40" s="63">
        <f t="shared" si="0"/>
        <v>-1.3748347805694054</v>
      </c>
      <c r="H40" s="63">
        <f t="shared" si="1"/>
        <v>-2.7496695611388109</v>
      </c>
      <c r="I40" s="63">
        <f t="shared" si="2"/>
        <v>-4.0162500000000003</v>
      </c>
      <c r="J40" s="63">
        <f t="shared" si="3"/>
        <v>3.71875</v>
      </c>
      <c r="K40" s="63">
        <f t="shared" si="4"/>
        <v>-1.3748347805694054</v>
      </c>
      <c r="L40" s="63">
        <f t="shared" si="5"/>
        <v>1.2729951671938939</v>
      </c>
      <c r="M40" s="144"/>
      <c r="N40" s="63">
        <f t="shared" si="6"/>
        <v>-0.42971633206036441</v>
      </c>
      <c r="O40" s="63">
        <f t="shared" si="7"/>
        <v>-0.42971633206036441</v>
      </c>
      <c r="P40" s="63">
        <f t="shared" si="8"/>
        <v>-4.0162500000000003</v>
      </c>
      <c r="Q40" s="63">
        <f t="shared" si="9"/>
        <v>3.71875</v>
      </c>
      <c r="R40" s="63">
        <f t="shared" si="10"/>
        <v>-0.21485816603018221</v>
      </c>
      <c r="S40" s="63">
        <f t="shared" si="11"/>
        <v>0.39788549264848561</v>
      </c>
      <c r="T40" s="144"/>
      <c r="U40" s="63">
        <f t="shared" si="12"/>
        <v>-0.33954166134778124</v>
      </c>
      <c r="V40" s="63">
        <f t="shared" si="13"/>
        <v>179.66045833865221</v>
      </c>
      <c r="W40" s="63">
        <f t="shared" si="23"/>
        <v>-0.33954166134778124</v>
      </c>
      <c r="X40" s="63">
        <f t="shared" si="24"/>
        <v>0</v>
      </c>
      <c r="Y40" s="144"/>
      <c r="Z40" s="63">
        <f t="shared" si="14"/>
        <v>-0.55010179683878757</v>
      </c>
      <c r="AA40" s="63">
        <f t="shared" si="15"/>
        <v>179.44989820316121</v>
      </c>
      <c r="AB40" s="63">
        <f t="shared" si="25"/>
        <v>-0.55010179683878757</v>
      </c>
      <c r="AC40" s="63">
        <f t="shared" si="26"/>
        <v>0</v>
      </c>
      <c r="AD40" s="144"/>
      <c r="AE40" s="63">
        <f t="shared" si="16"/>
        <v>-0.49115103434093654</v>
      </c>
      <c r="AF40" s="63">
        <f t="shared" si="17"/>
        <v>179.50884896565907</v>
      </c>
      <c r="AG40" s="63">
        <f t="shared" si="18"/>
        <v>-0.49115103434093654</v>
      </c>
      <c r="AH40" s="63">
        <f t="shared" si="19"/>
        <v>0</v>
      </c>
      <c r="AI40" s="144"/>
      <c r="AJ40" s="68">
        <f t="shared" si="27"/>
        <v>1.8433806598423796</v>
      </c>
      <c r="AK40" s="139"/>
      <c r="AL40" s="121"/>
      <c r="AM40" s="5">
        <f t="shared" si="20"/>
        <v>-0.55010179683878757</v>
      </c>
      <c r="AN40" s="5">
        <f t="shared" si="21"/>
        <v>179.44989820316121</v>
      </c>
      <c r="AO40" s="63">
        <f t="shared" si="28"/>
        <v>-0.55010179683878757</v>
      </c>
      <c r="AP40" s="63">
        <f t="shared" si="29"/>
        <v>0</v>
      </c>
      <c r="AQ40" s="143"/>
      <c r="AR40" s="63">
        <f t="shared" si="30"/>
        <v>-1.4320961841646465</v>
      </c>
      <c r="AS40" s="63">
        <f t="shared" si="31"/>
        <v>-2.8641923683292929</v>
      </c>
      <c r="AT40" s="63">
        <f t="shared" si="32"/>
        <v>-8.0325000000000006</v>
      </c>
      <c r="AU40" s="63">
        <f t="shared" si="33"/>
        <v>7.4375</v>
      </c>
      <c r="AV40" s="63">
        <f t="shared" si="34"/>
        <v>-1.4320961841646465</v>
      </c>
      <c r="AW40" s="63">
        <f t="shared" si="35"/>
        <v>1.3260149853376357</v>
      </c>
      <c r="AX40" s="143"/>
      <c r="AY40" s="63">
        <f t="shared" si="36"/>
        <v>-0.8593722436446809</v>
      </c>
      <c r="AZ40" s="63">
        <f t="shared" si="37"/>
        <v>-1.7187444872893618</v>
      </c>
      <c r="BA40" s="63">
        <f t="shared" si="38"/>
        <v>-8.0325000000000006</v>
      </c>
      <c r="BB40" s="63">
        <f t="shared" si="39"/>
        <v>7.4375</v>
      </c>
      <c r="BC40" s="63">
        <f t="shared" si="40"/>
        <v>-0.8593722436446809</v>
      </c>
      <c r="BD40" s="63">
        <f t="shared" si="41"/>
        <v>0.79571504041174157</v>
      </c>
      <c r="BE40" s="143"/>
      <c r="BF40" s="60">
        <f t="shared" si="42"/>
        <v>2.1217300257493772</v>
      </c>
      <c r="BG40" s="61">
        <f t="shared" si="43"/>
        <v>3.9651106855917568</v>
      </c>
      <c r="BH40" s="134">
        <f t="shared" si="44"/>
        <v>252.1997692608571</v>
      </c>
      <c r="BI40" s="138"/>
      <c r="BK40" s="87"/>
    </row>
    <row r="41" spans="1:63" x14ac:dyDescent="0.25">
      <c r="A41" s="4">
        <v>4</v>
      </c>
      <c r="B41" s="71">
        <f t="shared" si="45"/>
        <v>6.25E-2</v>
      </c>
      <c r="C41" s="145"/>
      <c r="D41" s="63">
        <f t="shared" si="22"/>
        <v>-0.15840000000000001</v>
      </c>
      <c r="E41" s="5">
        <f t="shared" si="46"/>
        <v>0.11</v>
      </c>
      <c r="F41" s="144"/>
      <c r="G41" s="63">
        <f t="shared" si="0"/>
        <v>-1.8328395059420592</v>
      </c>
      <c r="H41" s="63">
        <f t="shared" si="1"/>
        <v>-3.6656790118841185</v>
      </c>
      <c r="I41" s="63">
        <f t="shared" si="2"/>
        <v>-5.3550000000000004</v>
      </c>
      <c r="J41" s="63">
        <f t="shared" si="3"/>
        <v>3.71875</v>
      </c>
      <c r="K41" s="63">
        <f t="shared" si="4"/>
        <v>-1.8328395059420592</v>
      </c>
      <c r="L41" s="63">
        <f t="shared" si="5"/>
        <v>1.2728052124597635</v>
      </c>
      <c r="M41" s="144"/>
      <c r="N41" s="63">
        <f t="shared" si="6"/>
        <v>-0.57295302055414898</v>
      </c>
      <c r="O41" s="63">
        <f t="shared" si="7"/>
        <v>-0.57295302055414898</v>
      </c>
      <c r="P41" s="63">
        <f t="shared" si="8"/>
        <v>-5.3550000000000004</v>
      </c>
      <c r="Q41" s="63">
        <f t="shared" si="9"/>
        <v>3.71875</v>
      </c>
      <c r="R41" s="63">
        <f t="shared" si="10"/>
        <v>-0.28647651027707449</v>
      </c>
      <c r="S41" s="63">
        <f t="shared" si="11"/>
        <v>0.39788404205149236</v>
      </c>
      <c r="T41" s="144"/>
      <c r="U41" s="63">
        <f t="shared" si="12"/>
        <v>-0.45273374333615191</v>
      </c>
      <c r="V41" s="63">
        <f t="shared" si="13"/>
        <v>179.54726625666385</v>
      </c>
      <c r="W41" s="63">
        <f t="shared" si="23"/>
        <v>-0.45273374333615191</v>
      </c>
      <c r="X41" s="63">
        <f t="shared" si="24"/>
        <v>0</v>
      </c>
      <c r="Y41" s="144"/>
      <c r="Z41" s="63">
        <f t="shared" si="14"/>
        <v>-0.73353369316611117</v>
      </c>
      <c r="AA41" s="63">
        <f t="shared" si="15"/>
        <v>179.26646630683388</v>
      </c>
      <c r="AB41" s="63">
        <f t="shared" si="25"/>
        <v>-0.73353369316611117</v>
      </c>
      <c r="AC41" s="63">
        <f t="shared" si="26"/>
        <v>0</v>
      </c>
      <c r="AD41" s="144"/>
      <c r="AE41" s="63">
        <f t="shared" si="16"/>
        <v>-0.65491404655763463</v>
      </c>
      <c r="AF41" s="63">
        <f t="shared" si="17"/>
        <v>179.34508595344238</v>
      </c>
      <c r="AG41" s="63">
        <f t="shared" si="18"/>
        <v>-0.65491404655763463</v>
      </c>
      <c r="AH41" s="63">
        <f t="shared" si="19"/>
        <v>0</v>
      </c>
      <c r="AI41" s="144"/>
      <c r="AJ41" s="68">
        <f t="shared" si="27"/>
        <v>1.8431892545112558</v>
      </c>
      <c r="AK41" s="139"/>
      <c r="AL41" s="121"/>
      <c r="AM41" s="5">
        <f t="shared" si="20"/>
        <v>-0.73353369316611117</v>
      </c>
      <c r="AN41" s="5">
        <f t="shared" si="21"/>
        <v>179.26646630683388</v>
      </c>
      <c r="AO41" s="63">
        <f t="shared" si="28"/>
        <v>-0.73353369316611117</v>
      </c>
      <c r="AP41" s="63">
        <f t="shared" si="29"/>
        <v>0</v>
      </c>
      <c r="AQ41" s="143"/>
      <c r="AR41" s="63">
        <f t="shared" si="30"/>
        <v>-1.9091524329963763</v>
      </c>
      <c r="AS41" s="63">
        <f t="shared" si="31"/>
        <v>-3.8183048659927525</v>
      </c>
      <c r="AT41" s="63">
        <f t="shared" si="32"/>
        <v>-10.71</v>
      </c>
      <c r="AU41" s="63">
        <f t="shared" si="33"/>
        <v>7.4375</v>
      </c>
      <c r="AV41" s="63">
        <f t="shared" si="34"/>
        <v>-1.9091524329963763</v>
      </c>
      <c r="AW41" s="63">
        <f t="shared" si="35"/>
        <v>1.3258003006919279</v>
      </c>
      <c r="AX41" s="143"/>
      <c r="AY41" s="63">
        <f t="shared" si="36"/>
        <v>-1.1457628381751035</v>
      </c>
      <c r="AZ41" s="63">
        <f t="shared" si="37"/>
        <v>-2.291525676350207</v>
      </c>
      <c r="BA41" s="63">
        <f t="shared" si="38"/>
        <v>-10.71</v>
      </c>
      <c r="BB41" s="63">
        <f t="shared" si="39"/>
        <v>7.4375</v>
      </c>
      <c r="BC41" s="63">
        <f t="shared" si="40"/>
        <v>-1.1457628381751035</v>
      </c>
      <c r="BD41" s="63">
        <f t="shared" si="41"/>
        <v>0.79566863762159967</v>
      </c>
      <c r="BE41" s="143"/>
      <c r="BF41" s="60">
        <f t="shared" si="42"/>
        <v>2.1214689383135275</v>
      </c>
      <c r="BG41" s="61">
        <f t="shared" si="43"/>
        <v>3.9646581928247833</v>
      </c>
      <c r="BH41" s="134">
        <f t="shared" si="44"/>
        <v>252.228553223023</v>
      </c>
      <c r="BI41" s="138"/>
      <c r="BK41" s="87"/>
    </row>
    <row r="42" spans="1:63" x14ac:dyDescent="0.25">
      <c r="A42" s="4">
        <v>5</v>
      </c>
      <c r="B42" s="71">
        <f t="shared" si="45"/>
        <v>6.25E-2</v>
      </c>
      <c r="C42" s="145"/>
      <c r="D42" s="63">
        <f t="shared" si="22"/>
        <v>-0.19800000000000001</v>
      </c>
      <c r="E42" s="5">
        <f t="shared" si="46"/>
        <v>0.11</v>
      </c>
      <c r="F42" s="144"/>
      <c r="G42" s="63">
        <f t="shared" si="0"/>
        <v>-2.2906100426385296</v>
      </c>
      <c r="H42" s="63">
        <f t="shared" si="1"/>
        <v>-4.5812200852770593</v>
      </c>
      <c r="I42" s="63">
        <f t="shared" si="2"/>
        <v>-6.6937499999999996</v>
      </c>
      <c r="J42" s="63">
        <f t="shared" si="3"/>
        <v>3.71875</v>
      </c>
      <c r="K42" s="63">
        <f t="shared" si="4"/>
        <v>-2.2906100426385296</v>
      </c>
      <c r="L42" s="63">
        <f t="shared" si="5"/>
        <v>1.272561134799183</v>
      </c>
      <c r="M42" s="144"/>
      <c r="N42" s="63">
        <f t="shared" si="6"/>
        <v>-0.71618791864714226</v>
      </c>
      <c r="O42" s="63">
        <f t="shared" si="7"/>
        <v>-0.71618791864714226</v>
      </c>
      <c r="P42" s="63">
        <f t="shared" si="8"/>
        <v>-6.6937499999999996</v>
      </c>
      <c r="Q42" s="63">
        <f t="shared" si="9"/>
        <v>3.71875</v>
      </c>
      <c r="R42" s="63">
        <f t="shared" si="10"/>
        <v>-0.35809395932357113</v>
      </c>
      <c r="S42" s="63">
        <f t="shared" si="11"/>
        <v>0.39788217702619016</v>
      </c>
      <c r="T42" s="144"/>
      <c r="U42" s="63">
        <f t="shared" si="12"/>
        <v>-0.56593570730896103</v>
      </c>
      <c r="V42" s="63">
        <f t="shared" si="13"/>
        <v>179.43406429269103</v>
      </c>
      <c r="W42" s="63">
        <f t="shared" si="23"/>
        <v>-0.56593570730896103</v>
      </c>
      <c r="X42" s="63">
        <f t="shared" si="24"/>
        <v>0</v>
      </c>
      <c r="Y42" s="144"/>
      <c r="Z42" s="63">
        <f t="shared" si="14"/>
        <v>-0.91702100218555815</v>
      </c>
      <c r="AA42" s="63">
        <f t="shared" si="15"/>
        <v>179.08297899781445</v>
      </c>
      <c r="AB42" s="63">
        <f t="shared" si="25"/>
        <v>-0.91702100218555815</v>
      </c>
      <c r="AC42" s="63">
        <f t="shared" si="26"/>
        <v>0</v>
      </c>
      <c r="AD42" s="144"/>
      <c r="AE42" s="63">
        <f t="shared" si="16"/>
        <v>-0.81871649648084455</v>
      </c>
      <c r="AF42" s="63">
        <f t="shared" si="17"/>
        <v>179.18128350351915</v>
      </c>
      <c r="AG42" s="63">
        <f t="shared" si="18"/>
        <v>-0.81871649648084455</v>
      </c>
      <c r="AH42" s="63">
        <f t="shared" si="19"/>
        <v>0</v>
      </c>
      <c r="AI42" s="144"/>
      <c r="AJ42" s="68">
        <f t="shared" si="27"/>
        <v>1.8429433118253731</v>
      </c>
      <c r="AK42" s="139"/>
      <c r="AL42" s="121"/>
      <c r="AM42" s="5">
        <f t="shared" si="20"/>
        <v>-0.91702100218555815</v>
      </c>
      <c r="AN42" s="5">
        <f t="shared" si="21"/>
        <v>179.08297899781445</v>
      </c>
      <c r="AO42" s="63">
        <f t="shared" si="28"/>
        <v>-0.91702100218555815</v>
      </c>
      <c r="AP42" s="63">
        <f t="shared" si="29"/>
        <v>0</v>
      </c>
      <c r="AQ42" s="143"/>
      <c r="AR42" s="63">
        <f t="shared" si="30"/>
        <v>-2.3859440303888126</v>
      </c>
      <c r="AS42" s="63">
        <f t="shared" si="31"/>
        <v>-4.7718880607776253</v>
      </c>
      <c r="AT42" s="63">
        <f t="shared" si="32"/>
        <v>-13.387499999999999</v>
      </c>
      <c r="AU42" s="63">
        <f t="shared" si="33"/>
        <v>7.4375</v>
      </c>
      <c r="AV42" s="63">
        <f t="shared" si="34"/>
        <v>-2.3859440303888126</v>
      </c>
      <c r="AW42" s="63">
        <f t="shared" si="35"/>
        <v>1.3255244613271182</v>
      </c>
      <c r="AX42" s="143"/>
      <c r="AY42" s="63">
        <f t="shared" si="36"/>
        <v>-1.4320961841646465</v>
      </c>
      <c r="AZ42" s="63">
        <f t="shared" si="37"/>
        <v>-2.8641923683292929</v>
      </c>
      <c r="BA42" s="63">
        <f t="shared" si="38"/>
        <v>-13.387499999999999</v>
      </c>
      <c r="BB42" s="63">
        <f t="shared" si="39"/>
        <v>7.4375</v>
      </c>
      <c r="BC42" s="63">
        <f t="shared" si="40"/>
        <v>-1.4320961841646465</v>
      </c>
      <c r="BD42" s="63">
        <f t="shared" si="41"/>
        <v>0.79560899120258133</v>
      </c>
      <c r="BE42" s="143"/>
      <c r="BF42" s="60">
        <f t="shared" si="42"/>
        <v>2.1211334525296994</v>
      </c>
      <c r="BG42" s="61">
        <f t="shared" si="43"/>
        <v>3.9640767643550725</v>
      </c>
      <c r="BH42" s="134">
        <f t="shared" si="44"/>
        <v>252.26554868765083</v>
      </c>
      <c r="BI42" s="138"/>
      <c r="BK42" s="87"/>
    </row>
    <row r="43" spans="1:63" x14ac:dyDescent="0.25">
      <c r="A43" s="4">
        <v>6</v>
      </c>
      <c r="B43" s="71">
        <f t="shared" si="45"/>
        <v>6.25E-2</v>
      </c>
      <c r="C43" s="145"/>
      <c r="D43" s="63">
        <f t="shared" si="22"/>
        <v>-0.23760000000000003</v>
      </c>
      <c r="E43" s="5">
        <f t="shared" si="46"/>
        <v>0.11</v>
      </c>
      <c r="F43" s="144"/>
      <c r="G43" s="63">
        <f t="shared" si="0"/>
        <v>-2.7480881800537502</v>
      </c>
      <c r="H43" s="63">
        <f t="shared" si="1"/>
        <v>-5.4961763601075004</v>
      </c>
      <c r="I43" s="63">
        <f t="shared" si="2"/>
        <v>-8.0325000000000006</v>
      </c>
      <c r="J43" s="63">
        <f t="shared" si="3"/>
        <v>3.71875</v>
      </c>
      <c r="K43" s="63">
        <f t="shared" si="4"/>
        <v>-2.7480881800537502</v>
      </c>
      <c r="L43" s="63">
        <f t="shared" si="5"/>
        <v>1.2722630463211806</v>
      </c>
      <c r="M43" s="144"/>
      <c r="N43" s="63">
        <f t="shared" si="6"/>
        <v>-0.85942057880208722</v>
      </c>
      <c r="O43" s="63">
        <f t="shared" si="7"/>
        <v>-0.85942057880208722</v>
      </c>
      <c r="P43" s="63">
        <f t="shared" si="8"/>
        <v>-8.0325000000000006</v>
      </c>
      <c r="Q43" s="63">
        <f t="shared" si="9"/>
        <v>3.71875</v>
      </c>
      <c r="R43" s="63">
        <f t="shared" si="10"/>
        <v>-0.42971028940104361</v>
      </c>
      <c r="S43" s="63">
        <f t="shared" si="11"/>
        <v>0.39787989759355891</v>
      </c>
      <c r="T43" s="144"/>
      <c r="U43" s="63">
        <f t="shared" si="12"/>
        <v>-0.67915002459377261</v>
      </c>
      <c r="V43" s="63">
        <f t="shared" si="13"/>
        <v>179.32084997540622</v>
      </c>
      <c r="W43" s="63">
        <f t="shared" si="23"/>
        <v>-0.67915002459377261</v>
      </c>
      <c r="X43" s="63">
        <f t="shared" si="24"/>
        <v>0</v>
      </c>
      <c r="Y43" s="144"/>
      <c r="Z43" s="63">
        <f t="shared" si="14"/>
        <v>-1.1005775957437809</v>
      </c>
      <c r="AA43" s="63">
        <f t="shared" si="15"/>
        <v>178.89942240425623</v>
      </c>
      <c r="AB43" s="63">
        <f t="shared" si="25"/>
        <v>-1.1005775957437809</v>
      </c>
      <c r="AC43" s="63">
        <f t="shared" si="26"/>
        <v>0</v>
      </c>
      <c r="AD43" s="144"/>
      <c r="AE43" s="63">
        <f t="shared" si="16"/>
        <v>-0.98256825413245541</v>
      </c>
      <c r="AF43" s="63">
        <f t="shared" si="17"/>
        <v>179.01743174586755</v>
      </c>
      <c r="AG43" s="63">
        <f t="shared" si="18"/>
        <v>-0.98256825413245541</v>
      </c>
      <c r="AH43" s="63">
        <f t="shared" si="19"/>
        <v>0</v>
      </c>
      <c r="AI43" s="144"/>
      <c r="AJ43" s="68">
        <f t="shared" si="27"/>
        <v>1.8426429439147394</v>
      </c>
      <c r="AK43" s="139"/>
      <c r="AL43" s="121"/>
      <c r="AM43" s="5">
        <f t="shared" si="20"/>
        <v>-1.1005775957437809</v>
      </c>
      <c r="AN43" s="5">
        <f t="shared" si="21"/>
        <v>178.89942240425623</v>
      </c>
      <c r="AO43" s="63">
        <f t="shared" si="28"/>
        <v>-1.1005775957437809</v>
      </c>
      <c r="AP43" s="63">
        <f t="shared" si="29"/>
        <v>0</v>
      </c>
      <c r="AQ43" s="143"/>
      <c r="AR43" s="63">
        <f t="shared" si="30"/>
        <v>-2.8624052261117474</v>
      </c>
      <c r="AS43" s="63">
        <f t="shared" si="31"/>
        <v>-5.7248104522234948</v>
      </c>
      <c r="AT43" s="63">
        <f t="shared" si="32"/>
        <v>-16.065000000000001</v>
      </c>
      <c r="AU43" s="63">
        <f t="shared" si="33"/>
        <v>7.4375</v>
      </c>
      <c r="AV43" s="63">
        <f t="shared" si="34"/>
        <v>-2.8624052261117474</v>
      </c>
      <c r="AW43" s="63">
        <f t="shared" si="35"/>
        <v>1.3251876046813644</v>
      </c>
      <c r="AX43" s="143"/>
      <c r="AY43" s="63">
        <f t="shared" si="36"/>
        <v>-1.7183580016554572</v>
      </c>
      <c r="AZ43" s="63">
        <f t="shared" si="37"/>
        <v>-3.4367160033109143</v>
      </c>
      <c r="BA43" s="63">
        <f t="shared" si="38"/>
        <v>-16.065000000000001</v>
      </c>
      <c r="BB43" s="63">
        <f t="shared" si="39"/>
        <v>7.4375</v>
      </c>
      <c r="BC43" s="63">
        <f t="shared" si="40"/>
        <v>-1.7183580016554572</v>
      </c>
      <c r="BD43" s="63">
        <f t="shared" si="41"/>
        <v>0.79553611187752649</v>
      </c>
      <c r="BE43" s="143"/>
      <c r="BF43" s="60">
        <f t="shared" si="42"/>
        <v>2.1207237165588908</v>
      </c>
      <c r="BG43" s="61">
        <f t="shared" si="43"/>
        <v>3.9633666604736302</v>
      </c>
      <c r="BH43" s="134">
        <f t="shared" si="44"/>
        <v>252.31074630892164</v>
      </c>
      <c r="BI43" s="138"/>
    </row>
    <row r="44" spans="1:63" x14ac:dyDescent="0.25">
      <c r="A44" s="4">
        <v>7</v>
      </c>
      <c r="B44" s="71">
        <f t="shared" si="45"/>
        <v>6.25E-2</v>
      </c>
      <c r="C44" s="145"/>
      <c r="D44" s="63">
        <f t="shared" si="22"/>
        <v>-0.2772</v>
      </c>
      <c r="E44" s="5">
        <f t="shared" si="46"/>
        <v>0.11</v>
      </c>
      <c r="F44" s="144"/>
      <c r="G44" s="63">
        <f t="shared" si="0"/>
        <v>-3.2052159310134973</v>
      </c>
      <c r="H44" s="63">
        <f t="shared" si="1"/>
        <v>-6.4104318620269947</v>
      </c>
      <c r="I44" s="63">
        <f t="shared" si="2"/>
        <v>-9.3712499999999999</v>
      </c>
      <c r="J44" s="63">
        <f t="shared" si="3"/>
        <v>3.71875</v>
      </c>
      <c r="K44" s="63">
        <f t="shared" si="4"/>
        <v>-3.2052159310134973</v>
      </c>
      <c r="L44" s="63">
        <f t="shared" si="5"/>
        <v>1.2719110837355148</v>
      </c>
      <c r="M44" s="144"/>
      <c r="N44" s="63">
        <f t="shared" si="6"/>
        <v>-1.0026505535236832</v>
      </c>
      <c r="O44" s="63">
        <f t="shared" si="7"/>
        <v>-1.0026505535236832</v>
      </c>
      <c r="P44" s="63">
        <f t="shared" si="8"/>
        <v>-9.3712499999999999</v>
      </c>
      <c r="Q44" s="63">
        <f t="shared" si="9"/>
        <v>3.71875</v>
      </c>
      <c r="R44" s="63">
        <f t="shared" si="10"/>
        <v>-0.50132527676184158</v>
      </c>
      <c r="S44" s="63">
        <f t="shared" si="11"/>
        <v>0.39787720377923935</v>
      </c>
      <c r="T44" s="144"/>
      <c r="U44" s="63">
        <f t="shared" si="12"/>
        <v>-0.79237916707239398</v>
      </c>
      <c r="V44" s="63">
        <f t="shared" si="13"/>
        <v>179.2076208329276</v>
      </c>
      <c r="W44" s="63">
        <f t="shared" si="23"/>
        <v>-0.79237916707239398</v>
      </c>
      <c r="X44" s="63">
        <f t="shared" si="24"/>
        <v>0</v>
      </c>
      <c r="Y44" s="144"/>
      <c r="Z44" s="63">
        <f t="shared" si="14"/>
        <v>-1.284217358140296</v>
      </c>
      <c r="AA44" s="63">
        <f t="shared" si="15"/>
        <v>178.7157826418597</v>
      </c>
      <c r="AB44" s="63">
        <f t="shared" si="25"/>
        <v>-1.284217358140296</v>
      </c>
      <c r="AC44" s="63">
        <f t="shared" si="26"/>
        <v>0</v>
      </c>
      <c r="AD44" s="144"/>
      <c r="AE44" s="63">
        <f t="shared" si="16"/>
        <v>-1.1464791965996275</v>
      </c>
      <c r="AF44" s="63">
        <f t="shared" si="17"/>
        <v>178.85352080340039</v>
      </c>
      <c r="AG44" s="63">
        <f t="shared" si="18"/>
        <v>-1.1464791965996275</v>
      </c>
      <c r="AH44" s="63">
        <f t="shared" si="19"/>
        <v>0</v>
      </c>
      <c r="AI44" s="144"/>
      <c r="AJ44" s="68">
        <f t="shared" si="27"/>
        <v>1.8422882875147542</v>
      </c>
      <c r="AK44" s="139"/>
      <c r="AL44" s="121"/>
      <c r="AM44" s="5">
        <f t="shared" si="20"/>
        <v>-1.284217358140296</v>
      </c>
      <c r="AN44" s="5">
        <f t="shared" si="21"/>
        <v>178.7157826418597</v>
      </c>
      <c r="AO44" s="63">
        <f t="shared" si="28"/>
        <v>-1.284217358140296</v>
      </c>
      <c r="AP44" s="63">
        <f t="shared" si="29"/>
        <v>0</v>
      </c>
      <c r="AQ44" s="143"/>
      <c r="AR44" s="63">
        <f t="shared" si="30"/>
        <v>-3.3384705437643523</v>
      </c>
      <c r="AS44" s="63">
        <f t="shared" si="31"/>
        <v>-6.6769410875287045</v>
      </c>
      <c r="AT44" s="63">
        <f t="shared" si="32"/>
        <v>-18.7425</v>
      </c>
      <c r="AU44" s="63">
        <f t="shared" si="33"/>
        <v>7.4375</v>
      </c>
      <c r="AV44" s="63">
        <f t="shared" si="34"/>
        <v>-3.3384705437643523</v>
      </c>
      <c r="AW44" s="63">
        <f t="shared" si="35"/>
        <v>1.3247898983191873</v>
      </c>
      <c r="AX44" s="143"/>
      <c r="AY44" s="63">
        <f t="shared" si="36"/>
        <v>-2.0045340321059042</v>
      </c>
      <c r="AZ44" s="63">
        <f t="shared" si="37"/>
        <v>-4.0090680642118084</v>
      </c>
      <c r="BA44" s="63">
        <f t="shared" si="38"/>
        <v>-18.7425</v>
      </c>
      <c r="BB44" s="63">
        <f t="shared" si="39"/>
        <v>7.4375</v>
      </c>
      <c r="BC44" s="63">
        <f t="shared" si="40"/>
        <v>-2.0045340321059042</v>
      </c>
      <c r="BD44" s="63">
        <f t="shared" si="41"/>
        <v>0.79545001274043825</v>
      </c>
      <c r="BE44" s="143"/>
      <c r="BF44" s="60">
        <f t="shared" si="42"/>
        <v>2.1202399110596257</v>
      </c>
      <c r="BG44" s="61">
        <f t="shared" si="43"/>
        <v>3.9625281985743799</v>
      </c>
      <c r="BH44" s="134">
        <f t="shared" si="44"/>
        <v>252.36413468547059</v>
      </c>
      <c r="BI44" s="138"/>
    </row>
    <row r="45" spans="1:63" x14ac:dyDescent="0.25">
      <c r="A45" s="4">
        <v>8</v>
      </c>
      <c r="B45" s="71">
        <f t="shared" si="45"/>
        <v>6.25E-2</v>
      </c>
      <c r="C45" s="145"/>
      <c r="D45" s="63">
        <f t="shared" si="22"/>
        <v>-0.31680000000000003</v>
      </c>
      <c r="E45" s="5">
        <f t="shared" si="46"/>
        <v>0.11</v>
      </c>
      <c r="F45" s="144"/>
      <c r="G45" s="63">
        <f t="shared" si="0"/>
        <v>-3.6619355755198031</v>
      </c>
      <c r="H45" s="63">
        <f t="shared" si="1"/>
        <v>-7.3238711510396062</v>
      </c>
      <c r="I45" s="63">
        <f t="shared" si="2"/>
        <v>-10.71</v>
      </c>
      <c r="J45" s="63">
        <f t="shared" si="3"/>
        <v>3.71875</v>
      </c>
      <c r="K45" s="63">
        <f t="shared" si="4"/>
        <v>-3.6619355755198031</v>
      </c>
      <c r="L45" s="63">
        <f t="shared" si="5"/>
        <v>1.2715054081665982</v>
      </c>
      <c r="M45" s="144"/>
      <c r="N45" s="63">
        <f t="shared" si="6"/>
        <v>-1.1458773953669719</v>
      </c>
      <c r="O45" s="63">
        <f t="shared" si="7"/>
        <v>-1.1458773953669719</v>
      </c>
      <c r="P45" s="63">
        <f t="shared" si="8"/>
        <v>-10.71</v>
      </c>
      <c r="Q45" s="63">
        <f t="shared" si="9"/>
        <v>3.71875</v>
      </c>
      <c r="R45" s="63">
        <f t="shared" si="10"/>
        <v>-0.57293869768348593</v>
      </c>
      <c r="S45" s="63">
        <f t="shared" si="11"/>
        <v>0.39787409561353188</v>
      </c>
      <c r="T45" s="144"/>
      <c r="U45" s="63">
        <f t="shared" si="12"/>
        <v>-0.90562560729180086</v>
      </c>
      <c r="V45" s="63">
        <f t="shared" si="13"/>
        <v>179.0943743927082</v>
      </c>
      <c r="W45" s="63">
        <f t="shared" si="23"/>
        <v>-0.90562560729180086</v>
      </c>
      <c r="X45" s="63">
        <f t="shared" si="24"/>
        <v>0</v>
      </c>
      <c r="Y45" s="144"/>
      <c r="Z45" s="63">
        <f t="shared" si="14"/>
        <v>-1.4679541886219676</v>
      </c>
      <c r="AA45" s="63">
        <f t="shared" si="15"/>
        <v>178.53204581137803</v>
      </c>
      <c r="AB45" s="63">
        <f t="shared" si="25"/>
        <v>-1.4679541886219676</v>
      </c>
      <c r="AC45" s="63">
        <f t="shared" si="26"/>
        <v>0</v>
      </c>
      <c r="AD45" s="144"/>
      <c r="AE45" s="63">
        <f t="shared" si="16"/>
        <v>-1.3104592094495031</v>
      </c>
      <c r="AF45" s="63">
        <f t="shared" si="17"/>
        <v>178.6895407905505</v>
      </c>
      <c r="AG45" s="63">
        <f t="shared" si="18"/>
        <v>-1.3104592094495031</v>
      </c>
      <c r="AH45" s="63">
        <f t="shared" si="19"/>
        <v>0</v>
      </c>
      <c r="AI45" s="144"/>
      <c r="AJ45" s="68">
        <f t="shared" si="27"/>
        <v>1.8418795037801301</v>
      </c>
      <c r="AK45" s="139"/>
      <c r="AL45" s="121"/>
      <c r="AM45" s="5">
        <f t="shared" si="20"/>
        <v>-1.4679541886219676</v>
      </c>
      <c r="AN45" s="5">
        <f t="shared" si="21"/>
        <v>178.53204581137803</v>
      </c>
      <c r="AO45" s="63">
        <f t="shared" si="28"/>
        <v>-1.4679541886219676</v>
      </c>
      <c r="AP45" s="63">
        <f t="shared" si="29"/>
        <v>0</v>
      </c>
      <c r="AQ45" s="143"/>
      <c r="AR45" s="63">
        <f t="shared" si="30"/>
        <v>-3.8140748342903548</v>
      </c>
      <c r="AS45" s="63">
        <f t="shared" si="31"/>
        <v>-7.6281496685807095</v>
      </c>
      <c r="AT45" s="63">
        <f t="shared" si="32"/>
        <v>-21.42</v>
      </c>
      <c r="AU45" s="63">
        <f t="shared" si="33"/>
        <v>7.4375</v>
      </c>
      <c r="AV45" s="63">
        <f t="shared" si="34"/>
        <v>-3.8140748342903548</v>
      </c>
      <c r="AW45" s="63">
        <f t="shared" si="35"/>
        <v>1.3243315396841508</v>
      </c>
      <c r="AX45" s="143"/>
      <c r="AY45" s="63">
        <f t="shared" si="36"/>
        <v>-2.2906100426385296</v>
      </c>
      <c r="AZ45" s="63">
        <f t="shared" si="37"/>
        <v>-4.5812200852770593</v>
      </c>
      <c r="BA45" s="63">
        <f t="shared" si="38"/>
        <v>-21.42</v>
      </c>
      <c r="BB45" s="63">
        <f t="shared" si="39"/>
        <v>7.4375</v>
      </c>
      <c r="BC45" s="63">
        <f t="shared" si="40"/>
        <v>-2.2906100426385296</v>
      </c>
      <c r="BD45" s="63">
        <f t="shared" si="41"/>
        <v>0.79535070924948947</v>
      </c>
      <c r="BE45" s="143"/>
      <c r="BF45" s="60">
        <f t="shared" si="42"/>
        <v>2.1196822489336404</v>
      </c>
      <c r="BG45" s="61">
        <f t="shared" si="43"/>
        <v>3.9615617527137705</v>
      </c>
      <c r="BH45" s="134">
        <f t="shared" si="44"/>
        <v>252.42570037308508</v>
      </c>
      <c r="BI45" s="138"/>
    </row>
    <row r="46" spans="1:63" x14ac:dyDescent="0.25">
      <c r="A46" s="4">
        <v>9</v>
      </c>
      <c r="B46" s="71">
        <f t="shared" si="45"/>
        <v>6.25E-2</v>
      </c>
      <c r="C46" s="145"/>
      <c r="D46" s="63">
        <f t="shared" si="22"/>
        <v>-0.35640000000000005</v>
      </c>
      <c r="E46" s="5">
        <f t="shared" si="46"/>
        <v>0.11</v>
      </c>
      <c r="F46" s="144"/>
      <c r="G46" s="63">
        <f t="shared" si="0"/>
        <v>-4.1181897039887829</v>
      </c>
      <c r="H46" s="63">
        <f t="shared" si="1"/>
        <v>-8.2363794079775658</v>
      </c>
      <c r="I46" s="63">
        <f t="shared" si="2"/>
        <v>-12.04875</v>
      </c>
      <c r="J46" s="63">
        <f t="shared" si="3"/>
        <v>3.71875</v>
      </c>
      <c r="K46" s="63">
        <f t="shared" si="4"/>
        <v>-4.1181897039887829</v>
      </c>
      <c r="L46" s="63">
        <f t="shared" si="5"/>
        <v>1.2710462049348097</v>
      </c>
      <c r="M46" s="144"/>
      <c r="N46" s="63">
        <f t="shared" si="6"/>
        <v>-1.2891006569457235</v>
      </c>
      <c r="O46" s="63">
        <f t="shared" si="7"/>
        <v>-1.2891006569457235</v>
      </c>
      <c r="P46" s="63">
        <f t="shared" si="8"/>
        <v>-12.04875</v>
      </c>
      <c r="Q46" s="63">
        <f t="shared" si="9"/>
        <v>3.71875</v>
      </c>
      <c r="R46" s="63">
        <f t="shared" si="10"/>
        <v>-0.64455032847286176</v>
      </c>
      <c r="S46" s="63">
        <f t="shared" si="11"/>
        <v>0.39787057313139618</v>
      </c>
      <c r="T46" s="144"/>
      <c r="U46" s="63">
        <f t="shared" si="12"/>
        <v>-1.0188918185748845</v>
      </c>
      <c r="V46" s="63">
        <f t="shared" si="13"/>
        <v>178.98110818142513</v>
      </c>
      <c r="W46" s="63">
        <f t="shared" si="23"/>
        <v>-1.0188918185748845</v>
      </c>
      <c r="X46" s="63">
        <f t="shared" si="24"/>
        <v>0</v>
      </c>
      <c r="Y46" s="144"/>
      <c r="Z46" s="63">
        <f t="shared" si="14"/>
        <v>-1.6518020038793477</v>
      </c>
      <c r="AA46" s="63">
        <f t="shared" si="15"/>
        <v>178.34819799612066</v>
      </c>
      <c r="AB46" s="63">
        <f t="shared" si="25"/>
        <v>-1.6518020038793477</v>
      </c>
      <c r="AC46" s="63">
        <f t="shared" si="26"/>
        <v>0</v>
      </c>
      <c r="AD46" s="144"/>
      <c r="AE46" s="63">
        <f t="shared" si="16"/>
        <v>-1.474518188144974</v>
      </c>
      <c r="AF46" s="63">
        <f t="shared" si="17"/>
        <v>178.52548181185503</v>
      </c>
      <c r="AG46" s="63">
        <f t="shared" si="18"/>
        <v>-1.474518188144974</v>
      </c>
      <c r="AH46" s="63">
        <f t="shared" si="19"/>
        <v>0</v>
      </c>
      <c r="AI46" s="144"/>
      <c r="AJ46" s="68">
        <f t="shared" si="27"/>
        <v>1.8414167780662059</v>
      </c>
      <c r="AK46" s="139"/>
      <c r="AL46" s="121"/>
      <c r="AM46" s="5">
        <f t="shared" si="20"/>
        <v>-1.6518020038793477</v>
      </c>
      <c r="AN46" s="5">
        <f t="shared" si="21"/>
        <v>178.34819799612066</v>
      </c>
      <c r="AO46" s="63">
        <f t="shared" si="28"/>
        <v>-1.6518020038793477</v>
      </c>
      <c r="AP46" s="63">
        <f t="shared" si="29"/>
        <v>0</v>
      </c>
      <c r="AQ46" s="143"/>
      <c r="AR46" s="63">
        <f t="shared" si="30"/>
        <v>-4.289153328819018</v>
      </c>
      <c r="AS46" s="63">
        <f t="shared" si="31"/>
        <v>-8.578306657638036</v>
      </c>
      <c r="AT46" s="63">
        <f t="shared" si="32"/>
        <v>-24.0975</v>
      </c>
      <c r="AU46" s="63">
        <f t="shared" si="33"/>
        <v>7.4375</v>
      </c>
      <c r="AV46" s="63">
        <f t="shared" si="34"/>
        <v>-4.289153328819018</v>
      </c>
      <c r="AW46" s="63">
        <f t="shared" si="35"/>
        <v>1.3238127558083388</v>
      </c>
      <c r="AX46" s="143"/>
      <c r="AY46" s="63">
        <f t="shared" si="36"/>
        <v>-2.5765718302688305</v>
      </c>
      <c r="AZ46" s="63">
        <f t="shared" si="37"/>
        <v>-5.153143660537661</v>
      </c>
      <c r="BA46" s="63">
        <f t="shared" si="38"/>
        <v>-24.0975</v>
      </c>
      <c r="BB46" s="63">
        <f t="shared" si="39"/>
        <v>7.4375</v>
      </c>
      <c r="BC46" s="63">
        <f t="shared" si="40"/>
        <v>-2.5765718302688305</v>
      </c>
      <c r="BD46" s="63">
        <f t="shared" si="41"/>
        <v>0.7952382192187748</v>
      </c>
      <c r="BE46" s="143"/>
      <c r="BF46" s="60">
        <f t="shared" si="42"/>
        <v>2.1190509750271138</v>
      </c>
      <c r="BG46" s="61">
        <f t="shared" si="43"/>
        <v>3.9604677530933197</v>
      </c>
      <c r="BH46" s="134">
        <f t="shared" si="44"/>
        <v>252.49542789963405</v>
      </c>
      <c r="BI46" s="138"/>
    </row>
    <row r="47" spans="1:63" x14ac:dyDescent="0.25">
      <c r="A47" s="4">
        <v>10</v>
      </c>
      <c r="B47" s="71">
        <f t="shared" si="45"/>
        <v>6.25E-2</v>
      </c>
      <c r="C47" s="145"/>
      <c r="D47" s="63">
        <f t="shared" si="22"/>
        <v>-0.39600000000000002</v>
      </c>
      <c r="E47" s="5">
        <f t="shared" si="46"/>
        <v>0.11</v>
      </c>
      <c r="F47" s="144"/>
      <c r="G47" s="63">
        <f t="shared" si="0"/>
        <v>-4.5739212599008612</v>
      </c>
      <c r="H47" s="63">
        <f t="shared" si="1"/>
        <v>-9.1478425198017224</v>
      </c>
      <c r="I47" s="63">
        <f t="shared" si="2"/>
        <v>-13.387499999999999</v>
      </c>
      <c r="J47" s="63">
        <f t="shared" si="3"/>
        <v>3.71875</v>
      </c>
      <c r="K47" s="63">
        <f t="shared" si="4"/>
        <v>-4.5739212599008612</v>
      </c>
      <c r="L47" s="63">
        <f t="shared" si="5"/>
        <v>1.2705336833057947</v>
      </c>
      <c r="M47" s="144"/>
      <c r="N47" s="63">
        <f t="shared" si="6"/>
        <v>-1.432319890940817</v>
      </c>
      <c r="O47" s="63">
        <f t="shared" si="7"/>
        <v>-1.432319890940817</v>
      </c>
      <c r="P47" s="63">
        <f t="shared" si="8"/>
        <v>-13.387499999999999</v>
      </c>
      <c r="Q47" s="63">
        <f t="shared" si="9"/>
        <v>3.71875</v>
      </c>
      <c r="R47" s="63">
        <f t="shared" si="10"/>
        <v>-0.71615994547040851</v>
      </c>
      <c r="S47" s="63">
        <f t="shared" si="11"/>
        <v>0.39786663637244918</v>
      </c>
      <c r="T47" s="144"/>
      <c r="U47" s="63">
        <f t="shared" si="12"/>
        <v>-1.1321802751313002</v>
      </c>
      <c r="V47" s="63">
        <f t="shared" si="13"/>
        <v>178.8678197248687</v>
      </c>
      <c r="W47" s="63">
        <f t="shared" si="23"/>
        <v>-1.1321802751313002</v>
      </c>
      <c r="X47" s="63">
        <f t="shared" si="24"/>
        <v>0</v>
      </c>
      <c r="Y47" s="144"/>
      <c r="Z47" s="63">
        <f t="shared" si="14"/>
        <v>-1.8357747405456908</v>
      </c>
      <c r="AA47" s="63">
        <f t="shared" si="15"/>
        <v>178.1642252594543</v>
      </c>
      <c r="AB47" s="63">
        <f t="shared" si="25"/>
        <v>-1.8357747405456908</v>
      </c>
      <c r="AC47" s="63">
        <f t="shared" si="26"/>
        <v>0</v>
      </c>
      <c r="AD47" s="144"/>
      <c r="AE47" s="63">
        <f t="shared" si="16"/>
        <v>-1.6386660394615029</v>
      </c>
      <c r="AF47" s="63">
        <f t="shared" si="17"/>
        <v>178.3613339605385</v>
      </c>
      <c r="AG47" s="63">
        <f t="shared" si="18"/>
        <v>-1.6386660394615029</v>
      </c>
      <c r="AH47" s="63">
        <f t="shared" si="19"/>
        <v>0</v>
      </c>
      <c r="AI47" s="144"/>
      <c r="AJ47" s="68">
        <f t="shared" si="27"/>
        <v>1.8409003196782439</v>
      </c>
      <c r="AK47" s="139"/>
      <c r="AL47" s="121"/>
      <c r="AM47" s="5">
        <f t="shared" si="20"/>
        <v>-1.8357747405456908</v>
      </c>
      <c r="AN47" s="5">
        <f t="shared" si="21"/>
        <v>178.1642252594543</v>
      </c>
      <c r="AO47" s="63">
        <f t="shared" si="28"/>
        <v>-1.8357747405456908</v>
      </c>
      <c r="AP47" s="63">
        <f t="shared" si="29"/>
        <v>0</v>
      </c>
      <c r="AQ47" s="143"/>
      <c r="AR47" s="63">
        <f t="shared" si="30"/>
        <v>-4.7636416907261774</v>
      </c>
      <c r="AS47" s="63">
        <f t="shared" si="31"/>
        <v>-9.5272833814523548</v>
      </c>
      <c r="AT47" s="63">
        <f t="shared" si="32"/>
        <v>-26.774999999999999</v>
      </c>
      <c r="AU47" s="63">
        <f t="shared" si="33"/>
        <v>7.4375</v>
      </c>
      <c r="AV47" s="63">
        <f t="shared" si="34"/>
        <v>-4.7636416907261774</v>
      </c>
      <c r="AW47" s="63">
        <f t="shared" si="35"/>
        <v>1.3232338029794937</v>
      </c>
      <c r="AX47" s="143"/>
      <c r="AY47" s="63">
        <f t="shared" si="36"/>
        <v>-2.8624052261117474</v>
      </c>
      <c r="AZ47" s="63">
        <f t="shared" si="37"/>
        <v>-5.7248104522234948</v>
      </c>
      <c r="BA47" s="63">
        <f t="shared" si="38"/>
        <v>-26.774999999999999</v>
      </c>
      <c r="BB47" s="63">
        <f t="shared" si="39"/>
        <v>7.4375</v>
      </c>
      <c r="BC47" s="63">
        <f t="shared" si="40"/>
        <v>-2.8624052261117474</v>
      </c>
      <c r="BD47" s="63">
        <f t="shared" si="41"/>
        <v>0.7951125628088187</v>
      </c>
      <c r="BE47" s="143"/>
      <c r="BF47" s="60">
        <f t="shared" si="42"/>
        <v>2.1183463657883124</v>
      </c>
      <c r="BG47" s="61">
        <f t="shared" si="43"/>
        <v>3.9592466854665562</v>
      </c>
      <c r="BH47" s="134">
        <f t="shared" si="44"/>
        <v>252.57329978219337</v>
      </c>
      <c r="BI47" s="138"/>
    </row>
    <row r="48" spans="1:63" ht="15" customHeight="1" x14ac:dyDescent="0.25">
      <c r="A48" s="26">
        <v>12</v>
      </c>
      <c r="B48" s="72">
        <f t="shared" si="45"/>
        <v>6.25E-2</v>
      </c>
      <c r="C48" s="145"/>
      <c r="D48" s="63">
        <f t="shared" si="22"/>
        <v>-0.47520000000000007</v>
      </c>
      <c r="E48" s="5">
        <f t="shared" si="46"/>
        <v>0.11</v>
      </c>
      <c r="F48" s="144"/>
      <c r="G48" s="63">
        <f t="shared" si="0"/>
        <v>-5.483590444464439</v>
      </c>
      <c r="H48" s="63">
        <f t="shared" si="1"/>
        <v>-10.967180888928878</v>
      </c>
      <c r="I48" s="63">
        <f t="shared" si="2"/>
        <v>-16.065000000000001</v>
      </c>
      <c r="J48" s="63">
        <f t="shared" si="3"/>
        <v>3.71875</v>
      </c>
      <c r="K48" s="63">
        <f t="shared" si="4"/>
        <v>-5.483590444464439</v>
      </c>
      <c r="L48" s="63">
        <f t="shared" si="5"/>
        <v>1.2693496399223239</v>
      </c>
      <c r="M48" s="144"/>
      <c r="N48" s="63">
        <f t="shared" si="6"/>
        <v>-1.7187444872893618</v>
      </c>
      <c r="O48" s="63">
        <f t="shared" si="7"/>
        <v>-1.7187444872893618</v>
      </c>
      <c r="P48" s="63">
        <f t="shared" si="8"/>
        <v>-16.065000000000001</v>
      </c>
      <c r="Q48" s="63">
        <f t="shared" si="9"/>
        <v>3.71875</v>
      </c>
      <c r="R48" s="63">
        <f t="shared" si="10"/>
        <v>-0.8593722436446809</v>
      </c>
      <c r="S48" s="63">
        <f t="shared" si="11"/>
        <v>0.39785752020587078</v>
      </c>
      <c r="T48" s="144"/>
      <c r="U48" s="63">
        <f t="shared" si="12"/>
        <v>-1.3588338260012292</v>
      </c>
      <c r="V48" s="63">
        <f t="shared" si="13"/>
        <v>178.64116617399878</v>
      </c>
      <c r="W48" s="63">
        <f t="shared" si="23"/>
        <v>-1.3588338260012292</v>
      </c>
      <c r="X48" s="63">
        <f t="shared" si="24"/>
        <v>0</v>
      </c>
      <c r="Y48" s="144"/>
      <c r="Z48" s="63">
        <f t="shared" si="14"/>
        <v>-2.2041508393637494</v>
      </c>
      <c r="AA48" s="63">
        <f t="shared" si="15"/>
        <v>177.79584916063624</v>
      </c>
      <c r="AB48" s="63">
        <f t="shared" si="25"/>
        <v>-2.2041508393637494</v>
      </c>
      <c r="AC48" s="63">
        <f t="shared" si="26"/>
        <v>0</v>
      </c>
      <c r="AD48" s="144"/>
      <c r="AE48" s="63">
        <f t="shared" si="16"/>
        <v>-1.9672680521316865</v>
      </c>
      <c r="AF48" s="63">
        <f t="shared" si="17"/>
        <v>178.03273194786831</v>
      </c>
      <c r="AG48" s="63">
        <f t="shared" si="18"/>
        <v>-1.9672680521316865</v>
      </c>
      <c r="AH48" s="63">
        <f t="shared" si="19"/>
        <v>0</v>
      </c>
      <c r="AI48" s="144"/>
      <c r="AJ48" s="68">
        <f t="shared" si="27"/>
        <v>1.8397071601281947</v>
      </c>
      <c r="AK48" s="139"/>
      <c r="AL48" s="121"/>
      <c r="AM48" s="5">
        <f t="shared" si="20"/>
        <v>-2.2041508393637494</v>
      </c>
      <c r="AN48" s="5">
        <f t="shared" si="21"/>
        <v>177.79584916063624</v>
      </c>
      <c r="AO48" s="63">
        <f t="shared" si="28"/>
        <v>-2.2041508393637494</v>
      </c>
      <c r="AP48" s="63">
        <f t="shared" si="29"/>
        <v>0</v>
      </c>
      <c r="AQ48" s="143"/>
      <c r="AR48" s="63">
        <f t="shared" si="30"/>
        <v>-5.710593137499643</v>
      </c>
      <c r="AS48" s="63">
        <f t="shared" si="31"/>
        <v>-11.421186274999286</v>
      </c>
      <c r="AT48" s="63">
        <f t="shared" si="32"/>
        <v>-32.130000000000003</v>
      </c>
      <c r="AU48" s="63">
        <f t="shared" si="33"/>
        <v>7.4375</v>
      </c>
      <c r="AV48" s="63">
        <f t="shared" si="34"/>
        <v>-5.710593137499643</v>
      </c>
      <c r="AW48" s="63">
        <f t="shared" si="35"/>
        <v>1.321896559606399</v>
      </c>
      <c r="AX48" s="143"/>
      <c r="AY48" s="63">
        <f t="shared" si="36"/>
        <v>-3.4336303624505224</v>
      </c>
      <c r="AZ48" s="63">
        <f t="shared" si="37"/>
        <v>-6.8672607249010449</v>
      </c>
      <c r="BA48" s="63">
        <f t="shared" si="38"/>
        <v>-32.130000000000003</v>
      </c>
      <c r="BB48" s="63">
        <f t="shared" si="39"/>
        <v>7.4375</v>
      </c>
      <c r="BC48" s="63">
        <f t="shared" si="40"/>
        <v>-3.4336303624505224</v>
      </c>
      <c r="BD48" s="63">
        <f t="shared" si="41"/>
        <v>0.79482184315984317</v>
      </c>
      <c r="BE48" s="143"/>
      <c r="BF48" s="60">
        <f t="shared" si="42"/>
        <v>2.1167184027662422</v>
      </c>
      <c r="BG48" s="61">
        <f t="shared" si="43"/>
        <v>3.9564255628944371</v>
      </c>
      <c r="BH48" s="134">
        <f t="shared" si="44"/>
        <v>252.75339674744725</v>
      </c>
      <c r="BI48" s="138"/>
    </row>
    <row r="49" spans="1:61" x14ac:dyDescent="0.25">
      <c r="A49" s="26">
        <v>15</v>
      </c>
      <c r="B49" s="72">
        <f t="shared" si="45"/>
        <v>6.25E-2</v>
      </c>
      <c r="C49" s="145"/>
      <c r="D49" s="63">
        <f t="shared" si="22"/>
        <v>-0.59399999999999997</v>
      </c>
      <c r="E49" s="5">
        <f t="shared" si="46"/>
        <v>0.11</v>
      </c>
      <c r="F49" s="144"/>
      <c r="G49" s="63">
        <f t="shared" si="0"/>
        <v>-6.8427734126309403</v>
      </c>
      <c r="H49" s="63">
        <f t="shared" si="1"/>
        <v>-13.685546825261881</v>
      </c>
      <c r="I49" s="63">
        <f t="shared" si="2"/>
        <v>-20.081250000000001</v>
      </c>
      <c r="J49" s="63">
        <f t="shared" si="3"/>
        <v>3.71875</v>
      </c>
      <c r="K49" s="63">
        <f t="shared" si="4"/>
        <v>-6.8427734126309403</v>
      </c>
      <c r="L49" s="63">
        <f t="shared" si="5"/>
        <v>1.2671802615983223</v>
      </c>
      <c r="M49" s="144"/>
      <c r="N49" s="63">
        <f t="shared" si="6"/>
        <v>-2.148339996745241</v>
      </c>
      <c r="O49" s="63">
        <f t="shared" si="7"/>
        <v>-2.148339996745241</v>
      </c>
      <c r="P49" s="63">
        <f t="shared" si="8"/>
        <v>-20.081250000000001</v>
      </c>
      <c r="Q49" s="63">
        <f t="shared" si="9"/>
        <v>3.71875</v>
      </c>
      <c r="R49" s="63">
        <f t="shared" si="10"/>
        <v>-1.0741699983726205</v>
      </c>
      <c r="S49" s="63">
        <f t="shared" si="11"/>
        <v>0.39784074013800758</v>
      </c>
      <c r="T49" s="144"/>
      <c r="U49" s="63">
        <f t="shared" si="12"/>
        <v>-1.699042910382659</v>
      </c>
      <c r="V49" s="63">
        <f t="shared" si="13"/>
        <v>178.30095708961733</v>
      </c>
      <c r="W49" s="63">
        <f t="shared" si="23"/>
        <v>-1.699042910382659</v>
      </c>
      <c r="X49" s="63">
        <f t="shared" si="24"/>
        <v>0</v>
      </c>
      <c r="Y49" s="144"/>
      <c r="Z49" s="63">
        <f t="shared" si="14"/>
        <v>-2.7580017386267301</v>
      </c>
      <c r="AA49" s="63">
        <f t="shared" si="15"/>
        <v>177.24199826137328</v>
      </c>
      <c r="AB49" s="63">
        <f t="shared" si="25"/>
        <v>-2.7580017386267301</v>
      </c>
      <c r="AC49" s="63">
        <f t="shared" si="26"/>
        <v>0</v>
      </c>
      <c r="AD49" s="144"/>
      <c r="AE49" s="63">
        <f t="shared" si="16"/>
        <v>-2.4610860931731473</v>
      </c>
      <c r="AF49" s="63">
        <f t="shared" si="17"/>
        <v>177.53891390682685</v>
      </c>
      <c r="AG49" s="63">
        <f t="shared" si="18"/>
        <v>-2.4610860931731473</v>
      </c>
      <c r="AH49" s="63">
        <f t="shared" si="19"/>
        <v>0</v>
      </c>
      <c r="AI49" s="144"/>
      <c r="AJ49" s="68">
        <f t="shared" si="27"/>
        <v>1.8375210017363299</v>
      </c>
      <c r="AK49" s="139"/>
      <c r="AL49" s="121"/>
      <c r="AM49" s="5">
        <f t="shared" si="20"/>
        <v>-2.7580017386267301</v>
      </c>
      <c r="AN49" s="5">
        <f t="shared" si="21"/>
        <v>177.24199826137328</v>
      </c>
      <c r="AO49" s="63">
        <f t="shared" si="28"/>
        <v>-2.7580017386267301</v>
      </c>
      <c r="AP49" s="63">
        <f t="shared" si="29"/>
        <v>0</v>
      </c>
      <c r="AQ49" s="143"/>
      <c r="AR49" s="63">
        <f t="shared" si="30"/>
        <v>-7.1250163489017977</v>
      </c>
      <c r="AS49" s="63">
        <f t="shared" si="31"/>
        <v>-14.250032697803595</v>
      </c>
      <c r="AT49" s="63">
        <f t="shared" si="32"/>
        <v>-40.162500000000001</v>
      </c>
      <c r="AU49" s="63">
        <f t="shared" si="33"/>
        <v>7.4375</v>
      </c>
      <c r="AV49" s="63">
        <f t="shared" si="34"/>
        <v>-7.1250163489017977</v>
      </c>
      <c r="AW49" s="63">
        <f t="shared" si="35"/>
        <v>1.3194474720188514</v>
      </c>
      <c r="AX49" s="143"/>
      <c r="AY49" s="63">
        <f t="shared" si="36"/>
        <v>-4.289153328819018</v>
      </c>
      <c r="AZ49" s="63">
        <f t="shared" si="37"/>
        <v>-8.578306657638036</v>
      </c>
      <c r="BA49" s="63">
        <f t="shared" si="38"/>
        <v>-40.162500000000001</v>
      </c>
      <c r="BB49" s="63">
        <f t="shared" si="39"/>
        <v>7.4375</v>
      </c>
      <c r="BC49" s="63">
        <f t="shared" si="40"/>
        <v>-4.289153328819018</v>
      </c>
      <c r="BD49" s="63">
        <f t="shared" si="41"/>
        <v>0.79428765348500341</v>
      </c>
      <c r="BE49" s="143"/>
      <c r="BF49" s="60">
        <f t="shared" si="42"/>
        <v>2.1137351255038546</v>
      </c>
      <c r="BG49" s="61">
        <f t="shared" si="43"/>
        <v>3.9512561272401845</v>
      </c>
      <c r="BH49" s="134">
        <f t="shared" si="44"/>
        <v>253.08407448100948</v>
      </c>
      <c r="BI49" s="138"/>
    </row>
    <row r="50" spans="1:61" x14ac:dyDescent="0.25">
      <c r="A50" s="26">
        <f t="shared" ref="A50:A56" si="47">A49+5</f>
        <v>20</v>
      </c>
      <c r="B50" s="72">
        <f t="shared" si="45"/>
        <v>6.25E-2</v>
      </c>
      <c r="C50" s="145"/>
      <c r="D50" s="63">
        <f t="shared" si="22"/>
        <v>-0.79200000000000004</v>
      </c>
      <c r="E50" s="5">
        <f t="shared" si="46"/>
        <v>0.11</v>
      </c>
      <c r="F50" s="144"/>
      <c r="G50" s="63">
        <f t="shared" si="0"/>
        <v>-9.0902769208223226</v>
      </c>
      <c r="H50" s="63">
        <f t="shared" si="1"/>
        <v>-18.180553841644645</v>
      </c>
      <c r="I50" s="63">
        <f t="shared" si="2"/>
        <v>-26.774999999999999</v>
      </c>
      <c r="J50" s="63">
        <f t="shared" si="3"/>
        <v>3.71875</v>
      </c>
      <c r="K50" s="63">
        <f t="shared" si="4"/>
        <v>-9.0902769208223226</v>
      </c>
      <c r="L50" s="63">
        <f t="shared" si="5"/>
        <v>1.2625384612253225</v>
      </c>
      <c r="M50" s="144"/>
      <c r="N50" s="63">
        <f t="shared" si="6"/>
        <v>-2.8641923683292929</v>
      </c>
      <c r="O50" s="63">
        <f t="shared" si="7"/>
        <v>-2.8641923683292929</v>
      </c>
      <c r="P50" s="63">
        <f t="shared" si="8"/>
        <v>-26.774999999999999</v>
      </c>
      <c r="Q50" s="63">
        <f t="shared" si="9"/>
        <v>3.71875</v>
      </c>
      <c r="R50" s="63">
        <f t="shared" si="10"/>
        <v>-1.4320961841646465</v>
      </c>
      <c r="S50" s="63">
        <f t="shared" si="11"/>
        <v>0.39780449560129066</v>
      </c>
      <c r="T50" s="144"/>
      <c r="U50" s="63">
        <f t="shared" si="12"/>
        <v>-2.2668335126373966</v>
      </c>
      <c r="V50" s="63">
        <f t="shared" si="13"/>
        <v>177.73316648736261</v>
      </c>
      <c r="W50" s="63">
        <f t="shared" si="23"/>
        <v>-2.2668335126373966</v>
      </c>
      <c r="X50" s="63">
        <f t="shared" si="24"/>
        <v>0</v>
      </c>
      <c r="Y50" s="144"/>
      <c r="Z50" s="63">
        <f t="shared" si="14"/>
        <v>-3.685458121435643</v>
      </c>
      <c r="AA50" s="63">
        <f t="shared" si="15"/>
        <v>176.31454187856437</v>
      </c>
      <c r="AB50" s="63">
        <f t="shared" si="25"/>
        <v>-3.685458121435643</v>
      </c>
      <c r="AC50" s="63">
        <f t="shared" si="26"/>
        <v>0</v>
      </c>
      <c r="AD50" s="144"/>
      <c r="AE50" s="63">
        <f t="shared" si="16"/>
        <v>-3.2872229694445489</v>
      </c>
      <c r="AF50" s="63">
        <f t="shared" si="17"/>
        <v>176.71277703055546</v>
      </c>
      <c r="AG50" s="63">
        <f t="shared" si="18"/>
        <v>-3.2872229694445489</v>
      </c>
      <c r="AH50" s="63">
        <f t="shared" si="19"/>
        <v>0</v>
      </c>
      <c r="AI50" s="144"/>
      <c r="AJ50" s="68">
        <f t="shared" si="27"/>
        <v>1.8328429568266131</v>
      </c>
      <c r="AK50" s="139"/>
      <c r="AL50" s="121"/>
      <c r="AM50" s="5">
        <f t="shared" si="20"/>
        <v>-3.685458121435643</v>
      </c>
      <c r="AN50" s="5">
        <f t="shared" si="21"/>
        <v>176.31454187856437</v>
      </c>
      <c r="AO50" s="63">
        <f t="shared" si="28"/>
        <v>-3.685458121435643</v>
      </c>
      <c r="AP50" s="63">
        <f t="shared" si="29"/>
        <v>0</v>
      </c>
      <c r="AQ50" s="143"/>
      <c r="AR50" s="63">
        <f t="shared" si="30"/>
        <v>-9.4623222080256166</v>
      </c>
      <c r="AS50" s="63">
        <f t="shared" si="31"/>
        <v>-18.924644416051233</v>
      </c>
      <c r="AT50" s="63">
        <f t="shared" si="32"/>
        <v>-53.55</v>
      </c>
      <c r="AU50" s="63">
        <f t="shared" si="33"/>
        <v>7.4375</v>
      </c>
      <c r="AV50" s="63">
        <f t="shared" si="34"/>
        <v>-9.4623222080256166</v>
      </c>
      <c r="AW50" s="63">
        <f t="shared" si="35"/>
        <v>1.3142114177813355</v>
      </c>
      <c r="AX50" s="143"/>
      <c r="AY50" s="63">
        <f t="shared" si="36"/>
        <v>-5.710593137499643</v>
      </c>
      <c r="AZ50" s="63">
        <f t="shared" si="37"/>
        <v>-11.421186274999286</v>
      </c>
      <c r="BA50" s="63">
        <f t="shared" si="38"/>
        <v>-53.55</v>
      </c>
      <c r="BB50" s="63">
        <f t="shared" si="39"/>
        <v>7.4375</v>
      </c>
      <c r="BC50" s="63">
        <f t="shared" si="40"/>
        <v>-5.710593137499643</v>
      </c>
      <c r="BD50" s="63">
        <f t="shared" si="41"/>
        <v>0.79313793576383929</v>
      </c>
      <c r="BE50" s="143"/>
      <c r="BF50" s="60">
        <f t="shared" si="42"/>
        <v>2.1073493535451746</v>
      </c>
      <c r="BG50" s="61">
        <f t="shared" si="43"/>
        <v>3.9401923103717875</v>
      </c>
      <c r="BH50" s="134">
        <f t="shared" si="44"/>
        <v>253.79471894498528</v>
      </c>
      <c r="BI50" s="138"/>
    </row>
    <row r="51" spans="1:61" ht="15" customHeight="1" x14ac:dyDescent="0.25">
      <c r="A51" s="11">
        <f t="shared" si="47"/>
        <v>25</v>
      </c>
      <c r="B51" s="73">
        <f t="shared" si="45"/>
        <v>6.25E-2</v>
      </c>
      <c r="C51" s="145"/>
      <c r="D51" s="64">
        <f t="shared" si="22"/>
        <v>-0.99</v>
      </c>
      <c r="E51" s="6">
        <f t="shared" si="46"/>
        <v>0.11</v>
      </c>
      <c r="F51" s="144">
        <f>AVERAGE(E51:E60)</f>
        <v>0.11000000000000001</v>
      </c>
      <c r="G51" s="136">
        <f t="shared" si="0"/>
        <v>-11.309932474020213</v>
      </c>
      <c r="H51" s="136">
        <f t="shared" si="1"/>
        <v>-22.619864948040426</v>
      </c>
      <c r="I51" s="136">
        <f t="shared" si="2"/>
        <v>-33.46875</v>
      </c>
      <c r="J51" s="136">
        <f t="shared" si="3"/>
        <v>3.71875</v>
      </c>
      <c r="K51" s="136">
        <f t="shared" si="4"/>
        <v>-11.309932474020213</v>
      </c>
      <c r="L51" s="136">
        <f t="shared" si="5"/>
        <v>1.2566591637800237</v>
      </c>
      <c r="M51" s="146">
        <f>AVERAGE(L51:L60)</f>
        <v>1.199720232896224</v>
      </c>
      <c r="N51" s="136">
        <f t="shared" si="6"/>
        <v>-3.5798212164921388</v>
      </c>
      <c r="O51" s="136">
        <f t="shared" si="7"/>
        <v>-3.5798212164921388</v>
      </c>
      <c r="P51" s="136">
        <f t="shared" si="8"/>
        <v>-33.46875</v>
      </c>
      <c r="Q51" s="136">
        <f t="shared" si="9"/>
        <v>3.71875</v>
      </c>
      <c r="R51" s="136">
        <f t="shared" si="10"/>
        <v>-1.7899106082460694</v>
      </c>
      <c r="S51" s="136">
        <f t="shared" si="11"/>
        <v>0.39775791294357099</v>
      </c>
      <c r="T51" s="146">
        <f>AVERAGE(S51:S60)</f>
        <v>0.39722987330219384</v>
      </c>
      <c r="U51" s="136">
        <f t="shared" si="12"/>
        <v>-2.835863020082777</v>
      </c>
      <c r="V51" s="136">
        <f t="shared" si="13"/>
        <v>177.16413697991723</v>
      </c>
      <c r="W51" s="136">
        <f t="shared" si="23"/>
        <v>-2.835863020082777</v>
      </c>
      <c r="X51" s="136">
        <f t="shared" si="24"/>
        <v>0</v>
      </c>
      <c r="Y51" s="146">
        <f>AVERAGE(X51:X60)</f>
        <v>0</v>
      </c>
      <c r="Z51" s="136">
        <f t="shared" si="14"/>
        <v>-4.6199234816603951</v>
      </c>
      <c r="AA51" s="136">
        <f t="shared" si="15"/>
        <v>175.38007651833959</v>
      </c>
      <c r="AB51" s="136">
        <f t="shared" si="25"/>
        <v>-4.6199234816603951</v>
      </c>
      <c r="AC51" s="136">
        <f t="shared" si="26"/>
        <v>0</v>
      </c>
      <c r="AD51" s="146">
        <f>AVERAGE(AC51:AC60)</f>
        <v>0</v>
      </c>
      <c r="AE51" s="136">
        <f t="shared" si="16"/>
        <v>-4.1183362813710103</v>
      </c>
      <c r="AF51" s="136">
        <f t="shared" si="17"/>
        <v>175.881663718629</v>
      </c>
      <c r="AG51" s="136">
        <f t="shared" si="18"/>
        <v>-4.1183362813710103</v>
      </c>
      <c r="AH51" s="136">
        <f t="shared" si="19"/>
        <v>0</v>
      </c>
      <c r="AI51" s="144">
        <f>AVERAGE(AH51:AH60)</f>
        <v>0</v>
      </c>
      <c r="AJ51" s="68">
        <f t="shared" si="27"/>
        <v>1.8269170767235947</v>
      </c>
      <c r="AK51" s="140">
        <f>SUM(C33,F51,M51,T51,Y51,AD51,AI51)</f>
        <v>1.769450106198418</v>
      </c>
      <c r="AL51" s="121"/>
      <c r="AM51" s="6">
        <f t="shared" si="20"/>
        <v>-4.6199234816603951</v>
      </c>
      <c r="AN51" s="6">
        <f t="shared" si="21"/>
        <v>175.38007651833959</v>
      </c>
      <c r="AO51" s="64">
        <f t="shared" si="28"/>
        <v>-4.6199234816603951</v>
      </c>
      <c r="AP51" s="64">
        <f t="shared" si="29"/>
        <v>0</v>
      </c>
      <c r="AQ51" s="143">
        <f>AVERAGE(AP51:AP60)</f>
        <v>0</v>
      </c>
      <c r="AR51" s="64">
        <f t="shared" si="30"/>
        <v>-11.768288932020647</v>
      </c>
      <c r="AS51" s="64">
        <f t="shared" si="31"/>
        <v>-23.536577864041295</v>
      </c>
      <c r="AT51" s="64">
        <f t="shared" si="32"/>
        <v>-66.9375</v>
      </c>
      <c r="AU51" s="64">
        <f t="shared" si="33"/>
        <v>7.4375</v>
      </c>
      <c r="AV51" s="64">
        <f t="shared" si="34"/>
        <v>-11.768288932020647</v>
      </c>
      <c r="AW51" s="64">
        <f t="shared" si="35"/>
        <v>1.3075876591134052</v>
      </c>
      <c r="AX51" s="143">
        <f>AVERAGE(AW51:AW60)</f>
        <v>1.24417574566251</v>
      </c>
      <c r="AY51" s="64">
        <f t="shared" si="36"/>
        <v>-7.1250163489017977</v>
      </c>
      <c r="AZ51" s="64">
        <f t="shared" si="37"/>
        <v>-14.250032697803595</v>
      </c>
      <c r="BA51" s="64">
        <f t="shared" si="38"/>
        <v>-66.9375</v>
      </c>
      <c r="BB51" s="64">
        <f t="shared" si="39"/>
        <v>7.4375</v>
      </c>
      <c r="BC51" s="64">
        <f t="shared" si="40"/>
        <v>-7.1250163489017977</v>
      </c>
      <c r="BD51" s="64">
        <f t="shared" si="41"/>
        <v>0.79166848321131089</v>
      </c>
      <c r="BE51" s="143">
        <f>AVERAGE(BD51:BD60)</f>
        <v>0.77606489388380406</v>
      </c>
      <c r="BF51" s="60">
        <f t="shared" si="42"/>
        <v>2.099256142324716</v>
      </c>
      <c r="BG51" s="61">
        <f t="shared" si="43"/>
        <v>3.9261732190483105</v>
      </c>
      <c r="BH51" s="134">
        <f t="shared" si="44"/>
        <v>254.70093758175963</v>
      </c>
      <c r="BI51" s="42"/>
    </row>
    <row r="52" spans="1:61" x14ac:dyDescent="0.25">
      <c r="A52" s="11">
        <f t="shared" si="47"/>
        <v>30</v>
      </c>
      <c r="B52" s="73">
        <f t="shared" si="45"/>
        <v>6.25E-2</v>
      </c>
      <c r="C52" s="145"/>
      <c r="D52" s="64">
        <f t="shared" si="22"/>
        <v>-1.1879999999999999</v>
      </c>
      <c r="E52" s="6">
        <f t="shared" si="46"/>
        <v>0.11</v>
      </c>
      <c r="F52" s="144"/>
      <c r="G52" s="136">
        <f t="shared" si="0"/>
        <v>-13.495733280795813</v>
      </c>
      <c r="H52" s="136">
        <f t="shared" si="1"/>
        <v>-26.991466561591626</v>
      </c>
      <c r="I52" s="136">
        <f t="shared" si="2"/>
        <v>-40.162500000000001</v>
      </c>
      <c r="J52" s="136">
        <f t="shared" si="3"/>
        <v>3.71875</v>
      </c>
      <c r="K52" s="136">
        <f t="shared" si="4"/>
        <v>-13.495733280795813</v>
      </c>
      <c r="L52" s="136">
        <f t="shared" si="5"/>
        <v>1.2496049334070198</v>
      </c>
      <c r="M52" s="146"/>
      <c r="N52" s="136">
        <f t="shared" si="6"/>
        <v>-4.2951708565970064</v>
      </c>
      <c r="O52" s="136">
        <f t="shared" si="7"/>
        <v>-4.2951708565970064</v>
      </c>
      <c r="P52" s="136">
        <f t="shared" si="8"/>
        <v>-40.162500000000001</v>
      </c>
      <c r="Q52" s="136">
        <f t="shared" si="9"/>
        <v>3.71875</v>
      </c>
      <c r="R52" s="136">
        <f t="shared" si="10"/>
        <v>-2.1475854282985032</v>
      </c>
      <c r="S52" s="136">
        <f t="shared" si="11"/>
        <v>0.39770100524046353</v>
      </c>
      <c r="T52" s="146"/>
      <c r="U52" s="136">
        <f t="shared" si="12"/>
        <v>-3.4064437549947124</v>
      </c>
      <c r="V52" s="136">
        <f t="shared" si="13"/>
        <v>176.59355624500529</v>
      </c>
      <c r="W52" s="136">
        <f t="shared" si="23"/>
        <v>-3.4064437549947124</v>
      </c>
      <c r="X52" s="136">
        <f t="shared" si="24"/>
        <v>0</v>
      </c>
      <c r="Y52" s="146"/>
      <c r="Z52" s="136">
        <f t="shared" si="14"/>
        <v>-5.5632088207439914</v>
      </c>
      <c r="AA52" s="136">
        <f t="shared" si="15"/>
        <v>174.43679117925601</v>
      </c>
      <c r="AB52" s="136">
        <f t="shared" si="25"/>
        <v>-5.5632088207439914</v>
      </c>
      <c r="AC52" s="136">
        <f t="shared" si="26"/>
        <v>0</v>
      </c>
      <c r="AD52" s="146"/>
      <c r="AE52" s="136">
        <f t="shared" si="16"/>
        <v>-4.9557034314960733</v>
      </c>
      <c r="AF52" s="136">
        <f t="shared" si="17"/>
        <v>175.04429656850394</v>
      </c>
      <c r="AG52" s="136">
        <f t="shared" si="18"/>
        <v>-4.9557034314960733</v>
      </c>
      <c r="AH52" s="136">
        <f t="shared" si="19"/>
        <v>0</v>
      </c>
      <c r="AI52" s="144"/>
      <c r="AJ52" s="68">
        <f t="shared" si="27"/>
        <v>1.8198059386474834</v>
      </c>
      <c r="AK52" s="140"/>
      <c r="AL52" s="121"/>
      <c r="AM52" s="6">
        <f t="shared" si="20"/>
        <v>-5.5632088207439914</v>
      </c>
      <c r="AN52" s="6">
        <f t="shared" si="21"/>
        <v>174.43679117925601</v>
      </c>
      <c r="AO52" s="64">
        <f t="shared" si="28"/>
        <v>-5.5632088207439914</v>
      </c>
      <c r="AP52" s="64">
        <f t="shared" si="29"/>
        <v>0</v>
      </c>
      <c r="AQ52" s="143"/>
      <c r="AR52" s="64">
        <f t="shared" si="30"/>
        <v>-14.036243467926477</v>
      </c>
      <c r="AS52" s="64">
        <f t="shared" si="31"/>
        <v>-28.072486935852954</v>
      </c>
      <c r="AT52" s="64">
        <f t="shared" si="32"/>
        <v>-80.325000000000003</v>
      </c>
      <c r="AU52" s="64">
        <f t="shared" si="33"/>
        <v>7.4375</v>
      </c>
      <c r="AV52" s="64">
        <f t="shared" si="34"/>
        <v>-14.036243467926477</v>
      </c>
      <c r="AW52" s="64">
        <f t="shared" si="35"/>
        <v>1.2996521729561554</v>
      </c>
      <c r="AX52" s="143"/>
      <c r="AY52" s="64">
        <f t="shared" si="36"/>
        <v>-8.5307656099481335</v>
      </c>
      <c r="AZ52" s="64">
        <f t="shared" si="37"/>
        <v>-17.061531219896267</v>
      </c>
      <c r="BA52" s="64">
        <f t="shared" si="38"/>
        <v>-80.325000000000003</v>
      </c>
      <c r="BB52" s="64">
        <f t="shared" si="39"/>
        <v>7.4375</v>
      </c>
      <c r="BC52" s="64">
        <f t="shared" si="40"/>
        <v>-8.5307656099481335</v>
      </c>
      <c r="BD52" s="64">
        <f t="shared" si="41"/>
        <v>0.78988570462482721</v>
      </c>
      <c r="BE52" s="143"/>
      <c r="BF52" s="60">
        <f t="shared" si="42"/>
        <v>2.0895378775809825</v>
      </c>
      <c r="BG52" s="61">
        <f t="shared" si="43"/>
        <v>3.9093438162284659</v>
      </c>
      <c r="BH52" s="134">
        <f t="shared" si="44"/>
        <v>255.79740411902389</v>
      </c>
      <c r="BI52" s="42"/>
    </row>
    <row r="53" spans="1:61" x14ac:dyDescent="0.25">
      <c r="A53" s="11">
        <f t="shared" si="47"/>
        <v>35</v>
      </c>
      <c r="B53" s="73">
        <f t="shared" si="45"/>
        <v>6.25E-2</v>
      </c>
      <c r="C53" s="145"/>
      <c r="D53" s="64">
        <f t="shared" si="22"/>
        <v>-1.3859999999999999</v>
      </c>
      <c r="E53" s="6">
        <f t="shared" si="46"/>
        <v>0.11</v>
      </c>
      <c r="F53" s="144"/>
      <c r="G53" s="136">
        <f t="shared" si="0"/>
        <v>-15.642246457208728</v>
      </c>
      <c r="H53" s="136">
        <f t="shared" si="1"/>
        <v>-31.284492914417456</v>
      </c>
      <c r="I53" s="136">
        <f t="shared" si="2"/>
        <v>-46.856250000000003</v>
      </c>
      <c r="J53" s="136">
        <f t="shared" si="3"/>
        <v>3.71875</v>
      </c>
      <c r="K53" s="136">
        <f t="shared" si="4"/>
        <v>-15.642246457208728</v>
      </c>
      <c r="L53" s="136">
        <f t="shared" si="5"/>
        <v>1.2414481315245023</v>
      </c>
      <c r="M53" s="146"/>
      <c r="N53" s="136">
        <f t="shared" si="6"/>
        <v>-5.010185734482798</v>
      </c>
      <c r="O53" s="136">
        <f t="shared" si="7"/>
        <v>-5.010185734482798</v>
      </c>
      <c r="P53" s="136">
        <f t="shared" si="8"/>
        <v>-46.856250000000003</v>
      </c>
      <c r="Q53" s="136">
        <f t="shared" si="9"/>
        <v>3.71875</v>
      </c>
      <c r="R53" s="136">
        <f t="shared" si="10"/>
        <v>-2.505092867241399</v>
      </c>
      <c r="S53" s="136">
        <f t="shared" si="11"/>
        <v>0.39763378845101571</v>
      </c>
      <c r="T53" s="146"/>
      <c r="U53" s="136">
        <f t="shared" si="12"/>
        <v>-3.9788897685275959</v>
      </c>
      <c r="V53" s="136">
        <f t="shared" si="13"/>
        <v>176.02111023147239</v>
      </c>
      <c r="W53" s="136">
        <f t="shared" si="23"/>
        <v>-3.9788897685275959</v>
      </c>
      <c r="X53" s="136">
        <f t="shared" si="24"/>
        <v>0</v>
      </c>
      <c r="Y53" s="146"/>
      <c r="Z53" s="136">
        <f t="shared" si="14"/>
        <v>-6.5171645832789808</v>
      </c>
      <c r="AA53" s="136">
        <f t="shared" si="15"/>
        <v>173.48283541672103</v>
      </c>
      <c r="AB53" s="136">
        <f t="shared" si="25"/>
        <v>-6.5171645832789808</v>
      </c>
      <c r="AC53" s="136">
        <f t="shared" si="26"/>
        <v>0</v>
      </c>
      <c r="AD53" s="146"/>
      <c r="AE53" s="136">
        <f t="shared" si="16"/>
        <v>-5.8006241437169708</v>
      </c>
      <c r="AF53" s="136">
        <f t="shared" si="17"/>
        <v>174.19937585628304</v>
      </c>
      <c r="AG53" s="136">
        <f t="shared" si="18"/>
        <v>-5.8006241437169708</v>
      </c>
      <c r="AH53" s="136">
        <f t="shared" si="19"/>
        <v>0</v>
      </c>
      <c r="AI53" s="144"/>
      <c r="AJ53" s="68">
        <f t="shared" si="27"/>
        <v>1.8115819199755179</v>
      </c>
      <c r="AK53" s="140"/>
      <c r="AL53" s="121"/>
      <c r="AM53" s="6">
        <f t="shared" si="20"/>
        <v>-6.5171645832789808</v>
      </c>
      <c r="AN53" s="6">
        <f t="shared" si="21"/>
        <v>173.48283541672103</v>
      </c>
      <c r="AO53" s="64">
        <f t="shared" si="28"/>
        <v>-6.5171645832789808</v>
      </c>
      <c r="AP53" s="64">
        <f t="shared" si="29"/>
        <v>0</v>
      </c>
      <c r="AQ53" s="143"/>
      <c r="AR53" s="64">
        <f t="shared" si="30"/>
        <v>-16.26020470831196</v>
      </c>
      <c r="AS53" s="64">
        <f t="shared" si="31"/>
        <v>-32.52040941662392</v>
      </c>
      <c r="AT53" s="64">
        <f t="shared" si="32"/>
        <v>-93.712500000000006</v>
      </c>
      <c r="AU53" s="64">
        <f t="shared" si="33"/>
        <v>7.4375</v>
      </c>
      <c r="AV53" s="64">
        <f t="shared" si="34"/>
        <v>-16.26020470831196</v>
      </c>
      <c r="AW53" s="64">
        <f t="shared" si="35"/>
        <v>1.2904924371676161</v>
      </c>
      <c r="AX53" s="143"/>
      <c r="AY53" s="64">
        <f t="shared" si="36"/>
        <v>-9.9262455066517052</v>
      </c>
      <c r="AZ53" s="64">
        <f t="shared" si="37"/>
        <v>-19.85249101330341</v>
      </c>
      <c r="BA53" s="64">
        <f t="shared" si="38"/>
        <v>-93.712500000000006</v>
      </c>
      <c r="BB53" s="64">
        <f t="shared" si="39"/>
        <v>7.4375</v>
      </c>
      <c r="BC53" s="64">
        <f t="shared" si="40"/>
        <v>-9.9262455066517052</v>
      </c>
      <c r="BD53" s="64">
        <f t="shared" si="41"/>
        <v>0.78779726243267501</v>
      </c>
      <c r="BE53" s="143"/>
      <c r="BF53" s="60">
        <f t="shared" si="42"/>
        <v>2.0782896996002913</v>
      </c>
      <c r="BG53" s="61">
        <f t="shared" si="43"/>
        <v>3.8898716195758092</v>
      </c>
      <c r="BH53" s="134">
        <f t="shared" si="44"/>
        <v>257.07789299973098</v>
      </c>
      <c r="BI53" s="42"/>
    </row>
    <row r="54" spans="1:61" x14ac:dyDescent="0.25">
      <c r="A54" s="11">
        <f t="shared" si="47"/>
        <v>40</v>
      </c>
      <c r="B54" s="73">
        <f t="shared" si="45"/>
        <v>6.25E-2</v>
      </c>
      <c r="C54" s="145"/>
      <c r="D54" s="64">
        <f t="shared" si="22"/>
        <v>-1.5840000000000001</v>
      </c>
      <c r="E54" s="6">
        <f t="shared" si="46"/>
        <v>0.11</v>
      </c>
      <c r="F54" s="144"/>
      <c r="G54" s="136">
        <f t="shared" si="0"/>
        <v>-17.744671625056935</v>
      </c>
      <c r="H54" s="136">
        <f t="shared" si="1"/>
        <v>-35.489343250113869</v>
      </c>
      <c r="I54" s="136">
        <f t="shared" si="2"/>
        <v>-53.55</v>
      </c>
      <c r="J54" s="136">
        <f t="shared" si="3"/>
        <v>3.71875</v>
      </c>
      <c r="K54" s="136">
        <f t="shared" si="4"/>
        <v>-17.744671625056935</v>
      </c>
      <c r="L54" s="136">
        <f t="shared" si="5"/>
        <v>1.232268862851176</v>
      </c>
      <c r="M54" s="146"/>
      <c r="N54" s="136">
        <f t="shared" si="6"/>
        <v>-5.7248104522234948</v>
      </c>
      <c r="O54" s="136">
        <f t="shared" si="7"/>
        <v>-5.7248104522234948</v>
      </c>
      <c r="P54" s="136">
        <f t="shared" si="8"/>
        <v>-53.55</v>
      </c>
      <c r="Q54" s="136">
        <f t="shared" si="9"/>
        <v>3.71875</v>
      </c>
      <c r="R54" s="136">
        <f t="shared" si="10"/>
        <v>-2.8624052261117474</v>
      </c>
      <c r="S54" s="136">
        <f t="shared" si="11"/>
        <v>0.39755628140440935</v>
      </c>
      <c r="T54" s="146"/>
      <c r="U54" s="136">
        <f t="shared" si="12"/>
        <v>-4.5535171845692144</v>
      </c>
      <c r="V54" s="136">
        <f t="shared" si="13"/>
        <v>175.44648281543078</v>
      </c>
      <c r="W54" s="136">
        <f t="shared" si="23"/>
        <v>-4.5535171845692144</v>
      </c>
      <c r="X54" s="136">
        <f t="shared" si="24"/>
        <v>0</v>
      </c>
      <c r="Y54" s="146"/>
      <c r="Z54" s="136">
        <f t="shared" si="14"/>
        <v>-7.483688797097213</v>
      </c>
      <c r="AA54" s="136">
        <f t="shared" si="15"/>
        <v>172.51631120290278</v>
      </c>
      <c r="AB54" s="136">
        <f t="shared" si="25"/>
        <v>-7.483688797097213</v>
      </c>
      <c r="AC54" s="136">
        <f t="shared" si="26"/>
        <v>0</v>
      </c>
      <c r="AD54" s="146"/>
      <c r="AE54" s="136">
        <f t="shared" si="16"/>
        <v>-6.654425046006593</v>
      </c>
      <c r="AF54" s="136">
        <f t="shared" si="17"/>
        <v>173.34557495399341</v>
      </c>
      <c r="AG54" s="136">
        <f t="shared" si="18"/>
        <v>-6.654425046006593</v>
      </c>
      <c r="AH54" s="136">
        <f t="shared" si="19"/>
        <v>0</v>
      </c>
      <c r="AI54" s="144"/>
      <c r="AJ54" s="68">
        <f t="shared" si="27"/>
        <v>1.8023251442555854</v>
      </c>
      <c r="AK54" s="140"/>
      <c r="AL54" s="121"/>
      <c r="AM54" s="6">
        <f t="shared" si="20"/>
        <v>-7.483688797097213</v>
      </c>
      <c r="AN54" s="6">
        <f t="shared" si="21"/>
        <v>172.51631120290278</v>
      </c>
      <c r="AO54" s="64">
        <f t="shared" si="28"/>
        <v>-7.483688797097213</v>
      </c>
      <c r="AP54" s="64">
        <f t="shared" si="29"/>
        <v>0</v>
      </c>
      <c r="AQ54" s="143"/>
      <c r="AR54" s="64">
        <f t="shared" si="30"/>
        <v>-18.43494882292201</v>
      </c>
      <c r="AS54" s="64">
        <f t="shared" si="31"/>
        <v>-36.86989764584402</v>
      </c>
      <c r="AT54" s="64">
        <f t="shared" si="32"/>
        <v>-107.1</v>
      </c>
      <c r="AU54" s="64">
        <f t="shared" si="33"/>
        <v>7.4375</v>
      </c>
      <c r="AV54" s="64">
        <f t="shared" si="34"/>
        <v>-18.43494882292201</v>
      </c>
      <c r="AW54" s="64">
        <f t="shared" si="35"/>
        <v>1.2802047793695841</v>
      </c>
      <c r="AX54" s="143"/>
      <c r="AY54" s="64">
        <f t="shared" si="36"/>
        <v>-11.309932474020213</v>
      </c>
      <c r="AZ54" s="64">
        <f t="shared" si="37"/>
        <v>-22.619864948040426</v>
      </c>
      <c r="BA54" s="64">
        <f t="shared" si="38"/>
        <v>-107.1</v>
      </c>
      <c r="BB54" s="64">
        <f t="shared" si="39"/>
        <v>7.4375</v>
      </c>
      <c r="BC54" s="64">
        <f t="shared" si="40"/>
        <v>-11.309932474020213</v>
      </c>
      <c r="BD54" s="64">
        <f t="shared" si="41"/>
        <v>0.78541197736251478</v>
      </c>
      <c r="BE54" s="143"/>
      <c r="BF54" s="60">
        <f t="shared" si="42"/>
        <v>2.0656167567320987</v>
      </c>
      <c r="BG54" s="61">
        <f t="shared" si="43"/>
        <v>3.8679419009876841</v>
      </c>
      <c r="BH54" s="134">
        <f t="shared" si="44"/>
        <v>258.53542416049441</v>
      </c>
      <c r="BI54" s="42"/>
    </row>
    <row r="55" spans="1:61" x14ac:dyDescent="0.25">
      <c r="A55" s="11">
        <f t="shared" si="47"/>
        <v>45</v>
      </c>
      <c r="B55" s="73">
        <f t="shared" si="45"/>
        <v>6.25E-2</v>
      </c>
      <c r="C55" s="145"/>
      <c r="D55" s="64">
        <f t="shared" si="22"/>
        <v>-1.782</v>
      </c>
      <c r="E55" s="6">
        <f t="shared" si="46"/>
        <v>0.11</v>
      </c>
      <c r="F55" s="144"/>
      <c r="G55" s="136">
        <f t="shared" si="0"/>
        <v>-19.798876354524932</v>
      </c>
      <c r="H55" s="136">
        <f t="shared" si="1"/>
        <v>-39.597752709049864</v>
      </c>
      <c r="I55" s="136">
        <f t="shared" si="2"/>
        <v>-60.243749999999999</v>
      </c>
      <c r="J55" s="136">
        <f t="shared" si="3"/>
        <v>3.71875</v>
      </c>
      <c r="K55" s="136">
        <f t="shared" si="4"/>
        <v>-19.798876354524932</v>
      </c>
      <c r="L55" s="136">
        <f t="shared" si="5"/>
        <v>1.222152861390428</v>
      </c>
      <c r="M55" s="146"/>
      <c r="N55" s="136">
        <f t="shared" si="6"/>
        <v>-6.4389897937056597</v>
      </c>
      <c r="O55" s="136">
        <f t="shared" si="7"/>
        <v>-6.4389897937056597</v>
      </c>
      <c r="P55" s="136">
        <f t="shared" si="8"/>
        <v>-60.243749999999999</v>
      </c>
      <c r="Q55" s="136">
        <f t="shared" si="9"/>
        <v>3.71875</v>
      </c>
      <c r="R55" s="136">
        <f t="shared" si="10"/>
        <v>-3.2194948968528299</v>
      </c>
      <c r="S55" s="136">
        <f t="shared" si="11"/>
        <v>0.39746850578429999</v>
      </c>
      <c r="T55" s="146"/>
      <c r="U55" s="136">
        <f t="shared" si="12"/>
        <v>-5.1306445423586293</v>
      </c>
      <c r="V55" s="136">
        <f t="shared" si="13"/>
        <v>174.86935545764138</v>
      </c>
      <c r="W55" s="136">
        <f t="shared" si="23"/>
        <v>-5.1306445423586293</v>
      </c>
      <c r="X55" s="136">
        <f t="shared" si="24"/>
        <v>0</v>
      </c>
      <c r="Y55" s="146"/>
      <c r="Z55" s="136">
        <f t="shared" si="14"/>
        <v>-8.4647353231221079</v>
      </c>
      <c r="AA55" s="136">
        <f t="shared" si="15"/>
        <v>171.53526467687789</v>
      </c>
      <c r="AB55" s="136">
        <f t="shared" si="25"/>
        <v>-8.4647353231221079</v>
      </c>
      <c r="AC55" s="136">
        <f t="shared" si="26"/>
        <v>0</v>
      </c>
      <c r="AD55" s="146"/>
      <c r="AE55" s="136">
        <f t="shared" si="16"/>
        <v>-7.5184643082035834</v>
      </c>
      <c r="AF55" s="136">
        <f t="shared" si="17"/>
        <v>172.48153569179641</v>
      </c>
      <c r="AG55" s="136">
        <f t="shared" si="18"/>
        <v>-7.5184643082035834</v>
      </c>
      <c r="AH55" s="136">
        <f t="shared" si="19"/>
        <v>0</v>
      </c>
      <c r="AI55" s="144"/>
      <c r="AJ55" s="68">
        <f t="shared" si="27"/>
        <v>1.792121367174728</v>
      </c>
      <c r="AK55" s="140"/>
      <c r="AL55" s="121"/>
      <c r="AM55" s="6">
        <f t="shared" si="20"/>
        <v>-8.4647353231221079</v>
      </c>
      <c r="AN55" s="6">
        <f t="shared" si="21"/>
        <v>171.53526467687789</v>
      </c>
      <c r="AO55" s="64">
        <f t="shared" si="28"/>
        <v>-8.4647353231221079</v>
      </c>
      <c r="AP55" s="64">
        <f t="shared" si="29"/>
        <v>0</v>
      </c>
      <c r="AQ55" s="143"/>
      <c r="AR55" s="64">
        <f t="shared" si="30"/>
        <v>-20.556045219583464</v>
      </c>
      <c r="AS55" s="64">
        <f t="shared" si="31"/>
        <v>-41.112090439166927</v>
      </c>
      <c r="AT55" s="64">
        <f t="shared" si="32"/>
        <v>-120.4875</v>
      </c>
      <c r="AU55" s="64">
        <f t="shared" si="33"/>
        <v>7.4375</v>
      </c>
      <c r="AV55" s="64">
        <f t="shared" si="34"/>
        <v>-20.556045219583464</v>
      </c>
      <c r="AW55" s="64">
        <f t="shared" si="35"/>
        <v>1.2688916802212016</v>
      </c>
      <c r="AX55" s="143"/>
      <c r="AY55" s="64">
        <f t="shared" si="36"/>
        <v>-12.680383491819819</v>
      </c>
      <c r="AZ55" s="64">
        <f t="shared" si="37"/>
        <v>-25.360766983639639</v>
      </c>
      <c r="BA55" s="64">
        <f t="shared" si="38"/>
        <v>-120.4875</v>
      </c>
      <c r="BB55" s="64">
        <f t="shared" si="39"/>
        <v>7.4375</v>
      </c>
      <c r="BC55" s="64">
        <f t="shared" si="40"/>
        <v>-12.680383491819819</v>
      </c>
      <c r="BD55" s="64">
        <f t="shared" si="41"/>
        <v>0.7827397217172728</v>
      </c>
      <c r="BE55" s="143"/>
      <c r="BF55" s="60">
        <f t="shared" si="42"/>
        <v>2.0516314019384745</v>
      </c>
      <c r="BG55" s="61">
        <f t="shared" si="43"/>
        <v>3.8437527691132027</v>
      </c>
      <c r="BH55" s="134">
        <f t="shared" si="44"/>
        <v>260.16241419988916</v>
      </c>
      <c r="BI55" s="42"/>
    </row>
    <row r="56" spans="1:61" x14ac:dyDescent="0.25">
      <c r="A56" s="11">
        <f t="shared" si="47"/>
        <v>50</v>
      </c>
      <c r="B56" s="73">
        <f t="shared" si="45"/>
        <v>6.25E-2</v>
      </c>
      <c r="C56" s="145"/>
      <c r="D56" s="64">
        <f t="shared" si="22"/>
        <v>-1.98</v>
      </c>
      <c r="E56" s="6">
        <f t="shared" si="46"/>
        <v>0.11</v>
      </c>
      <c r="F56" s="144"/>
      <c r="G56" s="136">
        <f t="shared" si="0"/>
        <v>-21.801409486351812</v>
      </c>
      <c r="H56" s="136">
        <f t="shared" si="1"/>
        <v>-43.602818972703624</v>
      </c>
      <c r="I56" s="136">
        <f t="shared" si="2"/>
        <v>-66.9375</v>
      </c>
      <c r="J56" s="136">
        <f t="shared" si="3"/>
        <v>3.71875</v>
      </c>
      <c r="K56" s="136">
        <f t="shared" si="4"/>
        <v>-21.801409486351812</v>
      </c>
      <c r="L56" s="136">
        <f t="shared" si="5"/>
        <v>1.211189415908434</v>
      </c>
      <c r="M56" s="146"/>
      <c r="N56" s="136">
        <f t="shared" si="6"/>
        <v>-7.152668749994703</v>
      </c>
      <c r="O56" s="136">
        <f t="shared" si="7"/>
        <v>-7.152668749994703</v>
      </c>
      <c r="P56" s="136">
        <f t="shared" si="8"/>
        <v>-66.9375</v>
      </c>
      <c r="Q56" s="136">
        <f t="shared" si="9"/>
        <v>3.71875</v>
      </c>
      <c r="R56" s="136">
        <f t="shared" si="10"/>
        <v>-3.5763343749973515</v>
      </c>
      <c r="S56" s="136">
        <f t="shared" si="11"/>
        <v>0.39737048611081682</v>
      </c>
      <c r="T56" s="146"/>
      <c r="U56" s="136">
        <f t="shared" si="12"/>
        <v>-5.7105931374996457</v>
      </c>
      <c r="V56" s="136">
        <f t="shared" si="13"/>
        <v>174.28940686250036</v>
      </c>
      <c r="W56" s="136">
        <f t="shared" si="23"/>
        <v>-5.7105931374996457</v>
      </c>
      <c r="X56" s="136">
        <f t="shared" si="24"/>
        <v>0</v>
      </c>
      <c r="Y56" s="146"/>
      <c r="Z56" s="136">
        <f t="shared" si="14"/>
        <v>-9.462322208025622</v>
      </c>
      <c r="AA56" s="136">
        <f t="shared" si="15"/>
        <v>170.53767779197437</v>
      </c>
      <c r="AB56" s="136">
        <f t="shared" si="25"/>
        <v>-9.462322208025622</v>
      </c>
      <c r="AC56" s="136">
        <f t="shared" si="26"/>
        <v>0</v>
      </c>
      <c r="AD56" s="146"/>
      <c r="AE56" s="136">
        <f t="shared" si="16"/>
        <v>-8.3941363354150944</v>
      </c>
      <c r="AF56" s="136">
        <f t="shared" si="17"/>
        <v>171.60586366458492</v>
      </c>
      <c r="AG56" s="136">
        <f t="shared" si="18"/>
        <v>-8.3941363354150944</v>
      </c>
      <c r="AH56" s="136">
        <f t="shared" si="19"/>
        <v>0</v>
      </c>
      <c r="AI56" s="144"/>
      <c r="AJ56" s="68">
        <f t="shared" si="27"/>
        <v>1.7810599020192508</v>
      </c>
      <c r="AK56" s="140"/>
      <c r="AL56" s="121"/>
      <c r="AM56" s="6">
        <f t="shared" si="20"/>
        <v>-9.462322208025622</v>
      </c>
      <c r="AN56" s="6">
        <f t="shared" si="21"/>
        <v>170.53767779197437</v>
      </c>
      <c r="AO56" s="64">
        <f t="shared" si="28"/>
        <v>-9.462322208025622</v>
      </c>
      <c r="AP56" s="64">
        <f t="shared" si="29"/>
        <v>0</v>
      </c>
      <c r="AQ56" s="143"/>
      <c r="AR56" s="64">
        <f t="shared" si="30"/>
        <v>-22.619864948040426</v>
      </c>
      <c r="AS56" s="64">
        <f t="shared" si="31"/>
        <v>-45.239729896080853</v>
      </c>
      <c r="AT56" s="64">
        <f t="shared" si="32"/>
        <v>-133.875</v>
      </c>
      <c r="AU56" s="64">
        <f t="shared" si="33"/>
        <v>7.4375</v>
      </c>
      <c r="AV56" s="64">
        <f t="shared" si="34"/>
        <v>-22.619864948040426</v>
      </c>
      <c r="AW56" s="64">
        <f t="shared" si="35"/>
        <v>1.2566591637800237</v>
      </c>
      <c r="AX56" s="143"/>
      <c r="AY56" s="64">
        <f t="shared" si="36"/>
        <v>-14.036243467926477</v>
      </c>
      <c r="AZ56" s="64">
        <f t="shared" si="37"/>
        <v>-28.072486935852954</v>
      </c>
      <c r="BA56" s="64">
        <f t="shared" si="38"/>
        <v>-133.875</v>
      </c>
      <c r="BB56" s="64">
        <f t="shared" si="39"/>
        <v>7.4375</v>
      </c>
      <c r="BC56" s="64">
        <f t="shared" si="40"/>
        <v>-14.036243467926477</v>
      </c>
      <c r="BD56" s="64">
        <f t="shared" si="41"/>
        <v>0.77979130377369321</v>
      </c>
      <c r="BE56" s="143"/>
      <c r="BF56" s="60">
        <f t="shared" si="42"/>
        <v>2.0364504675537169</v>
      </c>
      <c r="BG56" s="61">
        <f t="shared" si="43"/>
        <v>3.8175103695729677</v>
      </c>
      <c r="BH56" s="134">
        <f t="shared" si="44"/>
        <v>261.95082742155364</v>
      </c>
      <c r="BI56" s="42"/>
    </row>
    <row r="57" spans="1:61" x14ac:dyDescent="0.25">
      <c r="A57" s="11">
        <v>60</v>
      </c>
      <c r="B57" s="73">
        <f t="shared" si="45"/>
        <v>6.25E-2</v>
      </c>
      <c r="C57" s="145"/>
      <c r="D57" s="64">
        <f t="shared" si="22"/>
        <v>-2.3759999999999999</v>
      </c>
      <c r="E57" s="6">
        <f t="shared" si="46"/>
        <v>0.11</v>
      </c>
      <c r="F57" s="144"/>
      <c r="G57" s="136">
        <f t="shared" si="0"/>
        <v>-25.641005824305282</v>
      </c>
      <c r="H57" s="136">
        <f t="shared" si="1"/>
        <v>-51.282011648610563</v>
      </c>
      <c r="I57" s="136">
        <f t="shared" si="2"/>
        <v>-80.325000000000003</v>
      </c>
      <c r="J57" s="136">
        <f t="shared" si="3"/>
        <v>3.71875</v>
      </c>
      <c r="K57" s="136">
        <f t="shared" si="4"/>
        <v>-25.641005824305282</v>
      </c>
      <c r="L57" s="136">
        <f t="shared" si="5"/>
        <v>1.1870836029770964</v>
      </c>
      <c r="M57" s="146"/>
      <c r="N57" s="136">
        <f t="shared" si="6"/>
        <v>-8.578306657638036</v>
      </c>
      <c r="O57" s="136">
        <f t="shared" si="7"/>
        <v>-8.578306657638036</v>
      </c>
      <c r="P57" s="136">
        <f t="shared" si="8"/>
        <v>-80.325000000000003</v>
      </c>
      <c r="Q57" s="136">
        <f t="shared" si="9"/>
        <v>3.71875</v>
      </c>
      <c r="R57" s="136">
        <f t="shared" si="10"/>
        <v>-4.289153328819018</v>
      </c>
      <c r="S57" s="136">
        <f t="shared" si="11"/>
        <v>0.3971438267425017</v>
      </c>
      <c r="T57" s="146"/>
      <c r="U57" s="136">
        <f t="shared" si="12"/>
        <v>-6.8802550352737333</v>
      </c>
      <c r="V57" s="136">
        <f t="shared" si="13"/>
        <v>173.11974496472627</v>
      </c>
      <c r="W57" s="136">
        <f t="shared" si="23"/>
        <v>-6.8802550352737333</v>
      </c>
      <c r="X57" s="136">
        <f t="shared" si="24"/>
        <v>0</v>
      </c>
      <c r="Y57" s="146"/>
      <c r="Z57" s="136">
        <f t="shared" si="14"/>
        <v>-11.515560816181015</v>
      </c>
      <c r="AA57" s="136">
        <f t="shared" si="15"/>
        <v>168.48443918381898</v>
      </c>
      <c r="AB57" s="136">
        <f t="shared" si="25"/>
        <v>-11.515560816181015</v>
      </c>
      <c r="AC57" s="136">
        <f t="shared" si="26"/>
        <v>0</v>
      </c>
      <c r="AD57" s="146"/>
      <c r="AE57" s="136">
        <f t="shared" si="16"/>
        <v>-10.186165991736594</v>
      </c>
      <c r="AF57" s="136">
        <f t="shared" si="17"/>
        <v>169.8138340082634</v>
      </c>
      <c r="AG57" s="136">
        <f t="shared" si="18"/>
        <v>-10.186165991736594</v>
      </c>
      <c r="AH57" s="136">
        <f t="shared" si="19"/>
        <v>0</v>
      </c>
      <c r="AI57" s="144"/>
      <c r="AJ57" s="68">
        <f t="shared" si="27"/>
        <v>1.7567274297195981</v>
      </c>
      <c r="AK57" s="140"/>
      <c r="AL57" s="121"/>
      <c r="AM57" s="6">
        <f t="shared" si="20"/>
        <v>-11.515560816181015</v>
      </c>
      <c r="AN57" s="6">
        <f t="shared" si="21"/>
        <v>168.48443918381898</v>
      </c>
      <c r="AO57" s="64">
        <f t="shared" si="28"/>
        <v>-11.515560816181015</v>
      </c>
      <c r="AP57" s="64">
        <f t="shared" si="29"/>
        <v>0</v>
      </c>
      <c r="AQ57" s="143"/>
      <c r="AR57" s="64">
        <f t="shared" si="30"/>
        <v>-26.56505117707799</v>
      </c>
      <c r="AS57" s="64">
        <f t="shared" si="31"/>
        <v>-53.13010235415598</v>
      </c>
      <c r="AT57" s="64">
        <f t="shared" si="32"/>
        <v>-160.65</v>
      </c>
      <c r="AU57" s="64">
        <f t="shared" si="33"/>
        <v>7.4375</v>
      </c>
      <c r="AV57" s="64">
        <f t="shared" si="34"/>
        <v>-26.56505117707799</v>
      </c>
      <c r="AW57" s="64">
        <f t="shared" si="35"/>
        <v>1.2298634804202773</v>
      </c>
      <c r="AX57" s="143"/>
      <c r="AY57" s="64">
        <f t="shared" si="36"/>
        <v>-16.699244233993621</v>
      </c>
      <c r="AZ57" s="64">
        <f t="shared" si="37"/>
        <v>-33.398488467987242</v>
      </c>
      <c r="BA57" s="64">
        <f t="shared" si="38"/>
        <v>-160.65</v>
      </c>
      <c r="BB57" s="64">
        <f t="shared" si="39"/>
        <v>7.4375</v>
      </c>
      <c r="BC57" s="64">
        <f t="shared" si="40"/>
        <v>-16.699244233993621</v>
      </c>
      <c r="BD57" s="64">
        <f t="shared" si="41"/>
        <v>0.77311315898118615</v>
      </c>
      <c r="BE57" s="143"/>
      <c r="BF57" s="60">
        <f t="shared" si="42"/>
        <v>2.0029766394014636</v>
      </c>
      <c r="BG57" s="61">
        <f t="shared" si="43"/>
        <v>3.7597040691210619</v>
      </c>
      <c r="BH57" s="134">
        <f t="shared" si="44"/>
        <v>265.97838064254313</v>
      </c>
      <c r="BI57" s="42"/>
    </row>
    <row r="58" spans="1:61" x14ac:dyDescent="0.25">
      <c r="A58" s="11">
        <v>70</v>
      </c>
      <c r="B58" s="73">
        <f t="shared" si="45"/>
        <v>6.25E-2</v>
      </c>
      <c r="C58" s="145"/>
      <c r="D58" s="64">
        <f t="shared" si="22"/>
        <v>-2.7719999999999998</v>
      </c>
      <c r="E58" s="6">
        <f t="shared" si="46"/>
        <v>0.11</v>
      </c>
      <c r="F58" s="144"/>
      <c r="G58" s="136">
        <f t="shared" si="0"/>
        <v>-29.248826336546976</v>
      </c>
      <c r="H58" s="136">
        <f t="shared" si="1"/>
        <v>-58.497652673093953</v>
      </c>
      <c r="I58" s="136">
        <f t="shared" si="2"/>
        <v>-93.712500000000006</v>
      </c>
      <c r="J58" s="136">
        <f t="shared" si="3"/>
        <v>3.71875</v>
      </c>
      <c r="K58" s="136">
        <f t="shared" si="4"/>
        <v>-29.248826336546976</v>
      </c>
      <c r="L58" s="136">
        <f t="shared" si="5"/>
        <v>1.1606677117677371</v>
      </c>
      <c r="M58" s="146"/>
      <c r="N58" s="136">
        <f t="shared" si="6"/>
        <v>-10.001289195116867</v>
      </c>
      <c r="O58" s="136">
        <f t="shared" si="7"/>
        <v>-10.001289195116867</v>
      </c>
      <c r="P58" s="136">
        <f t="shared" si="8"/>
        <v>-93.712500000000006</v>
      </c>
      <c r="Q58" s="136">
        <f t="shared" si="9"/>
        <v>3.71875</v>
      </c>
      <c r="R58" s="136">
        <f t="shared" si="10"/>
        <v>-5.0006445975584333</v>
      </c>
      <c r="S58" s="136">
        <f t="shared" si="11"/>
        <v>0.39687655536178046</v>
      </c>
      <c r="T58" s="146"/>
      <c r="U58" s="136">
        <f t="shared" si="12"/>
        <v>-8.065141180729249</v>
      </c>
      <c r="V58" s="136">
        <f t="shared" si="13"/>
        <v>171.93485881927074</v>
      </c>
      <c r="W58" s="136">
        <f t="shared" si="23"/>
        <v>-8.065141180729249</v>
      </c>
      <c r="X58" s="136">
        <f t="shared" si="24"/>
        <v>0</v>
      </c>
      <c r="Y58" s="146"/>
      <c r="Z58" s="136">
        <f t="shared" si="14"/>
        <v>-13.661153706905511</v>
      </c>
      <c r="AA58" s="136">
        <f t="shared" si="15"/>
        <v>166.33884629309449</v>
      </c>
      <c r="AB58" s="136">
        <f t="shared" si="25"/>
        <v>-13.661153706905511</v>
      </c>
      <c r="AC58" s="136">
        <f t="shared" si="26"/>
        <v>0</v>
      </c>
      <c r="AD58" s="146"/>
      <c r="AE58" s="136">
        <f t="shared" si="16"/>
        <v>-12.042575142884987</v>
      </c>
      <c r="AF58" s="136">
        <f t="shared" si="17"/>
        <v>167.957424857115</v>
      </c>
      <c r="AG58" s="136">
        <f t="shared" si="18"/>
        <v>-12.042575142884987</v>
      </c>
      <c r="AH58" s="136">
        <f t="shared" si="19"/>
        <v>0</v>
      </c>
      <c r="AI58" s="144"/>
      <c r="AJ58" s="68">
        <f t="shared" si="27"/>
        <v>1.7300442671295175</v>
      </c>
      <c r="AK58" s="140"/>
      <c r="AL58" s="121"/>
      <c r="AM58" s="6">
        <f t="shared" si="20"/>
        <v>-13.661153706905511</v>
      </c>
      <c r="AN58" s="6">
        <f t="shared" si="21"/>
        <v>166.33884629309449</v>
      </c>
      <c r="AO58" s="64">
        <f t="shared" si="28"/>
        <v>-13.661153706905511</v>
      </c>
      <c r="AP58" s="64">
        <f t="shared" si="29"/>
        <v>0</v>
      </c>
      <c r="AQ58" s="143"/>
      <c r="AR58" s="64">
        <f t="shared" si="30"/>
        <v>-30.256437163529263</v>
      </c>
      <c r="AS58" s="64">
        <f t="shared" si="31"/>
        <v>-60.512874327058526</v>
      </c>
      <c r="AT58" s="64">
        <f t="shared" si="32"/>
        <v>-187.42500000000001</v>
      </c>
      <c r="AU58" s="64">
        <f t="shared" si="33"/>
        <v>7.4375</v>
      </c>
      <c r="AV58" s="64">
        <f t="shared" si="34"/>
        <v>-30.256437163529263</v>
      </c>
      <c r="AW58" s="64">
        <f t="shared" si="35"/>
        <v>1.2006522683940184</v>
      </c>
      <c r="AX58" s="143"/>
      <c r="AY58" s="64">
        <f t="shared" si="36"/>
        <v>-19.290046219188735</v>
      </c>
      <c r="AZ58" s="64">
        <f t="shared" si="37"/>
        <v>-38.58009243837747</v>
      </c>
      <c r="BA58" s="64">
        <f t="shared" si="38"/>
        <v>-187.42500000000001</v>
      </c>
      <c r="BB58" s="64">
        <f t="shared" si="39"/>
        <v>7.4375</v>
      </c>
      <c r="BC58" s="64">
        <f t="shared" si="40"/>
        <v>-19.290046219188735</v>
      </c>
      <c r="BD58" s="64">
        <f t="shared" si="41"/>
        <v>0.76547802457098157</v>
      </c>
      <c r="BE58" s="143"/>
      <c r="BF58" s="60">
        <f t="shared" si="42"/>
        <v>1.966130292965</v>
      </c>
      <c r="BG58" s="61">
        <f t="shared" si="43"/>
        <v>3.6961745600945175</v>
      </c>
      <c r="BH58" s="134">
        <f t="shared" si="44"/>
        <v>270.54999263195737</v>
      </c>
      <c r="BI58" s="42"/>
    </row>
    <row r="59" spans="1:61" x14ac:dyDescent="0.25">
      <c r="A59" s="11">
        <v>80</v>
      </c>
      <c r="B59" s="73">
        <f t="shared" si="45"/>
        <v>6.25E-2</v>
      </c>
      <c r="C59" s="145"/>
      <c r="D59" s="64">
        <f t="shared" si="22"/>
        <v>-3.1680000000000001</v>
      </c>
      <c r="E59" s="6">
        <f t="shared" si="46"/>
        <v>0.11</v>
      </c>
      <c r="F59" s="144"/>
      <c r="G59" s="136">
        <f t="shared" si="0"/>
        <v>-32.619243071192827</v>
      </c>
      <c r="H59" s="136">
        <f t="shared" si="1"/>
        <v>-65.238486142385653</v>
      </c>
      <c r="I59" s="136">
        <f t="shared" si="2"/>
        <v>-107.1</v>
      </c>
      <c r="J59" s="136">
        <f t="shared" si="3"/>
        <v>3.71875</v>
      </c>
      <c r="K59" s="136">
        <f t="shared" si="4"/>
        <v>-32.619243071192827</v>
      </c>
      <c r="L59" s="136">
        <f t="shared" si="5"/>
        <v>1.1326126066386397</v>
      </c>
      <c r="M59" s="146"/>
      <c r="N59" s="136">
        <f t="shared" si="6"/>
        <v>-11.421186274999286</v>
      </c>
      <c r="O59" s="136">
        <f t="shared" si="7"/>
        <v>-11.421186274999286</v>
      </c>
      <c r="P59" s="136">
        <f t="shared" si="8"/>
        <v>-107.1</v>
      </c>
      <c r="Q59" s="136">
        <f t="shared" si="9"/>
        <v>3.71875</v>
      </c>
      <c r="R59" s="136">
        <f t="shared" si="10"/>
        <v>-5.710593137499643</v>
      </c>
      <c r="S59" s="136">
        <f t="shared" si="11"/>
        <v>0.39656896788191964</v>
      </c>
      <c r="T59" s="146"/>
      <c r="U59" s="136">
        <f t="shared" si="12"/>
        <v>-9.2679553415030274</v>
      </c>
      <c r="V59" s="136">
        <f t="shared" si="13"/>
        <v>170.73204465849696</v>
      </c>
      <c r="W59" s="136">
        <f t="shared" si="23"/>
        <v>-9.2679553415030274</v>
      </c>
      <c r="X59" s="136">
        <f t="shared" si="24"/>
        <v>0</v>
      </c>
      <c r="Y59" s="146"/>
      <c r="Z59" s="136">
        <f t="shared" si="14"/>
        <v>-15.918414137194272</v>
      </c>
      <c r="AA59" s="136">
        <f t="shared" si="15"/>
        <v>164.08158586280572</v>
      </c>
      <c r="AB59" s="136">
        <f t="shared" si="25"/>
        <v>-15.918414137194272</v>
      </c>
      <c r="AC59" s="136">
        <f t="shared" si="26"/>
        <v>0</v>
      </c>
      <c r="AD59" s="146"/>
      <c r="AE59" s="136">
        <f t="shared" si="16"/>
        <v>-13.976310666026887</v>
      </c>
      <c r="AF59" s="136">
        <f t="shared" si="17"/>
        <v>166.02368933397312</v>
      </c>
      <c r="AG59" s="136">
        <f t="shared" si="18"/>
        <v>-13.976310666026887</v>
      </c>
      <c r="AH59" s="136">
        <f t="shared" si="19"/>
        <v>0</v>
      </c>
      <c r="AI59" s="144"/>
      <c r="AJ59" s="68">
        <f t="shared" si="27"/>
        <v>1.7016815745205593</v>
      </c>
      <c r="AK59" s="140"/>
      <c r="AL59" s="121"/>
      <c r="AM59" s="6">
        <f t="shared" si="20"/>
        <v>-15.918414137194272</v>
      </c>
      <c r="AN59" s="6">
        <f t="shared" si="21"/>
        <v>164.08158586280572</v>
      </c>
      <c r="AO59" s="64">
        <f t="shared" si="28"/>
        <v>-15.918414137194272</v>
      </c>
      <c r="AP59" s="64">
        <f t="shared" si="29"/>
        <v>0</v>
      </c>
      <c r="AQ59" s="143"/>
      <c r="AR59" s="64">
        <f t="shared" si="30"/>
        <v>-33.690067525979785</v>
      </c>
      <c r="AS59" s="64">
        <f t="shared" si="31"/>
        <v>-67.38013505195957</v>
      </c>
      <c r="AT59" s="64">
        <f t="shared" si="32"/>
        <v>-214.2</v>
      </c>
      <c r="AU59" s="64">
        <f t="shared" si="33"/>
        <v>7.4375</v>
      </c>
      <c r="AV59" s="64">
        <f t="shared" si="34"/>
        <v>-33.690067525979785</v>
      </c>
      <c r="AW59" s="64">
        <f t="shared" si="35"/>
        <v>1.1697940113187426</v>
      </c>
      <c r="AX59" s="143"/>
      <c r="AY59" s="64">
        <f t="shared" si="36"/>
        <v>-21.801409486351812</v>
      </c>
      <c r="AZ59" s="64">
        <f t="shared" si="37"/>
        <v>-43.602818972703624</v>
      </c>
      <c r="BA59" s="64">
        <f t="shared" si="38"/>
        <v>-214.2</v>
      </c>
      <c r="BB59" s="64">
        <f t="shared" si="39"/>
        <v>7.4375</v>
      </c>
      <c r="BC59" s="64">
        <f t="shared" si="40"/>
        <v>-21.801409486351812</v>
      </c>
      <c r="BD59" s="64">
        <f t="shared" si="41"/>
        <v>0.75699338494277124</v>
      </c>
      <c r="BE59" s="143"/>
      <c r="BF59" s="60">
        <f t="shared" si="42"/>
        <v>1.9267873962615139</v>
      </c>
      <c r="BG59" s="61">
        <f t="shared" si="43"/>
        <v>3.6284689707820732</v>
      </c>
      <c r="BH59" s="134">
        <f t="shared" si="44"/>
        <v>275.5983330855002</v>
      </c>
      <c r="BI59" s="42"/>
    </row>
    <row r="60" spans="1:61" x14ac:dyDescent="0.25">
      <c r="A60" s="11">
        <v>90</v>
      </c>
      <c r="B60" s="73">
        <f t="shared" si="45"/>
        <v>6.25E-2</v>
      </c>
      <c r="C60" s="145"/>
      <c r="D60" s="64">
        <f t="shared" si="22"/>
        <v>-3.5640000000000001</v>
      </c>
      <c r="E60" s="6">
        <f t="shared" si="46"/>
        <v>0.11</v>
      </c>
      <c r="F60" s="144"/>
      <c r="G60" s="136">
        <f t="shared" si="0"/>
        <v>-35.753887254436748</v>
      </c>
      <c r="H60" s="136">
        <f t="shared" si="1"/>
        <v>-71.507774508873496</v>
      </c>
      <c r="I60" s="136">
        <f t="shared" si="2"/>
        <v>-120.4875</v>
      </c>
      <c r="J60" s="136">
        <f t="shared" si="3"/>
        <v>3.71875</v>
      </c>
      <c r="K60" s="136">
        <f t="shared" si="4"/>
        <v>-35.753887254436748</v>
      </c>
      <c r="L60" s="136">
        <f t="shared" si="5"/>
        <v>1.1035150387171835</v>
      </c>
      <c r="M60" s="146"/>
      <c r="N60" s="136">
        <f t="shared" si="6"/>
        <v>-12.837573460477572</v>
      </c>
      <c r="O60" s="136">
        <f t="shared" si="7"/>
        <v>-12.837573460477572</v>
      </c>
      <c r="P60" s="136">
        <f t="shared" si="8"/>
        <v>-120.4875</v>
      </c>
      <c r="Q60" s="136">
        <f t="shared" si="9"/>
        <v>3.71875</v>
      </c>
      <c r="R60" s="136">
        <f t="shared" si="10"/>
        <v>-6.4187867302387858</v>
      </c>
      <c r="S60" s="136">
        <f t="shared" si="11"/>
        <v>0.39622140310115961</v>
      </c>
      <c r="T60" s="146"/>
      <c r="U60" s="136">
        <f t="shared" si="12"/>
        <v>-10.491477012331604</v>
      </c>
      <c r="V60" s="136">
        <f t="shared" si="13"/>
        <v>169.50852298766839</v>
      </c>
      <c r="W60" s="136">
        <f t="shared" si="23"/>
        <v>-10.491477012331604</v>
      </c>
      <c r="X60" s="136">
        <f t="shared" si="24"/>
        <v>0</v>
      </c>
      <c r="Y60" s="146"/>
      <c r="Z60" s="136">
        <f t="shared" si="14"/>
        <v>-18.308468278894704</v>
      </c>
      <c r="AA60" s="136">
        <f t="shared" si="15"/>
        <v>161.69153172110529</v>
      </c>
      <c r="AB60" s="136">
        <f t="shared" si="25"/>
        <v>-18.308468278894704</v>
      </c>
      <c r="AC60" s="136">
        <f t="shared" si="26"/>
        <v>0</v>
      </c>
      <c r="AD60" s="146"/>
      <c r="AE60" s="136">
        <f t="shared" si="16"/>
        <v>-16.001355098311162</v>
      </c>
      <c r="AF60" s="136">
        <f t="shared" si="17"/>
        <v>163.99864490168883</v>
      </c>
      <c r="AG60" s="136">
        <f t="shared" si="18"/>
        <v>-16.001355098311162</v>
      </c>
      <c r="AH60" s="136">
        <f t="shared" si="19"/>
        <v>0</v>
      </c>
      <c r="AI60" s="144"/>
      <c r="AJ60" s="68">
        <f t="shared" si="27"/>
        <v>1.6722364418183431</v>
      </c>
      <c r="AK60" s="140"/>
      <c r="AL60" s="121"/>
      <c r="AM60" s="6">
        <f t="shared" si="20"/>
        <v>-18.308468278894704</v>
      </c>
      <c r="AN60" s="6">
        <f t="shared" si="21"/>
        <v>161.69153172110529</v>
      </c>
      <c r="AO60" s="64">
        <f t="shared" si="28"/>
        <v>-18.308468278894704</v>
      </c>
      <c r="AP60" s="64">
        <f t="shared" si="29"/>
        <v>0</v>
      </c>
      <c r="AQ60" s="143"/>
      <c r="AR60" s="64">
        <f t="shared" si="30"/>
        <v>-36.86989764584402</v>
      </c>
      <c r="AS60" s="64">
        <f t="shared" si="31"/>
        <v>-73.73979529168804</v>
      </c>
      <c r="AT60" s="64">
        <f t="shared" si="32"/>
        <v>-240.97499999999999</v>
      </c>
      <c r="AU60" s="64">
        <f t="shared" si="33"/>
        <v>7.4375</v>
      </c>
      <c r="AV60" s="64">
        <f t="shared" si="34"/>
        <v>-36.86989764584402</v>
      </c>
      <c r="AW60" s="64">
        <f t="shared" si="35"/>
        <v>1.1379598038840748</v>
      </c>
      <c r="AX60" s="143"/>
      <c r="AY60" s="64">
        <f t="shared" si="36"/>
        <v>-24.22774531795417</v>
      </c>
      <c r="AZ60" s="64">
        <f t="shared" si="37"/>
        <v>-48.45549063590834</v>
      </c>
      <c r="BA60" s="64">
        <f t="shared" si="38"/>
        <v>-240.97499999999999</v>
      </c>
      <c r="BB60" s="64">
        <f t="shared" si="39"/>
        <v>7.4375</v>
      </c>
      <c r="BC60" s="64">
        <f t="shared" si="40"/>
        <v>-24.22774531795417</v>
      </c>
      <c r="BD60" s="64">
        <f t="shared" si="41"/>
        <v>0.74776991722080766</v>
      </c>
      <c r="BE60" s="143"/>
      <c r="BF60" s="60">
        <f t="shared" si="42"/>
        <v>1.8857297211048825</v>
      </c>
      <c r="BG60" s="61">
        <f t="shared" si="43"/>
        <v>3.5579661629232255</v>
      </c>
      <c r="BH60" s="134">
        <f t="shared" si="44"/>
        <v>281.05944638281773</v>
      </c>
      <c r="BI60" s="42"/>
    </row>
    <row r="61" spans="1:61" x14ac:dyDescent="0.25">
      <c r="A61" s="24">
        <v>100</v>
      </c>
      <c r="B61" s="74">
        <f t="shared" si="45"/>
        <v>6.25E-2</v>
      </c>
      <c r="C61" s="28"/>
      <c r="D61" s="65">
        <f t="shared" si="22"/>
        <v>-3.96</v>
      </c>
      <c r="E61" s="23">
        <f t="shared" si="46"/>
        <v>0.11</v>
      </c>
      <c r="F61" s="69"/>
      <c r="G61" s="65">
        <f t="shared" si="0"/>
        <v>-38.659808254090095</v>
      </c>
      <c r="H61" s="65">
        <f t="shared" si="1"/>
        <v>-77.319616508180189</v>
      </c>
      <c r="I61" s="65">
        <f t="shared" si="2"/>
        <v>-133.875</v>
      </c>
      <c r="J61" s="65">
        <f t="shared" si="3"/>
        <v>3.71875</v>
      </c>
      <c r="K61" s="65">
        <f t="shared" si="4"/>
        <v>-38.659808254090095</v>
      </c>
      <c r="L61" s="65">
        <f t="shared" si="5"/>
        <v>1.0738835626136138</v>
      </c>
      <c r="M61" s="69"/>
      <c r="N61" s="65">
        <f t="shared" si="6"/>
        <v>-14.250032697803595</v>
      </c>
      <c r="O61" s="65">
        <f t="shared" si="7"/>
        <v>-14.250032697803595</v>
      </c>
      <c r="P61" s="65">
        <f t="shared" si="8"/>
        <v>-133.875</v>
      </c>
      <c r="Q61" s="65">
        <f t="shared" si="9"/>
        <v>3.71875</v>
      </c>
      <c r="R61" s="65">
        <f t="shared" si="10"/>
        <v>-7.1250163489017977</v>
      </c>
      <c r="S61" s="65">
        <f t="shared" si="11"/>
        <v>0.39583424160565545</v>
      </c>
      <c r="T61" s="69"/>
      <c r="U61" s="65">
        <f t="shared" si="12"/>
        <v>-11.738571206722327</v>
      </c>
      <c r="V61" s="65">
        <f t="shared" si="13"/>
        <v>168.26142879327767</v>
      </c>
      <c r="W61" s="65">
        <f t="shared" si="23"/>
        <v>-11.738571206722327</v>
      </c>
      <c r="X61" s="65">
        <f t="shared" si="24"/>
        <v>0</v>
      </c>
      <c r="Y61" s="69"/>
      <c r="Z61" s="65">
        <f t="shared" si="14"/>
        <v>-20.854458039578347</v>
      </c>
      <c r="AA61" s="65">
        <f t="shared" si="15"/>
        <v>159.14554196042167</v>
      </c>
      <c r="AB61" s="65">
        <f t="shared" si="25"/>
        <v>-20.854458039578347</v>
      </c>
      <c r="AC61" s="65">
        <f t="shared" si="26"/>
        <v>0</v>
      </c>
      <c r="AD61" s="69"/>
      <c r="AE61" s="65">
        <f t="shared" si="16"/>
        <v>-18.132864911074034</v>
      </c>
      <c r="AF61" s="65">
        <f t="shared" si="17"/>
        <v>161.86713508892598</v>
      </c>
      <c r="AG61" s="65">
        <f t="shared" si="18"/>
        <v>-18.132864911074034</v>
      </c>
      <c r="AH61" s="65">
        <f t="shared" si="19"/>
        <v>0</v>
      </c>
      <c r="AI61" s="69"/>
      <c r="AJ61" s="68">
        <f t="shared" si="27"/>
        <v>1.6422178042192692</v>
      </c>
      <c r="AK61" s="44"/>
      <c r="AL61" s="121"/>
      <c r="AM61" s="23">
        <f t="shared" si="20"/>
        <v>-20.854458039578347</v>
      </c>
      <c r="AN61" s="23">
        <f t="shared" si="21"/>
        <v>159.14554196042167</v>
      </c>
      <c r="AO61" s="65">
        <f t="shared" si="28"/>
        <v>-20.854458039578347</v>
      </c>
      <c r="AP61" s="65">
        <f t="shared" si="29"/>
        <v>0</v>
      </c>
      <c r="AQ61" s="25"/>
      <c r="AR61" s="65">
        <f t="shared" si="30"/>
        <v>-39.805571092265197</v>
      </c>
      <c r="AS61" s="65">
        <f t="shared" si="31"/>
        <v>-79.611142184530394</v>
      </c>
      <c r="AT61" s="65">
        <f t="shared" si="32"/>
        <v>-267.75</v>
      </c>
      <c r="AU61" s="65">
        <f t="shared" si="33"/>
        <v>7.4375</v>
      </c>
      <c r="AV61" s="65">
        <f t="shared" si="34"/>
        <v>-39.805571092265197</v>
      </c>
      <c r="AW61" s="65">
        <f t="shared" si="35"/>
        <v>1.1057103081184778</v>
      </c>
      <c r="AX61" s="25"/>
      <c r="AY61" s="65">
        <f t="shared" si="36"/>
        <v>-26.56505117707799</v>
      </c>
      <c r="AZ61" s="65">
        <f t="shared" si="37"/>
        <v>-53.13010235415598</v>
      </c>
      <c r="BA61" s="65">
        <f t="shared" si="38"/>
        <v>-267.75</v>
      </c>
      <c r="BB61" s="65">
        <f t="shared" si="39"/>
        <v>7.4375</v>
      </c>
      <c r="BC61" s="65">
        <f t="shared" si="40"/>
        <v>-26.56505117707799</v>
      </c>
      <c r="BD61" s="65">
        <f t="shared" si="41"/>
        <v>0.73791808825216643</v>
      </c>
      <c r="BE61" s="25"/>
      <c r="BF61" s="60">
        <f t="shared" si="42"/>
        <v>1.8436283963706441</v>
      </c>
      <c r="BG61" s="61">
        <f t="shared" si="43"/>
        <v>3.4858462005899131</v>
      </c>
      <c r="BH61" s="134">
        <f t="shared" si="44"/>
        <v>286.87438930345496</v>
      </c>
    </row>
    <row r="62" spans="1:61" x14ac:dyDescent="0.25">
      <c r="A62" s="24">
        <v>125</v>
      </c>
      <c r="B62" s="74">
        <f t="shared" si="45"/>
        <v>6.25E-2</v>
      </c>
      <c r="C62" s="28"/>
      <c r="D62" s="65">
        <f t="shared" si="22"/>
        <v>-4.95</v>
      </c>
      <c r="E62" s="23">
        <f t="shared" si="46"/>
        <v>0.11</v>
      </c>
      <c r="F62" s="69"/>
      <c r="G62" s="65">
        <f t="shared" si="0"/>
        <v>-45</v>
      </c>
      <c r="H62" s="65">
        <f t="shared" si="1"/>
        <v>-90</v>
      </c>
      <c r="I62" s="65">
        <f t="shared" si="2"/>
        <v>-167.34375</v>
      </c>
      <c r="J62" s="65">
        <f t="shared" si="3"/>
        <v>3.71875</v>
      </c>
      <c r="K62" s="65">
        <f t="shared" si="4"/>
        <v>-45</v>
      </c>
      <c r="L62" s="65">
        <f t="shared" si="5"/>
        <v>1</v>
      </c>
      <c r="M62" s="69"/>
      <c r="N62" s="65">
        <f t="shared" si="6"/>
        <v>-17.76131830104049</v>
      </c>
      <c r="O62" s="65">
        <f t="shared" si="7"/>
        <v>-17.76131830104049</v>
      </c>
      <c r="P62" s="65">
        <f t="shared" si="8"/>
        <v>-167.34375</v>
      </c>
      <c r="Q62" s="65">
        <f t="shared" si="9"/>
        <v>3.71875</v>
      </c>
      <c r="R62" s="65">
        <f t="shared" si="10"/>
        <v>-8.8806591505202448</v>
      </c>
      <c r="S62" s="65">
        <f t="shared" si="11"/>
        <v>0.3946959622453442</v>
      </c>
      <c r="T62" s="69"/>
      <c r="U62" s="65">
        <f t="shared" si="12"/>
        <v>-14.979113965881796</v>
      </c>
      <c r="V62" s="65">
        <f t="shared" si="13"/>
        <v>165.02088603411821</v>
      </c>
      <c r="W62" s="65">
        <f t="shared" si="23"/>
        <v>-14.979113965881796</v>
      </c>
      <c r="X62" s="65">
        <f t="shared" si="24"/>
        <v>0</v>
      </c>
      <c r="Y62" s="69"/>
      <c r="Z62" s="65">
        <f t="shared" si="14"/>
        <v>-28.072486935852968</v>
      </c>
      <c r="AA62" s="65">
        <f t="shared" si="15"/>
        <v>151.92751306414704</v>
      </c>
      <c r="AB62" s="65">
        <f t="shared" si="25"/>
        <v>-28.072486935852968</v>
      </c>
      <c r="AC62" s="65">
        <f t="shared" si="26"/>
        <v>0</v>
      </c>
      <c r="AD62" s="69"/>
      <c r="AE62" s="65">
        <f t="shared" si="16"/>
        <v>-24.038660430218492</v>
      </c>
      <c r="AF62" s="65">
        <f t="shared" si="17"/>
        <v>155.9613395697815</v>
      </c>
      <c r="AG62" s="65">
        <f t="shared" si="18"/>
        <v>-24.038660430218492</v>
      </c>
      <c r="AH62" s="65">
        <f t="shared" si="19"/>
        <v>0</v>
      </c>
      <c r="AI62" s="69"/>
      <c r="AJ62" s="68">
        <f t="shared" si="27"/>
        <v>1.5671959622453442</v>
      </c>
      <c r="AK62" s="44"/>
      <c r="AL62" s="121"/>
      <c r="AM62" s="23">
        <f t="shared" si="20"/>
        <v>-28.072486935852968</v>
      </c>
      <c r="AN62" s="23">
        <f t="shared" si="21"/>
        <v>151.92751306414704</v>
      </c>
      <c r="AO62" s="65">
        <f t="shared" si="28"/>
        <v>-28.072486935852968</v>
      </c>
      <c r="AP62" s="65">
        <f t="shared" si="29"/>
        <v>0</v>
      </c>
      <c r="AQ62" s="25"/>
      <c r="AR62" s="65">
        <f t="shared" si="30"/>
        <v>-46.16913932790743</v>
      </c>
      <c r="AS62" s="65">
        <f t="shared" si="31"/>
        <v>-92.338278655814861</v>
      </c>
      <c r="AT62" s="65">
        <f t="shared" si="32"/>
        <v>-334.6875</v>
      </c>
      <c r="AU62" s="65">
        <f t="shared" si="33"/>
        <v>7.4375</v>
      </c>
      <c r="AV62" s="65">
        <f t="shared" si="34"/>
        <v>-46.16913932790743</v>
      </c>
      <c r="AW62" s="65">
        <f t="shared" si="35"/>
        <v>1.0259808739534984</v>
      </c>
      <c r="AX62" s="25"/>
      <c r="AY62" s="65">
        <f t="shared" si="36"/>
        <v>-32.005383208083494</v>
      </c>
      <c r="AZ62" s="65">
        <f t="shared" si="37"/>
        <v>-64.010766416166987</v>
      </c>
      <c r="BA62" s="65">
        <f t="shared" si="38"/>
        <v>-334.6875</v>
      </c>
      <c r="BB62" s="65">
        <f t="shared" si="39"/>
        <v>7.4375</v>
      </c>
      <c r="BC62" s="65">
        <f t="shared" si="40"/>
        <v>-32.005383208083494</v>
      </c>
      <c r="BD62" s="65">
        <f t="shared" si="41"/>
        <v>0.71123073795741099</v>
      </c>
      <c r="BE62" s="25"/>
      <c r="BF62" s="60">
        <f t="shared" si="42"/>
        <v>1.7372116119109093</v>
      </c>
      <c r="BG62" s="61">
        <f t="shared" si="43"/>
        <v>3.3044075741562535</v>
      </c>
      <c r="BH62" s="134">
        <f t="shared" si="44"/>
        <v>302.62610696724954</v>
      </c>
    </row>
    <row r="63" spans="1:61" x14ac:dyDescent="0.25">
      <c r="A63" s="24">
        <v>150</v>
      </c>
      <c r="B63" s="74">
        <f t="shared" si="45"/>
        <v>6.25E-2</v>
      </c>
      <c r="C63" s="28"/>
      <c r="D63" s="65">
        <f t="shared" si="22"/>
        <v>-5.94</v>
      </c>
      <c r="E63" s="23">
        <f t="shared" si="46"/>
        <v>0.11</v>
      </c>
      <c r="F63" s="69"/>
      <c r="G63" s="65">
        <f t="shared" si="0"/>
        <v>-50.19442890773481</v>
      </c>
      <c r="H63" s="65">
        <f t="shared" si="1"/>
        <v>-100.38885781546962</v>
      </c>
      <c r="I63" s="65">
        <f t="shared" si="2"/>
        <v>-200.8125</v>
      </c>
      <c r="J63" s="65">
        <f t="shared" si="3"/>
        <v>3.71875</v>
      </c>
      <c r="K63" s="65">
        <f t="shared" si="4"/>
        <v>-50.19442890773481</v>
      </c>
      <c r="L63" s="65">
        <f t="shared" si="5"/>
        <v>0.92952646125434835</v>
      </c>
      <c r="M63" s="69"/>
      <c r="N63" s="65">
        <f t="shared" si="6"/>
        <v>-21.239310552310268</v>
      </c>
      <c r="O63" s="65">
        <f t="shared" si="7"/>
        <v>-21.239310552310268</v>
      </c>
      <c r="P63" s="65">
        <f t="shared" si="8"/>
        <v>-200.8125</v>
      </c>
      <c r="Q63" s="65">
        <f t="shared" si="9"/>
        <v>3.71875</v>
      </c>
      <c r="R63" s="65">
        <f t="shared" si="10"/>
        <v>-10.619655276155134</v>
      </c>
      <c r="S63" s="65">
        <f t="shared" si="11"/>
        <v>0.39332056578352348</v>
      </c>
      <c r="T63" s="69"/>
      <c r="U63" s="65">
        <f t="shared" si="12"/>
        <v>-18.434948822922014</v>
      </c>
      <c r="V63" s="65">
        <f t="shared" si="13"/>
        <v>161.56505117707798</v>
      </c>
      <c r="W63" s="65">
        <f t="shared" si="23"/>
        <v>-18.434948822922014</v>
      </c>
      <c r="X63" s="65">
        <f t="shared" si="24"/>
        <v>0</v>
      </c>
      <c r="Y63" s="69"/>
      <c r="Z63" s="65">
        <f t="shared" si="14"/>
        <v>-36.869897645844027</v>
      </c>
      <c r="AA63" s="65">
        <f t="shared" si="15"/>
        <v>143.13010235415598</v>
      </c>
      <c r="AB63" s="65">
        <f t="shared" si="25"/>
        <v>-36.869897645844027</v>
      </c>
      <c r="AC63" s="65">
        <f t="shared" si="26"/>
        <v>0</v>
      </c>
      <c r="AD63" s="69"/>
      <c r="AE63" s="65">
        <f t="shared" si="16"/>
        <v>-31.008954350344595</v>
      </c>
      <c r="AF63" s="65">
        <f t="shared" si="17"/>
        <v>148.9910456496554</v>
      </c>
      <c r="AG63" s="65">
        <f t="shared" si="18"/>
        <v>-31.008954350344595</v>
      </c>
      <c r="AH63" s="65">
        <f t="shared" si="19"/>
        <v>0</v>
      </c>
      <c r="AI63" s="69"/>
      <c r="AJ63" s="68">
        <f t="shared" si="27"/>
        <v>1.4953470270378717</v>
      </c>
      <c r="AK63" s="44"/>
      <c r="AL63" s="121"/>
      <c r="AM63" s="23">
        <f t="shared" si="20"/>
        <v>-36.869897645844027</v>
      </c>
      <c r="AN63" s="23">
        <f t="shared" si="21"/>
        <v>143.13010235415598</v>
      </c>
      <c r="AO63" s="65">
        <f t="shared" si="28"/>
        <v>-36.869897645844027</v>
      </c>
      <c r="AP63" s="65">
        <f t="shared" si="29"/>
        <v>0</v>
      </c>
      <c r="AQ63" s="25"/>
      <c r="AR63" s="65">
        <f t="shared" si="30"/>
        <v>-51.340191745909912</v>
      </c>
      <c r="AS63" s="65">
        <f t="shared" si="31"/>
        <v>-102.68038349181982</v>
      </c>
      <c r="AT63" s="65">
        <f t="shared" si="32"/>
        <v>-401.625</v>
      </c>
      <c r="AU63" s="65">
        <f t="shared" si="33"/>
        <v>7.4375</v>
      </c>
      <c r="AV63" s="65">
        <f t="shared" si="34"/>
        <v>-51.340191745909912</v>
      </c>
      <c r="AW63" s="65">
        <f t="shared" si="35"/>
        <v>0.95074429159092422</v>
      </c>
      <c r="AX63" s="25"/>
      <c r="AY63" s="65">
        <f t="shared" si="36"/>
        <v>-36.86989764584402</v>
      </c>
      <c r="AZ63" s="65">
        <f t="shared" si="37"/>
        <v>-73.73979529168804</v>
      </c>
      <c r="BA63" s="65">
        <f t="shared" si="38"/>
        <v>-401.625</v>
      </c>
      <c r="BB63" s="65">
        <f t="shared" si="39"/>
        <v>7.4375</v>
      </c>
      <c r="BC63" s="65">
        <f t="shared" si="40"/>
        <v>-36.86989764584402</v>
      </c>
      <c r="BD63" s="65">
        <f t="shared" si="41"/>
        <v>0.68277588233044484</v>
      </c>
      <c r="BE63" s="25"/>
      <c r="BF63" s="60">
        <f t="shared" si="42"/>
        <v>1.6335201739213692</v>
      </c>
      <c r="BG63" s="61">
        <f t="shared" si="43"/>
        <v>3.1288672009592409</v>
      </c>
      <c r="BH63" s="134">
        <f t="shared" si="44"/>
        <v>319.6044880694912</v>
      </c>
    </row>
    <row r="64" spans="1:61" x14ac:dyDescent="0.25">
      <c r="A64" s="24">
        <f>A63+25</f>
        <v>175</v>
      </c>
      <c r="B64" s="74">
        <f t="shared" si="45"/>
        <v>6.25E-2</v>
      </c>
      <c r="C64" s="28"/>
      <c r="D64" s="65">
        <f t="shared" si="22"/>
        <v>-6.93</v>
      </c>
      <c r="E64" s="23">
        <f t="shared" si="46"/>
        <v>0.11</v>
      </c>
      <c r="F64" s="69"/>
      <c r="G64" s="65">
        <f t="shared" si="0"/>
        <v>-54.462322208025618</v>
      </c>
      <c r="H64" s="65">
        <f t="shared" si="1"/>
        <v>-108.92464441605124</v>
      </c>
      <c r="I64" s="65">
        <f t="shared" si="2"/>
        <v>-234.28125</v>
      </c>
      <c r="J64" s="65">
        <f t="shared" si="3"/>
        <v>3.71875</v>
      </c>
      <c r="K64" s="65">
        <f t="shared" si="4"/>
        <v>-54.462322208025618</v>
      </c>
      <c r="L64" s="65">
        <f t="shared" si="5"/>
        <v>0.86448130488929553</v>
      </c>
      <c r="M64" s="69"/>
      <c r="N64" s="65">
        <f t="shared" si="6"/>
        <v>-24.67817455665239</v>
      </c>
      <c r="O64" s="65">
        <f t="shared" si="7"/>
        <v>-24.67817455665239</v>
      </c>
      <c r="P64" s="65">
        <f t="shared" si="8"/>
        <v>-234.28125</v>
      </c>
      <c r="Q64" s="65">
        <f t="shared" si="9"/>
        <v>3.71875</v>
      </c>
      <c r="R64" s="65">
        <f t="shared" si="10"/>
        <v>-12.339087278326195</v>
      </c>
      <c r="S64" s="65">
        <f t="shared" si="11"/>
        <v>0.39171705645479987</v>
      </c>
      <c r="T64" s="69"/>
      <c r="U64" s="65">
        <f t="shared" si="12"/>
        <v>-22.159727388530616</v>
      </c>
      <c r="V64" s="65">
        <f t="shared" si="13"/>
        <v>157.84027261146937</v>
      </c>
      <c r="W64" s="65">
        <f t="shared" si="23"/>
        <v>-22.159727388530616</v>
      </c>
      <c r="X64" s="65">
        <f t="shared" si="24"/>
        <v>0</v>
      </c>
      <c r="Y64" s="69"/>
      <c r="Z64" s="65">
        <f t="shared" si="14"/>
        <v>-47.675426656029153</v>
      </c>
      <c r="AA64" s="65">
        <f t="shared" si="15"/>
        <v>132.32457334397085</v>
      </c>
      <c r="AB64" s="65">
        <f t="shared" si="25"/>
        <v>-47.675426656029153</v>
      </c>
      <c r="AC64" s="65">
        <f t="shared" si="26"/>
        <v>0</v>
      </c>
      <c r="AD64" s="69"/>
      <c r="AE64" s="65">
        <f t="shared" si="16"/>
        <v>-39.369317242364751</v>
      </c>
      <c r="AF64" s="65">
        <f t="shared" si="17"/>
        <v>140.63068275763524</v>
      </c>
      <c r="AG64" s="65">
        <f t="shared" si="18"/>
        <v>-39.369317242364751</v>
      </c>
      <c r="AH64" s="65">
        <f t="shared" si="19"/>
        <v>0</v>
      </c>
      <c r="AI64" s="69"/>
      <c r="AJ64" s="68">
        <f t="shared" si="27"/>
        <v>1.4286983613440953</v>
      </c>
      <c r="AK64" s="44"/>
      <c r="AL64" s="121"/>
      <c r="AM64" s="23">
        <f t="shared" si="20"/>
        <v>-47.675426656029153</v>
      </c>
      <c r="AN64" s="23">
        <f t="shared" si="21"/>
        <v>132.32457334397085</v>
      </c>
      <c r="AO64" s="65">
        <f t="shared" si="28"/>
        <v>-47.675426656029153</v>
      </c>
      <c r="AP64" s="65">
        <f t="shared" si="29"/>
        <v>0</v>
      </c>
      <c r="AQ64" s="25"/>
      <c r="AR64" s="65">
        <f t="shared" si="30"/>
        <v>-55.561010691196387</v>
      </c>
      <c r="AS64" s="65">
        <f t="shared" si="31"/>
        <v>-111.12202138239277</v>
      </c>
      <c r="AT64" s="65">
        <f t="shared" si="32"/>
        <v>-468.5625</v>
      </c>
      <c r="AU64" s="65">
        <f t="shared" si="33"/>
        <v>7.4375</v>
      </c>
      <c r="AV64" s="65">
        <f t="shared" si="34"/>
        <v>-55.561010691196387</v>
      </c>
      <c r="AW64" s="65">
        <f t="shared" si="35"/>
        <v>0.88192080462216493</v>
      </c>
      <c r="AX64" s="25"/>
      <c r="AY64" s="65">
        <f t="shared" si="36"/>
        <v>-41.185925165709655</v>
      </c>
      <c r="AZ64" s="65">
        <f t="shared" si="37"/>
        <v>-82.37185033141931</v>
      </c>
      <c r="BA64" s="65">
        <f t="shared" si="38"/>
        <v>-468.5625</v>
      </c>
      <c r="BB64" s="65">
        <f t="shared" si="39"/>
        <v>7.4375</v>
      </c>
      <c r="BC64" s="65">
        <f t="shared" si="40"/>
        <v>-41.185925165709655</v>
      </c>
      <c r="BD64" s="65">
        <f t="shared" si="41"/>
        <v>0.65374484390015331</v>
      </c>
      <c r="BE64" s="25"/>
      <c r="BF64" s="60">
        <f t="shared" si="42"/>
        <v>1.5356656485223183</v>
      </c>
      <c r="BG64" s="61">
        <f t="shared" si="43"/>
        <v>2.9643640098664137</v>
      </c>
      <c r="BH64" s="134">
        <f t="shared" si="44"/>
        <v>337.34048742720501</v>
      </c>
    </row>
    <row r="65" spans="1:60" x14ac:dyDescent="0.25">
      <c r="A65" s="24">
        <f>A64+25</f>
        <v>200</v>
      </c>
      <c r="B65" s="74">
        <f t="shared" si="45"/>
        <v>6.25E-2</v>
      </c>
      <c r="C65" s="28"/>
      <c r="D65" s="65">
        <f t="shared" si="22"/>
        <v>-7.92</v>
      </c>
      <c r="E65" s="23">
        <f t="shared" si="46"/>
        <v>0.11</v>
      </c>
      <c r="F65" s="69"/>
      <c r="G65" s="65">
        <f t="shared" ref="G65:G94" si="48">IF(G$28="PT1",K65,IF(G$28="BiQUAD",H65,IF(G$28="FIR",I65,"N/A")))</f>
        <v>-57.994616791916499</v>
      </c>
      <c r="H65" s="65">
        <f t="shared" ref="H65:H94" si="49">(-ATAN(1/G$31*(2*$A65/G$30+SQRT(4-G$31^2)))-ATAN(1/G$31*(2*$A65/G$30-SQRT(4-G$31^2))))*180/PI()</f>
        <v>-115.989233583833</v>
      </c>
      <c r="I65" s="65">
        <f t="shared" ref="I65:I94" si="50">-360*$A65*J65/1000</f>
        <v>-267.75</v>
      </c>
      <c r="J65" s="65">
        <f t="shared" ref="J65:J94" si="51">($J$31-1)/(2*$B$31)*1000</f>
        <v>3.71875</v>
      </c>
      <c r="K65" s="65">
        <f t="shared" ref="K65:K94" si="52">-ATAN($A65/G$30)*180/PI()</f>
        <v>-57.994616791916499</v>
      </c>
      <c r="L65" s="65">
        <f t="shared" ref="L65:L94" si="53">IF(L$30="On",ABS((G65/(360*$A65))*1000),0)</f>
        <v>0.805480788776618</v>
      </c>
      <c r="M65" s="69"/>
      <c r="N65" s="65">
        <f t="shared" ref="N65:N94" si="54">IF(N$28="PT1",R65,IF(N$28="BiQUAD",O65,IF(N$28="FIR",P65,"N/A")))</f>
        <v>-28.072486935852954</v>
      </c>
      <c r="O65" s="65">
        <f t="shared" ref="O65:O94" si="55">(-ATAN(1/N$31*(2*$A65/N$30+SQRT(4-N$31^2)))-ATAN(1/N$31*(2*$A65/N$30-SQRT(4-N$31^2))))*180/PI()</f>
        <v>-28.072486935852954</v>
      </c>
      <c r="P65" s="65">
        <f t="shared" ref="P65:P94" si="56">-360*$A65*Q65/1000</f>
        <v>-267.75</v>
      </c>
      <c r="Q65" s="65">
        <f t="shared" ref="Q65:Q94" si="57">($J$31-1)/(2*$B$31)*1000</f>
        <v>3.71875</v>
      </c>
      <c r="R65" s="65">
        <f t="shared" ref="R65:R94" si="58">-ATAN($A65/N$30)*180/PI()</f>
        <v>-14.036243467926477</v>
      </c>
      <c r="S65" s="65">
        <f t="shared" ref="S65:S94" si="59">IF(S$30="On",ABS((N65/(360*$A65))*1000),0)</f>
        <v>0.38989565188684661</v>
      </c>
      <c r="T65" s="69"/>
      <c r="U65" s="65">
        <f t="shared" ref="U65:U94" si="60">(-ATAN(2*V$31*$A65/$W$28+SQRT(4*V$31^2-1))-ATAN(2*V$31*$A65/W$28-SQRT(4*V$31^2-1)))*180/PI()</f>
        <v>-26.211378017831539</v>
      </c>
      <c r="V65" s="65">
        <f t="shared" ref="V65:V94" si="61">(-ATAN(2*V$31*$A65/W$28+SQRT(4*V$31^2-1))-ATAN(2*V$31*$A65/W$28-SQRT(4*V$31^2-1)))*180/PI()+180</f>
        <v>153.78862198216845</v>
      </c>
      <c r="W65" s="65">
        <f t="shared" si="23"/>
        <v>-26.211378017831539</v>
      </c>
      <c r="X65" s="65">
        <f t="shared" si="24"/>
        <v>0</v>
      </c>
      <c r="Y65" s="69"/>
      <c r="Z65" s="65">
        <f t="shared" ref="Z65:Z94" si="62">(-ATAN(2*AA$31*$A65/AB$28+SQRT(4*AA$31^2-1))-ATAN(2*AA$31*$A65/AB$28-SQRT(4*AA$31^2-1)))*180/PI()</f>
        <v>-60.642246457208735</v>
      </c>
      <c r="AA65" s="65">
        <f t="shared" ref="AA65:AA94" si="63">(-ATAN(2*AA$31*$A65/AB$28+SQRT(4*AA$31^2-1))-ATAN(2*AA$31*$A65/AB$28-SQRT(4*AA$31^2-1)))*180/PI()+180</f>
        <v>119.35775354279127</v>
      </c>
      <c r="AB65" s="65">
        <f t="shared" si="25"/>
        <v>-60.642246457208735</v>
      </c>
      <c r="AC65" s="65">
        <f t="shared" si="26"/>
        <v>0</v>
      </c>
      <c r="AD65" s="69"/>
      <c r="AE65" s="65">
        <f t="shared" ref="AE65:AE94" si="64">(-ATAN(2*AF$31*$A65/$AG$28+SQRT(4*AF$31^2-1))-ATAN(2*AF$31*$A65/AG$28-SQRT(4*AF$31^2-1)))*180/PI()</f>
        <v>-49.398705354995549</v>
      </c>
      <c r="AF65" s="65">
        <f t="shared" ref="AF65:AF94" si="65">(-ATAN(2*AF$31*$A65/AG$28+SQRT(4*AF$31^2-1))-ATAN(2*AF$31*$A65/AG$28-SQRT(4*AF$31^2-1)))*180/PI()+180</f>
        <v>130.60129464500446</v>
      </c>
      <c r="AG65" s="65">
        <f t="shared" ref="AG65:AG94" si="66">IF($A65&lt;=AG$28,AE65,AF65)</f>
        <v>-49.398705354995549</v>
      </c>
      <c r="AH65" s="65">
        <f t="shared" ref="AH65:AH94" si="67">IF(AH$30="On",ABS((AG65/(360*$A65))*1000),0)</f>
        <v>0</v>
      </c>
      <c r="AI65" s="69"/>
      <c r="AJ65" s="68">
        <f t="shared" si="27"/>
        <v>1.3678764406634647</v>
      </c>
      <c r="AK65" s="44"/>
      <c r="AL65" s="121"/>
      <c r="AM65" s="23">
        <f t="shared" ref="AM65:AM94" si="68">(-ATAN(2*AN$31*$A65/AO$28+SQRT(4*AN$31^2-1))-ATAN(2*AN$31*$A65/AO$28-SQRT(4*AN$31^2-1)))*180/PI()</f>
        <v>-60.642246457208735</v>
      </c>
      <c r="AN65" s="23">
        <f t="shared" ref="AN65:AN94" si="69">(-ATAN(2*AN$31*$A65/AO$28+SQRT(4*AN$31^2-1))-ATAN(2*AN$31*$A65/AO$28-SQRT(4*AN$31^2-1)))*180/PI()+180</f>
        <v>119.35775354279127</v>
      </c>
      <c r="AO65" s="65">
        <f t="shared" si="28"/>
        <v>-60.642246457208735</v>
      </c>
      <c r="AP65" s="65">
        <f t="shared" si="29"/>
        <v>0</v>
      </c>
      <c r="AQ65" s="25"/>
      <c r="AR65" s="65">
        <f t="shared" si="30"/>
        <v>-59.036243467926482</v>
      </c>
      <c r="AS65" s="65">
        <f t="shared" si="31"/>
        <v>-118.07248693585296</v>
      </c>
      <c r="AT65" s="65">
        <f t="shared" si="32"/>
        <v>-535.5</v>
      </c>
      <c r="AU65" s="65">
        <f t="shared" si="33"/>
        <v>7.4375</v>
      </c>
      <c r="AV65" s="65">
        <f t="shared" si="34"/>
        <v>-59.036243467926482</v>
      </c>
      <c r="AW65" s="65">
        <f t="shared" si="35"/>
        <v>0.81994782594342341</v>
      </c>
      <c r="AX65" s="25"/>
      <c r="AY65" s="65">
        <f t="shared" si="36"/>
        <v>-45</v>
      </c>
      <c r="AZ65" s="65">
        <f t="shared" si="37"/>
        <v>-90</v>
      </c>
      <c r="BA65" s="65">
        <f t="shared" si="38"/>
        <v>-535.5</v>
      </c>
      <c r="BB65" s="65">
        <f t="shared" si="39"/>
        <v>7.4375</v>
      </c>
      <c r="BC65" s="65">
        <f t="shared" si="40"/>
        <v>-45</v>
      </c>
      <c r="BD65" s="65">
        <f t="shared" si="41"/>
        <v>0.625</v>
      </c>
      <c r="BE65" s="25"/>
      <c r="BF65" s="60">
        <f t="shared" si="42"/>
        <v>1.4449478259434234</v>
      </c>
      <c r="BG65" s="61">
        <f t="shared" si="43"/>
        <v>2.8128242666068881</v>
      </c>
      <c r="BH65" s="134">
        <f t="shared" si="44"/>
        <v>355.51456657699441</v>
      </c>
    </row>
    <row r="66" spans="1:60" x14ac:dyDescent="0.25">
      <c r="A66" s="24">
        <f t="shared" ref="A66:A81" si="70">A65+25</f>
        <v>225</v>
      </c>
      <c r="B66" s="74">
        <f t="shared" si="45"/>
        <v>6.25E-2</v>
      </c>
      <c r="C66" s="28"/>
      <c r="D66" s="65">
        <f t="shared" si="22"/>
        <v>-8.91</v>
      </c>
      <c r="E66" s="23">
        <f t="shared" si="46"/>
        <v>0.11</v>
      </c>
      <c r="F66" s="69"/>
      <c r="G66" s="65">
        <f t="shared" si="48"/>
        <v>-60.945395900922861</v>
      </c>
      <c r="H66" s="65">
        <f t="shared" si="49"/>
        <v>-121.89079180184572</v>
      </c>
      <c r="I66" s="65">
        <f t="shared" si="50"/>
        <v>-301.21875</v>
      </c>
      <c r="J66" s="65">
        <f t="shared" si="51"/>
        <v>3.71875</v>
      </c>
      <c r="K66" s="65">
        <f t="shared" si="52"/>
        <v>-60.945395900922861</v>
      </c>
      <c r="L66" s="65">
        <f t="shared" si="53"/>
        <v>0.75241229507312168</v>
      </c>
      <c r="M66" s="69"/>
      <c r="N66" s="65">
        <f t="shared" si="54"/>
        <v>-31.417275658031492</v>
      </c>
      <c r="O66" s="65">
        <f t="shared" si="55"/>
        <v>-31.417275658031492</v>
      </c>
      <c r="P66" s="65">
        <f t="shared" si="56"/>
        <v>-301.21875</v>
      </c>
      <c r="Q66" s="65">
        <f t="shared" si="57"/>
        <v>3.71875</v>
      </c>
      <c r="R66" s="65">
        <f t="shared" si="58"/>
        <v>-15.708637829015746</v>
      </c>
      <c r="S66" s="65">
        <f t="shared" si="59"/>
        <v>0.38786760071643822</v>
      </c>
      <c r="T66" s="69"/>
      <c r="U66" s="65">
        <f t="shared" si="60"/>
        <v>-30.650667957052868</v>
      </c>
      <c r="V66" s="65">
        <f t="shared" si="61"/>
        <v>149.34933204294714</v>
      </c>
      <c r="W66" s="65">
        <f t="shared" si="23"/>
        <v>-30.650667957052868</v>
      </c>
      <c r="X66" s="65">
        <f t="shared" si="24"/>
        <v>0</v>
      </c>
      <c r="Y66" s="69"/>
      <c r="Z66" s="65">
        <f t="shared" si="62"/>
        <v>-75.217273957384336</v>
      </c>
      <c r="AA66" s="65">
        <f t="shared" si="63"/>
        <v>104.78272604261566</v>
      </c>
      <c r="AB66" s="65">
        <f t="shared" si="25"/>
        <v>-75.217273957384336</v>
      </c>
      <c r="AC66" s="65">
        <f t="shared" si="26"/>
        <v>0</v>
      </c>
      <c r="AD66" s="69"/>
      <c r="AE66" s="65">
        <f t="shared" si="64"/>
        <v>-61.141224419809546</v>
      </c>
      <c r="AF66" s="65">
        <f t="shared" si="65"/>
        <v>118.85877558019045</v>
      </c>
      <c r="AG66" s="65">
        <f t="shared" si="66"/>
        <v>-61.141224419809546</v>
      </c>
      <c r="AH66" s="65">
        <f t="shared" si="67"/>
        <v>0</v>
      </c>
      <c r="AI66" s="69"/>
      <c r="AJ66" s="68">
        <f t="shared" si="27"/>
        <v>1.3127798957895598</v>
      </c>
      <c r="AK66" s="44"/>
      <c r="AL66" s="121"/>
      <c r="AM66" s="23">
        <f t="shared" si="68"/>
        <v>-75.217273957384336</v>
      </c>
      <c r="AN66" s="23">
        <f t="shared" si="69"/>
        <v>104.78272604261566</v>
      </c>
      <c r="AO66" s="65">
        <f t="shared" si="28"/>
        <v>-75.217273957384336</v>
      </c>
      <c r="AP66" s="65">
        <f t="shared" si="29"/>
        <v>0</v>
      </c>
      <c r="AQ66" s="25"/>
      <c r="AR66" s="65">
        <f t="shared" si="30"/>
        <v>-61.927513064147043</v>
      </c>
      <c r="AS66" s="65">
        <f t="shared" si="31"/>
        <v>-123.85502612829409</v>
      </c>
      <c r="AT66" s="65">
        <f t="shared" si="32"/>
        <v>-602.4375</v>
      </c>
      <c r="AU66" s="65">
        <f t="shared" si="33"/>
        <v>7.4375</v>
      </c>
      <c r="AV66" s="65">
        <f t="shared" si="34"/>
        <v>-61.927513064147043</v>
      </c>
      <c r="AW66" s="65">
        <f t="shared" si="35"/>
        <v>0.76453719832280298</v>
      </c>
      <c r="AX66" s="25"/>
      <c r="AY66" s="65">
        <f t="shared" si="36"/>
        <v>-48.366460663429812</v>
      </c>
      <c r="AZ66" s="65">
        <f t="shared" si="37"/>
        <v>-96.732921326859625</v>
      </c>
      <c r="BA66" s="65">
        <f t="shared" si="38"/>
        <v>-602.4375</v>
      </c>
      <c r="BB66" s="65">
        <f t="shared" si="39"/>
        <v>7.4375</v>
      </c>
      <c r="BC66" s="65">
        <f t="shared" si="40"/>
        <v>-48.366460663429812</v>
      </c>
      <c r="BD66" s="65">
        <f t="shared" si="41"/>
        <v>0.59711679831394837</v>
      </c>
      <c r="BE66" s="25"/>
      <c r="BF66" s="60">
        <f t="shared" si="42"/>
        <v>1.3616539966367514</v>
      </c>
      <c r="BG66" s="61">
        <f t="shared" si="43"/>
        <v>2.6744338924263111</v>
      </c>
      <c r="BH66" s="134">
        <f t="shared" si="44"/>
        <v>373.91090609189661</v>
      </c>
    </row>
    <row r="67" spans="1:60" x14ac:dyDescent="0.25">
      <c r="A67" s="24">
        <f t="shared" si="70"/>
        <v>250</v>
      </c>
      <c r="B67" s="74">
        <f t="shared" si="45"/>
        <v>6.25E-2</v>
      </c>
      <c r="C67" s="28"/>
      <c r="D67" s="65">
        <f t="shared" si="22"/>
        <v>-9.9</v>
      </c>
      <c r="E67" s="23">
        <f t="shared" si="46"/>
        <v>0.11</v>
      </c>
      <c r="F67" s="69"/>
      <c r="G67" s="65">
        <f t="shared" si="48"/>
        <v>-63.43494882292201</v>
      </c>
      <c r="H67" s="65">
        <f t="shared" si="49"/>
        <v>-126.86989764584402</v>
      </c>
      <c r="I67" s="65">
        <f t="shared" si="50"/>
        <v>-334.6875</v>
      </c>
      <c r="J67" s="65">
        <f t="shared" si="51"/>
        <v>3.71875</v>
      </c>
      <c r="K67" s="65">
        <f t="shared" si="52"/>
        <v>-63.43494882292201</v>
      </c>
      <c r="L67" s="65">
        <f t="shared" si="53"/>
        <v>0.70483276469913336</v>
      </c>
      <c r="M67" s="69"/>
      <c r="N67" s="65">
        <f t="shared" si="54"/>
        <v>-34.708049272522651</v>
      </c>
      <c r="O67" s="65">
        <f t="shared" si="55"/>
        <v>-34.708049272522651</v>
      </c>
      <c r="P67" s="65">
        <f t="shared" si="56"/>
        <v>-334.6875</v>
      </c>
      <c r="Q67" s="65">
        <f t="shared" si="57"/>
        <v>3.71875</v>
      </c>
      <c r="R67" s="65">
        <f t="shared" si="58"/>
        <v>-17.354024636261325</v>
      </c>
      <c r="S67" s="65">
        <f t="shared" si="59"/>
        <v>0.38564499191691831</v>
      </c>
      <c r="T67" s="69"/>
      <c r="U67" s="65">
        <f t="shared" si="60"/>
        <v>-35.537677791974382</v>
      </c>
      <c r="V67" s="65">
        <f t="shared" si="61"/>
        <v>144.46232220802563</v>
      </c>
      <c r="W67" s="65">
        <f t="shared" si="23"/>
        <v>-35.537677791974382</v>
      </c>
      <c r="X67" s="65">
        <f t="shared" si="24"/>
        <v>0</v>
      </c>
      <c r="Y67" s="69"/>
      <c r="Z67" s="65">
        <f t="shared" si="62"/>
        <v>-90.000000000000014</v>
      </c>
      <c r="AA67" s="65">
        <f t="shared" si="63"/>
        <v>89.999999999999986</v>
      </c>
      <c r="AB67" s="65">
        <f t="shared" si="25"/>
        <v>-90.000000000000014</v>
      </c>
      <c r="AC67" s="65">
        <f t="shared" si="26"/>
        <v>0</v>
      </c>
      <c r="AD67" s="69"/>
      <c r="AE67" s="65">
        <f t="shared" si="64"/>
        <v>-74.149240741800241</v>
      </c>
      <c r="AF67" s="65">
        <f t="shared" si="65"/>
        <v>105.85075925819976</v>
      </c>
      <c r="AG67" s="65">
        <f t="shared" si="66"/>
        <v>-74.149240741800241</v>
      </c>
      <c r="AH67" s="65">
        <f t="shared" si="67"/>
        <v>0</v>
      </c>
      <c r="AI67" s="69"/>
      <c r="AJ67" s="68">
        <f t="shared" si="27"/>
        <v>1.2629777566160518</v>
      </c>
      <c r="AK67" s="44"/>
      <c r="AL67" s="121"/>
      <c r="AM67" s="23">
        <f t="shared" si="68"/>
        <v>-90.000000000000014</v>
      </c>
      <c r="AN67" s="23">
        <f t="shared" si="69"/>
        <v>89.999999999999986</v>
      </c>
      <c r="AO67" s="65">
        <f t="shared" si="28"/>
        <v>-90.000000000000014</v>
      </c>
      <c r="AP67" s="65">
        <f t="shared" si="29"/>
        <v>0</v>
      </c>
      <c r="AQ67" s="25"/>
      <c r="AR67" s="65">
        <f t="shared" si="30"/>
        <v>-64.358994175694733</v>
      </c>
      <c r="AS67" s="65">
        <f t="shared" si="31"/>
        <v>-128.71798835138947</v>
      </c>
      <c r="AT67" s="65">
        <f t="shared" si="32"/>
        <v>-669.375</v>
      </c>
      <c r="AU67" s="65">
        <f t="shared" si="33"/>
        <v>7.4375</v>
      </c>
      <c r="AV67" s="65">
        <f t="shared" si="34"/>
        <v>-64.358994175694733</v>
      </c>
      <c r="AW67" s="65">
        <f t="shared" si="35"/>
        <v>0.71509993528549698</v>
      </c>
      <c r="AX67" s="25"/>
      <c r="AY67" s="65">
        <f t="shared" si="36"/>
        <v>-51.340191745909912</v>
      </c>
      <c r="AZ67" s="65">
        <f t="shared" si="37"/>
        <v>-102.68038349181982</v>
      </c>
      <c r="BA67" s="65">
        <f t="shared" si="38"/>
        <v>-669.375</v>
      </c>
      <c r="BB67" s="65">
        <f t="shared" si="39"/>
        <v>7.4375</v>
      </c>
      <c r="BC67" s="65">
        <f t="shared" si="40"/>
        <v>-51.340191745909912</v>
      </c>
      <c r="BD67" s="65">
        <f t="shared" si="41"/>
        <v>0.57044657495455464</v>
      </c>
      <c r="BE67" s="25"/>
      <c r="BF67" s="60">
        <f t="shared" si="42"/>
        <v>1.2855465102400516</v>
      </c>
      <c r="BG67" s="61">
        <f t="shared" si="43"/>
        <v>2.5485242668561034</v>
      </c>
      <c r="BH67" s="134">
        <f t="shared" si="44"/>
        <v>392.38394274095515</v>
      </c>
    </row>
    <row r="68" spans="1:60" x14ac:dyDescent="0.25">
      <c r="A68" s="24">
        <f t="shared" si="70"/>
        <v>275</v>
      </c>
      <c r="B68" s="74">
        <f t="shared" si="45"/>
        <v>6.25E-2</v>
      </c>
      <c r="C68" s="28"/>
      <c r="D68" s="65">
        <f t="shared" si="22"/>
        <v>-10.89</v>
      </c>
      <c r="E68" s="23">
        <f t="shared" si="46"/>
        <v>0.11</v>
      </c>
      <c r="F68" s="69"/>
      <c r="G68" s="65">
        <f t="shared" si="48"/>
        <v>-65.556045219583467</v>
      </c>
      <c r="H68" s="65">
        <f t="shared" si="49"/>
        <v>-131.11209043916693</v>
      </c>
      <c r="I68" s="65">
        <f t="shared" si="50"/>
        <v>-368.15625</v>
      </c>
      <c r="J68" s="65">
        <f t="shared" si="51"/>
        <v>3.71875</v>
      </c>
      <c r="K68" s="65">
        <f t="shared" si="52"/>
        <v>-65.556045219583467</v>
      </c>
      <c r="L68" s="65">
        <f t="shared" si="53"/>
        <v>0.66218227494528759</v>
      </c>
      <c r="M68" s="69"/>
      <c r="N68" s="65">
        <f t="shared" si="54"/>
        <v>-37.94081561697309</v>
      </c>
      <c r="O68" s="65">
        <f t="shared" si="55"/>
        <v>-37.94081561697309</v>
      </c>
      <c r="P68" s="65">
        <f t="shared" si="56"/>
        <v>-368.15625</v>
      </c>
      <c r="Q68" s="65">
        <f t="shared" si="57"/>
        <v>3.71875</v>
      </c>
      <c r="R68" s="65">
        <f t="shared" si="58"/>
        <v>-18.970407808486545</v>
      </c>
      <c r="S68" s="65">
        <f t="shared" si="59"/>
        <v>0.38324056178760696</v>
      </c>
      <c r="T68" s="69"/>
      <c r="U68" s="65">
        <f t="shared" si="60"/>
        <v>-40.9251268500348</v>
      </c>
      <c r="V68" s="65">
        <f t="shared" si="61"/>
        <v>139.07487314996519</v>
      </c>
      <c r="W68" s="65">
        <f t="shared" si="23"/>
        <v>-40.9251268500348</v>
      </c>
      <c r="X68" s="65">
        <f t="shared" si="24"/>
        <v>0</v>
      </c>
      <c r="Y68" s="69"/>
      <c r="Z68" s="65">
        <f t="shared" si="62"/>
        <v>-103.42183506788622</v>
      </c>
      <c r="AA68" s="65">
        <f t="shared" si="63"/>
        <v>76.578164932113779</v>
      </c>
      <c r="AB68" s="65">
        <f t="shared" si="25"/>
        <v>76.578164932113779</v>
      </c>
      <c r="AC68" s="65">
        <f t="shared" si="26"/>
        <v>0</v>
      </c>
      <c r="AD68" s="69"/>
      <c r="AE68" s="65">
        <f t="shared" si="64"/>
        <v>-87.420643436049602</v>
      </c>
      <c r="AF68" s="65">
        <f t="shared" si="65"/>
        <v>92.579356563950398</v>
      </c>
      <c r="AG68" s="65">
        <f t="shared" si="66"/>
        <v>-87.420643436049602</v>
      </c>
      <c r="AH68" s="65">
        <f t="shared" si="67"/>
        <v>0</v>
      </c>
      <c r="AI68" s="69"/>
      <c r="AJ68" s="68">
        <f t="shared" si="27"/>
        <v>1.2179228367328947</v>
      </c>
      <c r="AK68" s="44"/>
      <c r="AL68" s="121"/>
      <c r="AM68" s="23">
        <f t="shared" si="68"/>
        <v>-103.42183506788622</v>
      </c>
      <c r="AN68" s="23">
        <f t="shared" si="69"/>
        <v>76.578164932113779</v>
      </c>
      <c r="AO68" s="65">
        <f t="shared" si="28"/>
        <v>76.578164932113779</v>
      </c>
      <c r="AP68" s="65">
        <f t="shared" si="29"/>
        <v>0</v>
      </c>
      <c r="AQ68" s="25"/>
      <c r="AR68" s="65">
        <f t="shared" si="30"/>
        <v>-66.425293798087395</v>
      </c>
      <c r="AS68" s="65">
        <f t="shared" si="31"/>
        <v>-132.85058759617479</v>
      </c>
      <c r="AT68" s="65">
        <f t="shared" si="32"/>
        <v>-736.3125</v>
      </c>
      <c r="AU68" s="65">
        <f t="shared" si="33"/>
        <v>7.4375</v>
      </c>
      <c r="AV68" s="65">
        <f t="shared" si="34"/>
        <v>-66.425293798087395</v>
      </c>
      <c r="AW68" s="65">
        <f t="shared" si="35"/>
        <v>0.67096256361704443</v>
      </c>
      <c r="AX68" s="25"/>
      <c r="AY68" s="65">
        <f t="shared" si="36"/>
        <v>-53.972626614896392</v>
      </c>
      <c r="AZ68" s="65">
        <f t="shared" si="37"/>
        <v>-107.94525322979278</v>
      </c>
      <c r="BA68" s="65">
        <f t="shared" si="38"/>
        <v>-736.3125</v>
      </c>
      <c r="BB68" s="65">
        <f t="shared" si="39"/>
        <v>7.4375</v>
      </c>
      <c r="BC68" s="65">
        <f t="shared" si="40"/>
        <v>-53.972626614896392</v>
      </c>
      <c r="BD68" s="65">
        <f t="shared" si="41"/>
        <v>0.54517804661511504</v>
      </c>
      <c r="BE68" s="25"/>
      <c r="BF68" s="60">
        <f t="shared" si="42"/>
        <v>1.2161406102321595</v>
      </c>
      <c r="BG68" s="61">
        <f t="shared" si="43"/>
        <v>2.4340634469650544</v>
      </c>
      <c r="BH68" s="134">
        <f t="shared" si="44"/>
        <v>410.83563423412966</v>
      </c>
    </row>
    <row r="69" spans="1:60" x14ac:dyDescent="0.25">
      <c r="A69" s="24">
        <f t="shared" si="70"/>
        <v>300</v>
      </c>
      <c r="B69" s="74">
        <f t="shared" si="45"/>
        <v>6.25E-2</v>
      </c>
      <c r="C69" s="28"/>
      <c r="D69" s="65">
        <f t="shared" si="22"/>
        <v>-11.88</v>
      </c>
      <c r="E69" s="23">
        <f t="shared" si="46"/>
        <v>0.11</v>
      </c>
      <c r="F69" s="69"/>
      <c r="G69" s="65">
        <f t="shared" si="48"/>
        <v>-67.38013505195957</v>
      </c>
      <c r="H69" s="65">
        <f t="shared" si="49"/>
        <v>-134.76027010391914</v>
      </c>
      <c r="I69" s="65">
        <f t="shared" si="50"/>
        <v>-401.625</v>
      </c>
      <c r="J69" s="65">
        <f t="shared" si="51"/>
        <v>3.71875</v>
      </c>
      <c r="K69" s="65">
        <f t="shared" si="52"/>
        <v>-67.38013505195957</v>
      </c>
      <c r="L69" s="65">
        <f t="shared" si="53"/>
        <v>0.62389013936999604</v>
      </c>
      <c r="M69" s="69"/>
      <c r="N69" s="65">
        <f t="shared" si="54"/>
        <v>-41.112090439166927</v>
      </c>
      <c r="O69" s="65">
        <f t="shared" si="55"/>
        <v>-41.112090439166927</v>
      </c>
      <c r="P69" s="65">
        <f t="shared" si="56"/>
        <v>-401.625</v>
      </c>
      <c r="Q69" s="65">
        <f t="shared" si="57"/>
        <v>3.71875</v>
      </c>
      <c r="R69" s="65">
        <f t="shared" si="58"/>
        <v>-20.556045219583464</v>
      </c>
      <c r="S69" s="65">
        <f t="shared" si="59"/>
        <v>0.38066750406636046</v>
      </c>
      <c r="T69" s="69"/>
      <c r="U69" s="65">
        <f t="shared" si="60"/>
        <v>-46.847610265994611</v>
      </c>
      <c r="V69" s="65">
        <f t="shared" si="61"/>
        <v>133.1523897340054</v>
      </c>
      <c r="W69" s="65">
        <f t="shared" si="23"/>
        <v>-46.847610265994611</v>
      </c>
      <c r="X69" s="65">
        <f t="shared" si="24"/>
        <v>0</v>
      </c>
      <c r="Y69" s="69"/>
      <c r="Z69" s="65">
        <f t="shared" si="62"/>
        <v>-114.62356478616361</v>
      </c>
      <c r="AA69" s="65">
        <f t="shared" si="63"/>
        <v>65.376435213836388</v>
      </c>
      <c r="AB69" s="65">
        <f t="shared" si="25"/>
        <v>65.376435213836388</v>
      </c>
      <c r="AC69" s="65">
        <f t="shared" si="26"/>
        <v>0</v>
      </c>
      <c r="AD69" s="69"/>
      <c r="AE69" s="65">
        <f t="shared" si="64"/>
        <v>-99.793827358447572</v>
      </c>
      <c r="AF69" s="65">
        <f t="shared" si="65"/>
        <v>80.206172641552428</v>
      </c>
      <c r="AG69" s="65">
        <f t="shared" si="66"/>
        <v>80.206172641552428</v>
      </c>
      <c r="AH69" s="65">
        <f t="shared" si="67"/>
        <v>0</v>
      </c>
      <c r="AI69" s="69"/>
      <c r="AJ69" s="68">
        <f t="shared" si="27"/>
        <v>1.1770576434363564</v>
      </c>
      <c r="AK69" s="44"/>
      <c r="AL69" s="121"/>
      <c r="AM69" s="23">
        <f t="shared" si="68"/>
        <v>-114.62356478616361</v>
      </c>
      <c r="AN69" s="23">
        <f t="shared" si="69"/>
        <v>65.376435213836388</v>
      </c>
      <c r="AO69" s="65">
        <f t="shared" si="28"/>
        <v>65.376435213836388</v>
      </c>
      <c r="AP69" s="65">
        <f t="shared" si="29"/>
        <v>0</v>
      </c>
      <c r="AQ69" s="25"/>
      <c r="AR69" s="65">
        <f t="shared" si="30"/>
        <v>-68.198590513648185</v>
      </c>
      <c r="AS69" s="65">
        <f t="shared" si="31"/>
        <v>-136.39718102729637</v>
      </c>
      <c r="AT69" s="65">
        <f t="shared" si="32"/>
        <v>-803.25</v>
      </c>
      <c r="AU69" s="65">
        <f t="shared" si="33"/>
        <v>7.4375</v>
      </c>
      <c r="AV69" s="65">
        <f t="shared" si="34"/>
        <v>-68.198590513648185</v>
      </c>
      <c r="AW69" s="65">
        <f t="shared" si="35"/>
        <v>0.63146843068192771</v>
      </c>
      <c r="AX69" s="25"/>
      <c r="AY69" s="65">
        <f t="shared" si="36"/>
        <v>-56.309932474020215</v>
      </c>
      <c r="AZ69" s="65">
        <f t="shared" si="37"/>
        <v>-112.61986494804043</v>
      </c>
      <c r="BA69" s="65">
        <f t="shared" si="38"/>
        <v>-803.25</v>
      </c>
      <c r="BB69" s="65">
        <f t="shared" si="39"/>
        <v>7.4375</v>
      </c>
      <c r="BC69" s="65">
        <f t="shared" si="40"/>
        <v>-56.309932474020215</v>
      </c>
      <c r="BD69" s="65">
        <f t="shared" si="41"/>
        <v>0.52138826364833524</v>
      </c>
      <c r="BE69" s="25"/>
      <c r="BF69" s="60">
        <f t="shared" si="42"/>
        <v>1.1528566943302629</v>
      </c>
      <c r="BG69" s="61">
        <f t="shared" si="43"/>
        <v>2.3299143377666196</v>
      </c>
      <c r="BH69" s="134">
        <f t="shared" si="44"/>
        <v>429.20032886641127</v>
      </c>
    </row>
    <row r="70" spans="1:60" x14ac:dyDescent="0.25">
      <c r="A70" s="24">
        <f t="shared" si="70"/>
        <v>325</v>
      </c>
      <c r="B70" s="74">
        <f t="shared" si="45"/>
        <v>6.25E-2</v>
      </c>
      <c r="C70" s="28"/>
      <c r="D70" s="65">
        <f t="shared" si="22"/>
        <v>-12.87</v>
      </c>
      <c r="E70" s="23">
        <f t="shared" si="46"/>
        <v>0.11</v>
      </c>
      <c r="F70" s="69"/>
      <c r="G70" s="65">
        <f t="shared" si="48"/>
        <v>-68.962488974578193</v>
      </c>
      <c r="H70" s="65">
        <f t="shared" si="49"/>
        <v>-137.92497794915639</v>
      </c>
      <c r="I70" s="65">
        <f t="shared" si="50"/>
        <v>-435.09375</v>
      </c>
      <c r="J70" s="65">
        <f t="shared" si="51"/>
        <v>3.71875</v>
      </c>
      <c r="K70" s="65">
        <f t="shared" si="52"/>
        <v>-68.962488974578193</v>
      </c>
      <c r="L70" s="65">
        <f t="shared" si="53"/>
        <v>0.58942298268870252</v>
      </c>
      <c r="M70" s="69"/>
      <c r="N70" s="65">
        <f t="shared" si="54"/>
        <v>-44.218896687503346</v>
      </c>
      <c r="O70" s="65">
        <f t="shared" si="55"/>
        <v>-44.218896687503346</v>
      </c>
      <c r="P70" s="65">
        <f t="shared" si="56"/>
        <v>-435.09375</v>
      </c>
      <c r="Q70" s="65">
        <f t="shared" si="57"/>
        <v>3.71875</v>
      </c>
      <c r="R70" s="65">
        <f t="shared" si="58"/>
        <v>-22.109448343751673</v>
      </c>
      <c r="S70" s="65">
        <f t="shared" si="59"/>
        <v>0.37793928792737902</v>
      </c>
      <c r="T70" s="69"/>
      <c r="U70" s="65">
        <f t="shared" si="60"/>
        <v>-53.306804275086151</v>
      </c>
      <c r="V70" s="65">
        <f t="shared" si="61"/>
        <v>126.69319572491385</v>
      </c>
      <c r="W70" s="65">
        <f t="shared" si="23"/>
        <v>-53.306804275086151</v>
      </c>
      <c r="X70" s="65">
        <f t="shared" si="24"/>
        <v>0</v>
      </c>
      <c r="Y70" s="69"/>
      <c r="Z70" s="65">
        <f t="shared" si="62"/>
        <v>-123.56274378109241</v>
      </c>
      <c r="AA70" s="65">
        <f t="shared" si="63"/>
        <v>56.437256218907592</v>
      </c>
      <c r="AB70" s="65">
        <f t="shared" si="25"/>
        <v>56.437256218907592</v>
      </c>
      <c r="AC70" s="65">
        <f t="shared" si="26"/>
        <v>0</v>
      </c>
      <c r="AD70" s="69"/>
      <c r="AE70" s="65">
        <f t="shared" si="64"/>
        <v>-110.50427778615601</v>
      </c>
      <c r="AF70" s="65">
        <f t="shared" si="65"/>
        <v>69.49572221384399</v>
      </c>
      <c r="AG70" s="65">
        <f t="shared" si="66"/>
        <v>69.49572221384399</v>
      </c>
      <c r="AH70" s="65">
        <f t="shared" si="67"/>
        <v>0</v>
      </c>
      <c r="AI70" s="69"/>
      <c r="AJ70" s="68">
        <f t="shared" si="27"/>
        <v>1.1398622706160815</v>
      </c>
      <c r="AK70" s="44"/>
      <c r="AL70" s="121"/>
      <c r="AM70" s="23">
        <f t="shared" si="68"/>
        <v>-123.56274378109241</v>
      </c>
      <c r="AN70" s="23">
        <f t="shared" si="69"/>
        <v>56.437256218907592</v>
      </c>
      <c r="AO70" s="65">
        <f t="shared" si="28"/>
        <v>56.437256218907592</v>
      </c>
      <c r="AP70" s="65">
        <f t="shared" si="29"/>
        <v>0</v>
      </c>
      <c r="AQ70" s="25"/>
      <c r="AR70" s="65">
        <f t="shared" si="30"/>
        <v>-69.734302529052499</v>
      </c>
      <c r="AS70" s="65">
        <f t="shared" si="31"/>
        <v>-139.468605058105</v>
      </c>
      <c r="AT70" s="65">
        <f t="shared" si="32"/>
        <v>-870.1875</v>
      </c>
      <c r="AU70" s="65">
        <f t="shared" si="33"/>
        <v>7.4375</v>
      </c>
      <c r="AV70" s="65">
        <f t="shared" si="34"/>
        <v>-69.734302529052499</v>
      </c>
      <c r="AW70" s="65">
        <f t="shared" si="35"/>
        <v>0.59601967973549141</v>
      </c>
      <c r="AX70" s="25"/>
      <c r="AY70" s="65">
        <f t="shared" si="36"/>
        <v>-58.392497753751094</v>
      </c>
      <c r="AZ70" s="65">
        <f t="shared" si="37"/>
        <v>-116.78499550750219</v>
      </c>
      <c r="BA70" s="65">
        <f t="shared" si="38"/>
        <v>-870.1875</v>
      </c>
      <c r="BB70" s="65">
        <f t="shared" si="39"/>
        <v>7.4375</v>
      </c>
      <c r="BC70" s="65">
        <f t="shared" si="40"/>
        <v>-58.392497753751094</v>
      </c>
      <c r="BD70" s="65">
        <f t="shared" si="41"/>
        <v>0.49908117738248797</v>
      </c>
      <c r="BE70" s="25"/>
      <c r="BF70" s="60">
        <f t="shared" si="42"/>
        <v>1.0951008571179794</v>
      </c>
      <c r="BG70" s="61">
        <f t="shared" si="43"/>
        <v>2.2349631277340611</v>
      </c>
      <c r="BH70" s="134">
        <f t="shared" si="44"/>
        <v>447.43467468917913</v>
      </c>
    </row>
    <row r="71" spans="1:60" x14ac:dyDescent="0.25">
      <c r="A71" s="24">
        <f t="shared" si="70"/>
        <v>350</v>
      </c>
      <c r="B71" s="74">
        <f t="shared" si="45"/>
        <v>6.25E-2</v>
      </c>
      <c r="C71" s="28"/>
      <c r="D71" s="65">
        <f t="shared" si="22"/>
        <v>-13.86</v>
      </c>
      <c r="E71" s="23">
        <f t="shared" si="46"/>
        <v>0.11</v>
      </c>
      <c r="F71" s="69"/>
      <c r="G71" s="65">
        <f t="shared" si="48"/>
        <v>-70.346175941946697</v>
      </c>
      <c r="H71" s="65">
        <f t="shared" si="49"/>
        <v>-140.69235188389339</v>
      </c>
      <c r="I71" s="65">
        <f t="shared" si="50"/>
        <v>-468.5625</v>
      </c>
      <c r="J71" s="65">
        <f t="shared" si="51"/>
        <v>3.71875</v>
      </c>
      <c r="K71" s="65">
        <f t="shared" si="52"/>
        <v>-70.346175941946697</v>
      </c>
      <c r="L71" s="65">
        <f t="shared" si="53"/>
        <v>0.55830298366624365</v>
      </c>
      <c r="M71" s="69"/>
      <c r="N71" s="65">
        <f t="shared" si="54"/>
        <v>-47.25875546131364</v>
      </c>
      <c r="O71" s="65">
        <f t="shared" si="55"/>
        <v>-47.25875546131364</v>
      </c>
      <c r="P71" s="65">
        <f t="shared" si="56"/>
        <v>-468.5625</v>
      </c>
      <c r="Q71" s="65">
        <f t="shared" si="57"/>
        <v>3.71875</v>
      </c>
      <c r="R71" s="65">
        <f t="shared" si="58"/>
        <v>-23.62937773065682</v>
      </c>
      <c r="S71" s="65">
        <f t="shared" si="59"/>
        <v>0.37506948778820348</v>
      </c>
      <c r="T71" s="69"/>
      <c r="U71" s="65">
        <f t="shared" si="60"/>
        <v>-60.255118703057789</v>
      </c>
      <c r="V71" s="65">
        <f t="shared" si="61"/>
        <v>119.74488129694221</v>
      </c>
      <c r="W71" s="65">
        <f t="shared" si="23"/>
        <v>-60.255118703057789</v>
      </c>
      <c r="X71" s="65">
        <f t="shared" si="24"/>
        <v>0</v>
      </c>
      <c r="Y71" s="69"/>
      <c r="Z71" s="65">
        <f t="shared" si="62"/>
        <v>-130.60129464500449</v>
      </c>
      <c r="AA71" s="65">
        <f t="shared" si="63"/>
        <v>49.398705354995514</v>
      </c>
      <c r="AB71" s="65">
        <f t="shared" si="25"/>
        <v>49.398705354995514</v>
      </c>
      <c r="AC71" s="65">
        <f t="shared" si="26"/>
        <v>0</v>
      </c>
      <c r="AD71" s="69"/>
      <c r="AE71" s="65">
        <f t="shared" si="64"/>
        <v>-119.35775354279127</v>
      </c>
      <c r="AF71" s="65">
        <f t="shared" si="65"/>
        <v>60.642246457208728</v>
      </c>
      <c r="AG71" s="65">
        <f t="shared" si="66"/>
        <v>60.642246457208728</v>
      </c>
      <c r="AH71" s="65">
        <f t="shared" si="67"/>
        <v>0</v>
      </c>
      <c r="AI71" s="69"/>
      <c r="AJ71" s="68">
        <f t="shared" si="27"/>
        <v>1.1058724714544472</v>
      </c>
      <c r="AK71" s="44"/>
      <c r="AL71" s="121"/>
      <c r="AM71" s="23">
        <f t="shared" si="68"/>
        <v>-130.60129464500449</v>
      </c>
      <c r="AN71" s="23">
        <f t="shared" si="69"/>
        <v>49.398705354995514</v>
      </c>
      <c r="AO71" s="65">
        <f t="shared" si="28"/>
        <v>49.398705354995514</v>
      </c>
      <c r="AP71" s="65">
        <f t="shared" si="29"/>
        <v>0</v>
      </c>
      <c r="AQ71" s="25"/>
      <c r="AR71" s="65">
        <f t="shared" si="30"/>
        <v>-71.075355583948763</v>
      </c>
      <c r="AS71" s="65">
        <f t="shared" si="31"/>
        <v>-142.15071116789753</v>
      </c>
      <c r="AT71" s="65">
        <f t="shared" si="32"/>
        <v>-937.125</v>
      </c>
      <c r="AU71" s="65">
        <f t="shared" si="33"/>
        <v>7.4375</v>
      </c>
      <c r="AV71" s="65">
        <f t="shared" si="34"/>
        <v>-71.075355583948763</v>
      </c>
      <c r="AW71" s="65">
        <f t="shared" si="35"/>
        <v>0.56409012368213307</v>
      </c>
      <c r="AX71" s="25"/>
      <c r="AY71" s="65">
        <f t="shared" si="36"/>
        <v>-60.255118703057789</v>
      </c>
      <c r="AZ71" s="65">
        <f t="shared" si="37"/>
        <v>-120.51023740611558</v>
      </c>
      <c r="BA71" s="65">
        <f t="shared" si="38"/>
        <v>-937.125</v>
      </c>
      <c r="BB71" s="65">
        <f t="shared" si="39"/>
        <v>7.4375</v>
      </c>
      <c r="BC71" s="65">
        <f t="shared" si="40"/>
        <v>-60.255118703057789</v>
      </c>
      <c r="BD71" s="65">
        <f t="shared" si="41"/>
        <v>0.47821522780204595</v>
      </c>
      <c r="BE71" s="25"/>
      <c r="BF71" s="60">
        <f t="shared" si="42"/>
        <v>1.0423053514841789</v>
      </c>
      <c r="BG71" s="61">
        <f t="shared" si="43"/>
        <v>2.1481778229386261</v>
      </c>
      <c r="BH71" s="134">
        <f t="shared" si="44"/>
        <v>465.51081075403602</v>
      </c>
    </row>
    <row r="72" spans="1:60" x14ac:dyDescent="0.25">
      <c r="A72" s="24">
        <f t="shared" si="70"/>
        <v>375</v>
      </c>
      <c r="B72" s="74">
        <f t="shared" si="45"/>
        <v>6.25E-2</v>
      </c>
      <c r="C72" s="28"/>
      <c r="D72" s="65">
        <f t="shared" si="22"/>
        <v>-14.85</v>
      </c>
      <c r="E72" s="23">
        <f t="shared" si="46"/>
        <v>0.11</v>
      </c>
      <c r="F72" s="69"/>
      <c r="G72" s="65">
        <f t="shared" si="48"/>
        <v>-71.56505117707799</v>
      </c>
      <c r="H72" s="65">
        <f t="shared" si="49"/>
        <v>-143.13010235415598</v>
      </c>
      <c r="I72" s="65">
        <f t="shared" si="50"/>
        <v>-502.03125</v>
      </c>
      <c r="J72" s="65">
        <f t="shared" si="51"/>
        <v>3.71875</v>
      </c>
      <c r="K72" s="65">
        <f t="shared" si="52"/>
        <v>-71.56505117707799</v>
      </c>
      <c r="L72" s="65">
        <f t="shared" si="53"/>
        <v>0.53011149020057768</v>
      </c>
      <c r="M72" s="69"/>
      <c r="N72" s="65">
        <f t="shared" si="54"/>
        <v>-50.229669772289128</v>
      </c>
      <c r="O72" s="65">
        <f t="shared" si="55"/>
        <v>-50.229669772289128</v>
      </c>
      <c r="P72" s="65">
        <f t="shared" si="56"/>
        <v>-502.03125</v>
      </c>
      <c r="Q72" s="65">
        <f t="shared" si="57"/>
        <v>3.71875</v>
      </c>
      <c r="R72" s="65">
        <f t="shared" si="58"/>
        <v>-25.114834886144564</v>
      </c>
      <c r="S72" s="65">
        <f t="shared" si="59"/>
        <v>0.37207162794288245</v>
      </c>
      <c r="T72" s="69"/>
      <c r="U72" s="65">
        <f t="shared" si="60"/>
        <v>-67.583852520656365</v>
      </c>
      <c r="V72" s="65">
        <f t="shared" si="61"/>
        <v>112.41614747934364</v>
      </c>
      <c r="W72" s="65">
        <f t="shared" si="23"/>
        <v>-67.583852520656365</v>
      </c>
      <c r="X72" s="65">
        <f t="shared" si="24"/>
        <v>0</v>
      </c>
      <c r="Y72" s="69"/>
      <c r="Z72" s="65">
        <f t="shared" si="62"/>
        <v>-136.16913932790743</v>
      </c>
      <c r="AA72" s="65">
        <f t="shared" si="63"/>
        <v>43.83086067209257</v>
      </c>
      <c r="AB72" s="65">
        <f t="shared" si="25"/>
        <v>43.83086067209257</v>
      </c>
      <c r="AC72" s="65">
        <f t="shared" si="26"/>
        <v>0</v>
      </c>
      <c r="AD72" s="69"/>
      <c r="AE72" s="65">
        <f t="shared" si="64"/>
        <v>-126.53007876441231</v>
      </c>
      <c r="AF72" s="65">
        <f t="shared" si="65"/>
        <v>53.469921235587691</v>
      </c>
      <c r="AG72" s="65">
        <f t="shared" si="66"/>
        <v>53.469921235587691</v>
      </c>
      <c r="AH72" s="65">
        <f t="shared" si="67"/>
        <v>0</v>
      </c>
      <c r="AI72" s="69"/>
      <c r="AJ72" s="68">
        <f t="shared" si="27"/>
        <v>1.0746831181434602</v>
      </c>
      <c r="AK72" s="44"/>
      <c r="AL72" s="121"/>
      <c r="AM72" s="23">
        <f t="shared" si="68"/>
        <v>-136.16913932790743</v>
      </c>
      <c r="AN72" s="23">
        <f t="shared" si="69"/>
        <v>43.83086067209257</v>
      </c>
      <c r="AO72" s="65">
        <f t="shared" si="28"/>
        <v>43.83086067209257</v>
      </c>
      <c r="AP72" s="65">
        <f t="shared" si="29"/>
        <v>0</v>
      </c>
      <c r="AQ72" s="25"/>
      <c r="AR72" s="65">
        <f t="shared" si="30"/>
        <v>-72.255328374943062</v>
      </c>
      <c r="AS72" s="65">
        <f t="shared" si="31"/>
        <v>-144.51065674988612</v>
      </c>
      <c r="AT72" s="65">
        <f t="shared" si="32"/>
        <v>-1004.0625</v>
      </c>
      <c r="AU72" s="65">
        <f t="shared" si="33"/>
        <v>7.4375</v>
      </c>
      <c r="AV72" s="65">
        <f t="shared" si="34"/>
        <v>-72.255328374943062</v>
      </c>
      <c r="AW72" s="65">
        <f t="shared" si="35"/>
        <v>0.53522465462920787</v>
      </c>
      <c r="AX72" s="25"/>
      <c r="AY72" s="65">
        <f t="shared" si="36"/>
        <v>-61.927513064147043</v>
      </c>
      <c r="AZ72" s="65">
        <f t="shared" si="37"/>
        <v>-123.85502612829409</v>
      </c>
      <c r="BA72" s="65">
        <f t="shared" si="38"/>
        <v>-1004.0625</v>
      </c>
      <c r="BB72" s="65">
        <f t="shared" si="39"/>
        <v>7.4375</v>
      </c>
      <c r="BC72" s="65">
        <f t="shared" si="40"/>
        <v>-61.927513064147043</v>
      </c>
      <c r="BD72" s="65">
        <f t="shared" si="41"/>
        <v>0.45872231899368177</v>
      </c>
      <c r="BE72" s="25"/>
      <c r="BF72" s="60">
        <f t="shared" si="42"/>
        <v>0.99394697362288964</v>
      </c>
      <c r="BG72" s="61">
        <f t="shared" si="43"/>
        <v>2.0686300917663498</v>
      </c>
      <c r="BH72" s="134">
        <f t="shared" si="44"/>
        <v>483.41170515707125</v>
      </c>
    </row>
    <row r="73" spans="1:60" x14ac:dyDescent="0.25">
      <c r="A73" s="24">
        <f t="shared" si="70"/>
        <v>400</v>
      </c>
      <c r="B73" s="74">
        <f t="shared" si="45"/>
        <v>6.25E-2</v>
      </c>
      <c r="C73" s="28"/>
      <c r="D73" s="65">
        <f t="shared" si="22"/>
        <v>-15.84</v>
      </c>
      <c r="E73" s="23">
        <f t="shared" si="46"/>
        <v>0.11</v>
      </c>
      <c r="F73" s="69"/>
      <c r="G73" s="65">
        <f t="shared" si="48"/>
        <v>-72.645975363738671</v>
      </c>
      <c r="H73" s="65">
        <f t="shared" si="49"/>
        <v>-145.29195072747734</v>
      </c>
      <c r="I73" s="65">
        <f t="shared" si="50"/>
        <v>-535.5</v>
      </c>
      <c r="J73" s="65">
        <f t="shared" si="51"/>
        <v>3.71875</v>
      </c>
      <c r="K73" s="65">
        <f t="shared" si="52"/>
        <v>-72.645975363738671</v>
      </c>
      <c r="L73" s="65">
        <f t="shared" si="53"/>
        <v>0.50448594002596303</v>
      </c>
      <c r="M73" s="69"/>
      <c r="N73" s="65">
        <f t="shared" si="54"/>
        <v>-53.13010235415598</v>
      </c>
      <c r="O73" s="65">
        <f t="shared" si="55"/>
        <v>-53.13010235415598</v>
      </c>
      <c r="P73" s="65">
        <f t="shared" si="56"/>
        <v>-535.5</v>
      </c>
      <c r="Q73" s="65">
        <f t="shared" si="57"/>
        <v>3.71875</v>
      </c>
      <c r="R73" s="65">
        <f t="shared" si="58"/>
        <v>-26.56505117707799</v>
      </c>
      <c r="S73" s="65">
        <f t="shared" si="59"/>
        <v>0.36895904412608321</v>
      </c>
      <c r="T73" s="69"/>
      <c r="U73" s="65">
        <f t="shared" si="60"/>
        <v>-75.124317998361221</v>
      </c>
      <c r="V73" s="65">
        <f t="shared" si="61"/>
        <v>104.87568200163878</v>
      </c>
      <c r="W73" s="65">
        <f t="shared" si="23"/>
        <v>-75.124317998361221</v>
      </c>
      <c r="X73" s="65">
        <f t="shared" si="24"/>
        <v>0</v>
      </c>
      <c r="Y73" s="69"/>
      <c r="Z73" s="65">
        <f t="shared" si="62"/>
        <v>-140.63068275763527</v>
      </c>
      <c r="AA73" s="65">
        <f t="shared" si="63"/>
        <v>39.36931724236473</v>
      </c>
      <c r="AB73" s="65">
        <f t="shared" si="25"/>
        <v>39.36931724236473</v>
      </c>
      <c r="AC73" s="65">
        <f t="shared" si="26"/>
        <v>0</v>
      </c>
      <c r="AD73" s="69"/>
      <c r="AE73" s="65">
        <f t="shared" si="64"/>
        <v>-132.32457334397085</v>
      </c>
      <c r="AF73" s="65">
        <f t="shared" si="65"/>
        <v>47.675426656029146</v>
      </c>
      <c r="AG73" s="65">
        <f t="shared" si="66"/>
        <v>47.675426656029146</v>
      </c>
      <c r="AH73" s="65">
        <f t="shared" si="67"/>
        <v>0</v>
      </c>
      <c r="AI73" s="69"/>
      <c r="AJ73" s="68">
        <f t="shared" si="27"/>
        <v>1.0459449841520461</v>
      </c>
      <c r="AK73" s="44"/>
      <c r="AL73" s="121"/>
      <c r="AM73" s="23">
        <f t="shared" si="68"/>
        <v>-140.63068275763527</v>
      </c>
      <c r="AN73" s="23">
        <f t="shared" si="69"/>
        <v>39.36931724236473</v>
      </c>
      <c r="AO73" s="65">
        <f t="shared" si="28"/>
        <v>39.36931724236473</v>
      </c>
      <c r="AP73" s="65">
        <f t="shared" si="29"/>
        <v>0</v>
      </c>
      <c r="AQ73" s="25"/>
      <c r="AR73" s="65">
        <f t="shared" si="30"/>
        <v>-73.300755766006375</v>
      </c>
      <c r="AS73" s="65">
        <f t="shared" si="31"/>
        <v>-146.60151153201275</v>
      </c>
      <c r="AT73" s="65">
        <f t="shared" si="32"/>
        <v>-1071</v>
      </c>
      <c r="AU73" s="65">
        <f t="shared" si="33"/>
        <v>7.4375</v>
      </c>
      <c r="AV73" s="65">
        <f t="shared" si="34"/>
        <v>-73.300755766006375</v>
      </c>
      <c r="AW73" s="65">
        <f t="shared" si="35"/>
        <v>0.50903302615282209</v>
      </c>
      <c r="AX73" s="25"/>
      <c r="AY73" s="65">
        <f t="shared" si="36"/>
        <v>-63.43494882292201</v>
      </c>
      <c r="AZ73" s="65">
        <f t="shared" si="37"/>
        <v>-126.86989764584402</v>
      </c>
      <c r="BA73" s="65">
        <f t="shared" si="38"/>
        <v>-1071</v>
      </c>
      <c r="BB73" s="65">
        <f t="shared" si="39"/>
        <v>7.4375</v>
      </c>
      <c r="BC73" s="65">
        <f t="shared" si="40"/>
        <v>-63.43494882292201</v>
      </c>
      <c r="BD73" s="65">
        <f t="shared" si="41"/>
        <v>0.44052047793695842</v>
      </c>
      <c r="BE73" s="25"/>
      <c r="BF73" s="60">
        <f t="shared" si="42"/>
        <v>0.94955350408978045</v>
      </c>
      <c r="BG73" s="61">
        <f t="shared" si="43"/>
        <v>1.9954984882418265</v>
      </c>
      <c r="BH73" s="134">
        <f t="shared" si="44"/>
        <v>501.12791660447203</v>
      </c>
    </row>
    <row r="74" spans="1:60" x14ac:dyDescent="0.25">
      <c r="A74" s="24">
        <f t="shared" si="70"/>
        <v>425</v>
      </c>
      <c r="B74" s="74">
        <f t="shared" si="45"/>
        <v>6.25E-2</v>
      </c>
      <c r="C74" s="28"/>
      <c r="D74" s="65">
        <f t="shared" si="22"/>
        <v>-16.829999999999998</v>
      </c>
      <c r="E74" s="23">
        <f t="shared" si="46"/>
        <v>0.11</v>
      </c>
      <c r="F74" s="69"/>
      <c r="G74" s="65">
        <f t="shared" si="48"/>
        <v>-73.610459665965223</v>
      </c>
      <c r="H74" s="65">
        <f t="shared" si="49"/>
        <v>-147.22091933193045</v>
      </c>
      <c r="I74" s="65">
        <f t="shared" si="50"/>
        <v>-568.96875</v>
      </c>
      <c r="J74" s="65">
        <f t="shared" si="51"/>
        <v>3.71875</v>
      </c>
      <c r="K74" s="65">
        <f t="shared" si="52"/>
        <v>-73.610459665965223</v>
      </c>
      <c r="L74" s="65">
        <f t="shared" si="53"/>
        <v>0.48111411546382499</v>
      </c>
      <c r="M74" s="69"/>
      <c r="N74" s="65">
        <f t="shared" si="54"/>
        <v>-55.958948776960291</v>
      </c>
      <c r="O74" s="65">
        <f t="shared" si="55"/>
        <v>-55.958948776960291</v>
      </c>
      <c r="P74" s="65">
        <f t="shared" si="56"/>
        <v>-568.96875</v>
      </c>
      <c r="Q74" s="65">
        <f t="shared" si="57"/>
        <v>3.71875</v>
      </c>
      <c r="R74" s="65">
        <f t="shared" si="58"/>
        <v>-27.979474388480146</v>
      </c>
      <c r="S74" s="65">
        <f t="shared" si="59"/>
        <v>0.36574476324810645</v>
      </c>
      <c r="T74" s="69"/>
      <c r="U74" s="65">
        <f t="shared" si="60"/>
        <v>-82.667672825306127</v>
      </c>
      <c r="V74" s="65">
        <f t="shared" si="61"/>
        <v>97.332327174693873</v>
      </c>
      <c r="W74" s="65">
        <f t="shared" si="23"/>
        <v>-82.667672825306127</v>
      </c>
      <c r="X74" s="65">
        <f t="shared" si="24"/>
        <v>0</v>
      </c>
      <c r="Y74" s="69"/>
      <c r="Z74" s="65">
        <f t="shared" si="62"/>
        <v>-144.26208814721622</v>
      </c>
      <c r="AA74" s="65">
        <f t="shared" si="63"/>
        <v>35.737911852783782</v>
      </c>
      <c r="AB74" s="65">
        <f t="shared" si="25"/>
        <v>35.737911852783782</v>
      </c>
      <c r="AC74" s="65">
        <f t="shared" si="26"/>
        <v>0</v>
      </c>
      <c r="AD74" s="69"/>
      <c r="AE74" s="65">
        <f t="shared" si="64"/>
        <v>-137.03790352000158</v>
      </c>
      <c r="AF74" s="65">
        <f t="shared" si="65"/>
        <v>42.962096479998422</v>
      </c>
      <c r="AG74" s="65">
        <f t="shared" si="66"/>
        <v>42.962096479998422</v>
      </c>
      <c r="AH74" s="65">
        <f t="shared" si="67"/>
        <v>0</v>
      </c>
      <c r="AI74" s="69"/>
      <c r="AJ74" s="68">
        <f t="shared" si="27"/>
        <v>1.0193588787119314</v>
      </c>
      <c r="AK74" s="44"/>
      <c r="AL74" s="121"/>
      <c r="AM74" s="23">
        <f t="shared" si="68"/>
        <v>-144.26208814721622</v>
      </c>
      <c r="AN74" s="23">
        <f t="shared" si="69"/>
        <v>35.737911852783782</v>
      </c>
      <c r="AO74" s="65">
        <f t="shared" si="28"/>
        <v>35.737911852783782</v>
      </c>
      <c r="AP74" s="65">
        <f t="shared" si="29"/>
        <v>0</v>
      </c>
      <c r="AQ74" s="25"/>
      <c r="AR74" s="65">
        <f t="shared" si="30"/>
        <v>-74.23281745752432</v>
      </c>
      <c r="AS74" s="65">
        <f t="shared" si="31"/>
        <v>-148.46563491504864</v>
      </c>
      <c r="AT74" s="65">
        <f t="shared" si="32"/>
        <v>-1137.9375</v>
      </c>
      <c r="AU74" s="65">
        <f t="shared" si="33"/>
        <v>7.4375</v>
      </c>
      <c r="AV74" s="65">
        <f t="shared" si="34"/>
        <v>-74.23281745752432</v>
      </c>
      <c r="AW74" s="65">
        <f t="shared" si="35"/>
        <v>0.48518181344787137</v>
      </c>
      <c r="AX74" s="25"/>
      <c r="AY74" s="65">
        <f t="shared" si="36"/>
        <v>-64.798876354524921</v>
      </c>
      <c r="AZ74" s="65">
        <f t="shared" si="37"/>
        <v>-129.59775270904984</v>
      </c>
      <c r="BA74" s="65">
        <f t="shared" si="38"/>
        <v>-1137.9375</v>
      </c>
      <c r="BB74" s="65">
        <f t="shared" si="39"/>
        <v>7.4375</v>
      </c>
      <c r="BC74" s="65">
        <f t="shared" si="40"/>
        <v>-64.798876354524921</v>
      </c>
      <c r="BD74" s="65">
        <f t="shared" si="41"/>
        <v>0.42352206767663347</v>
      </c>
      <c r="BE74" s="25"/>
      <c r="BF74" s="60">
        <f t="shared" si="42"/>
        <v>0.90870388112450484</v>
      </c>
      <c r="BG74" s="61">
        <f t="shared" si="43"/>
        <v>1.9280627598364362</v>
      </c>
      <c r="BH74" s="134">
        <f t="shared" si="44"/>
        <v>518.65531601514533</v>
      </c>
    </row>
    <row r="75" spans="1:60" x14ac:dyDescent="0.25">
      <c r="A75" s="24">
        <f t="shared" si="70"/>
        <v>450</v>
      </c>
      <c r="B75" s="74">
        <f t="shared" si="45"/>
        <v>6.25E-2</v>
      </c>
      <c r="C75" s="28"/>
      <c r="D75" s="65">
        <f t="shared" si="22"/>
        <v>-17.82</v>
      </c>
      <c r="E75" s="23">
        <f t="shared" si="46"/>
        <v>0.11</v>
      </c>
      <c r="F75" s="69"/>
      <c r="G75" s="65">
        <f t="shared" si="48"/>
        <v>-74.47588900324574</v>
      </c>
      <c r="H75" s="65">
        <f t="shared" si="49"/>
        <v>-148.95177800649148</v>
      </c>
      <c r="I75" s="65">
        <f t="shared" si="50"/>
        <v>-602.4375</v>
      </c>
      <c r="J75" s="65">
        <f t="shared" si="51"/>
        <v>3.71875</v>
      </c>
      <c r="K75" s="65">
        <f t="shared" si="52"/>
        <v>-74.47588900324574</v>
      </c>
      <c r="L75" s="65">
        <f t="shared" si="53"/>
        <v>0.45972770989657863</v>
      </c>
      <c r="M75" s="69"/>
      <c r="N75" s="65">
        <f t="shared" si="54"/>
        <v>-58.715507085582544</v>
      </c>
      <c r="O75" s="65">
        <f t="shared" si="55"/>
        <v>-58.715507085582544</v>
      </c>
      <c r="P75" s="65">
        <f t="shared" si="56"/>
        <v>-602.4375</v>
      </c>
      <c r="Q75" s="65">
        <f t="shared" si="57"/>
        <v>3.71875</v>
      </c>
      <c r="R75" s="65">
        <f t="shared" si="58"/>
        <v>-29.357753542791272</v>
      </c>
      <c r="S75" s="65">
        <f t="shared" si="59"/>
        <v>0.36244140176285522</v>
      </c>
      <c r="T75" s="69"/>
      <c r="U75" s="65">
        <f t="shared" si="60"/>
        <v>-90.000000000000014</v>
      </c>
      <c r="V75" s="65">
        <f t="shared" si="61"/>
        <v>89.999999999999986</v>
      </c>
      <c r="W75" s="65">
        <f t="shared" si="23"/>
        <v>-90.000000000000014</v>
      </c>
      <c r="X75" s="65">
        <f t="shared" si="24"/>
        <v>0</v>
      </c>
      <c r="Y75" s="69"/>
      <c r="Z75" s="65">
        <f t="shared" si="62"/>
        <v>-147.26477372789239</v>
      </c>
      <c r="AA75" s="65">
        <f t="shared" si="63"/>
        <v>32.73522627210761</v>
      </c>
      <c r="AB75" s="65">
        <f t="shared" si="25"/>
        <v>32.73522627210761</v>
      </c>
      <c r="AC75" s="65">
        <f t="shared" si="26"/>
        <v>0</v>
      </c>
      <c r="AD75" s="69"/>
      <c r="AE75" s="65">
        <f t="shared" si="64"/>
        <v>-140.914832827829</v>
      </c>
      <c r="AF75" s="65">
        <f t="shared" si="65"/>
        <v>39.085167172170998</v>
      </c>
      <c r="AG75" s="65">
        <f t="shared" si="66"/>
        <v>39.085167172170998</v>
      </c>
      <c r="AH75" s="65">
        <f t="shared" si="67"/>
        <v>0</v>
      </c>
      <c r="AI75" s="69"/>
      <c r="AJ75" s="68">
        <f t="shared" si="27"/>
        <v>0.99466911165943384</v>
      </c>
      <c r="AK75" s="44"/>
      <c r="AL75" s="121"/>
      <c r="AM75" s="23">
        <f t="shared" si="68"/>
        <v>-147.26477372789239</v>
      </c>
      <c r="AN75" s="23">
        <f t="shared" si="69"/>
        <v>32.73522627210761</v>
      </c>
      <c r="AO75" s="65">
        <f t="shared" si="28"/>
        <v>32.73522627210761</v>
      </c>
      <c r="AP75" s="65">
        <f t="shared" si="29"/>
        <v>0</v>
      </c>
      <c r="AQ75" s="25"/>
      <c r="AR75" s="65">
        <f t="shared" si="30"/>
        <v>-75.068582821862435</v>
      </c>
      <c r="AS75" s="65">
        <f t="shared" si="31"/>
        <v>-150.13716564372487</v>
      </c>
      <c r="AT75" s="65">
        <f t="shared" si="32"/>
        <v>-1204.875</v>
      </c>
      <c r="AU75" s="65">
        <f t="shared" si="33"/>
        <v>7.4375</v>
      </c>
      <c r="AV75" s="65">
        <f t="shared" si="34"/>
        <v>-75.068582821862435</v>
      </c>
      <c r="AW75" s="65">
        <f t="shared" si="35"/>
        <v>0.46338631371520023</v>
      </c>
      <c r="AX75" s="25"/>
      <c r="AY75" s="65">
        <f t="shared" si="36"/>
        <v>-66.037511025421821</v>
      </c>
      <c r="AZ75" s="65">
        <f t="shared" si="37"/>
        <v>-132.07502205084364</v>
      </c>
      <c r="BA75" s="65">
        <f t="shared" si="38"/>
        <v>-1204.875</v>
      </c>
      <c r="BB75" s="65">
        <f t="shared" si="39"/>
        <v>7.4375</v>
      </c>
      <c r="BC75" s="65">
        <f t="shared" si="40"/>
        <v>-66.037511025421821</v>
      </c>
      <c r="BD75" s="65">
        <f t="shared" si="41"/>
        <v>0.40763895694704827</v>
      </c>
      <c r="BE75" s="25"/>
      <c r="BF75" s="60">
        <f t="shared" si="42"/>
        <v>0.87102527066224855</v>
      </c>
      <c r="BG75" s="61">
        <f t="shared" si="43"/>
        <v>1.8656943823216823</v>
      </c>
      <c r="BH75" s="134">
        <f t="shared" si="44"/>
        <v>535.99346681614247</v>
      </c>
    </row>
    <row r="76" spans="1:60" x14ac:dyDescent="0.25">
      <c r="A76" s="24">
        <f t="shared" si="70"/>
        <v>475</v>
      </c>
      <c r="B76" s="74">
        <f t="shared" si="45"/>
        <v>6.25E-2</v>
      </c>
      <c r="C76" s="28"/>
      <c r="D76" s="65">
        <f t="shared" si="22"/>
        <v>-18.809999999999999</v>
      </c>
      <c r="E76" s="23">
        <f t="shared" si="46"/>
        <v>0.11</v>
      </c>
      <c r="F76" s="69"/>
      <c r="G76" s="65">
        <f t="shared" si="48"/>
        <v>-75.25643716352927</v>
      </c>
      <c r="H76" s="65">
        <f t="shared" si="49"/>
        <v>-150.51287432705854</v>
      </c>
      <c r="I76" s="65">
        <f t="shared" si="50"/>
        <v>-635.90625</v>
      </c>
      <c r="J76" s="65">
        <f t="shared" si="51"/>
        <v>3.71875</v>
      </c>
      <c r="K76" s="65">
        <f t="shared" si="52"/>
        <v>-75.25643716352927</v>
      </c>
      <c r="L76" s="65">
        <f t="shared" si="53"/>
        <v>0.44009612376332907</v>
      </c>
      <c r="M76" s="69"/>
      <c r="N76" s="65">
        <f t="shared" si="54"/>
        <v>-61.399445101628828</v>
      </c>
      <c r="O76" s="65">
        <f t="shared" si="55"/>
        <v>-61.399445101628828</v>
      </c>
      <c r="P76" s="65">
        <f t="shared" si="56"/>
        <v>-635.90625</v>
      </c>
      <c r="Q76" s="65">
        <f t="shared" si="57"/>
        <v>3.71875</v>
      </c>
      <c r="R76" s="65">
        <f t="shared" si="58"/>
        <v>-30.699722550814414</v>
      </c>
      <c r="S76" s="65">
        <f t="shared" si="59"/>
        <v>0.3590610824656657</v>
      </c>
      <c r="T76" s="69"/>
      <c r="U76" s="65">
        <f t="shared" si="60"/>
        <v>-96.93936846229866</v>
      </c>
      <c r="V76" s="65">
        <f t="shared" si="61"/>
        <v>83.06063153770134</v>
      </c>
      <c r="W76" s="65">
        <f t="shared" si="23"/>
        <v>83.06063153770134</v>
      </c>
      <c r="X76" s="65">
        <f t="shared" si="24"/>
        <v>0</v>
      </c>
      <c r="Y76" s="69"/>
      <c r="Z76" s="65">
        <f t="shared" si="62"/>
        <v>-149.7845274001626</v>
      </c>
      <c r="AA76" s="65">
        <f t="shared" si="63"/>
        <v>30.215472599837398</v>
      </c>
      <c r="AB76" s="65">
        <f t="shared" si="25"/>
        <v>30.215472599837398</v>
      </c>
      <c r="AC76" s="65">
        <f t="shared" si="26"/>
        <v>0</v>
      </c>
      <c r="AD76" s="69"/>
      <c r="AE76" s="65">
        <f t="shared" si="64"/>
        <v>-144.14423457651057</v>
      </c>
      <c r="AF76" s="65">
        <f t="shared" si="65"/>
        <v>35.85576542348943</v>
      </c>
      <c r="AG76" s="65">
        <f t="shared" si="66"/>
        <v>35.85576542348943</v>
      </c>
      <c r="AH76" s="65">
        <f t="shared" si="67"/>
        <v>0</v>
      </c>
      <c r="AI76" s="69"/>
      <c r="AJ76" s="68">
        <f t="shared" si="27"/>
        <v>0.97165720622899476</v>
      </c>
      <c r="AK76" s="44"/>
      <c r="AL76" s="121"/>
      <c r="AM76" s="23">
        <f t="shared" si="68"/>
        <v>-149.7845274001626</v>
      </c>
      <c r="AN76" s="23">
        <f t="shared" si="69"/>
        <v>30.215472599837398</v>
      </c>
      <c r="AO76" s="65">
        <f t="shared" si="28"/>
        <v>30.215472599837398</v>
      </c>
      <c r="AP76" s="65">
        <f t="shared" si="29"/>
        <v>0</v>
      </c>
      <c r="AQ76" s="25"/>
      <c r="AR76" s="65">
        <f t="shared" si="30"/>
        <v>-75.821935585293105</v>
      </c>
      <c r="AS76" s="65">
        <f t="shared" si="31"/>
        <v>-151.64387117058621</v>
      </c>
      <c r="AT76" s="65">
        <f t="shared" si="32"/>
        <v>-1271.8125</v>
      </c>
      <c r="AU76" s="65">
        <f t="shared" si="33"/>
        <v>7.4375</v>
      </c>
      <c r="AV76" s="65">
        <f t="shared" si="34"/>
        <v>-75.821935585293105</v>
      </c>
      <c r="AW76" s="65">
        <f t="shared" si="35"/>
        <v>0.44340313207773746</v>
      </c>
      <c r="AX76" s="25"/>
      <c r="AY76" s="65">
        <f t="shared" si="36"/>
        <v>-67.166345822082448</v>
      </c>
      <c r="AZ76" s="65">
        <f t="shared" si="37"/>
        <v>-134.3326916441649</v>
      </c>
      <c r="BA76" s="65">
        <f t="shared" si="38"/>
        <v>-1271.8125</v>
      </c>
      <c r="BB76" s="65">
        <f t="shared" si="39"/>
        <v>7.4375</v>
      </c>
      <c r="BC76" s="65">
        <f t="shared" si="40"/>
        <v>-67.166345822082448</v>
      </c>
      <c r="BD76" s="65">
        <f t="shared" si="41"/>
        <v>0.3927856480823535</v>
      </c>
      <c r="BE76" s="25"/>
      <c r="BF76" s="60">
        <f t="shared" si="42"/>
        <v>0.83618878016009091</v>
      </c>
      <c r="BG76" s="61">
        <f t="shared" si="43"/>
        <v>1.8078459863890857</v>
      </c>
      <c r="BH76" s="134">
        <f t="shared" si="44"/>
        <v>553.14446447805949</v>
      </c>
    </row>
    <row r="77" spans="1:60" x14ac:dyDescent="0.25">
      <c r="A77" s="24">
        <f t="shared" si="70"/>
        <v>500</v>
      </c>
      <c r="B77" s="74">
        <f t="shared" si="45"/>
        <v>6.25E-2</v>
      </c>
      <c r="C77" s="28"/>
      <c r="D77" s="65">
        <f t="shared" si="22"/>
        <v>-19.8</v>
      </c>
      <c r="E77" s="23">
        <f t="shared" si="46"/>
        <v>0.11</v>
      </c>
      <c r="F77" s="69"/>
      <c r="G77" s="65">
        <f t="shared" si="48"/>
        <v>-75.963756532073532</v>
      </c>
      <c r="H77" s="65">
        <f t="shared" si="49"/>
        <v>-151.92751306414706</v>
      </c>
      <c r="I77" s="65">
        <f t="shared" si="50"/>
        <v>-669.375</v>
      </c>
      <c r="J77" s="65">
        <f t="shared" si="51"/>
        <v>3.71875</v>
      </c>
      <c r="K77" s="65">
        <f t="shared" si="52"/>
        <v>-75.963756532073532</v>
      </c>
      <c r="L77" s="65">
        <f t="shared" si="53"/>
        <v>0.42202086962263075</v>
      </c>
      <c r="M77" s="69"/>
      <c r="N77" s="65">
        <f t="shared" si="54"/>
        <v>-64.010766416166987</v>
      </c>
      <c r="O77" s="65">
        <f t="shared" si="55"/>
        <v>-64.010766416166987</v>
      </c>
      <c r="P77" s="65">
        <f t="shared" si="56"/>
        <v>-669.375</v>
      </c>
      <c r="Q77" s="65">
        <f t="shared" si="57"/>
        <v>3.71875</v>
      </c>
      <c r="R77" s="65">
        <f t="shared" si="58"/>
        <v>-32.005383208083494</v>
      </c>
      <c r="S77" s="65">
        <f t="shared" si="59"/>
        <v>0.35561536897870549</v>
      </c>
      <c r="T77" s="69"/>
      <c r="U77" s="65">
        <f t="shared" si="60"/>
        <v>-103.36021844476448</v>
      </c>
      <c r="V77" s="65">
        <f t="shared" si="61"/>
        <v>76.639781555235515</v>
      </c>
      <c r="W77" s="65">
        <f t="shared" si="23"/>
        <v>76.639781555235515</v>
      </c>
      <c r="X77" s="65">
        <f t="shared" si="24"/>
        <v>0</v>
      </c>
      <c r="Y77" s="69"/>
      <c r="Z77" s="65">
        <f t="shared" si="62"/>
        <v>-151.92751306414704</v>
      </c>
      <c r="AA77" s="65">
        <f t="shared" si="63"/>
        <v>28.072486935852965</v>
      </c>
      <c r="AB77" s="65">
        <f t="shared" si="25"/>
        <v>28.072486935852965</v>
      </c>
      <c r="AC77" s="65">
        <f t="shared" si="26"/>
        <v>0</v>
      </c>
      <c r="AD77" s="69"/>
      <c r="AE77" s="65">
        <f t="shared" si="64"/>
        <v>-146.86829272467094</v>
      </c>
      <c r="AF77" s="65">
        <f t="shared" si="65"/>
        <v>33.131707275329063</v>
      </c>
      <c r="AG77" s="65">
        <f t="shared" si="66"/>
        <v>33.131707275329063</v>
      </c>
      <c r="AH77" s="65">
        <f t="shared" si="67"/>
        <v>0</v>
      </c>
      <c r="AI77" s="69"/>
      <c r="AJ77" s="68">
        <f t="shared" si="27"/>
        <v>0.95013623860133622</v>
      </c>
      <c r="AK77" s="44"/>
      <c r="AL77" s="121"/>
      <c r="AM77" s="23">
        <f t="shared" si="68"/>
        <v>-151.92751306414704</v>
      </c>
      <c r="AN77" s="23">
        <f t="shared" si="69"/>
        <v>28.072486935852965</v>
      </c>
      <c r="AO77" s="65">
        <f t="shared" si="28"/>
        <v>28.072486935852965</v>
      </c>
      <c r="AP77" s="65">
        <f t="shared" si="29"/>
        <v>0</v>
      </c>
      <c r="AQ77" s="25"/>
      <c r="AR77" s="65">
        <f t="shared" si="30"/>
        <v>-76.504266719204196</v>
      </c>
      <c r="AS77" s="65">
        <f t="shared" si="31"/>
        <v>-153.00853343840839</v>
      </c>
      <c r="AT77" s="65">
        <f t="shared" si="32"/>
        <v>-1338.75</v>
      </c>
      <c r="AU77" s="65">
        <f t="shared" si="33"/>
        <v>7.4375</v>
      </c>
      <c r="AV77" s="65">
        <f t="shared" si="34"/>
        <v>-76.504266719204196</v>
      </c>
      <c r="AW77" s="65">
        <f t="shared" si="35"/>
        <v>0.42502370399557887</v>
      </c>
      <c r="AX77" s="25"/>
      <c r="AY77" s="65">
        <f t="shared" si="36"/>
        <v>-68.198590513648185</v>
      </c>
      <c r="AZ77" s="65">
        <f t="shared" si="37"/>
        <v>-136.39718102729637</v>
      </c>
      <c r="BA77" s="65">
        <f t="shared" si="38"/>
        <v>-1338.75</v>
      </c>
      <c r="BB77" s="65">
        <f t="shared" si="39"/>
        <v>7.4375</v>
      </c>
      <c r="BC77" s="65">
        <f t="shared" si="40"/>
        <v>-68.198590513648185</v>
      </c>
      <c r="BD77" s="65">
        <f t="shared" si="41"/>
        <v>0.37888105840915659</v>
      </c>
      <c r="BE77" s="25"/>
      <c r="BF77" s="60">
        <f t="shared" si="42"/>
        <v>0.80390476240473552</v>
      </c>
      <c r="BG77" s="61">
        <f t="shared" si="43"/>
        <v>1.7540410010060716</v>
      </c>
      <c r="BH77" s="134">
        <f t="shared" si="44"/>
        <v>570.11210081544641</v>
      </c>
    </row>
    <row r="78" spans="1:60" x14ac:dyDescent="0.25">
      <c r="A78" s="24">
        <f t="shared" si="70"/>
        <v>525</v>
      </c>
      <c r="B78" s="74">
        <f t="shared" si="45"/>
        <v>6.25E-2</v>
      </c>
      <c r="C78" s="28"/>
      <c r="D78" s="65">
        <f t="shared" si="22"/>
        <v>-20.79</v>
      </c>
      <c r="E78" s="23">
        <f t="shared" si="46"/>
        <v>0.11</v>
      </c>
      <c r="F78" s="69"/>
      <c r="G78" s="65">
        <f t="shared" si="48"/>
        <v>-76.607502246248899</v>
      </c>
      <c r="H78" s="65">
        <f t="shared" si="49"/>
        <v>-153.2150044924978</v>
      </c>
      <c r="I78" s="65">
        <f t="shared" si="50"/>
        <v>-702.84375</v>
      </c>
      <c r="J78" s="65">
        <f t="shared" si="51"/>
        <v>3.71875</v>
      </c>
      <c r="K78" s="65">
        <f t="shared" si="52"/>
        <v>-76.607502246248899</v>
      </c>
      <c r="L78" s="65">
        <f t="shared" si="53"/>
        <v>0.40533069971560265</v>
      </c>
      <c r="M78" s="69"/>
      <c r="N78" s="65">
        <f t="shared" si="54"/>
        <v>-66.549775969669852</v>
      </c>
      <c r="O78" s="65">
        <f t="shared" si="55"/>
        <v>-66.549775969669852</v>
      </c>
      <c r="P78" s="65">
        <f t="shared" si="56"/>
        <v>-702.84375</v>
      </c>
      <c r="Q78" s="65">
        <f t="shared" si="57"/>
        <v>3.71875</v>
      </c>
      <c r="R78" s="65">
        <f t="shared" si="58"/>
        <v>-33.274887984834926</v>
      </c>
      <c r="S78" s="65">
        <f t="shared" si="59"/>
        <v>0.35211521677073992</v>
      </c>
      <c r="T78" s="69"/>
      <c r="U78" s="65">
        <f t="shared" si="60"/>
        <v>-109.198847283852</v>
      </c>
      <c r="V78" s="65">
        <f t="shared" si="61"/>
        <v>70.801152716147996</v>
      </c>
      <c r="W78" s="65">
        <f t="shared" si="23"/>
        <v>70.801152716147996</v>
      </c>
      <c r="X78" s="65">
        <f t="shared" si="24"/>
        <v>0</v>
      </c>
      <c r="Y78" s="69"/>
      <c r="Z78" s="65">
        <f t="shared" si="62"/>
        <v>-153.77197893277983</v>
      </c>
      <c r="AA78" s="65">
        <f t="shared" si="63"/>
        <v>26.228021067220169</v>
      </c>
      <c r="AB78" s="65">
        <f t="shared" si="25"/>
        <v>26.228021067220169</v>
      </c>
      <c r="AC78" s="65">
        <f t="shared" si="26"/>
        <v>0</v>
      </c>
      <c r="AD78" s="69"/>
      <c r="AE78" s="65">
        <f t="shared" si="64"/>
        <v>-149.19350504788812</v>
      </c>
      <c r="AF78" s="65">
        <f t="shared" si="65"/>
        <v>30.806494952111876</v>
      </c>
      <c r="AG78" s="65">
        <f t="shared" si="66"/>
        <v>30.806494952111876</v>
      </c>
      <c r="AH78" s="65">
        <f t="shared" si="67"/>
        <v>0</v>
      </c>
      <c r="AI78" s="69"/>
      <c r="AJ78" s="68">
        <f t="shared" si="27"/>
        <v>0.92994591648634251</v>
      </c>
      <c r="AK78" s="44"/>
      <c r="AL78" s="121"/>
      <c r="AM78" s="23">
        <f t="shared" si="68"/>
        <v>-153.77197893277983</v>
      </c>
      <c r="AN78" s="23">
        <f t="shared" si="69"/>
        <v>26.228021067220169</v>
      </c>
      <c r="AO78" s="65">
        <f t="shared" si="28"/>
        <v>26.228021067220169</v>
      </c>
      <c r="AP78" s="65">
        <f t="shared" si="29"/>
        <v>0</v>
      </c>
      <c r="AQ78" s="25"/>
      <c r="AR78" s="65">
        <f t="shared" si="30"/>
        <v>-77.124998440387529</v>
      </c>
      <c r="AS78" s="65">
        <f t="shared" si="31"/>
        <v>-154.24999688077506</v>
      </c>
      <c r="AT78" s="65">
        <f t="shared" si="32"/>
        <v>-1405.6875</v>
      </c>
      <c r="AU78" s="65">
        <f t="shared" si="33"/>
        <v>7.4375</v>
      </c>
      <c r="AV78" s="65">
        <f t="shared" si="34"/>
        <v>-77.124998440387529</v>
      </c>
      <c r="AW78" s="65">
        <f t="shared" si="35"/>
        <v>0.40806877481686521</v>
      </c>
      <c r="AX78" s="25"/>
      <c r="AY78" s="65">
        <f t="shared" si="36"/>
        <v>-69.145541960421653</v>
      </c>
      <c r="AZ78" s="65">
        <f t="shared" si="37"/>
        <v>-138.29108392084331</v>
      </c>
      <c r="BA78" s="65">
        <f t="shared" si="38"/>
        <v>-1405.6875</v>
      </c>
      <c r="BB78" s="65">
        <f t="shared" si="39"/>
        <v>7.4375</v>
      </c>
      <c r="BC78" s="65">
        <f t="shared" si="40"/>
        <v>-69.145541960421653</v>
      </c>
      <c r="BD78" s="65">
        <f t="shared" si="41"/>
        <v>0.36584942836201934</v>
      </c>
      <c r="BE78" s="25"/>
      <c r="BF78" s="60">
        <f t="shared" si="42"/>
        <v>0.77391820317888449</v>
      </c>
      <c r="BG78" s="61">
        <f t="shared" si="43"/>
        <v>1.7038641196652269</v>
      </c>
      <c r="BH78" s="134">
        <f t="shared" si="44"/>
        <v>586.90126076278818</v>
      </c>
    </row>
    <row r="79" spans="1:60" x14ac:dyDescent="0.25">
      <c r="A79" s="24">
        <f t="shared" si="70"/>
        <v>550</v>
      </c>
      <c r="B79" s="74">
        <f t="shared" si="45"/>
        <v>6.25E-2</v>
      </c>
      <c r="C79" s="28"/>
      <c r="D79" s="65">
        <f t="shared" si="22"/>
        <v>-21.78</v>
      </c>
      <c r="E79" s="23">
        <f t="shared" si="46"/>
        <v>0.11</v>
      </c>
      <c r="F79" s="69"/>
      <c r="G79" s="65">
        <f t="shared" si="48"/>
        <v>-77.19573393471326</v>
      </c>
      <c r="H79" s="65">
        <f t="shared" si="49"/>
        <v>-154.39146786942652</v>
      </c>
      <c r="I79" s="65">
        <f t="shared" si="50"/>
        <v>-736.3125</v>
      </c>
      <c r="J79" s="65">
        <f t="shared" si="51"/>
        <v>3.71875</v>
      </c>
      <c r="K79" s="65">
        <f t="shared" si="52"/>
        <v>-77.19573393471326</v>
      </c>
      <c r="L79" s="65">
        <f t="shared" si="53"/>
        <v>0.38987744411471342</v>
      </c>
      <c r="M79" s="69"/>
      <c r="N79" s="65">
        <f t="shared" si="54"/>
        <v>-69.017045975336799</v>
      </c>
      <c r="O79" s="65">
        <f t="shared" si="55"/>
        <v>-69.017045975336799</v>
      </c>
      <c r="P79" s="65">
        <f t="shared" si="56"/>
        <v>-736.3125</v>
      </c>
      <c r="Q79" s="65">
        <f t="shared" si="57"/>
        <v>3.71875</v>
      </c>
      <c r="R79" s="65">
        <f t="shared" si="58"/>
        <v>-34.5085229876684</v>
      </c>
      <c r="S79" s="65">
        <f t="shared" si="59"/>
        <v>0.34857093926937777</v>
      </c>
      <c r="T79" s="69"/>
      <c r="U79" s="65">
        <f t="shared" si="60"/>
        <v>-114.44395478041655</v>
      </c>
      <c r="V79" s="65">
        <f t="shared" si="61"/>
        <v>65.556045219583453</v>
      </c>
      <c r="W79" s="65">
        <f t="shared" si="23"/>
        <v>65.556045219583453</v>
      </c>
      <c r="X79" s="65">
        <f t="shared" si="24"/>
        <v>0</v>
      </c>
      <c r="Y79" s="69"/>
      <c r="Z79" s="65">
        <f t="shared" si="62"/>
        <v>-155.3764352138364</v>
      </c>
      <c r="AA79" s="65">
        <f t="shared" si="63"/>
        <v>24.623564786163598</v>
      </c>
      <c r="AB79" s="65">
        <f t="shared" si="25"/>
        <v>24.623564786163598</v>
      </c>
      <c r="AC79" s="65">
        <f t="shared" si="26"/>
        <v>0</v>
      </c>
      <c r="AD79" s="69"/>
      <c r="AE79" s="65">
        <f t="shared" si="64"/>
        <v>-151.20000344689851</v>
      </c>
      <c r="AF79" s="65">
        <f t="shared" si="65"/>
        <v>28.799996553101494</v>
      </c>
      <c r="AG79" s="65">
        <f t="shared" si="66"/>
        <v>28.799996553101494</v>
      </c>
      <c r="AH79" s="65">
        <f t="shared" si="67"/>
        <v>0</v>
      </c>
      <c r="AI79" s="69"/>
      <c r="AJ79" s="68">
        <f t="shared" si="27"/>
        <v>0.91094838338409123</v>
      </c>
      <c r="AK79" s="44"/>
      <c r="AL79" s="121"/>
      <c r="AM79" s="23">
        <f t="shared" si="68"/>
        <v>-155.3764352138364</v>
      </c>
      <c r="AN79" s="23">
        <f t="shared" si="69"/>
        <v>24.623564786163598</v>
      </c>
      <c r="AO79" s="65">
        <f t="shared" si="28"/>
        <v>24.623564786163598</v>
      </c>
      <c r="AP79" s="65">
        <f t="shared" si="29"/>
        <v>0</v>
      </c>
      <c r="AQ79" s="25"/>
      <c r="AR79" s="65">
        <f t="shared" si="30"/>
        <v>-77.691984182572085</v>
      </c>
      <c r="AS79" s="65">
        <f t="shared" si="31"/>
        <v>-155.38396836514417</v>
      </c>
      <c r="AT79" s="65">
        <f t="shared" si="32"/>
        <v>-1472.625</v>
      </c>
      <c r="AU79" s="65">
        <f t="shared" si="33"/>
        <v>7.4375</v>
      </c>
      <c r="AV79" s="65">
        <f t="shared" si="34"/>
        <v>-77.691984182572085</v>
      </c>
      <c r="AW79" s="65">
        <f t="shared" si="35"/>
        <v>0.3923837584978388</v>
      </c>
      <c r="AX79" s="25"/>
      <c r="AY79" s="65">
        <f t="shared" si="36"/>
        <v>-70.01689347810003</v>
      </c>
      <c r="AZ79" s="65">
        <f t="shared" si="37"/>
        <v>-140.03378695620006</v>
      </c>
      <c r="BA79" s="65">
        <f t="shared" si="38"/>
        <v>-1472.625</v>
      </c>
      <c r="BB79" s="65">
        <f t="shared" si="39"/>
        <v>7.4375</v>
      </c>
      <c r="BC79" s="65">
        <f t="shared" si="40"/>
        <v>-70.01689347810003</v>
      </c>
      <c r="BD79" s="65">
        <f t="shared" si="41"/>
        <v>0.3536206741318183</v>
      </c>
      <c r="BE79" s="25"/>
      <c r="BF79" s="60">
        <f t="shared" si="42"/>
        <v>0.7460044326296571</v>
      </c>
      <c r="BG79" s="61">
        <f t="shared" si="43"/>
        <v>1.6569528160137483</v>
      </c>
      <c r="BH79" s="134">
        <f t="shared" si="44"/>
        <v>603.51748724249887</v>
      </c>
    </row>
    <row r="80" spans="1:60" x14ac:dyDescent="0.25">
      <c r="A80" s="24">
        <f t="shared" si="70"/>
        <v>575</v>
      </c>
      <c r="B80" s="74">
        <f t="shared" si="45"/>
        <v>6.25E-2</v>
      </c>
      <c r="C80" s="28"/>
      <c r="D80" s="65">
        <f t="shared" si="22"/>
        <v>-22.77</v>
      </c>
      <c r="E80" s="23">
        <f t="shared" si="46"/>
        <v>0.11</v>
      </c>
      <c r="F80" s="69"/>
      <c r="G80" s="65">
        <f t="shared" si="48"/>
        <v>-77.735226272107596</v>
      </c>
      <c r="H80" s="65">
        <f t="shared" si="49"/>
        <v>-155.47045254421519</v>
      </c>
      <c r="I80" s="65">
        <f t="shared" si="50"/>
        <v>-769.78125</v>
      </c>
      <c r="J80" s="65">
        <f t="shared" si="51"/>
        <v>3.71875</v>
      </c>
      <c r="K80" s="65">
        <f t="shared" si="52"/>
        <v>-77.735226272107596</v>
      </c>
      <c r="L80" s="65">
        <f t="shared" si="53"/>
        <v>0.37553249406815264</v>
      </c>
      <c r="M80" s="69"/>
      <c r="N80" s="65">
        <f t="shared" si="54"/>
        <v>-71.413382801205771</v>
      </c>
      <c r="O80" s="65">
        <f t="shared" si="55"/>
        <v>-71.413382801205771</v>
      </c>
      <c r="P80" s="65">
        <f t="shared" si="56"/>
        <v>-769.78125</v>
      </c>
      <c r="Q80" s="65">
        <f t="shared" si="57"/>
        <v>3.71875</v>
      </c>
      <c r="R80" s="65">
        <f t="shared" si="58"/>
        <v>-35.706691400602885</v>
      </c>
      <c r="S80" s="65">
        <f t="shared" si="59"/>
        <v>0.34499218744543853</v>
      </c>
      <c r="T80" s="69"/>
      <c r="U80" s="65">
        <f t="shared" si="60"/>
        <v>-119.1206586922625</v>
      </c>
      <c r="V80" s="65">
        <f t="shared" si="61"/>
        <v>60.879341307737505</v>
      </c>
      <c r="W80" s="65">
        <f t="shared" si="23"/>
        <v>60.879341307737505</v>
      </c>
      <c r="X80" s="65">
        <f t="shared" si="24"/>
        <v>0</v>
      </c>
      <c r="Y80" s="69"/>
      <c r="Z80" s="65">
        <f t="shared" si="62"/>
        <v>-156.78529253051443</v>
      </c>
      <c r="AA80" s="65">
        <f t="shared" si="63"/>
        <v>23.214707469485575</v>
      </c>
      <c r="AB80" s="65">
        <f t="shared" si="25"/>
        <v>23.214707469485575</v>
      </c>
      <c r="AC80" s="65">
        <f t="shared" si="26"/>
        <v>0</v>
      </c>
      <c r="AD80" s="69"/>
      <c r="AE80" s="65">
        <f t="shared" si="64"/>
        <v>-152.9486362775109</v>
      </c>
      <c r="AF80" s="65">
        <f t="shared" si="65"/>
        <v>27.0513637224891</v>
      </c>
      <c r="AG80" s="65">
        <f t="shared" si="66"/>
        <v>27.0513637224891</v>
      </c>
      <c r="AH80" s="65">
        <f t="shared" si="67"/>
        <v>0</v>
      </c>
      <c r="AI80" s="69"/>
      <c r="AJ80" s="68">
        <f t="shared" si="27"/>
        <v>0.89302468151359116</v>
      </c>
      <c r="AK80" s="44"/>
      <c r="AL80" s="121"/>
      <c r="AM80" s="23">
        <f t="shared" si="68"/>
        <v>-156.78529253051443</v>
      </c>
      <c r="AN80" s="23">
        <f t="shared" si="69"/>
        <v>23.214707469485575</v>
      </c>
      <c r="AO80" s="65">
        <f t="shared" si="28"/>
        <v>23.214707469485575</v>
      </c>
      <c r="AP80" s="65">
        <f t="shared" si="29"/>
        <v>0</v>
      </c>
      <c r="AQ80" s="25"/>
      <c r="AR80" s="65">
        <f t="shared" si="30"/>
        <v>-78.211816700892385</v>
      </c>
      <c r="AS80" s="65">
        <f t="shared" si="31"/>
        <v>-156.42363340178477</v>
      </c>
      <c r="AT80" s="65">
        <f t="shared" si="32"/>
        <v>-1539.5625</v>
      </c>
      <c r="AU80" s="65">
        <f t="shared" si="33"/>
        <v>7.4375</v>
      </c>
      <c r="AV80" s="65">
        <f t="shared" si="34"/>
        <v>-78.211816700892385</v>
      </c>
      <c r="AW80" s="65">
        <f t="shared" si="35"/>
        <v>0.37783486328933519</v>
      </c>
      <c r="AX80" s="25"/>
      <c r="AY80" s="65">
        <f t="shared" si="36"/>
        <v>-70.820991974189283</v>
      </c>
      <c r="AZ80" s="65">
        <f t="shared" si="37"/>
        <v>-141.64198394837857</v>
      </c>
      <c r="BA80" s="65">
        <f t="shared" si="38"/>
        <v>-1539.5625</v>
      </c>
      <c r="BB80" s="65">
        <f t="shared" si="39"/>
        <v>7.4375</v>
      </c>
      <c r="BC80" s="65">
        <f t="shared" si="40"/>
        <v>-70.820991974189283</v>
      </c>
      <c r="BD80" s="65">
        <f t="shared" si="41"/>
        <v>0.34213039601057621</v>
      </c>
      <c r="BE80" s="25"/>
      <c r="BF80" s="60">
        <f t="shared" si="42"/>
        <v>0.7199652592999114</v>
      </c>
      <c r="BG80" s="61">
        <f t="shared" si="43"/>
        <v>1.6129899408135024</v>
      </c>
      <c r="BH80" s="134">
        <f t="shared" si="44"/>
        <v>619.96666854329897</v>
      </c>
    </row>
    <row r="81" spans="1:69" x14ac:dyDescent="0.25">
      <c r="A81" s="24">
        <f t="shared" si="70"/>
        <v>600</v>
      </c>
      <c r="B81" s="74">
        <f t="shared" si="45"/>
        <v>6.25E-2</v>
      </c>
      <c r="C81" s="28"/>
      <c r="D81" s="65">
        <f t="shared" si="22"/>
        <v>-23.76</v>
      </c>
      <c r="E81" s="23">
        <f t="shared" si="46"/>
        <v>0.11</v>
      </c>
      <c r="F81" s="69"/>
      <c r="G81" s="65">
        <f t="shared" si="48"/>
        <v>-78.231711067979361</v>
      </c>
      <c r="H81" s="65">
        <f t="shared" si="49"/>
        <v>-156.46342213595872</v>
      </c>
      <c r="I81" s="65">
        <f t="shared" si="50"/>
        <v>-803.25</v>
      </c>
      <c r="J81" s="65">
        <f t="shared" si="51"/>
        <v>3.71875</v>
      </c>
      <c r="K81" s="65">
        <f t="shared" si="52"/>
        <v>-78.231711067979361</v>
      </c>
      <c r="L81" s="65">
        <f t="shared" si="53"/>
        <v>0.36218384753694149</v>
      </c>
      <c r="M81" s="69"/>
      <c r="N81" s="65">
        <f t="shared" si="54"/>
        <v>-73.73979529168804</v>
      </c>
      <c r="O81" s="65">
        <f t="shared" si="55"/>
        <v>-73.73979529168804</v>
      </c>
      <c r="P81" s="65">
        <f t="shared" si="56"/>
        <v>-803.25</v>
      </c>
      <c r="Q81" s="65">
        <f t="shared" si="57"/>
        <v>3.71875</v>
      </c>
      <c r="R81" s="65">
        <f t="shared" si="58"/>
        <v>-36.86989764584402</v>
      </c>
      <c r="S81" s="65">
        <f t="shared" si="59"/>
        <v>0.34138794116522242</v>
      </c>
      <c r="T81" s="69"/>
      <c r="U81" s="65">
        <f t="shared" si="60"/>
        <v>-123.27488798483492</v>
      </c>
      <c r="V81" s="65">
        <f t="shared" si="61"/>
        <v>56.725112015165081</v>
      </c>
      <c r="W81" s="65">
        <f t="shared" si="23"/>
        <v>56.725112015165081</v>
      </c>
      <c r="X81" s="65">
        <f t="shared" si="24"/>
        <v>0</v>
      </c>
      <c r="Y81" s="69"/>
      <c r="Z81" s="65">
        <f t="shared" si="62"/>
        <v>-158.03275659318709</v>
      </c>
      <c r="AA81" s="65">
        <f t="shared" si="63"/>
        <v>21.967243406812912</v>
      </c>
      <c r="AB81" s="65">
        <f t="shared" si="25"/>
        <v>21.967243406812912</v>
      </c>
      <c r="AC81" s="65">
        <f t="shared" si="26"/>
        <v>0</v>
      </c>
      <c r="AD81" s="69"/>
      <c r="AE81" s="65">
        <f t="shared" si="64"/>
        <v>-154.48612957246576</v>
      </c>
      <c r="AF81" s="65">
        <f t="shared" si="65"/>
        <v>25.513870427534243</v>
      </c>
      <c r="AG81" s="65">
        <f t="shared" si="66"/>
        <v>25.513870427534243</v>
      </c>
      <c r="AH81" s="65">
        <f t="shared" si="67"/>
        <v>0</v>
      </c>
      <c r="AI81" s="69"/>
      <c r="AJ81" s="68">
        <f t="shared" si="27"/>
        <v>0.87607178870216385</v>
      </c>
      <c r="AK81" s="44"/>
      <c r="AL81" s="121"/>
      <c r="AM81" s="23">
        <f t="shared" si="68"/>
        <v>-158.03275659318709</v>
      </c>
      <c r="AN81" s="23">
        <f t="shared" si="69"/>
        <v>21.967243406812912</v>
      </c>
      <c r="AO81" s="65">
        <f t="shared" si="28"/>
        <v>21.967243406812912</v>
      </c>
      <c r="AP81" s="65">
        <f t="shared" si="29"/>
        <v>0</v>
      </c>
      <c r="AQ81" s="25"/>
      <c r="AR81" s="65">
        <f t="shared" si="30"/>
        <v>-78.690067525979785</v>
      </c>
      <c r="AS81" s="65">
        <f t="shared" si="31"/>
        <v>-157.38013505195957</v>
      </c>
      <c r="AT81" s="65">
        <f t="shared" si="32"/>
        <v>-1606.5</v>
      </c>
      <c r="AU81" s="65">
        <f t="shared" si="33"/>
        <v>7.4375</v>
      </c>
      <c r="AV81" s="65">
        <f t="shared" si="34"/>
        <v>-78.690067525979785</v>
      </c>
      <c r="AW81" s="65">
        <f t="shared" si="35"/>
        <v>0.36430586817583233</v>
      </c>
      <c r="AX81" s="25"/>
      <c r="AY81" s="65">
        <f t="shared" si="36"/>
        <v>-71.56505117707799</v>
      </c>
      <c r="AZ81" s="65">
        <f t="shared" si="37"/>
        <v>-143.13010235415598</v>
      </c>
      <c r="BA81" s="65">
        <f t="shared" si="38"/>
        <v>-1606.5</v>
      </c>
      <c r="BB81" s="65">
        <f t="shared" si="39"/>
        <v>7.4375</v>
      </c>
      <c r="BC81" s="65">
        <f t="shared" si="40"/>
        <v>-71.56505117707799</v>
      </c>
      <c r="BD81" s="65">
        <f t="shared" si="41"/>
        <v>0.33131968137536111</v>
      </c>
      <c r="BE81" s="25"/>
      <c r="BF81" s="60">
        <f t="shared" si="42"/>
        <v>0.69562554955119338</v>
      </c>
      <c r="BG81" s="61">
        <f t="shared" si="43"/>
        <v>1.5716973382533572</v>
      </c>
      <c r="BH81" s="134">
        <f t="shared" si="44"/>
        <v>636.25481551766825</v>
      </c>
    </row>
    <row r="82" spans="1:69" x14ac:dyDescent="0.25">
      <c r="A82" s="24">
        <f>A81+100</f>
        <v>700</v>
      </c>
      <c r="B82" s="74">
        <f t="shared" si="45"/>
        <v>6.25E-2</v>
      </c>
      <c r="C82" s="28"/>
      <c r="D82" s="65">
        <f t="shared" si="22"/>
        <v>-27.72</v>
      </c>
      <c r="E82" s="23">
        <f t="shared" si="46"/>
        <v>0.11</v>
      </c>
      <c r="F82" s="69"/>
      <c r="G82" s="65">
        <f t="shared" si="48"/>
        <v>-79.875328344602195</v>
      </c>
      <c r="H82" s="65">
        <f t="shared" si="49"/>
        <v>-159.75065668920439</v>
      </c>
      <c r="I82" s="65">
        <f t="shared" si="50"/>
        <v>-937.125</v>
      </c>
      <c r="J82" s="65">
        <f t="shared" si="51"/>
        <v>3.71875</v>
      </c>
      <c r="K82" s="65">
        <f t="shared" si="52"/>
        <v>-79.875328344602195</v>
      </c>
      <c r="L82" s="65">
        <f t="shared" si="53"/>
        <v>0.31696558866905633</v>
      </c>
      <c r="M82" s="69"/>
      <c r="N82" s="65">
        <f t="shared" si="54"/>
        <v>-82.37185033141931</v>
      </c>
      <c r="O82" s="65">
        <f t="shared" si="55"/>
        <v>-82.37185033141931</v>
      </c>
      <c r="P82" s="65">
        <f t="shared" si="56"/>
        <v>-937.125</v>
      </c>
      <c r="Q82" s="65">
        <f t="shared" si="57"/>
        <v>3.71875</v>
      </c>
      <c r="R82" s="65">
        <f t="shared" si="58"/>
        <v>-41.185925165709655</v>
      </c>
      <c r="S82" s="65">
        <f t="shared" si="59"/>
        <v>0.32687242195007665</v>
      </c>
      <c r="T82" s="69"/>
      <c r="U82" s="65">
        <f t="shared" si="60"/>
        <v>-135.75716886505853</v>
      </c>
      <c r="V82" s="65">
        <f t="shared" si="61"/>
        <v>44.242831134941468</v>
      </c>
      <c r="W82" s="65">
        <f t="shared" si="23"/>
        <v>44.242831134941468</v>
      </c>
      <c r="X82" s="65">
        <f t="shared" si="24"/>
        <v>0</v>
      </c>
      <c r="Y82" s="69"/>
      <c r="Z82" s="65">
        <f t="shared" si="62"/>
        <v>-161.86713508892598</v>
      </c>
      <c r="AA82" s="65">
        <f t="shared" si="63"/>
        <v>18.132864911074023</v>
      </c>
      <c r="AB82" s="65">
        <f t="shared" si="25"/>
        <v>18.132864911074023</v>
      </c>
      <c r="AC82" s="65">
        <f t="shared" si="26"/>
        <v>0</v>
      </c>
      <c r="AD82" s="69"/>
      <c r="AE82" s="65">
        <f t="shared" si="64"/>
        <v>-159.14554196042167</v>
      </c>
      <c r="AF82" s="65">
        <f t="shared" si="65"/>
        <v>20.854458039578333</v>
      </c>
      <c r="AG82" s="65">
        <f t="shared" si="66"/>
        <v>20.854458039578333</v>
      </c>
      <c r="AH82" s="65">
        <f t="shared" si="67"/>
        <v>0</v>
      </c>
      <c r="AI82" s="69"/>
      <c r="AJ82" s="68">
        <f t="shared" si="27"/>
        <v>0.81633801061913291</v>
      </c>
      <c r="AK82" s="44"/>
      <c r="AL82" s="121"/>
      <c r="AM82" s="23">
        <f t="shared" si="68"/>
        <v>-161.86713508892598</v>
      </c>
      <c r="AN82" s="23">
        <f t="shared" si="69"/>
        <v>18.132864911074023</v>
      </c>
      <c r="AO82" s="65">
        <f t="shared" si="28"/>
        <v>18.132864911074023</v>
      </c>
      <c r="AP82" s="65">
        <f t="shared" si="29"/>
        <v>0</v>
      </c>
      <c r="AQ82" s="25"/>
      <c r="AR82" s="65">
        <f t="shared" si="30"/>
        <v>-80.272421448598394</v>
      </c>
      <c r="AS82" s="65">
        <f t="shared" si="31"/>
        <v>-160.54484289719679</v>
      </c>
      <c r="AT82" s="65">
        <f t="shared" si="32"/>
        <v>-1874.25</v>
      </c>
      <c r="AU82" s="65">
        <f t="shared" si="33"/>
        <v>7.4375</v>
      </c>
      <c r="AV82" s="65">
        <f t="shared" si="34"/>
        <v>-80.272421448598394</v>
      </c>
      <c r="AW82" s="65">
        <f t="shared" si="35"/>
        <v>0.3185413549547555</v>
      </c>
      <c r="AX82" s="25"/>
      <c r="AY82" s="65">
        <f t="shared" si="36"/>
        <v>-74.054604099077153</v>
      </c>
      <c r="AZ82" s="65">
        <f t="shared" si="37"/>
        <v>-148.10920819815431</v>
      </c>
      <c r="BA82" s="65">
        <f t="shared" si="38"/>
        <v>-1874.25</v>
      </c>
      <c r="BB82" s="65">
        <f t="shared" si="39"/>
        <v>7.4375</v>
      </c>
      <c r="BC82" s="65">
        <f t="shared" si="40"/>
        <v>-74.054604099077153</v>
      </c>
      <c r="BD82" s="65">
        <f t="shared" si="41"/>
        <v>0.29386747658363949</v>
      </c>
      <c r="BE82" s="25"/>
      <c r="BF82" s="60">
        <f t="shared" si="42"/>
        <v>0.61240883153839498</v>
      </c>
      <c r="BG82" s="61">
        <f t="shared" si="43"/>
        <v>1.428746842157528</v>
      </c>
      <c r="BH82" s="134">
        <f t="shared" si="44"/>
        <v>699.91405789560019</v>
      </c>
    </row>
    <row r="83" spans="1:69" x14ac:dyDescent="0.25">
      <c r="A83" s="24">
        <f t="shared" ref="A83:A85" si="71">A82+100</f>
        <v>800</v>
      </c>
      <c r="B83" s="74">
        <f t="shared" si="45"/>
        <v>6.25E-2</v>
      </c>
      <c r="C83" s="28"/>
      <c r="D83" s="65">
        <f t="shared" si="22"/>
        <v>-31.68</v>
      </c>
      <c r="E83" s="23">
        <f t="shared" si="46"/>
        <v>0.11</v>
      </c>
      <c r="F83" s="69"/>
      <c r="G83" s="65">
        <f t="shared" si="48"/>
        <v>-81.119340849479755</v>
      </c>
      <c r="H83" s="65">
        <f t="shared" si="49"/>
        <v>-162.23868169895951</v>
      </c>
      <c r="I83" s="65">
        <f t="shared" si="50"/>
        <v>-1071</v>
      </c>
      <c r="J83" s="65">
        <f t="shared" si="51"/>
        <v>3.71875</v>
      </c>
      <c r="K83" s="65">
        <f t="shared" si="52"/>
        <v>-81.119340849479755</v>
      </c>
      <c r="L83" s="65">
        <f t="shared" si="53"/>
        <v>0.28166437794958249</v>
      </c>
      <c r="M83" s="69"/>
      <c r="N83" s="65">
        <f t="shared" si="54"/>
        <v>-90</v>
      </c>
      <c r="O83" s="65">
        <f t="shared" si="55"/>
        <v>-90</v>
      </c>
      <c r="P83" s="65">
        <f t="shared" si="56"/>
        <v>-1071</v>
      </c>
      <c r="Q83" s="65">
        <f t="shared" si="57"/>
        <v>3.71875</v>
      </c>
      <c r="R83" s="65">
        <f t="shared" si="58"/>
        <v>-45</v>
      </c>
      <c r="S83" s="65">
        <f t="shared" si="59"/>
        <v>0.3125</v>
      </c>
      <c r="T83" s="69"/>
      <c r="U83" s="65">
        <f t="shared" si="60"/>
        <v>-143.81719592255757</v>
      </c>
      <c r="V83" s="65">
        <f t="shared" si="61"/>
        <v>36.182804077442427</v>
      </c>
      <c r="W83" s="65">
        <f t="shared" si="23"/>
        <v>36.182804077442427</v>
      </c>
      <c r="X83" s="65">
        <f t="shared" si="24"/>
        <v>0</v>
      </c>
      <c r="Y83" s="69"/>
      <c r="Z83" s="65">
        <f t="shared" si="62"/>
        <v>-164.51427384309028</v>
      </c>
      <c r="AA83" s="65">
        <f t="shared" si="63"/>
        <v>15.48572615690972</v>
      </c>
      <c r="AB83" s="65">
        <f t="shared" si="25"/>
        <v>15.48572615690972</v>
      </c>
      <c r="AC83" s="65">
        <f t="shared" si="26"/>
        <v>0</v>
      </c>
      <c r="AD83" s="69"/>
      <c r="AE83" s="65">
        <f t="shared" si="64"/>
        <v>-162.30272431451021</v>
      </c>
      <c r="AF83" s="65">
        <f t="shared" si="65"/>
        <v>17.697275685489785</v>
      </c>
      <c r="AG83" s="65">
        <f t="shared" si="66"/>
        <v>17.697275685489785</v>
      </c>
      <c r="AH83" s="65">
        <f t="shared" si="67"/>
        <v>0</v>
      </c>
      <c r="AI83" s="69"/>
      <c r="AJ83" s="68">
        <f t="shared" si="27"/>
        <v>0.76666437794958253</v>
      </c>
      <c r="AK83" s="44"/>
      <c r="AL83" s="121"/>
      <c r="AM83" s="23">
        <f t="shared" si="68"/>
        <v>-164.51427384309028</v>
      </c>
      <c r="AN83" s="23">
        <f t="shared" si="69"/>
        <v>15.48572615690972</v>
      </c>
      <c r="AO83" s="65">
        <f t="shared" si="28"/>
        <v>15.48572615690972</v>
      </c>
      <c r="AP83" s="65">
        <f t="shared" si="29"/>
        <v>0</v>
      </c>
      <c r="AQ83" s="25"/>
      <c r="AR83" s="65">
        <f t="shared" si="30"/>
        <v>-81.469234390051881</v>
      </c>
      <c r="AS83" s="65">
        <f t="shared" si="31"/>
        <v>-162.93846878010376</v>
      </c>
      <c r="AT83" s="65">
        <f t="shared" si="32"/>
        <v>-2142</v>
      </c>
      <c r="AU83" s="65">
        <f t="shared" si="33"/>
        <v>7.4375</v>
      </c>
      <c r="AV83" s="65">
        <f t="shared" si="34"/>
        <v>-81.469234390051881</v>
      </c>
      <c r="AW83" s="65">
        <f t="shared" si="35"/>
        <v>0.28287928607656904</v>
      </c>
      <c r="AX83" s="25"/>
      <c r="AY83" s="65">
        <f t="shared" si="36"/>
        <v>-75.963756532073532</v>
      </c>
      <c r="AZ83" s="65">
        <f t="shared" si="37"/>
        <v>-151.92751306414706</v>
      </c>
      <c r="BA83" s="65">
        <f t="shared" si="38"/>
        <v>-2142</v>
      </c>
      <c r="BB83" s="65">
        <f t="shared" si="39"/>
        <v>7.4375</v>
      </c>
      <c r="BC83" s="65">
        <f t="shared" si="40"/>
        <v>-75.963756532073532</v>
      </c>
      <c r="BD83" s="65">
        <f t="shared" si="41"/>
        <v>0.2637630435141442</v>
      </c>
      <c r="BE83" s="25"/>
      <c r="BF83" s="60">
        <f t="shared" si="42"/>
        <v>0.54664232959071324</v>
      </c>
      <c r="BG83" s="61">
        <f t="shared" si="43"/>
        <v>1.3133067075402958</v>
      </c>
      <c r="BH83" s="134">
        <f t="shared" si="44"/>
        <v>761.43675674428641</v>
      </c>
    </row>
    <row r="84" spans="1:69" x14ac:dyDescent="0.25">
      <c r="A84" s="24">
        <f t="shared" si="71"/>
        <v>900</v>
      </c>
      <c r="B84" s="74">
        <f t="shared" si="45"/>
        <v>6.25E-2</v>
      </c>
      <c r="C84" s="28"/>
      <c r="D84" s="65">
        <f t="shared" si="22"/>
        <v>-35.64</v>
      </c>
      <c r="E84" s="23">
        <f t="shared" si="46"/>
        <v>0.11</v>
      </c>
      <c r="F84" s="69"/>
      <c r="G84" s="65">
        <f t="shared" si="48"/>
        <v>-82.092837297041555</v>
      </c>
      <c r="H84" s="65">
        <f t="shared" si="49"/>
        <v>-164.18567459408311</v>
      </c>
      <c r="I84" s="65">
        <f t="shared" si="50"/>
        <v>-1204.875</v>
      </c>
      <c r="J84" s="65">
        <f t="shared" si="51"/>
        <v>3.71875</v>
      </c>
      <c r="K84" s="65">
        <f t="shared" si="52"/>
        <v>-82.092837297041555</v>
      </c>
      <c r="L84" s="65">
        <f t="shared" si="53"/>
        <v>0.25337295462049864</v>
      </c>
      <c r="M84" s="69"/>
      <c r="N84" s="65">
        <f t="shared" si="54"/>
        <v>-96.732921326859625</v>
      </c>
      <c r="O84" s="65">
        <f t="shared" si="55"/>
        <v>-96.732921326859625</v>
      </c>
      <c r="P84" s="65">
        <f t="shared" si="56"/>
        <v>-1204.875</v>
      </c>
      <c r="Q84" s="65">
        <f t="shared" si="57"/>
        <v>3.71875</v>
      </c>
      <c r="R84" s="65">
        <f t="shared" si="58"/>
        <v>-48.366460663429812</v>
      </c>
      <c r="S84" s="65">
        <f t="shared" si="59"/>
        <v>0.29855839915697419</v>
      </c>
      <c r="T84" s="69"/>
      <c r="U84" s="65">
        <f t="shared" si="60"/>
        <v>-149.34933204294714</v>
      </c>
      <c r="V84" s="65">
        <f t="shared" si="61"/>
        <v>30.65066795705286</v>
      </c>
      <c r="W84" s="65">
        <f t="shared" si="23"/>
        <v>30.65066795705286</v>
      </c>
      <c r="X84" s="65">
        <f t="shared" si="24"/>
        <v>0</v>
      </c>
      <c r="Y84" s="69"/>
      <c r="Z84" s="65">
        <f t="shared" si="62"/>
        <v>-166.46078946979284</v>
      </c>
      <c r="AA84" s="65">
        <f t="shared" si="63"/>
        <v>13.539210530207157</v>
      </c>
      <c r="AB84" s="65">
        <f t="shared" si="25"/>
        <v>13.539210530207157</v>
      </c>
      <c r="AC84" s="65">
        <f t="shared" si="26"/>
        <v>0</v>
      </c>
      <c r="AD84" s="69"/>
      <c r="AE84" s="65">
        <f t="shared" si="64"/>
        <v>-164.59390113545498</v>
      </c>
      <c r="AF84" s="65">
        <f t="shared" si="65"/>
        <v>15.406098864545015</v>
      </c>
      <c r="AG84" s="65">
        <f t="shared" si="66"/>
        <v>15.406098864545015</v>
      </c>
      <c r="AH84" s="65">
        <f t="shared" si="67"/>
        <v>0</v>
      </c>
      <c r="AI84" s="69"/>
      <c r="AJ84" s="68">
        <f t="shared" si="27"/>
        <v>0.72443135377747281</v>
      </c>
      <c r="AK84" s="44"/>
      <c r="AL84" s="121"/>
      <c r="AM84" s="23">
        <f t="shared" si="68"/>
        <v>-166.46078946979284</v>
      </c>
      <c r="AN84" s="23">
        <f t="shared" si="69"/>
        <v>13.539210530207157</v>
      </c>
      <c r="AO84" s="65">
        <f t="shared" si="28"/>
        <v>13.539210530207157</v>
      </c>
      <c r="AP84" s="65">
        <f t="shared" si="29"/>
        <v>0</v>
      </c>
      <c r="AQ84" s="25"/>
      <c r="AR84" s="65">
        <f t="shared" si="30"/>
        <v>-82.405356631408551</v>
      </c>
      <c r="AS84" s="65">
        <f t="shared" si="31"/>
        <v>-164.8107132628171</v>
      </c>
      <c r="AT84" s="65">
        <f t="shared" si="32"/>
        <v>-2409.75</v>
      </c>
      <c r="AU84" s="65">
        <f t="shared" si="33"/>
        <v>7.4375</v>
      </c>
      <c r="AV84" s="65">
        <f t="shared" si="34"/>
        <v>-82.405356631408551</v>
      </c>
      <c r="AW84" s="65">
        <f t="shared" si="35"/>
        <v>0.25433752046731034</v>
      </c>
      <c r="AX84" s="25"/>
      <c r="AY84" s="65">
        <f t="shared" si="36"/>
        <v>-77.471192290848492</v>
      </c>
      <c r="AZ84" s="65">
        <f t="shared" si="37"/>
        <v>-154.94238458169698</v>
      </c>
      <c r="BA84" s="65">
        <f t="shared" si="38"/>
        <v>-2409.75</v>
      </c>
      <c r="BB84" s="65">
        <f t="shared" si="39"/>
        <v>7.4375</v>
      </c>
      <c r="BC84" s="65">
        <f t="shared" si="40"/>
        <v>-77.471192290848492</v>
      </c>
      <c r="BD84" s="65">
        <f t="shared" si="41"/>
        <v>0.23910861818163115</v>
      </c>
      <c r="BE84" s="25"/>
      <c r="BF84" s="60">
        <f t="shared" si="42"/>
        <v>0.49344613864894149</v>
      </c>
      <c r="BG84" s="61">
        <f t="shared" si="43"/>
        <v>1.2178774924264144</v>
      </c>
      <c r="BH84" s="134">
        <f t="shared" si="44"/>
        <v>821.10064946488967</v>
      </c>
    </row>
    <row r="85" spans="1:69" x14ac:dyDescent="0.25">
      <c r="A85" s="24">
        <f t="shared" si="71"/>
        <v>1000</v>
      </c>
      <c r="B85" s="74">
        <f t="shared" si="45"/>
        <v>6.25E-2</v>
      </c>
      <c r="C85" s="28"/>
      <c r="D85" s="65">
        <f t="shared" si="22"/>
        <v>-39.6</v>
      </c>
      <c r="E85" s="23">
        <f t="shared" si="46"/>
        <v>0.11</v>
      </c>
      <c r="F85" s="69"/>
      <c r="G85" s="65">
        <f t="shared" si="48"/>
        <v>-82.874983651098191</v>
      </c>
      <c r="H85" s="65">
        <f t="shared" si="49"/>
        <v>-165.74996730219638</v>
      </c>
      <c r="I85" s="65">
        <f t="shared" si="50"/>
        <v>-1338.75</v>
      </c>
      <c r="J85" s="65">
        <f t="shared" si="51"/>
        <v>3.71875</v>
      </c>
      <c r="K85" s="65">
        <f t="shared" si="52"/>
        <v>-82.874983651098191</v>
      </c>
      <c r="L85" s="65">
        <f t="shared" si="53"/>
        <v>0.2302082879197172</v>
      </c>
      <c r="M85" s="69"/>
      <c r="N85" s="65">
        <f t="shared" si="54"/>
        <v>-102.68038349181982</v>
      </c>
      <c r="O85" s="65">
        <f t="shared" si="55"/>
        <v>-102.68038349181982</v>
      </c>
      <c r="P85" s="65">
        <f t="shared" si="56"/>
        <v>-1338.75</v>
      </c>
      <c r="Q85" s="65">
        <f t="shared" si="57"/>
        <v>3.71875</v>
      </c>
      <c r="R85" s="65">
        <f t="shared" si="58"/>
        <v>-51.340191745909912</v>
      </c>
      <c r="S85" s="65">
        <f t="shared" si="59"/>
        <v>0.28522328747727732</v>
      </c>
      <c r="T85" s="69"/>
      <c r="U85" s="65">
        <f t="shared" si="60"/>
        <v>-153.36314963805762</v>
      </c>
      <c r="V85" s="65">
        <f t="shared" si="61"/>
        <v>26.636850361942379</v>
      </c>
      <c r="W85" s="65">
        <f t="shared" si="23"/>
        <v>26.636850361942379</v>
      </c>
      <c r="X85" s="65">
        <f t="shared" si="24"/>
        <v>0</v>
      </c>
      <c r="Y85" s="69"/>
      <c r="Z85" s="65">
        <f t="shared" si="62"/>
        <v>-167.95742485711506</v>
      </c>
      <c r="AA85" s="65">
        <f t="shared" si="63"/>
        <v>12.042575142884942</v>
      </c>
      <c r="AB85" s="65">
        <f t="shared" si="25"/>
        <v>12.042575142884942</v>
      </c>
      <c r="AC85" s="65">
        <f t="shared" si="26"/>
        <v>0</v>
      </c>
      <c r="AD85" s="69"/>
      <c r="AE85" s="65">
        <f t="shared" si="64"/>
        <v>-166.33884629309449</v>
      </c>
      <c r="AF85" s="65">
        <f t="shared" si="65"/>
        <v>13.661153706905509</v>
      </c>
      <c r="AG85" s="65">
        <f t="shared" si="66"/>
        <v>13.661153706905509</v>
      </c>
      <c r="AH85" s="65">
        <f t="shared" si="67"/>
        <v>0</v>
      </c>
      <c r="AI85" s="69"/>
      <c r="AJ85" s="68">
        <f t="shared" si="27"/>
        <v>0.68793157539699457</v>
      </c>
      <c r="AK85" s="44"/>
      <c r="AL85" s="121"/>
      <c r="AM85" s="23">
        <f t="shared" si="68"/>
        <v>-167.95742485711506</v>
      </c>
      <c r="AN85" s="23">
        <f t="shared" si="69"/>
        <v>12.042575142884942</v>
      </c>
      <c r="AO85" s="65">
        <f t="shared" si="28"/>
        <v>12.042575142884942</v>
      </c>
      <c r="AP85" s="65">
        <f t="shared" si="29"/>
        <v>0</v>
      </c>
      <c r="AQ85" s="25"/>
      <c r="AR85" s="65">
        <f t="shared" si="30"/>
        <v>-83.157226587369053</v>
      </c>
      <c r="AS85" s="65">
        <f t="shared" si="31"/>
        <v>-166.31445317473811</v>
      </c>
      <c r="AT85" s="65">
        <f t="shared" si="32"/>
        <v>-2677.5</v>
      </c>
      <c r="AU85" s="65">
        <f t="shared" si="33"/>
        <v>7.4375</v>
      </c>
      <c r="AV85" s="65">
        <f t="shared" si="34"/>
        <v>-83.157226587369053</v>
      </c>
      <c r="AW85" s="65">
        <f t="shared" si="35"/>
        <v>0.23099229607602514</v>
      </c>
      <c r="AX85" s="25"/>
      <c r="AY85" s="65">
        <f t="shared" si="36"/>
        <v>-78.690067525979785</v>
      </c>
      <c r="AZ85" s="65">
        <f t="shared" si="37"/>
        <v>-157.38013505195957</v>
      </c>
      <c r="BA85" s="65">
        <f t="shared" si="38"/>
        <v>-2677.5</v>
      </c>
      <c r="BB85" s="65">
        <f t="shared" si="39"/>
        <v>7.4375</v>
      </c>
      <c r="BC85" s="65">
        <f t="shared" si="40"/>
        <v>-78.690067525979785</v>
      </c>
      <c r="BD85" s="65">
        <f t="shared" si="41"/>
        <v>0.2185835209054994</v>
      </c>
      <c r="BE85" s="25"/>
      <c r="BF85" s="60">
        <f t="shared" si="42"/>
        <v>0.44957581698152455</v>
      </c>
      <c r="BG85" s="61">
        <f t="shared" si="43"/>
        <v>1.1375073923785191</v>
      </c>
      <c r="BH85" s="134">
        <f t="shared" si="44"/>
        <v>879.11516593224758</v>
      </c>
    </row>
    <row r="86" spans="1:69" x14ac:dyDescent="0.25">
      <c r="A86" s="24">
        <f>A85+1000</f>
        <v>2000</v>
      </c>
      <c r="B86" s="74">
        <f t="shared" si="45"/>
        <v>6.25E-2</v>
      </c>
      <c r="C86" s="28"/>
      <c r="D86" s="65">
        <f t="shared" si="22"/>
        <v>-79.2</v>
      </c>
      <c r="E86" s="23">
        <f t="shared" ref="E86:E94" si="72">E85</f>
        <v>0.11</v>
      </c>
      <c r="F86" s="69"/>
      <c r="G86" s="65">
        <f t="shared" si="48"/>
        <v>-86.423665625002656</v>
      </c>
      <c r="H86" s="65">
        <f t="shared" si="49"/>
        <v>-172.84733125000531</v>
      </c>
      <c r="I86" s="65">
        <f t="shared" si="50"/>
        <v>-2677.5</v>
      </c>
      <c r="J86" s="65">
        <f t="shared" si="51"/>
        <v>3.71875</v>
      </c>
      <c r="K86" s="65">
        <f t="shared" si="52"/>
        <v>-86.423665625002656</v>
      </c>
      <c r="L86" s="65">
        <f t="shared" si="53"/>
        <v>0.1200328689236148</v>
      </c>
      <c r="M86" s="69"/>
      <c r="N86" s="65">
        <f t="shared" si="54"/>
        <v>-136.39718102729637</v>
      </c>
      <c r="O86" s="65">
        <f t="shared" si="55"/>
        <v>-136.39718102729637</v>
      </c>
      <c r="P86" s="65">
        <f t="shared" si="56"/>
        <v>-2677.5</v>
      </c>
      <c r="Q86" s="65">
        <f t="shared" si="57"/>
        <v>3.71875</v>
      </c>
      <c r="R86" s="65">
        <f t="shared" si="58"/>
        <v>-68.198590513648185</v>
      </c>
      <c r="S86" s="65">
        <f t="shared" si="59"/>
        <v>0.1894405292045783</v>
      </c>
      <c r="T86" s="69"/>
      <c r="U86" s="65">
        <f t="shared" si="60"/>
        <v>-168.10373826053771</v>
      </c>
      <c r="V86" s="65">
        <f t="shared" si="61"/>
        <v>11.89626173946229</v>
      </c>
      <c r="W86" s="65">
        <f t="shared" si="23"/>
        <v>11.89626173946229</v>
      </c>
      <c r="X86" s="65">
        <f t="shared" si="24"/>
        <v>0</v>
      </c>
      <c r="Y86" s="69"/>
      <c r="Z86" s="65">
        <f t="shared" si="62"/>
        <v>-174.19937585628301</v>
      </c>
      <c r="AA86" s="65">
        <f t="shared" si="63"/>
        <v>5.8006241437169876</v>
      </c>
      <c r="AB86" s="65">
        <f t="shared" si="25"/>
        <v>5.8006241437169876</v>
      </c>
      <c r="AC86" s="65">
        <f t="shared" si="26"/>
        <v>0</v>
      </c>
      <c r="AD86" s="69"/>
      <c r="AE86" s="65">
        <f t="shared" si="64"/>
        <v>-173.48283541672106</v>
      </c>
      <c r="AF86" s="65">
        <f t="shared" si="65"/>
        <v>6.5171645832789409</v>
      </c>
      <c r="AG86" s="65">
        <f t="shared" si="66"/>
        <v>6.5171645832789409</v>
      </c>
      <c r="AH86" s="65">
        <f t="shared" si="67"/>
        <v>0</v>
      </c>
      <c r="AI86" s="69"/>
      <c r="AJ86" s="68">
        <f t="shared" si="27"/>
        <v>0.48197339812819312</v>
      </c>
      <c r="AK86" s="44"/>
      <c r="AL86" s="121"/>
      <c r="AM86" s="23">
        <f t="shared" si="68"/>
        <v>-174.19937585628301</v>
      </c>
      <c r="AN86" s="23">
        <f t="shared" si="69"/>
        <v>5.8006241437169876</v>
      </c>
      <c r="AO86" s="65">
        <f t="shared" si="28"/>
        <v>5.8006241437169876</v>
      </c>
      <c r="AP86" s="65">
        <f t="shared" si="29"/>
        <v>0</v>
      </c>
      <c r="AQ86" s="25"/>
      <c r="AR86" s="65">
        <f t="shared" si="30"/>
        <v>-86.566369637549485</v>
      </c>
      <c r="AS86" s="65">
        <f t="shared" si="31"/>
        <v>-173.13273927509897</v>
      </c>
      <c r="AT86" s="65">
        <f t="shared" si="32"/>
        <v>-5355</v>
      </c>
      <c r="AU86" s="65">
        <f t="shared" si="33"/>
        <v>7.4375</v>
      </c>
      <c r="AV86" s="65">
        <f t="shared" si="34"/>
        <v>-86.566369637549485</v>
      </c>
      <c r="AW86" s="65">
        <f t="shared" si="35"/>
        <v>0.12023106894104095</v>
      </c>
      <c r="AX86" s="25"/>
      <c r="AY86" s="65">
        <f t="shared" si="36"/>
        <v>-84.289406862500371</v>
      </c>
      <c r="AZ86" s="65">
        <f t="shared" si="37"/>
        <v>-168.57881372500074</v>
      </c>
      <c r="BA86" s="65">
        <f t="shared" si="38"/>
        <v>-5355</v>
      </c>
      <c r="BB86" s="65">
        <f t="shared" si="39"/>
        <v>7.4375</v>
      </c>
      <c r="BC86" s="65">
        <f t="shared" si="40"/>
        <v>-84.289406862500371</v>
      </c>
      <c r="BD86" s="65">
        <f t="shared" si="41"/>
        <v>0.11706862064236162</v>
      </c>
      <c r="BE86" s="25"/>
      <c r="BF86" s="60">
        <f t="shared" si="42"/>
        <v>0.23729968958340258</v>
      </c>
      <c r="BG86" s="61">
        <f t="shared" si="43"/>
        <v>0.7192730877115957</v>
      </c>
      <c r="BH86" s="134">
        <f t="shared" si="44"/>
        <v>1390.2925287828457</v>
      </c>
    </row>
    <row r="87" spans="1:69" x14ac:dyDescent="0.25">
      <c r="A87" s="24">
        <f t="shared" ref="A87:A94" si="73">A86+1000</f>
        <v>3000</v>
      </c>
      <c r="B87" s="74">
        <f t="shared" si="45"/>
        <v>6.25E-2</v>
      </c>
      <c r="C87" s="28"/>
      <c r="D87" s="65">
        <f t="shared" si="22"/>
        <v>-118.8</v>
      </c>
      <c r="E87" s="23">
        <f t="shared" si="72"/>
        <v>0.11</v>
      </c>
      <c r="F87" s="69"/>
      <c r="G87" s="65">
        <f t="shared" si="48"/>
        <v>-87.614055969611186</v>
      </c>
      <c r="H87" s="65">
        <f t="shared" si="49"/>
        <v>-175.22811193922237</v>
      </c>
      <c r="I87" s="65">
        <f t="shared" si="50"/>
        <v>-4016.25</v>
      </c>
      <c r="J87" s="65">
        <f t="shared" si="51"/>
        <v>3.71875</v>
      </c>
      <c r="K87" s="65">
        <f t="shared" si="52"/>
        <v>-87.614055969611186</v>
      </c>
      <c r="L87" s="65">
        <f t="shared" si="53"/>
        <v>8.1124125897788127E-2</v>
      </c>
      <c r="M87" s="69"/>
      <c r="N87" s="65">
        <f t="shared" si="54"/>
        <v>-150.13716564372487</v>
      </c>
      <c r="O87" s="65">
        <f t="shared" si="55"/>
        <v>-150.13716564372487</v>
      </c>
      <c r="P87" s="65">
        <f t="shared" si="56"/>
        <v>-4016.25</v>
      </c>
      <c r="Q87" s="65">
        <f t="shared" si="57"/>
        <v>3.71875</v>
      </c>
      <c r="R87" s="65">
        <f t="shared" si="58"/>
        <v>-75.068582821862435</v>
      </c>
      <c r="S87" s="65">
        <f t="shared" si="59"/>
        <v>0.13901589411456006</v>
      </c>
      <c r="T87" s="69"/>
      <c r="U87" s="65">
        <f t="shared" si="60"/>
        <v>-172.23265427452583</v>
      </c>
      <c r="V87" s="65">
        <f t="shared" si="61"/>
        <v>7.767345725474172</v>
      </c>
      <c r="W87" s="65">
        <f t="shared" si="23"/>
        <v>7.767345725474172</v>
      </c>
      <c r="X87" s="65">
        <f t="shared" si="24"/>
        <v>0</v>
      </c>
      <c r="Y87" s="69"/>
      <c r="Z87" s="65">
        <f t="shared" si="62"/>
        <v>-176.1593328630089</v>
      </c>
      <c r="AA87" s="65">
        <f t="shared" si="63"/>
        <v>3.840667136991101</v>
      </c>
      <c r="AB87" s="65">
        <f t="shared" si="25"/>
        <v>3.840667136991101</v>
      </c>
      <c r="AC87" s="65">
        <f t="shared" si="26"/>
        <v>0</v>
      </c>
      <c r="AD87" s="69"/>
      <c r="AE87" s="65">
        <f t="shared" si="64"/>
        <v>-175.69245480322175</v>
      </c>
      <c r="AF87" s="65">
        <f t="shared" si="65"/>
        <v>4.3075451967782499</v>
      </c>
      <c r="AG87" s="65">
        <f t="shared" si="66"/>
        <v>4.3075451967782499</v>
      </c>
      <c r="AH87" s="65">
        <f t="shared" si="67"/>
        <v>0</v>
      </c>
      <c r="AI87" s="69"/>
      <c r="AJ87" s="68">
        <f t="shared" si="27"/>
        <v>0.39264002001234816</v>
      </c>
      <c r="AK87" s="44"/>
      <c r="AL87" s="121"/>
      <c r="AM87" s="23">
        <f t="shared" si="68"/>
        <v>-176.1593328630089</v>
      </c>
      <c r="AN87" s="23">
        <f t="shared" si="69"/>
        <v>3.840667136991101</v>
      </c>
      <c r="AO87" s="65">
        <f t="shared" si="28"/>
        <v>3.840667136991101</v>
      </c>
      <c r="AP87" s="65">
        <f t="shared" si="29"/>
        <v>0</v>
      </c>
      <c r="AQ87" s="25"/>
      <c r="AR87" s="65">
        <f t="shared" si="30"/>
        <v>-87.709389957361466</v>
      </c>
      <c r="AS87" s="65">
        <f t="shared" si="31"/>
        <v>-175.41877991472293</v>
      </c>
      <c r="AT87" s="65">
        <f t="shared" si="32"/>
        <v>-8032.5</v>
      </c>
      <c r="AU87" s="65">
        <f t="shared" si="33"/>
        <v>7.4375</v>
      </c>
      <c r="AV87" s="65">
        <f t="shared" si="34"/>
        <v>-87.709389957361466</v>
      </c>
      <c r="AW87" s="65">
        <f t="shared" si="35"/>
        <v>8.1212398108668024E-2</v>
      </c>
      <c r="AX87" s="25"/>
      <c r="AY87" s="65">
        <f t="shared" si="36"/>
        <v>-86.185925165709648</v>
      </c>
      <c r="AZ87" s="65">
        <f t="shared" si="37"/>
        <v>-172.3718503314193</v>
      </c>
      <c r="BA87" s="65">
        <f t="shared" si="38"/>
        <v>-8032.5</v>
      </c>
      <c r="BB87" s="65">
        <f t="shared" si="39"/>
        <v>7.4375</v>
      </c>
      <c r="BC87" s="65">
        <f t="shared" si="40"/>
        <v>-86.185925165709648</v>
      </c>
      <c r="BD87" s="65">
        <f t="shared" si="41"/>
        <v>7.9801782560842263E-2</v>
      </c>
      <c r="BE87" s="25"/>
      <c r="BF87" s="60">
        <f t="shared" si="42"/>
        <v>0.16101418066951029</v>
      </c>
      <c r="BG87" s="61">
        <f t="shared" si="43"/>
        <v>0.55365420068185844</v>
      </c>
      <c r="BH87" s="134">
        <f t="shared" si="44"/>
        <v>1806.1815457526372</v>
      </c>
    </row>
    <row r="88" spans="1:69" x14ac:dyDescent="0.25">
      <c r="A88" s="24">
        <f t="shared" si="73"/>
        <v>4000</v>
      </c>
      <c r="B88" s="74">
        <f t="shared" si="45"/>
        <v>6.25E-2</v>
      </c>
      <c r="C88" s="28"/>
      <c r="D88" s="65">
        <f t="shared" si="22"/>
        <v>-158.4</v>
      </c>
      <c r="E88" s="23">
        <f t="shared" si="72"/>
        <v>0.11</v>
      </c>
      <c r="F88" s="69"/>
      <c r="G88" s="65">
        <f t="shared" si="48"/>
        <v>-88.210089391753939</v>
      </c>
      <c r="H88" s="65">
        <f t="shared" si="49"/>
        <v>-176.42017878350788</v>
      </c>
      <c r="I88" s="65">
        <f t="shared" si="50"/>
        <v>-5355</v>
      </c>
      <c r="J88" s="65">
        <f t="shared" si="51"/>
        <v>3.71875</v>
      </c>
      <c r="K88" s="65">
        <f t="shared" si="52"/>
        <v>-88.210089391753939</v>
      </c>
      <c r="L88" s="65">
        <f t="shared" si="53"/>
        <v>6.1257006522051342E-2</v>
      </c>
      <c r="M88" s="69"/>
      <c r="N88" s="65">
        <f t="shared" si="54"/>
        <v>-157.38013505195957</v>
      </c>
      <c r="O88" s="65">
        <f t="shared" si="55"/>
        <v>-157.38013505195957</v>
      </c>
      <c r="P88" s="65">
        <f t="shared" si="56"/>
        <v>-5355</v>
      </c>
      <c r="Q88" s="65">
        <f t="shared" si="57"/>
        <v>3.71875</v>
      </c>
      <c r="R88" s="65">
        <f t="shared" si="58"/>
        <v>-78.690067525979785</v>
      </c>
      <c r="S88" s="65">
        <f t="shared" si="59"/>
        <v>0.1092917604527497</v>
      </c>
      <c r="T88" s="69"/>
      <c r="U88" s="65">
        <f t="shared" si="60"/>
        <v>-174.21669879968709</v>
      </c>
      <c r="V88" s="65">
        <f t="shared" si="61"/>
        <v>5.7833012003129056</v>
      </c>
      <c r="W88" s="65">
        <f t="shared" si="23"/>
        <v>5.7833012003129056</v>
      </c>
      <c r="X88" s="65">
        <f t="shared" si="24"/>
        <v>0</v>
      </c>
      <c r="Y88" s="69"/>
      <c r="Z88" s="65">
        <f t="shared" si="62"/>
        <v>-177.12638843317819</v>
      </c>
      <c r="AA88" s="65">
        <f t="shared" si="63"/>
        <v>2.8736115668218076</v>
      </c>
      <c r="AB88" s="65">
        <f t="shared" si="25"/>
        <v>2.8736115668218076</v>
      </c>
      <c r="AC88" s="65">
        <f t="shared" si="26"/>
        <v>0</v>
      </c>
      <c r="AD88" s="69"/>
      <c r="AE88" s="65">
        <f t="shared" si="64"/>
        <v>-176.77903432493559</v>
      </c>
      <c r="AF88" s="65">
        <f t="shared" si="65"/>
        <v>3.2209656750644058</v>
      </c>
      <c r="AG88" s="65">
        <f t="shared" si="66"/>
        <v>3.2209656750644058</v>
      </c>
      <c r="AH88" s="65">
        <f t="shared" si="67"/>
        <v>0</v>
      </c>
      <c r="AI88" s="69"/>
      <c r="AJ88" s="68">
        <f t="shared" si="27"/>
        <v>0.34304876697480102</v>
      </c>
      <c r="AK88" s="44"/>
      <c r="AL88" s="121"/>
      <c r="AM88" s="23">
        <f t="shared" si="68"/>
        <v>-177.12638843317819</v>
      </c>
      <c r="AN88" s="23">
        <f t="shared" si="69"/>
        <v>2.8736115668218076</v>
      </c>
      <c r="AO88" s="65">
        <f t="shared" si="28"/>
        <v>2.8736115668218076</v>
      </c>
      <c r="AP88" s="65">
        <f t="shared" si="29"/>
        <v>0</v>
      </c>
      <c r="AQ88" s="25"/>
      <c r="AR88" s="65">
        <f t="shared" si="30"/>
        <v>-88.281641998344554</v>
      </c>
      <c r="AS88" s="65">
        <f t="shared" si="31"/>
        <v>-176.56328399668911</v>
      </c>
      <c r="AT88" s="65">
        <f t="shared" si="32"/>
        <v>-10710</v>
      </c>
      <c r="AU88" s="65">
        <f t="shared" si="33"/>
        <v>7.4375</v>
      </c>
      <c r="AV88" s="65">
        <f t="shared" si="34"/>
        <v>-88.281641998344554</v>
      </c>
      <c r="AW88" s="65">
        <f t="shared" si="35"/>
        <v>6.1306695832183712E-2</v>
      </c>
      <c r="AX88" s="25"/>
      <c r="AY88" s="65">
        <f t="shared" si="36"/>
        <v>-87.137594773888253</v>
      </c>
      <c r="AZ88" s="65">
        <f t="shared" si="37"/>
        <v>-174.27518954777651</v>
      </c>
      <c r="BA88" s="65">
        <f t="shared" si="38"/>
        <v>-10710</v>
      </c>
      <c r="BB88" s="65">
        <f t="shared" si="39"/>
        <v>7.4375</v>
      </c>
      <c r="BC88" s="65">
        <f t="shared" si="40"/>
        <v>-87.137594773888253</v>
      </c>
      <c r="BD88" s="65">
        <f t="shared" si="41"/>
        <v>6.0512218592977951E-2</v>
      </c>
      <c r="BE88" s="25"/>
      <c r="BF88" s="60">
        <f t="shared" si="42"/>
        <v>0.12181891442516166</v>
      </c>
      <c r="BG88" s="61">
        <f t="shared" si="43"/>
        <v>0.46486768139996271</v>
      </c>
      <c r="BH88" s="134">
        <f t="shared" si="44"/>
        <v>2151.1497572566682</v>
      </c>
    </row>
    <row r="89" spans="1:69" x14ac:dyDescent="0.25">
      <c r="A89" s="24">
        <f t="shared" si="73"/>
        <v>5000</v>
      </c>
      <c r="B89" s="74">
        <f t="shared" si="45"/>
        <v>6.25E-2</v>
      </c>
      <c r="C89" s="28"/>
      <c r="D89" s="65">
        <f t="shared" si="22"/>
        <v>-198</v>
      </c>
      <c r="E89" s="23">
        <f t="shared" si="72"/>
        <v>0.11</v>
      </c>
      <c r="F89" s="69"/>
      <c r="G89" s="65">
        <f t="shared" si="48"/>
        <v>-88.567903815835365</v>
      </c>
      <c r="H89" s="65">
        <f t="shared" si="49"/>
        <v>-177.13580763167073</v>
      </c>
      <c r="I89" s="65">
        <f t="shared" si="50"/>
        <v>-6693.75</v>
      </c>
      <c r="J89" s="65">
        <f t="shared" si="51"/>
        <v>3.71875</v>
      </c>
      <c r="K89" s="65">
        <f t="shared" si="52"/>
        <v>-88.567903815835365</v>
      </c>
      <c r="L89" s="65">
        <f t="shared" si="53"/>
        <v>4.9204391008797428E-2</v>
      </c>
      <c r="M89" s="69"/>
      <c r="N89" s="65">
        <f t="shared" si="54"/>
        <v>-161.81944615835539</v>
      </c>
      <c r="O89" s="65">
        <f t="shared" si="55"/>
        <v>-161.81944615835539</v>
      </c>
      <c r="P89" s="65">
        <f t="shared" si="56"/>
        <v>-6693.75</v>
      </c>
      <c r="Q89" s="65">
        <f t="shared" si="57"/>
        <v>3.71875</v>
      </c>
      <c r="R89" s="65">
        <f t="shared" si="58"/>
        <v>-80.909723079177695</v>
      </c>
      <c r="S89" s="65">
        <f t="shared" si="59"/>
        <v>8.989969231019744E-2</v>
      </c>
      <c r="T89" s="69"/>
      <c r="U89" s="65">
        <f t="shared" si="60"/>
        <v>-175.38888785568557</v>
      </c>
      <c r="V89" s="65">
        <f t="shared" si="61"/>
        <v>4.6111121443144327</v>
      </c>
      <c r="W89" s="65">
        <f t="shared" si="23"/>
        <v>4.6111121443144327</v>
      </c>
      <c r="X89" s="65">
        <f t="shared" si="24"/>
        <v>0</v>
      </c>
      <c r="Y89" s="69"/>
      <c r="Z89" s="65">
        <f t="shared" si="62"/>
        <v>-177.70365521816404</v>
      </c>
      <c r="AA89" s="65">
        <f t="shared" si="63"/>
        <v>2.2963447818359555</v>
      </c>
      <c r="AB89" s="65">
        <f t="shared" si="25"/>
        <v>2.2963447818359555</v>
      </c>
      <c r="AC89" s="65">
        <f t="shared" si="26"/>
        <v>0</v>
      </c>
      <c r="AD89" s="69"/>
      <c r="AE89" s="65">
        <f t="shared" si="64"/>
        <v>-177.42680552786609</v>
      </c>
      <c r="AF89" s="65">
        <f t="shared" si="65"/>
        <v>2.5731944721339062</v>
      </c>
      <c r="AG89" s="65">
        <f t="shared" si="66"/>
        <v>2.5731944721339062</v>
      </c>
      <c r="AH89" s="65">
        <f t="shared" si="67"/>
        <v>0</v>
      </c>
      <c r="AI89" s="69"/>
      <c r="AJ89" s="68">
        <f t="shared" si="27"/>
        <v>0.31160408331899486</v>
      </c>
      <c r="AK89" s="44"/>
      <c r="AL89" s="121"/>
      <c r="AM89" s="23">
        <f t="shared" si="68"/>
        <v>-177.70365521816404</v>
      </c>
      <c r="AN89" s="23">
        <f t="shared" si="69"/>
        <v>2.2963447818359555</v>
      </c>
      <c r="AO89" s="65">
        <f t="shared" si="28"/>
        <v>2.2963447818359555</v>
      </c>
      <c r="AP89" s="65">
        <f t="shared" si="29"/>
        <v>0</v>
      </c>
      <c r="AQ89" s="25"/>
      <c r="AR89" s="65">
        <f t="shared" si="30"/>
        <v>-88.625165219430599</v>
      </c>
      <c r="AS89" s="65">
        <f t="shared" si="31"/>
        <v>-177.2503304388612</v>
      </c>
      <c r="AT89" s="65">
        <f t="shared" si="32"/>
        <v>-13387.5</v>
      </c>
      <c r="AU89" s="65">
        <f t="shared" si="33"/>
        <v>7.4375</v>
      </c>
      <c r="AV89" s="65">
        <f t="shared" si="34"/>
        <v>-88.625165219430599</v>
      </c>
      <c r="AW89" s="65">
        <f t="shared" si="35"/>
        <v>4.9236202899683668E-2</v>
      </c>
      <c r="AX89" s="25"/>
      <c r="AY89" s="65">
        <f t="shared" si="36"/>
        <v>-87.709389957361466</v>
      </c>
      <c r="AZ89" s="65">
        <f t="shared" si="37"/>
        <v>-175.41877991472293</v>
      </c>
      <c r="BA89" s="65">
        <f t="shared" si="38"/>
        <v>-13387.5</v>
      </c>
      <c r="BB89" s="65">
        <f t="shared" si="39"/>
        <v>7.4375</v>
      </c>
      <c r="BC89" s="65">
        <f t="shared" si="40"/>
        <v>-87.709389957361466</v>
      </c>
      <c r="BD89" s="65">
        <f t="shared" si="41"/>
        <v>4.8727438865200819E-2</v>
      </c>
      <c r="BE89" s="25"/>
      <c r="BF89" s="60">
        <f t="shared" si="42"/>
        <v>9.7963641764884479E-2</v>
      </c>
      <c r="BG89" s="61">
        <f t="shared" si="43"/>
        <v>0.40956772508387934</v>
      </c>
      <c r="BH89" s="134">
        <f t="shared" si="44"/>
        <v>2441.5986386505438</v>
      </c>
    </row>
    <row r="90" spans="1:69" x14ac:dyDescent="0.25">
      <c r="A90" s="24">
        <f t="shared" si="73"/>
        <v>6000</v>
      </c>
      <c r="B90" s="74">
        <f t="shared" si="45"/>
        <v>6.25E-2</v>
      </c>
      <c r="C90" s="28"/>
      <c r="D90" s="65">
        <f t="shared" si="22"/>
        <v>-237.6</v>
      </c>
      <c r="E90" s="23">
        <f t="shared" si="72"/>
        <v>0.11</v>
      </c>
      <c r="F90" s="69"/>
      <c r="G90" s="65">
        <f t="shared" si="48"/>
        <v>-88.80651057601797</v>
      </c>
      <c r="H90" s="65">
        <f t="shared" si="49"/>
        <v>-177.61302115203594</v>
      </c>
      <c r="I90" s="65">
        <f t="shared" si="50"/>
        <v>-8032.5</v>
      </c>
      <c r="J90" s="65">
        <f t="shared" si="51"/>
        <v>3.71875</v>
      </c>
      <c r="K90" s="65">
        <f t="shared" si="52"/>
        <v>-88.80651057601797</v>
      </c>
      <c r="L90" s="65">
        <f t="shared" si="53"/>
        <v>4.1114125266674989E-2</v>
      </c>
      <c r="M90" s="69"/>
      <c r="N90" s="65">
        <f t="shared" si="54"/>
        <v>-164.8107132628171</v>
      </c>
      <c r="O90" s="65">
        <f t="shared" si="55"/>
        <v>-164.8107132628171</v>
      </c>
      <c r="P90" s="65">
        <f t="shared" si="56"/>
        <v>-8032.5</v>
      </c>
      <c r="Q90" s="65">
        <f t="shared" si="57"/>
        <v>3.71875</v>
      </c>
      <c r="R90" s="65">
        <f t="shared" si="58"/>
        <v>-82.405356631408551</v>
      </c>
      <c r="S90" s="65">
        <f t="shared" si="59"/>
        <v>7.6301256140193105E-2</v>
      </c>
      <c r="T90" s="69"/>
      <c r="U90" s="65">
        <f t="shared" si="60"/>
        <v>-176.16441385410334</v>
      </c>
      <c r="V90" s="65">
        <f t="shared" si="61"/>
        <v>3.8355861458966558</v>
      </c>
      <c r="W90" s="65">
        <f t="shared" si="23"/>
        <v>3.8355861458966558</v>
      </c>
      <c r="X90" s="65">
        <f t="shared" si="24"/>
        <v>0</v>
      </c>
      <c r="Y90" s="69"/>
      <c r="Z90" s="65">
        <f t="shared" si="62"/>
        <v>-178.08752976540026</v>
      </c>
      <c r="AA90" s="65">
        <f t="shared" si="63"/>
        <v>1.9124702345997378</v>
      </c>
      <c r="AB90" s="65">
        <f t="shared" si="25"/>
        <v>1.9124702345997378</v>
      </c>
      <c r="AC90" s="65">
        <f t="shared" si="26"/>
        <v>0</v>
      </c>
      <c r="AD90" s="69"/>
      <c r="AE90" s="65">
        <f t="shared" si="64"/>
        <v>-177.85728850378442</v>
      </c>
      <c r="AF90" s="65">
        <f t="shared" si="65"/>
        <v>2.1427114962155827</v>
      </c>
      <c r="AG90" s="65">
        <f t="shared" si="66"/>
        <v>2.1427114962155827</v>
      </c>
      <c r="AH90" s="65">
        <f t="shared" si="67"/>
        <v>0</v>
      </c>
      <c r="AI90" s="69"/>
      <c r="AJ90" s="68">
        <f t="shared" si="27"/>
        <v>0.28991538140686812</v>
      </c>
      <c r="AK90" s="44"/>
      <c r="AL90" s="121"/>
      <c r="AM90" s="23">
        <f t="shared" si="68"/>
        <v>-178.08752976540026</v>
      </c>
      <c r="AN90" s="23">
        <f t="shared" si="69"/>
        <v>1.9124702345997378</v>
      </c>
      <c r="AO90" s="65">
        <f t="shared" si="28"/>
        <v>1.9124702345997378</v>
      </c>
      <c r="AP90" s="65">
        <f t="shared" si="29"/>
        <v>0</v>
      </c>
      <c r="AQ90" s="25"/>
      <c r="AR90" s="65">
        <f t="shared" si="30"/>
        <v>-88.854237161824898</v>
      </c>
      <c r="AS90" s="65">
        <f t="shared" si="31"/>
        <v>-177.7084743236498</v>
      </c>
      <c r="AT90" s="65">
        <f t="shared" si="32"/>
        <v>-16065</v>
      </c>
      <c r="AU90" s="65">
        <f t="shared" si="33"/>
        <v>7.4375</v>
      </c>
      <c r="AV90" s="65">
        <f t="shared" si="34"/>
        <v>-88.854237161824898</v>
      </c>
      <c r="AW90" s="65">
        <f t="shared" si="35"/>
        <v>4.1136220908252266E-2</v>
      </c>
      <c r="AX90" s="25"/>
      <c r="AY90" s="65">
        <f t="shared" si="36"/>
        <v>-88.090847567003621</v>
      </c>
      <c r="AZ90" s="65">
        <f t="shared" si="37"/>
        <v>-176.18169513400724</v>
      </c>
      <c r="BA90" s="65">
        <f t="shared" si="38"/>
        <v>-16065</v>
      </c>
      <c r="BB90" s="65">
        <f t="shared" si="39"/>
        <v>7.4375</v>
      </c>
      <c r="BC90" s="65">
        <f t="shared" si="40"/>
        <v>-88.090847567003621</v>
      </c>
      <c r="BD90" s="65">
        <f t="shared" si="41"/>
        <v>4.0782799799538715E-2</v>
      </c>
      <c r="BE90" s="25"/>
      <c r="BF90" s="60">
        <f t="shared" si="42"/>
        <v>8.1919020707790974E-2</v>
      </c>
      <c r="BG90" s="61">
        <f t="shared" si="43"/>
        <v>0.37183440211465912</v>
      </c>
      <c r="BH90" s="134">
        <f t="shared" si="44"/>
        <v>2689.3692307997881</v>
      </c>
    </row>
    <row r="91" spans="1:69" x14ac:dyDescent="0.25">
      <c r="A91" s="24">
        <f t="shared" si="73"/>
        <v>7000</v>
      </c>
      <c r="B91" s="74">
        <f t="shared" si="45"/>
        <v>6.25E-2</v>
      </c>
      <c r="C91" s="28"/>
      <c r="D91" s="65">
        <f t="shared" si="22"/>
        <v>-277.2</v>
      </c>
      <c r="E91" s="23">
        <f t="shared" si="72"/>
        <v>0.11</v>
      </c>
      <c r="F91" s="69"/>
      <c r="G91" s="65">
        <f t="shared" si="48"/>
        <v>-88.976969811332168</v>
      </c>
      <c r="H91" s="65">
        <f t="shared" si="49"/>
        <v>-177.95393962266434</v>
      </c>
      <c r="I91" s="65">
        <f t="shared" si="50"/>
        <v>-9371.25</v>
      </c>
      <c r="J91" s="65">
        <f t="shared" si="51"/>
        <v>3.71875</v>
      </c>
      <c r="K91" s="65">
        <f t="shared" si="52"/>
        <v>-88.976969811332168</v>
      </c>
      <c r="L91" s="65">
        <f t="shared" si="53"/>
        <v>3.5308321353703237E-2</v>
      </c>
      <c r="M91" s="69"/>
      <c r="N91" s="65">
        <f t="shared" si="54"/>
        <v>-166.96039649668603</v>
      </c>
      <c r="O91" s="65">
        <f t="shared" si="55"/>
        <v>-166.96039649668603</v>
      </c>
      <c r="P91" s="65">
        <f t="shared" si="56"/>
        <v>-9371.25</v>
      </c>
      <c r="Q91" s="65">
        <f t="shared" si="57"/>
        <v>3.71875</v>
      </c>
      <c r="R91" s="65">
        <f t="shared" si="58"/>
        <v>-83.480198248343015</v>
      </c>
      <c r="S91" s="65">
        <f t="shared" si="59"/>
        <v>6.6254125593923033E-2</v>
      </c>
      <c r="T91" s="69"/>
      <c r="U91" s="65">
        <f t="shared" si="60"/>
        <v>-176.71596984104593</v>
      </c>
      <c r="V91" s="65">
        <f t="shared" si="61"/>
        <v>3.2840301589540672</v>
      </c>
      <c r="W91" s="65">
        <f t="shared" si="23"/>
        <v>3.2840301589540672</v>
      </c>
      <c r="X91" s="65">
        <f t="shared" si="24"/>
        <v>0</v>
      </c>
      <c r="Y91" s="69"/>
      <c r="Z91" s="65">
        <f t="shared" si="62"/>
        <v>-178.3613339605385</v>
      </c>
      <c r="AA91" s="65">
        <f t="shared" si="63"/>
        <v>1.6386660394614978</v>
      </c>
      <c r="AB91" s="65">
        <f t="shared" si="25"/>
        <v>1.6386660394614978</v>
      </c>
      <c r="AC91" s="65">
        <f t="shared" si="26"/>
        <v>0</v>
      </c>
      <c r="AD91" s="69"/>
      <c r="AE91" s="65">
        <f t="shared" si="64"/>
        <v>-178.1642252594543</v>
      </c>
      <c r="AF91" s="65">
        <f t="shared" si="65"/>
        <v>1.8357747405457019</v>
      </c>
      <c r="AG91" s="65">
        <f t="shared" si="66"/>
        <v>1.8357747405457019</v>
      </c>
      <c r="AH91" s="65">
        <f t="shared" si="67"/>
        <v>0</v>
      </c>
      <c r="AI91" s="69"/>
      <c r="AJ91" s="68">
        <f t="shared" si="27"/>
        <v>0.27406244694762627</v>
      </c>
      <c r="AK91" s="44"/>
      <c r="AL91" s="121"/>
      <c r="AM91" s="23">
        <f t="shared" si="68"/>
        <v>-178.3613339605385</v>
      </c>
      <c r="AN91" s="23">
        <f t="shared" si="69"/>
        <v>1.6386660394614978</v>
      </c>
      <c r="AO91" s="65">
        <f t="shared" si="28"/>
        <v>1.6386660394614978</v>
      </c>
      <c r="AP91" s="65">
        <f t="shared" si="29"/>
        <v>0</v>
      </c>
      <c r="AQ91" s="25"/>
      <c r="AR91" s="65">
        <f t="shared" si="30"/>
        <v>-89.017882836775826</v>
      </c>
      <c r="AS91" s="65">
        <f t="shared" si="31"/>
        <v>-178.03576567355165</v>
      </c>
      <c r="AT91" s="65">
        <f t="shared" si="32"/>
        <v>-18742.5</v>
      </c>
      <c r="AU91" s="65">
        <f t="shared" si="33"/>
        <v>7.4375</v>
      </c>
      <c r="AV91" s="65">
        <f t="shared" si="34"/>
        <v>-89.017882836775826</v>
      </c>
      <c r="AW91" s="65">
        <f t="shared" si="35"/>
        <v>3.532455668126025E-2</v>
      </c>
      <c r="AX91" s="25"/>
      <c r="AY91" s="65">
        <f t="shared" si="36"/>
        <v>-88.363422958383268</v>
      </c>
      <c r="AZ91" s="65">
        <f t="shared" si="37"/>
        <v>-176.72684591676654</v>
      </c>
      <c r="BA91" s="65">
        <f t="shared" si="38"/>
        <v>-18742.5</v>
      </c>
      <c r="BB91" s="65">
        <f t="shared" si="39"/>
        <v>7.4375</v>
      </c>
      <c r="BC91" s="65">
        <f t="shared" si="40"/>
        <v>-88.363422958383268</v>
      </c>
      <c r="BD91" s="65">
        <f t="shared" si="41"/>
        <v>3.5064850380310819E-2</v>
      </c>
      <c r="BE91" s="25"/>
      <c r="BF91" s="60">
        <f t="shared" si="42"/>
        <v>7.0389407061571069E-2</v>
      </c>
      <c r="BG91" s="61">
        <f t="shared" si="43"/>
        <v>0.34445185400919731</v>
      </c>
      <c r="BH91" s="134">
        <f t="shared" si="44"/>
        <v>2903.1633546478129</v>
      </c>
    </row>
    <row r="92" spans="1:69" x14ac:dyDescent="0.25">
      <c r="A92" s="24">
        <f t="shared" si="73"/>
        <v>8000</v>
      </c>
      <c r="B92" s="74">
        <f t="shared" si="45"/>
        <v>6.25E-2</v>
      </c>
      <c r="C92" s="28"/>
      <c r="D92" s="65">
        <f t="shared" si="22"/>
        <v>-316.8</v>
      </c>
      <c r="E92" s="23">
        <f t="shared" si="72"/>
        <v>0.11</v>
      </c>
      <c r="F92" s="69"/>
      <c r="G92" s="65">
        <f t="shared" si="48"/>
        <v>-89.104826289788932</v>
      </c>
      <c r="H92" s="65">
        <f t="shared" si="49"/>
        <v>-178.20965257957786</v>
      </c>
      <c r="I92" s="65">
        <f t="shared" si="50"/>
        <v>-10710</v>
      </c>
      <c r="J92" s="65">
        <f t="shared" si="51"/>
        <v>3.71875</v>
      </c>
      <c r="K92" s="65">
        <f t="shared" si="52"/>
        <v>-89.104826289788932</v>
      </c>
      <c r="L92" s="65">
        <f t="shared" si="53"/>
        <v>3.0939175795065599E-2</v>
      </c>
      <c r="M92" s="69"/>
      <c r="N92" s="65">
        <f t="shared" si="54"/>
        <v>-168.57881372500074</v>
      </c>
      <c r="O92" s="65">
        <f t="shared" si="55"/>
        <v>-168.57881372500074</v>
      </c>
      <c r="P92" s="65">
        <f t="shared" si="56"/>
        <v>-10710</v>
      </c>
      <c r="Q92" s="65">
        <f t="shared" si="57"/>
        <v>3.71875</v>
      </c>
      <c r="R92" s="65">
        <f t="shared" si="58"/>
        <v>-84.289406862500371</v>
      </c>
      <c r="S92" s="65">
        <f t="shared" si="59"/>
        <v>5.853431032118081E-2</v>
      </c>
      <c r="T92" s="69"/>
      <c r="U92" s="65">
        <f t="shared" si="60"/>
        <v>-177.12852437928677</v>
      </c>
      <c r="V92" s="65">
        <f t="shared" si="61"/>
        <v>2.8714756207132268</v>
      </c>
      <c r="W92" s="65">
        <f t="shared" si="23"/>
        <v>2.8714756207132268</v>
      </c>
      <c r="X92" s="65">
        <f t="shared" si="24"/>
        <v>0</v>
      </c>
      <c r="Y92" s="69"/>
      <c r="Z92" s="65">
        <f t="shared" si="62"/>
        <v>-178.56650450114705</v>
      </c>
      <c r="AA92" s="65">
        <f t="shared" si="63"/>
        <v>1.4334954988529489</v>
      </c>
      <c r="AB92" s="65">
        <f t="shared" si="25"/>
        <v>1.4334954988529489</v>
      </c>
      <c r="AC92" s="65">
        <f t="shared" si="26"/>
        <v>0</v>
      </c>
      <c r="AD92" s="69"/>
      <c r="AE92" s="65">
        <f t="shared" si="64"/>
        <v>-178.394171116553</v>
      </c>
      <c r="AF92" s="65">
        <f t="shared" si="65"/>
        <v>1.6058288834470034</v>
      </c>
      <c r="AG92" s="65">
        <f t="shared" si="66"/>
        <v>1.6058288834470034</v>
      </c>
      <c r="AH92" s="65">
        <f t="shared" si="67"/>
        <v>0</v>
      </c>
      <c r="AI92" s="69"/>
      <c r="AJ92" s="68">
        <f t="shared" si="27"/>
        <v>0.26197348611624638</v>
      </c>
      <c r="AK92" s="44"/>
      <c r="AL92" s="121"/>
      <c r="AM92" s="23">
        <f t="shared" si="68"/>
        <v>-178.56650450114705</v>
      </c>
      <c r="AN92" s="23">
        <f t="shared" si="69"/>
        <v>1.4334954988529489</v>
      </c>
      <c r="AO92" s="65">
        <f t="shared" si="28"/>
        <v>1.4334954988529489</v>
      </c>
      <c r="AP92" s="65">
        <f t="shared" si="29"/>
        <v>0</v>
      </c>
      <c r="AQ92" s="25"/>
      <c r="AR92" s="65">
        <f t="shared" si="30"/>
        <v>-89.140627756355329</v>
      </c>
      <c r="AS92" s="65">
        <f t="shared" si="31"/>
        <v>-178.28125551271066</v>
      </c>
      <c r="AT92" s="65">
        <f t="shared" si="32"/>
        <v>-21420</v>
      </c>
      <c r="AU92" s="65">
        <f t="shared" si="33"/>
        <v>7.4375</v>
      </c>
      <c r="AV92" s="65">
        <f t="shared" si="34"/>
        <v>-89.140627756355329</v>
      </c>
      <c r="AW92" s="65">
        <f t="shared" si="35"/>
        <v>3.0951606859845601E-2</v>
      </c>
      <c r="AX92" s="25"/>
      <c r="AY92" s="65">
        <f t="shared" si="36"/>
        <v>-88.567903815835365</v>
      </c>
      <c r="AZ92" s="65">
        <f t="shared" si="37"/>
        <v>-177.13580763167073</v>
      </c>
      <c r="BA92" s="65">
        <f t="shared" si="38"/>
        <v>-21420</v>
      </c>
      <c r="BB92" s="65">
        <f t="shared" si="39"/>
        <v>7.4375</v>
      </c>
      <c r="BC92" s="65">
        <f t="shared" si="40"/>
        <v>-88.567903815835365</v>
      </c>
      <c r="BD92" s="65">
        <f t="shared" si="41"/>
        <v>3.0752744380498388E-2</v>
      </c>
      <c r="BE92" s="25"/>
      <c r="BF92" s="60">
        <f t="shared" si="42"/>
        <v>6.1704351240343985E-2</v>
      </c>
      <c r="BG92" s="61">
        <f t="shared" si="43"/>
        <v>0.32367783735659039</v>
      </c>
      <c r="BH92" s="134">
        <f t="shared" si="44"/>
        <v>3089.4917247556773</v>
      </c>
    </row>
    <row r="93" spans="1:69" x14ac:dyDescent="0.25">
      <c r="A93" s="24">
        <f t="shared" si="73"/>
        <v>9000</v>
      </c>
      <c r="B93" s="74">
        <f t="shared" si="45"/>
        <v>6.25E-2</v>
      </c>
      <c r="C93" s="28"/>
      <c r="D93" s="65">
        <f t="shared" si="22"/>
        <v>-356.4</v>
      </c>
      <c r="E93" s="23">
        <f t="shared" si="72"/>
        <v>0.11</v>
      </c>
      <c r="F93" s="69"/>
      <c r="G93" s="65">
        <f t="shared" si="48"/>
        <v>-89.204276447260725</v>
      </c>
      <c r="H93" s="65">
        <f t="shared" si="49"/>
        <v>-178.40855289452145</v>
      </c>
      <c r="I93" s="65">
        <f t="shared" si="50"/>
        <v>-12048.75</v>
      </c>
      <c r="J93" s="65">
        <f t="shared" si="51"/>
        <v>3.71875</v>
      </c>
      <c r="K93" s="65">
        <f t="shared" si="52"/>
        <v>-89.204276447260725</v>
      </c>
      <c r="L93" s="65">
        <f t="shared" si="53"/>
        <v>2.7532184088660719E-2</v>
      </c>
      <c r="M93" s="69"/>
      <c r="N93" s="65">
        <f t="shared" si="54"/>
        <v>-169.84078427997085</v>
      </c>
      <c r="O93" s="65">
        <f t="shared" si="55"/>
        <v>-169.84078427997085</v>
      </c>
      <c r="P93" s="65">
        <f t="shared" si="56"/>
        <v>-12048.75</v>
      </c>
      <c r="Q93" s="65">
        <f t="shared" si="57"/>
        <v>3.71875</v>
      </c>
      <c r="R93" s="65">
        <f t="shared" si="58"/>
        <v>-84.920392139985424</v>
      </c>
      <c r="S93" s="65">
        <f t="shared" si="59"/>
        <v>5.2419995148139151E-2</v>
      </c>
      <c r="T93" s="69"/>
      <c r="U93" s="65">
        <f t="shared" si="60"/>
        <v>-177.44882608044702</v>
      </c>
      <c r="V93" s="65">
        <f t="shared" si="61"/>
        <v>2.5511739195529799</v>
      </c>
      <c r="W93" s="65">
        <f t="shared" si="23"/>
        <v>2.5511739195529799</v>
      </c>
      <c r="X93" s="65">
        <f t="shared" si="24"/>
        <v>0</v>
      </c>
      <c r="Y93" s="69"/>
      <c r="Z93" s="65">
        <f t="shared" si="62"/>
        <v>-178.72598726904783</v>
      </c>
      <c r="AA93" s="65">
        <f t="shared" si="63"/>
        <v>1.2740127309521654</v>
      </c>
      <c r="AB93" s="65">
        <f t="shared" si="25"/>
        <v>1.2740127309521654</v>
      </c>
      <c r="AC93" s="65">
        <f t="shared" si="26"/>
        <v>0</v>
      </c>
      <c r="AD93" s="69"/>
      <c r="AE93" s="65">
        <f t="shared" si="64"/>
        <v>-178.57288531915447</v>
      </c>
      <c r="AF93" s="65">
        <f t="shared" si="65"/>
        <v>1.4271146808455342</v>
      </c>
      <c r="AG93" s="65">
        <f t="shared" si="66"/>
        <v>1.4271146808455342</v>
      </c>
      <c r="AH93" s="65">
        <f t="shared" si="67"/>
        <v>0</v>
      </c>
      <c r="AI93" s="69"/>
      <c r="AJ93" s="68">
        <f t="shared" si="27"/>
        <v>0.25245217923679986</v>
      </c>
      <c r="AK93" s="44"/>
      <c r="AL93" s="121"/>
      <c r="AM93" s="23">
        <f t="shared" si="68"/>
        <v>-178.72598726904783</v>
      </c>
      <c r="AN93" s="23">
        <f t="shared" si="69"/>
        <v>1.2740127309521654</v>
      </c>
      <c r="AO93" s="65">
        <f t="shared" si="28"/>
        <v>1.2740127309521654</v>
      </c>
      <c r="AP93" s="65">
        <f t="shared" si="29"/>
        <v>0</v>
      </c>
      <c r="AQ93" s="25"/>
      <c r="AR93" s="65">
        <f t="shared" si="30"/>
        <v>-89.23610153907002</v>
      </c>
      <c r="AS93" s="65">
        <f t="shared" si="31"/>
        <v>-178.47220307814004</v>
      </c>
      <c r="AT93" s="65">
        <f t="shared" si="32"/>
        <v>-24097.5</v>
      </c>
      <c r="AU93" s="65">
        <f t="shared" si="33"/>
        <v>7.4375</v>
      </c>
      <c r="AV93" s="65">
        <f t="shared" si="34"/>
        <v>-89.23610153907002</v>
      </c>
      <c r="AW93" s="65">
        <f t="shared" si="35"/>
        <v>2.7542006647861116E-2</v>
      </c>
      <c r="AX93" s="25"/>
      <c r="AY93" s="65">
        <f t="shared" si="36"/>
        <v>-88.726969979943277</v>
      </c>
      <c r="AZ93" s="65">
        <f t="shared" si="37"/>
        <v>-177.45393995988655</v>
      </c>
      <c r="BA93" s="65">
        <f t="shared" si="38"/>
        <v>-24097.5</v>
      </c>
      <c r="BB93" s="65">
        <f t="shared" si="39"/>
        <v>7.4375</v>
      </c>
      <c r="BC93" s="65">
        <f t="shared" si="40"/>
        <v>-88.726969979943277</v>
      </c>
      <c r="BD93" s="65">
        <f t="shared" si="41"/>
        <v>2.738486727776027E-2</v>
      </c>
      <c r="BE93" s="25"/>
      <c r="BF93" s="60">
        <f t="shared" si="42"/>
        <v>5.4926873925621386E-2</v>
      </c>
      <c r="BG93" s="61">
        <f t="shared" si="43"/>
        <v>0.30737905316242126</v>
      </c>
      <c r="BH93" s="134">
        <f t="shared" si="44"/>
        <v>3253.3121229688768</v>
      </c>
    </row>
    <row r="94" spans="1:69" x14ac:dyDescent="0.25">
      <c r="A94" s="24">
        <f t="shared" si="73"/>
        <v>10000</v>
      </c>
      <c r="B94" s="74">
        <f t="shared" si="45"/>
        <v>6.25E-2</v>
      </c>
      <c r="C94" s="28"/>
      <c r="D94" s="65">
        <f t="shared" si="22"/>
        <v>-396</v>
      </c>
      <c r="E94" s="23">
        <f t="shared" si="72"/>
        <v>0.11</v>
      </c>
      <c r="F94" s="69"/>
      <c r="G94" s="65">
        <f t="shared" si="48"/>
        <v>-89.283840054529591</v>
      </c>
      <c r="H94" s="65">
        <f t="shared" si="49"/>
        <v>-178.56768010905918</v>
      </c>
      <c r="I94" s="65">
        <f t="shared" si="50"/>
        <v>-13387.5</v>
      </c>
      <c r="J94" s="65">
        <f t="shared" si="51"/>
        <v>3.71875</v>
      </c>
      <c r="K94" s="65">
        <f t="shared" si="52"/>
        <v>-89.283840054529591</v>
      </c>
      <c r="L94" s="65">
        <f t="shared" si="53"/>
        <v>2.4801066681813776E-2</v>
      </c>
      <c r="M94" s="69"/>
      <c r="N94" s="65">
        <f t="shared" si="54"/>
        <v>-170.85215748019829</v>
      </c>
      <c r="O94" s="65">
        <f t="shared" si="55"/>
        <v>-170.85215748019829</v>
      </c>
      <c r="P94" s="65">
        <f t="shared" si="56"/>
        <v>-13387.5</v>
      </c>
      <c r="Q94" s="65">
        <f t="shared" si="57"/>
        <v>3.71875</v>
      </c>
      <c r="R94" s="65">
        <f t="shared" si="58"/>
        <v>-85.426078740099143</v>
      </c>
      <c r="S94" s="65">
        <f t="shared" si="59"/>
        <v>4.7458932633388413E-2</v>
      </c>
      <c r="T94" s="69"/>
      <c r="U94" s="65">
        <f t="shared" si="60"/>
        <v>-177.70474702598526</v>
      </c>
      <c r="V94" s="65">
        <f t="shared" si="61"/>
        <v>2.295252974014744</v>
      </c>
      <c r="W94" s="65">
        <f t="shared" si="23"/>
        <v>2.295252974014744</v>
      </c>
      <c r="X94" s="65">
        <f t="shared" si="24"/>
        <v>0</v>
      </c>
      <c r="Y94" s="69"/>
      <c r="Z94" s="65">
        <f t="shared" si="62"/>
        <v>-178.85352080340039</v>
      </c>
      <c r="AA94" s="65">
        <f t="shared" si="63"/>
        <v>1.1464791965996142</v>
      </c>
      <c r="AB94" s="65">
        <f t="shared" si="25"/>
        <v>1.1464791965996142</v>
      </c>
      <c r="AC94" s="65">
        <f t="shared" si="26"/>
        <v>0</v>
      </c>
      <c r="AD94" s="69"/>
      <c r="AE94" s="65">
        <f t="shared" si="64"/>
        <v>-178.71578264185968</v>
      </c>
      <c r="AF94" s="65">
        <f t="shared" si="65"/>
        <v>1.2842173581403244</v>
      </c>
      <c r="AG94" s="65">
        <f t="shared" si="66"/>
        <v>1.2842173581403244</v>
      </c>
      <c r="AH94" s="65">
        <f t="shared" si="67"/>
        <v>0</v>
      </c>
      <c r="AI94" s="69"/>
      <c r="AJ94" s="68">
        <f t="shared" si="27"/>
        <v>0.24475999931520218</v>
      </c>
      <c r="AK94" s="44"/>
      <c r="AL94" s="121"/>
      <c r="AM94" s="23">
        <f t="shared" si="68"/>
        <v>-178.85352080340039</v>
      </c>
      <c r="AN94" s="23">
        <f t="shared" si="69"/>
        <v>1.1464791965996142</v>
      </c>
      <c r="AO94" s="65">
        <f t="shared" si="28"/>
        <v>1.1464791965996142</v>
      </c>
      <c r="AP94" s="65">
        <f t="shared" si="29"/>
        <v>0</v>
      </c>
      <c r="AQ94" s="25"/>
      <c r="AR94" s="65">
        <f t="shared" si="30"/>
        <v>-89.312483645360913</v>
      </c>
      <c r="AS94" s="65">
        <f t="shared" si="31"/>
        <v>-178.62496729072183</v>
      </c>
      <c r="AT94" s="65">
        <f t="shared" si="32"/>
        <v>-26775</v>
      </c>
      <c r="AU94" s="65">
        <f t="shared" si="33"/>
        <v>7.4375</v>
      </c>
      <c r="AV94" s="65">
        <f t="shared" si="34"/>
        <v>-89.312483645360913</v>
      </c>
      <c r="AW94" s="65">
        <f t="shared" si="35"/>
        <v>2.4809023234822473E-2</v>
      </c>
      <c r="AX94" s="25"/>
      <c r="AY94" s="65">
        <f t="shared" si="36"/>
        <v>-88.854237161824898</v>
      </c>
      <c r="AZ94" s="65">
        <f t="shared" si="37"/>
        <v>-177.7084743236498</v>
      </c>
      <c r="BA94" s="65">
        <f t="shared" si="38"/>
        <v>-26775</v>
      </c>
      <c r="BB94" s="65">
        <f t="shared" si="39"/>
        <v>7.4375</v>
      </c>
      <c r="BC94" s="65">
        <f t="shared" si="40"/>
        <v>-88.854237161824898</v>
      </c>
      <c r="BD94" s="65">
        <f t="shared" si="41"/>
        <v>2.468173254495136E-2</v>
      </c>
      <c r="BE94" s="25"/>
      <c r="BF94" s="60">
        <f t="shared" si="42"/>
        <v>4.9490755779773833E-2</v>
      </c>
      <c r="BG94" s="61">
        <f t="shared" si="43"/>
        <v>0.294250755094976</v>
      </c>
      <c r="BH94" s="134">
        <f t="shared" si="44"/>
        <v>3398.46196716548</v>
      </c>
    </row>
    <row r="95" spans="1:69" s="80" customFormat="1" x14ac:dyDescent="0.25">
      <c r="A95" s="88"/>
      <c r="B95" s="88"/>
      <c r="C95" s="88"/>
      <c r="D95" s="88"/>
      <c r="E95" s="88"/>
      <c r="F95" s="88"/>
      <c r="G95" s="89"/>
      <c r="H95" s="89"/>
      <c r="I95" s="89"/>
      <c r="J95" s="89"/>
      <c r="K95" s="89"/>
      <c r="L95" s="89"/>
      <c r="N95" s="89"/>
      <c r="O95" s="89"/>
      <c r="P95" s="89"/>
      <c r="Q95" s="89"/>
      <c r="R95" s="89"/>
      <c r="S95" s="89"/>
      <c r="U95" s="90"/>
      <c r="V95" s="90"/>
      <c r="W95" s="90"/>
      <c r="X95" s="90"/>
      <c r="Y95" s="90"/>
      <c r="Z95" s="90"/>
      <c r="AA95" s="90"/>
      <c r="AE95" s="90"/>
      <c r="AF95" s="90"/>
      <c r="AG95" s="90"/>
      <c r="AH95" s="90"/>
      <c r="AI95" s="90"/>
      <c r="AM95" s="90"/>
      <c r="AN95" s="90"/>
      <c r="AR95" s="89"/>
      <c r="AS95" s="89"/>
      <c r="AT95" s="89"/>
      <c r="AU95" s="89"/>
      <c r="AV95" s="89"/>
      <c r="AW95" s="89"/>
      <c r="AY95" s="89"/>
      <c r="AZ95" s="89"/>
      <c r="BA95" s="89"/>
      <c r="BB95" s="89"/>
      <c r="BC95" s="89"/>
      <c r="BD95" s="89"/>
      <c r="BG95" s="89"/>
      <c r="BH95" s="89"/>
      <c r="BQ95" s="85"/>
    </row>
    <row r="96" spans="1:69" s="80" customFormat="1" x14ac:dyDescent="0.25">
      <c r="A96" s="88"/>
      <c r="B96" s="88"/>
      <c r="C96" s="88"/>
      <c r="D96" s="88"/>
      <c r="E96" s="88"/>
      <c r="F96" s="88"/>
      <c r="G96" s="89"/>
      <c r="H96" s="89"/>
      <c r="I96" s="89"/>
      <c r="J96" s="89"/>
      <c r="K96" s="89"/>
      <c r="L96" s="89"/>
      <c r="N96" s="89"/>
      <c r="O96" s="89"/>
      <c r="P96" s="89"/>
      <c r="Q96" s="89"/>
      <c r="R96" s="89"/>
      <c r="S96" s="89"/>
      <c r="U96" s="90"/>
      <c r="V96" s="90"/>
      <c r="W96" s="90"/>
      <c r="X96" s="90"/>
      <c r="Y96" s="90"/>
      <c r="Z96" s="90"/>
      <c r="AA96" s="90"/>
      <c r="AE96" s="90"/>
      <c r="AF96" s="90"/>
      <c r="AG96" s="90"/>
      <c r="AH96" s="90"/>
      <c r="AI96" s="90"/>
      <c r="AM96" s="90"/>
      <c r="AN96" s="90"/>
      <c r="AR96" s="89"/>
      <c r="AS96" s="89"/>
      <c r="AT96" s="89"/>
      <c r="AU96" s="89"/>
      <c r="AV96" s="89"/>
      <c r="AW96" s="89"/>
      <c r="AY96" s="89"/>
      <c r="AZ96" s="89"/>
      <c r="BA96" s="89"/>
      <c r="BB96" s="89"/>
      <c r="BC96" s="89"/>
      <c r="BD96" s="89"/>
      <c r="BG96" s="89"/>
      <c r="BH96" s="89"/>
      <c r="BQ96" s="85"/>
    </row>
    <row r="97" spans="1:69" s="80" customFormat="1" x14ac:dyDescent="0.25">
      <c r="A97" s="88"/>
      <c r="B97" s="88"/>
      <c r="C97" s="88"/>
      <c r="D97" s="88"/>
      <c r="E97" s="88"/>
      <c r="F97" s="88"/>
      <c r="G97" s="89"/>
      <c r="H97" s="89"/>
      <c r="I97" s="89"/>
      <c r="J97" s="89"/>
      <c r="K97" s="89"/>
      <c r="L97" s="89"/>
      <c r="N97" s="89"/>
      <c r="O97" s="89"/>
      <c r="P97" s="89"/>
      <c r="Q97" s="89"/>
      <c r="R97" s="89"/>
      <c r="S97" s="89"/>
      <c r="U97" s="90"/>
      <c r="V97" s="90"/>
      <c r="W97" s="90"/>
      <c r="X97" s="90"/>
      <c r="Y97" s="90"/>
      <c r="Z97" s="90"/>
      <c r="AA97" s="90"/>
      <c r="AE97" s="90"/>
      <c r="AF97" s="90"/>
      <c r="AG97" s="90"/>
      <c r="AH97" s="90"/>
      <c r="AI97" s="90"/>
      <c r="AM97" s="90"/>
      <c r="AN97" s="90"/>
      <c r="AR97" s="89"/>
      <c r="AS97" s="89"/>
      <c r="AT97" s="89"/>
      <c r="AU97" s="89"/>
      <c r="AV97" s="89"/>
      <c r="AW97" s="89"/>
      <c r="AY97" s="89"/>
      <c r="AZ97" s="89"/>
      <c r="BA97" s="89"/>
      <c r="BB97" s="89"/>
      <c r="BC97" s="89"/>
      <c r="BD97" s="89"/>
      <c r="BG97" s="89"/>
      <c r="BH97" s="89"/>
      <c r="BQ97" s="85"/>
    </row>
    <row r="98" spans="1:69" s="80" customFormat="1" x14ac:dyDescent="0.25">
      <c r="A98" s="88"/>
      <c r="B98" s="88"/>
      <c r="C98" s="88"/>
      <c r="D98" s="88"/>
      <c r="E98" s="88"/>
      <c r="F98" s="88"/>
      <c r="G98" s="89"/>
      <c r="H98" s="89"/>
      <c r="I98" s="89"/>
      <c r="J98" s="89"/>
      <c r="K98" s="89"/>
      <c r="L98" s="89"/>
      <c r="N98" s="89"/>
      <c r="O98" s="89"/>
      <c r="P98" s="89"/>
      <c r="Q98" s="89"/>
      <c r="R98" s="89"/>
      <c r="S98" s="89"/>
      <c r="U98" s="90"/>
      <c r="V98" s="90"/>
      <c r="W98" s="90"/>
      <c r="X98" s="90"/>
      <c r="Y98" s="90"/>
      <c r="Z98" s="90"/>
      <c r="AA98" s="90"/>
      <c r="AE98" s="90"/>
      <c r="AF98" s="90"/>
      <c r="AG98" s="90"/>
      <c r="AH98" s="90"/>
      <c r="AI98" s="90"/>
      <c r="AM98" s="90"/>
      <c r="AN98" s="90"/>
      <c r="AR98" s="89"/>
      <c r="AS98" s="89"/>
      <c r="AT98" s="89"/>
      <c r="AU98" s="89"/>
      <c r="AV98" s="89"/>
      <c r="AW98" s="89"/>
      <c r="AY98" s="89"/>
      <c r="AZ98" s="89"/>
      <c r="BA98" s="89"/>
      <c r="BB98" s="89"/>
      <c r="BC98" s="89"/>
      <c r="BD98" s="89"/>
      <c r="BG98" s="89"/>
      <c r="BH98" s="89"/>
      <c r="BQ98" s="85"/>
    </row>
    <row r="99" spans="1:69" s="80" customFormat="1" x14ac:dyDescent="0.25">
      <c r="A99" s="88"/>
      <c r="B99" s="88"/>
      <c r="C99" s="88"/>
      <c r="D99" s="88"/>
      <c r="E99" s="88"/>
      <c r="F99" s="88"/>
      <c r="G99" s="89"/>
      <c r="H99" s="89"/>
      <c r="I99" s="89"/>
      <c r="J99" s="89"/>
      <c r="K99" s="89"/>
      <c r="L99" s="89"/>
      <c r="N99" s="89"/>
      <c r="O99" s="89"/>
      <c r="P99" s="89"/>
      <c r="Q99" s="89"/>
      <c r="R99" s="89"/>
      <c r="S99" s="89"/>
      <c r="U99" s="90"/>
      <c r="V99" s="90"/>
      <c r="W99" s="90"/>
      <c r="X99" s="90"/>
      <c r="Y99" s="90"/>
      <c r="Z99" s="90"/>
      <c r="AA99" s="90"/>
      <c r="AE99" s="90"/>
      <c r="AF99" s="90"/>
      <c r="AG99" s="90"/>
      <c r="AH99" s="90"/>
      <c r="AI99" s="90"/>
      <c r="AM99" s="90"/>
      <c r="AN99" s="90"/>
      <c r="AR99" s="89"/>
      <c r="AS99" s="89"/>
      <c r="AT99" s="89"/>
      <c r="AU99" s="89"/>
      <c r="AV99" s="89"/>
      <c r="AW99" s="89"/>
      <c r="AY99" s="89"/>
      <c r="AZ99" s="89"/>
      <c r="BA99" s="89"/>
      <c r="BB99" s="89"/>
      <c r="BC99" s="89"/>
      <c r="BD99" s="89"/>
      <c r="BG99" s="89"/>
      <c r="BH99" s="89"/>
      <c r="BQ99" s="85"/>
    </row>
    <row r="100" spans="1:69" s="80" customFormat="1" x14ac:dyDescent="0.25">
      <c r="A100" s="88"/>
      <c r="B100" s="88"/>
      <c r="C100" s="88"/>
      <c r="D100" s="88"/>
      <c r="E100" s="88"/>
      <c r="F100" s="88"/>
      <c r="G100" s="89"/>
      <c r="H100" s="89"/>
      <c r="I100" s="89"/>
      <c r="J100" s="89"/>
      <c r="K100" s="89"/>
      <c r="L100" s="89"/>
      <c r="N100" s="89"/>
      <c r="O100" s="89"/>
      <c r="P100" s="89"/>
      <c r="Q100" s="89"/>
      <c r="R100" s="89"/>
      <c r="S100" s="89"/>
      <c r="U100" s="90"/>
      <c r="V100" s="90"/>
      <c r="W100" s="90"/>
      <c r="X100" s="90"/>
      <c r="Y100" s="90"/>
      <c r="Z100" s="90"/>
      <c r="AA100" s="90"/>
      <c r="AE100" s="90"/>
      <c r="AF100" s="90"/>
      <c r="AG100" s="90"/>
      <c r="AH100" s="90"/>
      <c r="AI100" s="90"/>
      <c r="AM100" s="90"/>
      <c r="AN100" s="90"/>
      <c r="AR100" s="89"/>
      <c r="AS100" s="89"/>
      <c r="AT100" s="89"/>
      <c r="AU100" s="89"/>
      <c r="AV100" s="89"/>
      <c r="AW100" s="89"/>
      <c r="AY100" s="89"/>
      <c r="AZ100" s="89"/>
      <c r="BA100" s="89"/>
      <c r="BB100" s="89"/>
      <c r="BC100" s="89"/>
      <c r="BD100" s="89"/>
      <c r="BG100" s="89"/>
      <c r="BH100" s="89"/>
      <c r="BQ100" s="85"/>
    </row>
    <row r="101" spans="1:69" s="80" customFormat="1" x14ac:dyDescent="0.25">
      <c r="A101" s="88"/>
      <c r="B101" s="88"/>
      <c r="C101" s="88"/>
      <c r="D101" s="88"/>
      <c r="E101" s="88"/>
      <c r="F101" s="88"/>
      <c r="G101" s="89"/>
      <c r="H101" s="89"/>
      <c r="I101" s="89"/>
      <c r="J101" s="89"/>
      <c r="K101" s="89"/>
      <c r="L101" s="89"/>
      <c r="N101" s="89"/>
      <c r="O101" s="89"/>
      <c r="P101" s="89"/>
      <c r="Q101" s="89"/>
      <c r="R101" s="89"/>
      <c r="S101" s="89"/>
      <c r="U101" s="90"/>
      <c r="V101" s="90"/>
      <c r="W101" s="90"/>
      <c r="X101" s="90"/>
      <c r="Y101" s="90"/>
      <c r="Z101" s="90"/>
      <c r="AA101" s="90"/>
      <c r="AE101" s="90"/>
      <c r="AF101" s="90"/>
      <c r="AG101" s="90"/>
      <c r="AH101" s="90"/>
      <c r="AI101" s="90"/>
      <c r="AM101" s="90"/>
      <c r="AN101" s="90"/>
      <c r="AR101" s="89"/>
      <c r="AS101" s="89"/>
      <c r="AT101" s="89"/>
      <c r="AU101" s="89"/>
      <c r="AV101" s="89"/>
      <c r="AW101" s="89"/>
      <c r="AY101" s="89"/>
      <c r="AZ101" s="89"/>
      <c r="BA101" s="89"/>
      <c r="BB101" s="89"/>
      <c r="BC101" s="89"/>
      <c r="BD101" s="89"/>
      <c r="BG101" s="89"/>
      <c r="BH101" s="89"/>
      <c r="BQ101" s="85"/>
    </row>
    <row r="102" spans="1:69" s="80" customFormat="1" x14ac:dyDescent="0.25">
      <c r="A102" s="88"/>
      <c r="B102" s="88"/>
      <c r="C102" s="88"/>
      <c r="D102" s="88"/>
      <c r="E102" s="88"/>
      <c r="F102" s="88"/>
      <c r="G102" s="89"/>
      <c r="H102" s="89"/>
      <c r="I102" s="89"/>
      <c r="J102" s="89"/>
      <c r="K102" s="89"/>
      <c r="L102" s="89"/>
      <c r="N102" s="89"/>
      <c r="O102" s="89"/>
      <c r="P102" s="89"/>
      <c r="Q102" s="89"/>
      <c r="R102" s="89"/>
      <c r="S102" s="89"/>
      <c r="U102" s="90"/>
      <c r="V102" s="90"/>
      <c r="W102" s="90"/>
      <c r="X102" s="90"/>
      <c r="Y102" s="90"/>
      <c r="Z102" s="90"/>
      <c r="AA102" s="90"/>
      <c r="AE102" s="90"/>
      <c r="AF102" s="90"/>
      <c r="AG102" s="90"/>
      <c r="AH102" s="90"/>
      <c r="AI102" s="90"/>
      <c r="AM102" s="90"/>
      <c r="AN102" s="90"/>
      <c r="AR102" s="89"/>
      <c r="AS102" s="89"/>
      <c r="AT102" s="89"/>
      <c r="AU102" s="89"/>
      <c r="AV102" s="89"/>
      <c r="AW102" s="89"/>
      <c r="AY102" s="89"/>
      <c r="AZ102" s="89"/>
      <c r="BA102" s="89"/>
      <c r="BB102" s="89"/>
      <c r="BC102" s="89"/>
      <c r="BD102" s="89"/>
      <c r="BG102" s="89"/>
      <c r="BH102" s="89"/>
      <c r="BQ102" s="85"/>
    </row>
    <row r="103" spans="1:69" s="80" customFormat="1" x14ac:dyDescent="0.25">
      <c r="A103" s="88"/>
      <c r="B103" s="88"/>
      <c r="C103" s="88"/>
      <c r="D103" s="88"/>
      <c r="E103" s="88"/>
      <c r="F103" s="88"/>
      <c r="G103" s="89"/>
      <c r="H103" s="89"/>
      <c r="I103" s="89"/>
      <c r="J103" s="89"/>
      <c r="K103" s="89"/>
      <c r="L103" s="89"/>
      <c r="N103" s="89"/>
      <c r="O103" s="89"/>
      <c r="P103" s="89"/>
      <c r="Q103" s="89"/>
      <c r="R103" s="89"/>
      <c r="S103" s="89"/>
      <c r="U103" s="90"/>
      <c r="V103" s="90"/>
      <c r="W103" s="90"/>
      <c r="X103" s="90"/>
      <c r="Y103" s="90"/>
      <c r="Z103" s="90"/>
      <c r="AA103" s="90"/>
      <c r="AE103" s="90"/>
      <c r="AF103" s="90"/>
      <c r="AG103" s="90"/>
      <c r="AH103" s="90"/>
      <c r="AI103" s="90"/>
      <c r="AM103" s="90"/>
      <c r="AN103" s="90"/>
      <c r="AR103" s="89"/>
      <c r="AS103" s="89"/>
      <c r="AT103" s="89"/>
      <c r="AU103" s="89"/>
      <c r="AV103" s="89"/>
      <c r="AW103" s="89"/>
      <c r="AY103" s="89"/>
      <c r="AZ103" s="89"/>
      <c r="BA103" s="89"/>
      <c r="BB103" s="89"/>
      <c r="BC103" s="89"/>
      <c r="BD103" s="89"/>
      <c r="BG103" s="89"/>
      <c r="BH103" s="89"/>
      <c r="BQ103" s="85"/>
    </row>
    <row r="104" spans="1:69" s="80" customFormat="1" x14ac:dyDescent="0.25">
      <c r="A104" s="88"/>
      <c r="B104" s="88"/>
      <c r="C104" s="88"/>
      <c r="D104" s="88"/>
      <c r="E104" s="88"/>
      <c r="F104" s="88"/>
      <c r="G104" s="89"/>
      <c r="H104" s="89"/>
      <c r="I104" s="89"/>
      <c r="J104" s="89"/>
      <c r="K104" s="89"/>
      <c r="L104" s="89"/>
      <c r="N104" s="89"/>
      <c r="O104" s="89"/>
      <c r="P104" s="89"/>
      <c r="Q104" s="89"/>
      <c r="R104" s="89"/>
      <c r="S104" s="89"/>
      <c r="U104" s="90"/>
      <c r="V104" s="90"/>
      <c r="W104" s="90"/>
      <c r="X104" s="90"/>
      <c r="Y104" s="90"/>
      <c r="Z104" s="90"/>
      <c r="AA104" s="90"/>
      <c r="AE104" s="90"/>
      <c r="AF104" s="90"/>
      <c r="AG104" s="90"/>
      <c r="AH104" s="90"/>
      <c r="AI104" s="90"/>
      <c r="AM104" s="90"/>
      <c r="AN104" s="90"/>
      <c r="AR104" s="89"/>
      <c r="AS104" s="89"/>
      <c r="AT104" s="89"/>
      <c r="AU104" s="89"/>
      <c r="AV104" s="89"/>
      <c r="AW104" s="89"/>
      <c r="AY104" s="89"/>
      <c r="AZ104" s="89"/>
      <c r="BA104" s="89"/>
      <c r="BB104" s="89"/>
      <c r="BC104" s="89"/>
      <c r="BD104" s="89"/>
      <c r="BG104" s="89"/>
      <c r="BH104" s="89"/>
      <c r="BQ104" s="85"/>
    </row>
    <row r="105" spans="1:69" s="80" customFormat="1" x14ac:dyDescent="0.25">
      <c r="A105" s="88"/>
      <c r="B105" s="88"/>
      <c r="C105" s="88"/>
      <c r="D105" s="88"/>
      <c r="E105" s="88"/>
      <c r="F105" s="88"/>
      <c r="G105" s="89"/>
      <c r="H105" s="89"/>
      <c r="I105" s="89"/>
      <c r="J105" s="89"/>
      <c r="K105" s="89"/>
      <c r="L105" s="89"/>
      <c r="N105" s="89"/>
      <c r="O105" s="89"/>
      <c r="P105" s="89"/>
      <c r="Q105" s="89"/>
      <c r="R105" s="89"/>
      <c r="S105" s="89"/>
      <c r="U105" s="90"/>
      <c r="V105" s="90"/>
      <c r="W105" s="90"/>
      <c r="X105" s="90"/>
      <c r="Y105" s="90"/>
      <c r="Z105" s="90"/>
      <c r="AA105" s="90"/>
      <c r="AE105" s="90"/>
      <c r="AF105" s="90"/>
      <c r="AG105" s="90"/>
      <c r="AH105" s="90"/>
      <c r="AI105" s="90"/>
      <c r="AM105" s="90"/>
      <c r="AN105" s="90"/>
      <c r="AR105" s="89"/>
      <c r="AS105" s="89"/>
      <c r="AT105" s="89"/>
      <c r="AU105" s="89"/>
      <c r="AV105" s="89"/>
      <c r="AW105" s="89"/>
      <c r="AY105" s="89"/>
      <c r="AZ105" s="89"/>
      <c r="BA105" s="89"/>
      <c r="BB105" s="89"/>
      <c r="BC105" s="89"/>
      <c r="BD105" s="89"/>
      <c r="BG105" s="89"/>
      <c r="BH105" s="89"/>
      <c r="BQ105" s="85"/>
    </row>
    <row r="106" spans="1:69" s="80" customFormat="1" x14ac:dyDescent="0.25">
      <c r="A106" s="88"/>
      <c r="B106" s="88"/>
      <c r="C106" s="88"/>
      <c r="D106" s="88"/>
      <c r="E106" s="88"/>
      <c r="F106" s="88"/>
      <c r="G106" s="89"/>
      <c r="H106" s="89"/>
      <c r="I106" s="89"/>
      <c r="J106" s="89"/>
      <c r="K106" s="89"/>
      <c r="L106" s="89"/>
      <c r="N106" s="89"/>
      <c r="O106" s="89"/>
      <c r="P106" s="89"/>
      <c r="Q106" s="89"/>
      <c r="R106" s="89"/>
      <c r="S106" s="89"/>
      <c r="U106" s="90"/>
      <c r="V106" s="90"/>
      <c r="W106" s="90"/>
      <c r="X106" s="90"/>
      <c r="Y106" s="90"/>
      <c r="Z106" s="90"/>
      <c r="AA106" s="90"/>
      <c r="AE106" s="90"/>
      <c r="AF106" s="90"/>
      <c r="AG106" s="90"/>
      <c r="AH106" s="90"/>
      <c r="AI106" s="90"/>
      <c r="AM106" s="90"/>
      <c r="AN106" s="90"/>
      <c r="AR106" s="89"/>
      <c r="AS106" s="89"/>
      <c r="AT106" s="89"/>
      <c r="AU106" s="89"/>
      <c r="AV106" s="89"/>
      <c r="AW106" s="89"/>
      <c r="AY106" s="89"/>
      <c r="AZ106" s="89"/>
      <c r="BA106" s="89"/>
      <c r="BB106" s="89"/>
      <c r="BC106" s="89"/>
      <c r="BD106" s="89"/>
      <c r="BG106" s="89"/>
      <c r="BH106" s="89"/>
      <c r="BQ106" s="85"/>
    </row>
    <row r="107" spans="1:69" s="80" customFormat="1" x14ac:dyDescent="0.25">
      <c r="A107" s="88"/>
      <c r="B107" s="88"/>
      <c r="C107" s="88"/>
      <c r="D107" s="88"/>
      <c r="E107" s="88"/>
      <c r="F107" s="88"/>
      <c r="G107" s="89"/>
      <c r="H107" s="89"/>
      <c r="I107" s="89"/>
      <c r="J107" s="89"/>
      <c r="K107" s="89"/>
      <c r="L107" s="89"/>
      <c r="N107" s="89"/>
      <c r="O107" s="89"/>
      <c r="P107" s="89"/>
      <c r="Q107" s="89"/>
      <c r="R107" s="89"/>
      <c r="S107" s="89"/>
      <c r="U107" s="90"/>
      <c r="V107" s="90"/>
      <c r="W107" s="90"/>
      <c r="X107" s="90"/>
      <c r="Y107" s="90"/>
      <c r="Z107" s="90"/>
      <c r="AA107" s="90"/>
      <c r="AE107" s="90"/>
      <c r="AF107" s="90"/>
      <c r="AG107" s="90"/>
      <c r="AH107" s="90"/>
      <c r="AI107" s="90"/>
      <c r="AM107" s="90"/>
      <c r="AN107" s="90"/>
      <c r="AR107" s="89"/>
      <c r="AS107" s="89"/>
      <c r="AT107" s="89"/>
      <c r="AU107" s="89"/>
      <c r="AV107" s="89"/>
      <c r="AW107" s="89"/>
      <c r="AY107" s="89"/>
      <c r="AZ107" s="89"/>
      <c r="BA107" s="89"/>
      <c r="BB107" s="89"/>
      <c r="BC107" s="89"/>
      <c r="BD107" s="89"/>
      <c r="BG107" s="89"/>
      <c r="BH107" s="89"/>
      <c r="BQ107" s="85"/>
    </row>
    <row r="108" spans="1:69" s="80" customFormat="1" x14ac:dyDescent="0.25">
      <c r="A108" s="88"/>
      <c r="B108" s="88"/>
      <c r="C108" s="88"/>
      <c r="D108" s="88"/>
      <c r="E108" s="88"/>
      <c r="F108" s="88"/>
      <c r="G108" s="89"/>
      <c r="H108" s="89"/>
      <c r="I108" s="89"/>
      <c r="J108" s="89"/>
      <c r="K108" s="89"/>
      <c r="L108" s="89"/>
      <c r="N108" s="89"/>
      <c r="O108" s="89"/>
      <c r="P108" s="89"/>
      <c r="Q108" s="89"/>
      <c r="R108" s="89"/>
      <c r="S108" s="89"/>
      <c r="U108" s="90"/>
      <c r="V108" s="90"/>
      <c r="W108" s="90"/>
      <c r="X108" s="90"/>
      <c r="Y108" s="90"/>
      <c r="Z108" s="90"/>
      <c r="AA108" s="90"/>
      <c r="AE108" s="90"/>
      <c r="AF108" s="90"/>
      <c r="AG108" s="90"/>
      <c r="AH108" s="90"/>
      <c r="AI108" s="90"/>
      <c r="AM108" s="90"/>
      <c r="AN108" s="90"/>
      <c r="AR108" s="89"/>
      <c r="AS108" s="89"/>
      <c r="AT108" s="89"/>
      <c r="AU108" s="89"/>
      <c r="AV108" s="89"/>
      <c r="AW108" s="89"/>
      <c r="AY108" s="89"/>
      <c r="AZ108" s="89"/>
      <c r="BA108" s="89"/>
      <c r="BB108" s="89"/>
      <c r="BC108" s="89"/>
      <c r="BD108" s="89"/>
      <c r="BG108" s="89"/>
      <c r="BH108" s="89"/>
      <c r="BQ108" s="85"/>
    </row>
    <row r="109" spans="1:69" s="80" customFormat="1" x14ac:dyDescent="0.25">
      <c r="A109" s="88"/>
      <c r="B109" s="88"/>
      <c r="C109" s="88"/>
      <c r="D109" s="88"/>
      <c r="E109" s="88"/>
      <c r="F109" s="88"/>
      <c r="G109" s="89"/>
      <c r="H109" s="89"/>
      <c r="I109" s="89"/>
      <c r="J109" s="89"/>
      <c r="K109" s="89"/>
      <c r="L109" s="89"/>
      <c r="N109" s="89"/>
      <c r="O109" s="89"/>
      <c r="P109" s="89"/>
      <c r="Q109" s="89"/>
      <c r="R109" s="89"/>
      <c r="S109" s="89"/>
      <c r="U109" s="90"/>
      <c r="V109" s="90"/>
      <c r="W109" s="90"/>
      <c r="X109" s="90"/>
      <c r="Y109" s="90"/>
      <c r="Z109" s="90"/>
      <c r="AA109" s="90"/>
      <c r="AE109" s="90"/>
      <c r="AF109" s="90"/>
      <c r="AG109" s="90"/>
      <c r="AH109" s="90"/>
      <c r="AI109" s="90"/>
      <c r="AM109" s="90"/>
      <c r="AN109" s="90"/>
      <c r="AR109" s="89"/>
      <c r="AS109" s="89"/>
      <c r="AT109" s="89"/>
      <c r="AU109" s="89"/>
      <c r="AV109" s="89"/>
      <c r="AW109" s="89"/>
      <c r="AY109" s="89"/>
      <c r="AZ109" s="89"/>
      <c r="BA109" s="89"/>
      <c r="BB109" s="89"/>
      <c r="BC109" s="89"/>
      <c r="BD109" s="89"/>
      <c r="BG109" s="89"/>
      <c r="BH109" s="89"/>
      <c r="BQ109" s="85"/>
    </row>
    <row r="110" spans="1:69" s="80" customFormat="1" x14ac:dyDescent="0.25">
      <c r="A110" s="88"/>
      <c r="B110" s="88"/>
      <c r="C110" s="88"/>
      <c r="D110" s="88"/>
      <c r="E110" s="88"/>
      <c r="F110" s="88"/>
      <c r="G110" s="89"/>
      <c r="H110" s="89"/>
      <c r="I110" s="89"/>
      <c r="J110" s="89"/>
      <c r="K110" s="89"/>
      <c r="L110" s="89"/>
      <c r="N110" s="89"/>
      <c r="O110" s="89"/>
      <c r="P110" s="89"/>
      <c r="Q110" s="89"/>
      <c r="R110" s="89"/>
      <c r="S110" s="89"/>
      <c r="U110" s="90"/>
      <c r="V110" s="90"/>
      <c r="W110" s="90"/>
      <c r="X110" s="90"/>
      <c r="Y110" s="90"/>
      <c r="Z110" s="90"/>
      <c r="AA110" s="90"/>
      <c r="AE110" s="90"/>
      <c r="AF110" s="90"/>
      <c r="AG110" s="90"/>
      <c r="AH110" s="90"/>
      <c r="AI110" s="90"/>
      <c r="AM110" s="90"/>
      <c r="AN110" s="90"/>
      <c r="AR110" s="89"/>
      <c r="AS110" s="89"/>
      <c r="AT110" s="89"/>
      <c r="AU110" s="89"/>
      <c r="AV110" s="89"/>
      <c r="AW110" s="89"/>
      <c r="AY110" s="89"/>
      <c r="AZ110" s="89"/>
      <c r="BA110" s="89"/>
      <c r="BB110" s="89"/>
      <c r="BC110" s="89"/>
      <c r="BD110" s="89"/>
      <c r="BG110" s="89"/>
      <c r="BH110" s="89"/>
      <c r="BQ110" s="85"/>
    </row>
    <row r="111" spans="1:69" s="80" customFormat="1" x14ac:dyDescent="0.25">
      <c r="A111" s="88"/>
      <c r="B111" s="88"/>
      <c r="C111" s="88"/>
      <c r="D111" s="88"/>
      <c r="E111" s="88"/>
      <c r="F111" s="88"/>
      <c r="G111" s="89"/>
      <c r="H111" s="89"/>
      <c r="I111" s="89"/>
      <c r="J111" s="89"/>
      <c r="K111" s="89"/>
      <c r="L111" s="89"/>
      <c r="N111" s="89"/>
      <c r="O111" s="89"/>
      <c r="P111" s="89"/>
      <c r="Q111" s="89"/>
      <c r="R111" s="89"/>
      <c r="S111" s="89"/>
      <c r="U111" s="90"/>
      <c r="V111" s="90"/>
      <c r="W111" s="90"/>
      <c r="X111" s="90"/>
      <c r="Y111" s="90"/>
      <c r="Z111" s="90"/>
      <c r="AA111" s="90"/>
      <c r="AE111" s="90"/>
      <c r="AF111" s="90"/>
      <c r="AG111" s="90"/>
      <c r="AH111" s="90"/>
      <c r="AI111" s="90"/>
      <c r="AM111" s="90"/>
      <c r="AN111" s="90"/>
      <c r="AR111" s="89"/>
      <c r="AS111" s="89"/>
      <c r="AT111" s="89"/>
      <c r="AU111" s="89"/>
      <c r="AV111" s="89"/>
      <c r="AW111" s="89"/>
      <c r="AY111" s="89"/>
      <c r="AZ111" s="89"/>
      <c r="BA111" s="89"/>
      <c r="BB111" s="89"/>
      <c r="BC111" s="89"/>
      <c r="BD111" s="89"/>
      <c r="BG111" s="89"/>
      <c r="BH111" s="89"/>
      <c r="BQ111" s="85"/>
    </row>
    <row r="112" spans="1:69" s="80" customFormat="1" x14ac:dyDescent="0.25">
      <c r="A112" s="88"/>
      <c r="B112" s="88"/>
      <c r="C112" s="88"/>
      <c r="D112" s="88"/>
      <c r="E112" s="88"/>
      <c r="F112" s="88"/>
      <c r="G112" s="89"/>
      <c r="H112" s="89"/>
      <c r="I112" s="89"/>
      <c r="J112" s="89"/>
      <c r="K112" s="89"/>
      <c r="L112" s="89"/>
      <c r="N112" s="89"/>
      <c r="O112" s="89"/>
      <c r="P112" s="89"/>
      <c r="Q112" s="89"/>
      <c r="R112" s="89"/>
      <c r="S112" s="89"/>
      <c r="U112" s="90"/>
      <c r="V112" s="90"/>
      <c r="W112" s="90"/>
      <c r="X112" s="90"/>
      <c r="Y112" s="90"/>
      <c r="Z112" s="90"/>
      <c r="AA112" s="90"/>
      <c r="AE112" s="90"/>
      <c r="AF112" s="90"/>
      <c r="AG112" s="90"/>
      <c r="AH112" s="90"/>
      <c r="AI112" s="90"/>
      <c r="AM112" s="90"/>
      <c r="AN112" s="90"/>
      <c r="AR112" s="89"/>
      <c r="AS112" s="89"/>
      <c r="AT112" s="89"/>
      <c r="AU112" s="89"/>
      <c r="AV112" s="89"/>
      <c r="AW112" s="89"/>
      <c r="AY112" s="89"/>
      <c r="AZ112" s="89"/>
      <c r="BA112" s="89"/>
      <c r="BB112" s="89"/>
      <c r="BC112" s="89"/>
      <c r="BD112" s="89"/>
      <c r="BG112" s="89"/>
      <c r="BH112" s="89"/>
      <c r="BQ112" s="85"/>
    </row>
    <row r="113" spans="1:69" s="80" customFormat="1" x14ac:dyDescent="0.25">
      <c r="A113" s="88"/>
      <c r="B113" s="88"/>
      <c r="C113" s="88"/>
      <c r="D113" s="88"/>
      <c r="E113" s="88"/>
      <c r="F113" s="88"/>
      <c r="G113" s="89"/>
      <c r="H113" s="89"/>
      <c r="I113" s="89"/>
      <c r="J113" s="89"/>
      <c r="K113" s="89"/>
      <c r="L113" s="89"/>
      <c r="N113" s="89"/>
      <c r="O113" s="89"/>
      <c r="P113" s="89"/>
      <c r="Q113" s="89"/>
      <c r="R113" s="89"/>
      <c r="S113" s="89"/>
      <c r="U113" s="90"/>
      <c r="V113" s="90"/>
      <c r="W113" s="90"/>
      <c r="X113" s="90"/>
      <c r="Y113" s="90"/>
      <c r="Z113" s="90"/>
      <c r="AA113" s="90"/>
      <c r="AE113" s="90"/>
      <c r="AF113" s="90"/>
      <c r="AG113" s="90"/>
      <c r="AH113" s="90"/>
      <c r="AI113" s="90"/>
      <c r="AM113" s="90"/>
      <c r="AN113" s="90"/>
      <c r="AR113" s="89"/>
      <c r="AS113" s="89"/>
      <c r="AT113" s="89"/>
      <c r="AU113" s="89"/>
      <c r="AV113" s="89"/>
      <c r="AW113" s="89"/>
      <c r="AY113" s="89"/>
      <c r="AZ113" s="89"/>
      <c r="BA113" s="89"/>
      <c r="BB113" s="89"/>
      <c r="BC113" s="89"/>
      <c r="BD113" s="89"/>
      <c r="BG113" s="89"/>
      <c r="BH113" s="89"/>
      <c r="BQ113" s="85"/>
    </row>
    <row r="114" spans="1:69" s="80" customFormat="1" x14ac:dyDescent="0.25">
      <c r="A114" s="88"/>
      <c r="B114" s="88"/>
      <c r="C114" s="88"/>
      <c r="D114" s="88"/>
      <c r="E114" s="88"/>
      <c r="F114" s="88"/>
      <c r="G114" s="89"/>
      <c r="H114" s="89"/>
      <c r="I114" s="89"/>
      <c r="J114" s="89"/>
      <c r="K114" s="89"/>
      <c r="L114" s="89"/>
      <c r="N114" s="89"/>
      <c r="O114" s="89"/>
      <c r="P114" s="89"/>
      <c r="Q114" s="89"/>
      <c r="R114" s="89"/>
      <c r="S114" s="89"/>
      <c r="U114" s="90"/>
      <c r="V114" s="90"/>
      <c r="W114" s="90"/>
      <c r="X114" s="90"/>
      <c r="Y114" s="90"/>
      <c r="Z114" s="90"/>
      <c r="AA114" s="90"/>
      <c r="AE114" s="90"/>
      <c r="AF114" s="90"/>
      <c r="AG114" s="90"/>
      <c r="AH114" s="90"/>
      <c r="AI114" s="90"/>
      <c r="AM114" s="90"/>
      <c r="AN114" s="90"/>
      <c r="AR114" s="89"/>
      <c r="AS114" s="89"/>
      <c r="AT114" s="89"/>
      <c r="AU114" s="89"/>
      <c r="AV114" s="89"/>
      <c r="AW114" s="89"/>
      <c r="AY114" s="89"/>
      <c r="AZ114" s="89"/>
      <c r="BA114" s="89"/>
      <c r="BB114" s="89"/>
      <c r="BC114" s="89"/>
      <c r="BD114" s="89"/>
      <c r="BG114" s="89"/>
      <c r="BH114" s="89"/>
      <c r="BQ114" s="85"/>
    </row>
    <row r="115" spans="1:69" s="80" customFormat="1" x14ac:dyDescent="0.25">
      <c r="A115" s="88"/>
      <c r="B115" s="88"/>
      <c r="C115" s="88"/>
      <c r="D115" s="88"/>
      <c r="E115" s="88"/>
      <c r="F115" s="88"/>
      <c r="G115" s="89"/>
      <c r="H115" s="89"/>
      <c r="I115" s="89"/>
      <c r="J115" s="89"/>
      <c r="K115" s="89"/>
      <c r="L115" s="89"/>
      <c r="N115" s="89"/>
      <c r="O115" s="89"/>
      <c r="P115" s="89"/>
      <c r="Q115" s="89"/>
      <c r="R115" s="89"/>
      <c r="S115" s="89"/>
      <c r="U115" s="90"/>
      <c r="V115" s="90"/>
      <c r="W115" s="90"/>
      <c r="X115" s="90"/>
      <c r="Y115" s="90"/>
      <c r="Z115" s="90"/>
      <c r="AA115" s="90"/>
      <c r="AE115" s="90"/>
      <c r="AF115" s="90"/>
      <c r="AG115" s="90"/>
      <c r="AH115" s="90"/>
      <c r="AI115" s="90"/>
      <c r="AM115" s="90"/>
      <c r="AN115" s="90"/>
      <c r="AR115" s="89"/>
      <c r="AS115" s="89"/>
      <c r="AT115" s="89"/>
      <c r="AU115" s="89"/>
      <c r="AV115" s="89"/>
      <c r="AW115" s="89"/>
      <c r="AY115" s="89"/>
      <c r="AZ115" s="89"/>
      <c r="BA115" s="89"/>
      <c r="BB115" s="89"/>
      <c r="BC115" s="89"/>
      <c r="BD115" s="89"/>
      <c r="BG115" s="89"/>
      <c r="BH115" s="89"/>
      <c r="BQ115" s="85"/>
    </row>
    <row r="116" spans="1:69" s="80" customFormat="1" x14ac:dyDescent="0.25">
      <c r="A116" s="88"/>
      <c r="B116" s="88"/>
      <c r="C116" s="88"/>
      <c r="D116" s="88"/>
      <c r="E116" s="88"/>
      <c r="F116" s="88"/>
      <c r="G116" s="89"/>
      <c r="H116" s="89"/>
      <c r="I116" s="89"/>
      <c r="J116" s="89"/>
      <c r="K116" s="89"/>
      <c r="L116" s="89"/>
      <c r="N116" s="89"/>
      <c r="O116" s="89"/>
      <c r="P116" s="89"/>
      <c r="Q116" s="89"/>
      <c r="R116" s="89"/>
      <c r="S116" s="89"/>
      <c r="U116" s="90"/>
      <c r="V116" s="90"/>
      <c r="W116" s="90"/>
      <c r="X116" s="90"/>
      <c r="Y116" s="90"/>
      <c r="Z116" s="90"/>
      <c r="AA116" s="90"/>
      <c r="AE116" s="90"/>
      <c r="AF116" s="90"/>
      <c r="AG116" s="90"/>
      <c r="AH116" s="90"/>
      <c r="AI116" s="90"/>
      <c r="AM116" s="90"/>
      <c r="AN116" s="90"/>
      <c r="AR116" s="89"/>
      <c r="AS116" s="89"/>
      <c r="AT116" s="89"/>
      <c r="AU116" s="89"/>
      <c r="AV116" s="89"/>
      <c r="AW116" s="89"/>
      <c r="AY116" s="89"/>
      <c r="AZ116" s="89"/>
      <c r="BA116" s="89"/>
      <c r="BB116" s="89"/>
      <c r="BC116" s="89"/>
      <c r="BD116" s="89"/>
      <c r="BG116" s="89"/>
      <c r="BH116" s="89"/>
      <c r="BQ116" s="85"/>
    </row>
    <row r="117" spans="1:69" s="80" customFormat="1" x14ac:dyDescent="0.25">
      <c r="A117" s="88"/>
      <c r="B117" s="88"/>
      <c r="C117" s="88"/>
      <c r="D117" s="88"/>
      <c r="E117" s="88"/>
      <c r="F117" s="88"/>
      <c r="G117" s="89"/>
      <c r="H117" s="89"/>
      <c r="I117" s="89"/>
      <c r="J117" s="89"/>
      <c r="K117" s="89"/>
      <c r="L117" s="89"/>
      <c r="N117" s="89"/>
      <c r="O117" s="89"/>
      <c r="P117" s="89"/>
      <c r="Q117" s="89"/>
      <c r="R117" s="89"/>
      <c r="S117" s="89"/>
      <c r="U117" s="90"/>
      <c r="V117" s="90"/>
      <c r="W117" s="90"/>
      <c r="X117" s="90"/>
      <c r="Y117" s="90"/>
      <c r="Z117" s="90"/>
      <c r="AA117" s="90"/>
      <c r="AE117" s="90"/>
      <c r="AF117" s="90"/>
      <c r="AG117" s="90"/>
      <c r="AH117" s="90"/>
      <c r="AI117" s="90"/>
      <c r="AM117" s="90"/>
      <c r="AN117" s="90"/>
      <c r="AR117" s="89"/>
      <c r="AS117" s="89"/>
      <c r="AT117" s="89"/>
      <c r="AU117" s="89"/>
      <c r="AV117" s="89"/>
      <c r="AW117" s="89"/>
      <c r="AY117" s="89"/>
      <c r="AZ117" s="89"/>
      <c r="BA117" s="89"/>
      <c r="BB117" s="89"/>
      <c r="BC117" s="89"/>
      <c r="BD117" s="89"/>
      <c r="BG117" s="89"/>
      <c r="BH117" s="89"/>
      <c r="BQ117" s="85"/>
    </row>
    <row r="118" spans="1:69" s="80" customFormat="1" x14ac:dyDescent="0.25">
      <c r="A118" s="88"/>
      <c r="B118" s="88"/>
      <c r="C118" s="88"/>
      <c r="D118" s="88"/>
      <c r="E118" s="88"/>
      <c r="F118" s="88"/>
      <c r="G118" s="89"/>
      <c r="H118" s="89"/>
      <c r="I118" s="89"/>
      <c r="J118" s="89"/>
      <c r="K118" s="89"/>
      <c r="L118" s="89"/>
      <c r="N118" s="89"/>
      <c r="O118" s="89"/>
      <c r="P118" s="89"/>
      <c r="Q118" s="89"/>
      <c r="R118" s="89"/>
      <c r="S118" s="89"/>
      <c r="U118" s="90"/>
      <c r="V118" s="90"/>
      <c r="W118" s="90"/>
      <c r="X118" s="90"/>
      <c r="Y118" s="90"/>
      <c r="Z118" s="90"/>
      <c r="AA118" s="90"/>
      <c r="AE118" s="90"/>
      <c r="AF118" s="90"/>
      <c r="AG118" s="90"/>
      <c r="AH118" s="90"/>
      <c r="AI118" s="90"/>
      <c r="AM118" s="90"/>
      <c r="AN118" s="90"/>
      <c r="AR118" s="89"/>
      <c r="AS118" s="89"/>
      <c r="AT118" s="89"/>
      <c r="AU118" s="89"/>
      <c r="AV118" s="89"/>
      <c r="AW118" s="89"/>
      <c r="AY118" s="89"/>
      <c r="AZ118" s="89"/>
      <c r="BA118" s="89"/>
      <c r="BB118" s="89"/>
      <c r="BC118" s="89"/>
      <c r="BD118" s="89"/>
      <c r="BG118" s="89"/>
      <c r="BH118" s="89"/>
      <c r="BQ118" s="85"/>
    </row>
    <row r="119" spans="1:69" s="80" customFormat="1" x14ac:dyDescent="0.25">
      <c r="A119" s="88"/>
      <c r="B119" s="88"/>
      <c r="C119" s="88"/>
      <c r="D119" s="88"/>
      <c r="E119" s="88"/>
      <c r="F119" s="88"/>
      <c r="G119" s="89"/>
      <c r="H119" s="89"/>
      <c r="I119" s="89"/>
      <c r="J119" s="89"/>
      <c r="K119" s="89"/>
      <c r="L119" s="89"/>
      <c r="N119" s="89"/>
      <c r="O119" s="89"/>
      <c r="P119" s="89"/>
      <c r="Q119" s="89"/>
      <c r="R119" s="89"/>
      <c r="S119" s="89"/>
      <c r="U119" s="90"/>
      <c r="V119" s="90"/>
      <c r="W119" s="90"/>
      <c r="X119" s="90"/>
      <c r="Y119" s="90"/>
      <c r="Z119" s="90"/>
      <c r="AA119" s="90"/>
      <c r="AE119" s="90"/>
      <c r="AF119" s="90"/>
      <c r="AG119" s="90"/>
      <c r="AH119" s="90"/>
      <c r="AI119" s="90"/>
      <c r="AM119" s="90"/>
      <c r="AN119" s="90"/>
      <c r="AR119" s="89"/>
      <c r="AS119" s="89"/>
      <c r="AT119" s="89"/>
      <c r="AU119" s="89"/>
      <c r="AV119" s="89"/>
      <c r="AW119" s="89"/>
      <c r="AY119" s="89"/>
      <c r="AZ119" s="89"/>
      <c r="BA119" s="89"/>
      <c r="BB119" s="89"/>
      <c r="BC119" s="89"/>
      <c r="BD119" s="89"/>
      <c r="BG119" s="89"/>
      <c r="BH119" s="89"/>
      <c r="BQ119" s="85"/>
    </row>
    <row r="120" spans="1:69" s="80" customFormat="1" x14ac:dyDescent="0.25">
      <c r="A120" s="88"/>
      <c r="B120" s="88"/>
      <c r="C120" s="88"/>
      <c r="D120" s="88"/>
      <c r="E120" s="88"/>
      <c r="F120" s="88"/>
      <c r="G120" s="89"/>
      <c r="H120" s="89"/>
      <c r="I120" s="89"/>
      <c r="J120" s="89"/>
      <c r="K120" s="89"/>
      <c r="L120" s="89"/>
      <c r="N120" s="89"/>
      <c r="O120" s="89"/>
      <c r="P120" s="89"/>
      <c r="Q120" s="89"/>
      <c r="R120" s="89"/>
      <c r="S120" s="89"/>
      <c r="U120" s="90"/>
      <c r="V120" s="90"/>
      <c r="W120" s="90"/>
      <c r="X120" s="90"/>
      <c r="Y120" s="90"/>
      <c r="Z120" s="90"/>
      <c r="AA120" s="90"/>
      <c r="AE120" s="90"/>
      <c r="AF120" s="90"/>
      <c r="AG120" s="90"/>
      <c r="AH120" s="90"/>
      <c r="AI120" s="90"/>
      <c r="AM120" s="90"/>
      <c r="AN120" s="90"/>
      <c r="AR120" s="89"/>
      <c r="AS120" s="89"/>
      <c r="AT120" s="89"/>
      <c r="AU120" s="89"/>
      <c r="AV120" s="89"/>
      <c r="AW120" s="89"/>
      <c r="AY120" s="89"/>
      <c r="AZ120" s="89"/>
      <c r="BA120" s="89"/>
      <c r="BB120" s="89"/>
      <c r="BC120" s="89"/>
      <c r="BD120" s="89"/>
      <c r="BG120" s="89"/>
      <c r="BH120" s="89"/>
      <c r="BQ120" s="85"/>
    </row>
    <row r="121" spans="1:69" s="80" customFormat="1" x14ac:dyDescent="0.25">
      <c r="A121" s="88"/>
      <c r="B121" s="88"/>
      <c r="C121" s="88"/>
      <c r="D121" s="88"/>
      <c r="E121" s="88"/>
      <c r="F121" s="88"/>
      <c r="G121" s="89"/>
      <c r="H121" s="89"/>
      <c r="I121" s="89"/>
      <c r="J121" s="89"/>
      <c r="K121" s="89"/>
      <c r="L121" s="89"/>
      <c r="N121" s="89"/>
      <c r="O121" s="89"/>
      <c r="P121" s="89"/>
      <c r="Q121" s="89"/>
      <c r="R121" s="89"/>
      <c r="S121" s="89"/>
      <c r="U121" s="90"/>
      <c r="V121" s="90"/>
      <c r="W121" s="90"/>
      <c r="X121" s="90"/>
      <c r="Y121" s="90"/>
      <c r="Z121" s="90"/>
      <c r="AA121" s="90"/>
      <c r="AE121" s="90"/>
      <c r="AF121" s="90"/>
      <c r="AG121" s="90"/>
      <c r="AH121" s="90"/>
      <c r="AI121" s="90"/>
      <c r="AM121" s="90"/>
      <c r="AN121" s="90"/>
      <c r="AR121" s="89"/>
      <c r="AS121" s="89"/>
      <c r="AT121" s="89"/>
      <c r="AU121" s="89"/>
      <c r="AV121" s="89"/>
      <c r="AW121" s="89"/>
      <c r="AY121" s="89"/>
      <c r="AZ121" s="89"/>
      <c r="BA121" s="89"/>
      <c r="BB121" s="89"/>
      <c r="BC121" s="89"/>
      <c r="BD121" s="89"/>
      <c r="BG121" s="89"/>
      <c r="BH121" s="89"/>
      <c r="BQ121" s="85"/>
    </row>
    <row r="122" spans="1:69" s="80" customFormat="1" x14ac:dyDescent="0.25">
      <c r="A122" s="88"/>
      <c r="B122" s="88"/>
      <c r="C122" s="88"/>
      <c r="D122" s="88"/>
      <c r="E122" s="88"/>
      <c r="F122" s="88"/>
      <c r="G122" s="89"/>
      <c r="H122" s="89"/>
      <c r="I122" s="89"/>
      <c r="J122" s="89"/>
      <c r="K122" s="89"/>
      <c r="L122" s="89"/>
      <c r="N122" s="89"/>
      <c r="O122" s="89"/>
      <c r="P122" s="89"/>
      <c r="Q122" s="89"/>
      <c r="R122" s="89"/>
      <c r="S122" s="89"/>
      <c r="U122" s="90"/>
      <c r="V122" s="90"/>
      <c r="W122" s="90"/>
      <c r="X122" s="90"/>
      <c r="Y122" s="90"/>
      <c r="Z122" s="90"/>
      <c r="AA122" s="90"/>
      <c r="AE122" s="90"/>
      <c r="AF122" s="90"/>
      <c r="AG122" s="90"/>
      <c r="AH122" s="90"/>
      <c r="AI122" s="90"/>
      <c r="AM122" s="90"/>
      <c r="AN122" s="90"/>
      <c r="AR122" s="89"/>
      <c r="AS122" s="89"/>
      <c r="AT122" s="89"/>
      <c r="AU122" s="89"/>
      <c r="AV122" s="89"/>
      <c r="AW122" s="89"/>
      <c r="AY122" s="89"/>
      <c r="AZ122" s="89"/>
      <c r="BA122" s="89"/>
      <c r="BB122" s="89"/>
      <c r="BC122" s="89"/>
      <c r="BD122" s="89"/>
      <c r="BG122" s="89"/>
      <c r="BH122" s="89"/>
      <c r="BQ122" s="85"/>
    </row>
    <row r="123" spans="1:69" s="80" customFormat="1" x14ac:dyDescent="0.25">
      <c r="A123" s="88"/>
      <c r="B123" s="88"/>
      <c r="C123" s="88"/>
      <c r="D123" s="88"/>
      <c r="E123" s="88"/>
      <c r="F123" s="88"/>
      <c r="G123" s="89"/>
      <c r="H123" s="89"/>
      <c r="I123" s="89"/>
      <c r="J123" s="89"/>
      <c r="K123" s="89"/>
      <c r="L123" s="89"/>
      <c r="N123" s="89"/>
      <c r="O123" s="89"/>
      <c r="P123" s="89"/>
      <c r="Q123" s="89"/>
      <c r="R123" s="89"/>
      <c r="S123" s="89"/>
      <c r="U123" s="90"/>
      <c r="V123" s="90"/>
      <c r="W123" s="90"/>
      <c r="X123" s="90"/>
      <c r="Y123" s="90"/>
      <c r="Z123" s="90"/>
      <c r="AA123" s="90"/>
      <c r="AE123" s="90"/>
      <c r="AF123" s="90"/>
      <c r="AG123" s="90"/>
      <c r="AH123" s="90"/>
      <c r="AI123" s="90"/>
      <c r="AM123" s="90"/>
      <c r="AN123" s="90"/>
      <c r="AR123" s="89"/>
      <c r="AS123" s="89"/>
      <c r="AT123" s="89"/>
      <c r="AU123" s="89"/>
      <c r="AV123" s="89"/>
      <c r="AW123" s="89"/>
      <c r="AY123" s="89"/>
      <c r="AZ123" s="89"/>
      <c r="BA123" s="89"/>
      <c r="BB123" s="89"/>
      <c r="BC123" s="89"/>
      <c r="BD123" s="89"/>
      <c r="BG123" s="89"/>
      <c r="BH123" s="89"/>
      <c r="BQ123" s="85"/>
    </row>
    <row r="124" spans="1:69" s="80" customFormat="1" x14ac:dyDescent="0.25">
      <c r="A124" s="88"/>
      <c r="B124" s="88"/>
      <c r="C124" s="88"/>
      <c r="D124" s="88"/>
      <c r="E124" s="88"/>
      <c r="F124" s="88"/>
      <c r="G124" s="89"/>
      <c r="H124" s="89"/>
      <c r="I124" s="89"/>
      <c r="J124" s="89"/>
      <c r="K124" s="89"/>
      <c r="L124" s="89"/>
      <c r="N124" s="89"/>
      <c r="O124" s="89"/>
      <c r="P124" s="89"/>
      <c r="Q124" s="89"/>
      <c r="R124" s="89"/>
      <c r="S124" s="89"/>
      <c r="U124" s="90"/>
      <c r="V124" s="90"/>
      <c r="W124" s="90"/>
      <c r="X124" s="90"/>
      <c r="Y124" s="90"/>
      <c r="Z124" s="90"/>
      <c r="AA124" s="90"/>
      <c r="AE124" s="90"/>
      <c r="AF124" s="90"/>
      <c r="AG124" s="90"/>
      <c r="AH124" s="90"/>
      <c r="AI124" s="90"/>
      <c r="AM124" s="90"/>
      <c r="AN124" s="90"/>
      <c r="AR124" s="89"/>
      <c r="AS124" s="89"/>
      <c r="AT124" s="89"/>
      <c r="AU124" s="89"/>
      <c r="AV124" s="89"/>
      <c r="AW124" s="89"/>
      <c r="AY124" s="89"/>
      <c r="AZ124" s="89"/>
      <c r="BA124" s="89"/>
      <c r="BB124" s="89"/>
      <c r="BC124" s="89"/>
      <c r="BD124" s="89"/>
      <c r="BG124" s="89"/>
      <c r="BH124" s="89"/>
      <c r="BQ124" s="85"/>
    </row>
    <row r="125" spans="1:69" s="80" customFormat="1" x14ac:dyDescent="0.25">
      <c r="A125" s="88"/>
      <c r="B125" s="88"/>
      <c r="C125" s="88"/>
      <c r="D125" s="88"/>
      <c r="E125" s="88"/>
      <c r="F125" s="88"/>
      <c r="G125" s="89"/>
      <c r="H125" s="89"/>
      <c r="I125" s="89"/>
      <c r="J125" s="89"/>
      <c r="K125" s="89"/>
      <c r="L125" s="89"/>
      <c r="N125" s="89"/>
      <c r="O125" s="89"/>
      <c r="P125" s="89"/>
      <c r="Q125" s="89"/>
      <c r="R125" s="89"/>
      <c r="S125" s="89"/>
      <c r="U125" s="90"/>
      <c r="V125" s="90"/>
      <c r="W125" s="90"/>
      <c r="X125" s="90"/>
      <c r="Y125" s="90"/>
      <c r="Z125" s="90"/>
      <c r="AA125" s="90"/>
      <c r="AE125" s="90"/>
      <c r="AF125" s="90"/>
      <c r="AG125" s="90"/>
      <c r="AH125" s="90"/>
      <c r="AI125" s="90"/>
      <c r="AM125" s="90"/>
      <c r="AN125" s="90"/>
      <c r="AR125" s="89"/>
      <c r="AS125" s="89"/>
      <c r="AT125" s="89"/>
      <c r="AU125" s="89"/>
      <c r="AV125" s="89"/>
      <c r="AW125" s="89"/>
      <c r="AY125" s="89"/>
      <c r="AZ125" s="89"/>
      <c r="BA125" s="89"/>
      <c r="BB125" s="89"/>
      <c r="BC125" s="89"/>
      <c r="BD125" s="89"/>
      <c r="BG125" s="89"/>
      <c r="BH125" s="89"/>
      <c r="BQ125" s="85"/>
    </row>
    <row r="126" spans="1:69" s="80" customFormat="1" x14ac:dyDescent="0.25">
      <c r="A126" s="88"/>
      <c r="B126" s="88"/>
      <c r="C126" s="88"/>
      <c r="D126" s="88"/>
      <c r="E126" s="88"/>
      <c r="F126" s="88"/>
      <c r="G126" s="89"/>
      <c r="H126" s="89"/>
      <c r="I126" s="89"/>
      <c r="J126" s="89"/>
      <c r="K126" s="89"/>
      <c r="L126" s="89"/>
      <c r="N126" s="89"/>
      <c r="O126" s="89"/>
      <c r="P126" s="89"/>
      <c r="Q126" s="89"/>
      <c r="R126" s="89"/>
      <c r="S126" s="89"/>
      <c r="U126" s="90"/>
      <c r="V126" s="90"/>
      <c r="W126" s="90"/>
      <c r="X126" s="90"/>
      <c r="Y126" s="90"/>
      <c r="Z126" s="90"/>
      <c r="AA126" s="90"/>
      <c r="AE126" s="90"/>
      <c r="AF126" s="90"/>
      <c r="AG126" s="90"/>
      <c r="AH126" s="90"/>
      <c r="AI126" s="90"/>
      <c r="AM126" s="90"/>
      <c r="AN126" s="90"/>
      <c r="AR126" s="89"/>
      <c r="AS126" s="89"/>
      <c r="AT126" s="89"/>
      <c r="AU126" s="89"/>
      <c r="AV126" s="89"/>
      <c r="AW126" s="89"/>
      <c r="AY126" s="89"/>
      <c r="AZ126" s="89"/>
      <c r="BA126" s="89"/>
      <c r="BB126" s="89"/>
      <c r="BC126" s="89"/>
      <c r="BD126" s="89"/>
      <c r="BG126" s="89"/>
      <c r="BH126" s="89"/>
      <c r="BQ126" s="85"/>
    </row>
    <row r="127" spans="1:69" s="80" customFormat="1" x14ac:dyDescent="0.25">
      <c r="A127" s="88"/>
      <c r="B127" s="88"/>
      <c r="C127" s="88"/>
      <c r="D127" s="88"/>
      <c r="E127" s="88"/>
      <c r="F127" s="88"/>
      <c r="G127" s="89"/>
      <c r="H127" s="89"/>
      <c r="I127" s="89"/>
      <c r="J127" s="89"/>
      <c r="K127" s="89"/>
      <c r="L127" s="89"/>
      <c r="N127" s="89"/>
      <c r="O127" s="89"/>
      <c r="P127" s="89"/>
      <c r="Q127" s="89"/>
      <c r="R127" s="89"/>
      <c r="S127" s="89"/>
      <c r="U127" s="90"/>
      <c r="V127" s="90"/>
      <c r="W127" s="90"/>
      <c r="X127" s="90"/>
      <c r="Y127" s="90"/>
      <c r="Z127" s="90"/>
      <c r="AA127" s="90"/>
      <c r="AE127" s="90"/>
      <c r="AF127" s="90"/>
      <c r="AG127" s="90"/>
      <c r="AH127" s="90"/>
      <c r="AI127" s="90"/>
      <c r="AM127" s="90"/>
      <c r="AN127" s="90"/>
      <c r="AR127" s="89"/>
      <c r="AS127" s="89"/>
      <c r="AT127" s="89"/>
      <c r="AU127" s="89"/>
      <c r="AV127" s="89"/>
      <c r="AW127" s="89"/>
      <c r="AY127" s="89"/>
      <c r="AZ127" s="89"/>
      <c r="BA127" s="89"/>
      <c r="BB127" s="89"/>
      <c r="BC127" s="89"/>
      <c r="BD127" s="89"/>
      <c r="BG127" s="89"/>
      <c r="BH127" s="89"/>
      <c r="BQ127" s="85"/>
    </row>
    <row r="128" spans="1:69" s="80" customFormat="1" x14ac:dyDescent="0.25">
      <c r="A128" s="88"/>
      <c r="B128" s="88"/>
      <c r="C128" s="88"/>
      <c r="D128" s="88"/>
      <c r="E128" s="88"/>
      <c r="F128" s="88"/>
      <c r="G128" s="89"/>
      <c r="H128" s="89"/>
      <c r="I128" s="89"/>
      <c r="J128" s="89"/>
      <c r="K128" s="89"/>
      <c r="L128" s="89"/>
      <c r="N128" s="89"/>
      <c r="O128" s="89"/>
      <c r="P128" s="89"/>
      <c r="Q128" s="89"/>
      <c r="R128" s="89"/>
      <c r="S128" s="89"/>
      <c r="U128" s="90"/>
      <c r="V128" s="90"/>
      <c r="W128" s="90"/>
      <c r="X128" s="90"/>
      <c r="Y128" s="90"/>
      <c r="Z128" s="90"/>
      <c r="AA128" s="90"/>
      <c r="AE128" s="90"/>
      <c r="AF128" s="90"/>
      <c r="AG128" s="90"/>
      <c r="AH128" s="90"/>
      <c r="AI128" s="90"/>
      <c r="AM128" s="90"/>
      <c r="AN128" s="90"/>
      <c r="AR128" s="89"/>
      <c r="AS128" s="89"/>
      <c r="AT128" s="89"/>
      <c r="AU128" s="89"/>
      <c r="AV128" s="89"/>
      <c r="AW128" s="89"/>
      <c r="AY128" s="89"/>
      <c r="AZ128" s="89"/>
      <c r="BA128" s="89"/>
      <c r="BB128" s="89"/>
      <c r="BC128" s="89"/>
      <c r="BD128" s="89"/>
      <c r="BG128" s="89"/>
      <c r="BH128" s="89"/>
      <c r="BQ128" s="85"/>
    </row>
    <row r="129" spans="1:69" s="80" customFormat="1" x14ac:dyDescent="0.25">
      <c r="A129" s="88"/>
      <c r="B129" s="88"/>
      <c r="C129" s="88"/>
      <c r="D129" s="88"/>
      <c r="E129" s="88"/>
      <c r="F129" s="88"/>
      <c r="G129" s="89"/>
      <c r="H129" s="89"/>
      <c r="I129" s="89"/>
      <c r="J129" s="89"/>
      <c r="K129" s="89"/>
      <c r="L129" s="89"/>
      <c r="N129" s="89"/>
      <c r="O129" s="89"/>
      <c r="P129" s="89"/>
      <c r="Q129" s="89"/>
      <c r="R129" s="89"/>
      <c r="S129" s="89"/>
      <c r="U129" s="90"/>
      <c r="V129" s="90"/>
      <c r="W129" s="90"/>
      <c r="X129" s="90"/>
      <c r="Y129" s="90"/>
      <c r="Z129" s="90"/>
      <c r="AA129" s="90"/>
      <c r="AE129" s="90"/>
      <c r="AF129" s="90"/>
      <c r="AG129" s="90"/>
      <c r="AH129" s="90"/>
      <c r="AI129" s="90"/>
      <c r="AM129" s="90"/>
      <c r="AN129" s="90"/>
      <c r="AR129" s="89"/>
      <c r="AS129" s="89"/>
      <c r="AT129" s="89"/>
      <c r="AU129" s="89"/>
      <c r="AV129" s="89"/>
      <c r="AW129" s="89"/>
      <c r="AY129" s="89"/>
      <c r="AZ129" s="89"/>
      <c r="BA129" s="89"/>
      <c r="BB129" s="89"/>
      <c r="BC129" s="89"/>
      <c r="BD129" s="89"/>
      <c r="BG129" s="89"/>
      <c r="BH129" s="89"/>
      <c r="BQ129" s="85"/>
    </row>
    <row r="130" spans="1:69" s="80" customFormat="1" x14ac:dyDescent="0.25">
      <c r="A130" s="88"/>
      <c r="B130" s="88"/>
      <c r="C130" s="88"/>
      <c r="D130" s="88"/>
      <c r="E130" s="88"/>
      <c r="F130" s="88"/>
      <c r="G130" s="89"/>
      <c r="H130" s="89"/>
      <c r="I130" s="89"/>
      <c r="J130" s="89"/>
      <c r="K130" s="89"/>
      <c r="L130" s="89"/>
      <c r="N130" s="89"/>
      <c r="O130" s="89"/>
      <c r="P130" s="89"/>
      <c r="Q130" s="89"/>
      <c r="R130" s="89"/>
      <c r="S130" s="89"/>
      <c r="U130" s="90"/>
      <c r="V130" s="90"/>
      <c r="W130" s="90"/>
      <c r="X130" s="90"/>
      <c r="Y130" s="90"/>
      <c r="Z130" s="90"/>
      <c r="AA130" s="90"/>
      <c r="AE130" s="90"/>
      <c r="AF130" s="90"/>
      <c r="AG130" s="90"/>
      <c r="AH130" s="90"/>
      <c r="AI130" s="90"/>
      <c r="AM130" s="90"/>
      <c r="AN130" s="90"/>
      <c r="AR130" s="89"/>
      <c r="AS130" s="89"/>
      <c r="AT130" s="89"/>
      <c r="AU130" s="89"/>
      <c r="AV130" s="89"/>
      <c r="AW130" s="89"/>
      <c r="AY130" s="89"/>
      <c r="AZ130" s="89"/>
      <c r="BA130" s="89"/>
      <c r="BB130" s="89"/>
      <c r="BC130" s="89"/>
      <c r="BD130" s="89"/>
      <c r="BG130" s="89"/>
      <c r="BH130" s="89"/>
      <c r="BQ130" s="85"/>
    </row>
    <row r="131" spans="1:69" hidden="1" x14ac:dyDescent="0.25">
      <c r="A131" s="7"/>
      <c r="B131" s="7"/>
      <c r="C131" s="20"/>
      <c r="D131" s="7"/>
      <c r="E131" s="7"/>
      <c r="F131" s="17"/>
      <c r="G131" s="8"/>
      <c r="H131" s="8"/>
      <c r="I131" s="8"/>
      <c r="J131" s="8"/>
      <c r="K131" s="8"/>
      <c r="L131" s="8"/>
      <c r="N131" s="8"/>
      <c r="O131" s="8"/>
      <c r="P131" s="8"/>
      <c r="Q131" s="8"/>
      <c r="R131" s="8"/>
      <c r="S131" s="8"/>
      <c r="U131" s="3"/>
      <c r="V131" s="3"/>
      <c r="W131" s="3"/>
      <c r="X131" s="3"/>
      <c r="Y131" s="16"/>
      <c r="Z131" s="12"/>
      <c r="AA131" s="3"/>
      <c r="AE131" s="3"/>
      <c r="AF131" s="3"/>
      <c r="AG131" s="3"/>
      <c r="AH131" s="3"/>
      <c r="AI131" s="16"/>
      <c r="AM131" s="12"/>
      <c r="AN131" s="3"/>
      <c r="AR131" s="8"/>
      <c r="AS131" s="8"/>
      <c r="AT131" s="8"/>
      <c r="AU131" s="8"/>
      <c r="AV131" s="8"/>
      <c r="AW131" s="8"/>
      <c r="AY131" s="8"/>
      <c r="AZ131" s="8"/>
      <c r="BA131" s="8"/>
      <c r="BB131" s="8"/>
      <c r="BC131" s="8"/>
      <c r="BD131" s="8"/>
      <c r="BG131" s="47"/>
      <c r="BH131" s="47"/>
    </row>
    <row r="132" spans="1:69" hidden="1" x14ac:dyDescent="0.25">
      <c r="A132" s="7"/>
      <c r="B132" s="7"/>
      <c r="C132" s="20"/>
      <c r="D132" s="7"/>
      <c r="E132" s="7"/>
      <c r="F132" s="17"/>
      <c r="G132" s="8"/>
      <c r="H132" s="8"/>
      <c r="I132" s="8"/>
      <c r="J132" s="8"/>
      <c r="K132" s="8"/>
      <c r="L132" s="8"/>
      <c r="N132" s="8"/>
      <c r="O132" s="8"/>
      <c r="P132" s="8"/>
      <c r="Q132" s="8"/>
      <c r="R132" s="8"/>
      <c r="S132" s="8"/>
      <c r="U132" s="3"/>
      <c r="V132" s="3"/>
      <c r="W132" s="3"/>
      <c r="X132" s="3"/>
      <c r="Y132" s="16"/>
      <c r="Z132" s="12"/>
      <c r="AA132" s="3"/>
      <c r="AE132" s="3"/>
      <c r="AF132" s="3"/>
      <c r="AG132" s="3"/>
      <c r="AH132" s="3"/>
      <c r="AI132" s="16"/>
      <c r="AM132" s="12"/>
      <c r="AN132" s="3"/>
      <c r="AR132" s="8"/>
      <c r="AS132" s="8"/>
      <c r="AT132" s="8"/>
      <c r="AU132" s="8"/>
      <c r="AV132" s="8"/>
      <c r="AW132" s="8"/>
      <c r="AY132" s="8"/>
      <c r="AZ132" s="8"/>
      <c r="BA132" s="8"/>
      <c r="BB132" s="8"/>
      <c r="BC132" s="8"/>
      <c r="BD132" s="8"/>
      <c r="BG132" s="47"/>
      <c r="BH132" s="47"/>
    </row>
    <row r="133" spans="1:69" hidden="1" x14ac:dyDescent="0.25">
      <c r="A133" s="7"/>
      <c r="B133" s="7"/>
      <c r="C133" s="20"/>
      <c r="D133" s="7"/>
      <c r="E133" s="7"/>
      <c r="F133" s="17"/>
      <c r="G133" s="8"/>
      <c r="H133" s="8"/>
      <c r="I133" s="8"/>
      <c r="J133" s="8"/>
      <c r="K133" s="8"/>
      <c r="L133" s="8"/>
      <c r="N133" s="8"/>
      <c r="O133" s="8"/>
      <c r="P133" s="8"/>
      <c r="Q133" s="8"/>
      <c r="R133" s="8"/>
      <c r="S133" s="8"/>
      <c r="U133" s="3"/>
      <c r="V133" s="3"/>
      <c r="W133" s="3"/>
      <c r="X133" s="3"/>
      <c r="Y133" s="16"/>
      <c r="Z133" s="12"/>
      <c r="AA133" s="3"/>
      <c r="AE133" s="3"/>
      <c r="AF133" s="3"/>
      <c r="AG133" s="3"/>
      <c r="AH133" s="3"/>
      <c r="AI133" s="16"/>
      <c r="AM133" s="12"/>
      <c r="AN133" s="3"/>
      <c r="AR133" s="8"/>
      <c r="AS133" s="8"/>
      <c r="AT133" s="8"/>
      <c r="AU133" s="8"/>
      <c r="AV133" s="8"/>
      <c r="AW133" s="8"/>
      <c r="AY133" s="8"/>
      <c r="AZ133" s="8"/>
      <c r="BA133" s="8"/>
      <c r="BB133" s="8"/>
      <c r="BC133" s="8"/>
      <c r="BD133" s="8"/>
      <c r="BG133" s="47"/>
      <c r="BH133" s="47"/>
    </row>
    <row r="134" spans="1:69" hidden="1" x14ac:dyDescent="0.25"/>
    <row r="135" spans="1:69" hidden="1" x14ac:dyDescent="0.25"/>
    <row r="136" spans="1:69" hidden="1" x14ac:dyDescent="0.25"/>
    <row r="137" spans="1:69" hidden="1" x14ac:dyDescent="0.25"/>
    <row r="138" spans="1:69" hidden="1" x14ac:dyDescent="0.25"/>
    <row r="139" spans="1:69" s="80" customFormat="1" x14ac:dyDescent="0.25">
      <c r="BQ139" s="85"/>
    </row>
    <row r="140" spans="1:69" s="80" customFormat="1" x14ac:dyDescent="0.25">
      <c r="BQ140" s="85"/>
    </row>
    <row r="141" spans="1:69" s="80" customFormat="1" x14ac:dyDescent="0.25">
      <c r="BQ141" s="85"/>
    </row>
  </sheetData>
  <mergeCells count="31">
    <mergeCell ref="AQ38:AQ50"/>
    <mergeCell ref="AQ51:AQ60"/>
    <mergeCell ref="G26:L26"/>
    <mergeCell ref="M51:M60"/>
    <mergeCell ref="N26:S26"/>
    <mergeCell ref="T38:T50"/>
    <mergeCell ref="T51:T60"/>
    <mergeCell ref="C33:C60"/>
    <mergeCell ref="AI38:AI50"/>
    <mergeCell ref="AI51:AI60"/>
    <mergeCell ref="F51:F60"/>
    <mergeCell ref="F38:F50"/>
    <mergeCell ref="Y51:Y60"/>
    <mergeCell ref="AD38:AD50"/>
    <mergeCell ref="AD51:AD60"/>
    <mergeCell ref="BI38:BI50"/>
    <mergeCell ref="AK38:AK50"/>
    <mergeCell ref="AK51:AK60"/>
    <mergeCell ref="D26:E26"/>
    <mergeCell ref="AG26:AH26"/>
    <mergeCell ref="W26:X26"/>
    <mergeCell ref="AB26:AC26"/>
    <mergeCell ref="AO26:AP26"/>
    <mergeCell ref="AY26:BD26"/>
    <mergeCell ref="AX38:AX50"/>
    <mergeCell ref="BE38:BE50"/>
    <mergeCell ref="AX51:AX60"/>
    <mergeCell ref="BE51:BE60"/>
    <mergeCell ref="M38:M50"/>
    <mergeCell ref="Y38:Y50"/>
    <mergeCell ref="AR26:AW26"/>
  </mergeCells>
  <conditionalFormatting sqref="N27:S94 S30">
    <cfRule type="expression" dxfId="23" priority="131">
      <formula>$S$30="off"</formula>
    </cfRule>
  </conditionalFormatting>
  <conditionalFormatting sqref="AE32:AH94 AE27:AG31">
    <cfRule type="expression" dxfId="22" priority="99">
      <formula>$AH$30="off"</formula>
    </cfRule>
  </conditionalFormatting>
  <conditionalFormatting sqref="U32:X94 U27:W31">
    <cfRule type="expression" dxfId="21" priority="98">
      <formula>$X$30="off"</formula>
    </cfRule>
  </conditionalFormatting>
  <conditionalFormatting sqref="Z32:AC94 Z27:AB31">
    <cfRule type="expression" dxfId="20" priority="97">
      <formula>$AC$30="off"</formula>
    </cfRule>
  </conditionalFormatting>
  <conditionalFormatting sqref="G27:L94 L30">
    <cfRule type="expression" dxfId="19" priority="93">
      <formula>$L$30="off"</formula>
    </cfRule>
  </conditionalFormatting>
  <conditionalFormatting sqref="G28:K28">
    <cfRule type="expression" dxfId="18" priority="92">
      <formula>$L$30="off"</formula>
    </cfRule>
  </conditionalFormatting>
  <conditionalFormatting sqref="H33:H94">
    <cfRule type="expression" dxfId="17" priority="88">
      <formula>$L$30="off"</formula>
    </cfRule>
  </conditionalFormatting>
  <conditionalFormatting sqref="H33:H94">
    <cfRule type="expression" dxfId="16" priority="87">
      <formula>$L$30="off"</formula>
    </cfRule>
  </conditionalFormatting>
  <conditionalFormatting sqref="L33:L94">
    <cfRule type="expression" dxfId="15" priority="71">
      <formula>$L$30="off"</formula>
    </cfRule>
  </conditionalFormatting>
  <conditionalFormatting sqref="L33:L94">
    <cfRule type="expression" dxfId="14" priority="70">
      <formula>$L$30="off"</formula>
    </cfRule>
  </conditionalFormatting>
  <conditionalFormatting sqref="AM32:AP94 AM27:AO31">
    <cfRule type="expression" dxfId="13" priority="68">
      <formula>$AP$30="off"</formula>
    </cfRule>
  </conditionalFormatting>
  <conditionalFormatting sqref="K33:K94">
    <cfRule type="expression" dxfId="12" priority="55">
      <formula>$L$30="off"</formula>
    </cfRule>
  </conditionalFormatting>
  <conditionalFormatting sqref="K33:K94">
    <cfRule type="expression" dxfId="11" priority="54">
      <formula>$L$30="off"</formula>
    </cfRule>
  </conditionalFormatting>
  <conditionalFormatting sqref="G33:G94">
    <cfRule type="expression" dxfId="10" priority="53">
      <formula>$L$30="off"</formula>
    </cfRule>
  </conditionalFormatting>
  <conditionalFormatting sqref="G33:G94">
    <cfRule type="expression" dxfId="9" priority="52">
      <formula>$L$30="off"</formula>
    </cfRule>
  </conditionalFormatting>
  <conditionalFormatting sqref="G31:H31">
    <cfRule type="expression" dxfId="8" priority="132">
      <formula>#REF!="off"</formula>
    </cfRule>
  </conditionalFormatting>
  <conditionalFormatting sqref="J33:J94">
    <cfRule type="expression" dxfId="7" priority="45">
      <formula>$L$30="off"</formula>
    </cfRule>
  </conditionalFormatting>
  <conditionalFormatting sqref="J33:J94">
    <cfRule type="expression" dxfId="6" priority="44">
      <formula>$L$30="off"</formula>
    </cfRule>
  </conditionalFormatting>
  <conditionalFormatting sqref="I33:I94">
    <cfRule type="expression" dxfId="5" priority="31">
      <formula>$L$30="off"</formula>
    </cfRule>
  </conditionalFormatting>
  <conditionalFormatting sqref="I33:I94">
    <cfRule type="expression" dxfId="4" priority="30">
      <formula>$L$30="off"</formula>
    </cfRule>
  </conditionalFormatting>
  <conditionalFormatting sqref="AY32:BD94 AY27:BC31">
    <cfRule type="expression" dxfId="3" priority="20">
      <formula>$BD$30="off"</formula>
    </cfRule>
  </conditionalFormatting>
  <conditionalFormatting sqref="AR32:AW94 AR27:AV31">
    <cfRule type="expression" dxfId="2" priority="19">
      <formula>$AW$30="off"</formula>
    </cfRule>
  </conditionalFormatting>
  <conditionalFormatting sqref="AH28">
    <cfRule type="expression" dxfId="1" priority="2">
      <formula>$AH$30="off"</formula>
    </cfRule>
  </conditionalFormatting>
  <conditionalFormatting sqref="AH27">
    <cfRule type="expression" dxfId="0" priority="1">
      <formula>$AH$30="off"</formula>
    </cfRule>
  </conditionalFormatting>
  <dataValidations count="14">
    <dataValidation type="list" allowBlank="1" showInputMessage="1" showErrorMessage="1" sqref="L30 X30 AH30 AC30 BD30 AP30 AW30 S30">
      <formula1>"On, Off"</formula1>
    </dataValidation>
    <dataValidation type="list" allowBlank="1" showInputMessage="1" showErrorMessage="1" sqref="C30">
      <formula1>"2000,4000,8000,16000,32000"</formula1>
    </dataValidation>
    <dataValidation type="custom" allowBlank="1" showInputMessage="1" showErrorMessage="1" errorTitle="Notch Center Validation" error="The Notch center frequency must be between 125hz and 666hz (hard coded constrains in BF)." sqref="AG28">
      <formula1>AND(AG28&gt;AG30, AG28&gt;125,AG28&lt;600)</formula1>
    </dataValidation>
    <dataValidation type="custom" allowBlank="1" showInputMessage="1" showErrorMessage="1" errorTitle="Notch Center Validation" error="The Notch center frequency must be greater than the cut-off frequency." promptTitle="Betaflight Default:" prompt="400hz" sqref="W28">
      <formula1>W28&gt;W30</formula1>
    </dataValidation>
    <dataValidation allowBlank="1" showInputMessage="1" showErrorMessage="1" promptTitle="Betaflight Default:" prompt="300hz" sqref="W30"/>
    <dataValidation type="custom" allowBlank="1" showInputMessage="1" showErrorMessage="1" errorTitle="Notch Center Validation" error="The Notch center frequency must be greater than the cut-off frequency." promptTitle="Betaflight Default:" prompt="200hz" sqref="AB28 AO28">
      <formula1>AB28&gt;AB30</formula1>
    </dataValidation>
    <dataValidation allowBlank="1" showInputMessage="1" showErrorMessage="1" promptTitle="Betaflight Default:" prompt="100hz" sqref="AB30 AO30"/>
    <dataValidation type="list" allowBlank="1" showInputMessage="1" showErrorMessage="1" promptTitle="Guide" prompt="MPU6000 is on most F3 boards (8k is max)_x000a_MPU6500 is on some F3 and F4 boards (32k mode option)_x000a_IMC20xx is on most F4 boards (32k mode option)" sqref="D28">
      <formula1>"MPU6000,MPU6500,IMC20XX"</formula1>
    </dataValidation>
    <dataValidation type="list" allowBlank="1" showInputMessage="1" showErrorMessage="1" sqref="AY28">
      <formula1>"PT1, BiQUAD"</formula1>
    </dataValidation>
    <dataValidation allowBlank="1" showInputMessage="1" showErrorMessage="1" promptTitle="BF Default:" prompt="90hz" sqref="G30 N30"/>
    <dataValidation type="list" allowBlank="1" showInputMessage="1" showErrorMessage="1" promptTitle="32k Mode" prompt="&quot;32k-Normal&quot; is when you are in 32k-Mode and your Gyro LPF is set to &quot;off&quot;._x000a__x000a_&quot;32k-Low&quot; is when in 32k-Mode and your Gyro LPF is set to anything other than &quot;off&quot;" sqref="D30">
      <formula1>$BJ$2:$BJ$5</formula1>
    </dataValidation>
    <dataValidation type="list" allowBlank="1" showInputMessage="1" showErrorMessage="1" sqref="AL30 B30">
      <formula1>"32000,16000,8000,4000,2000"</formula1>
    </dataValidation>
    <dataValidation type="list" allowBlank="1" showInputMessage="1" showErrorMessage="1" sqref="E28">
      <formula1>"F1,F3,F4,F7"</formula1>
    </dataValidation>
    <dataValidation type="list" allowBlank="1" showInputMessage="1" showErrorMessage="1" sqref="G28 N28 AR28">
      <formula1>"PT1, BiQUAD"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019"/>
  <sheetViews>
    <sheetView zoomScale="80" zoomScaleNormal="80" workbookViewId="0">
      <selection activeCell="I5" sqref="I5"/>
    </sheetView>
  </sheetViews>
  <sheetFormatPr defaultColWidth="12.85546875" defaultRowHeight="15" customHeight="1" x14ac:dyDescent="0.25"/>
  <cols>
    <col min="1" max="4" width="9.5703125" style="94" customWidth="1"/>
    <col min="5" max="5" width="9.5703125" style="95" customWidth="1"/>
    <col min="6" max="29" width="9.5703125" style="94" customWidth="1"/>
    <col min="30" max="16384" width="12.85546875" style="94"/>
  </cols>
  <sheetData>
    <row r="1" spans="1:8" ht="30" customHeight="1" x14ac:dyDescent="0.25">
      <c r="A1" s="147" t="s">
        <v>61</v>
      </c>
      <c r="B1" s="148"/>
      <c r="C1" s="148"/>
      <c r="D1" s="148"/>
      <c r="E1" s="148"/>
      <c r="F1" s="148"/>
      <c r="G1" s="148"/>
      <c r="H1" s="148"/>
    </row>
    <row r="2" spans="1:8" ht="15" customHeight="1" x14ac:dyDescent="0.25">
      <c r="A2" s="113" t="s">
        <v>59</v>
      </c>
      <c r="B2" s="113" t="s">
        <v>58</v>
      </c>
      <c r="C2" s="112" t="s">
        <v>57</v>
      </c>
      <c r="D2" s="111" t="s">
        <v>56</v>
      </c>
      <c r="E2" s="110" t="s">
        <v>55</v>
      </c>
      <c r="F2" s="109" t="s">
        <v>54</v>
      </c>
      <c r="G2" s="109" t="s">
        <v>53</v>
      </c>
      <c r="H2" s="109" t="s">
        <v>52</v>
      </c>
    </row>
    <row r="3" spans="1:8" ht="15" customHeight="1" x14ac:dyDescent="0.25">
      <c r="A3" s="104">
        <v>1080</v>
      </c>
      <c r="B3" s="104">
        <v>88</v>
      </c>
      <c r="C3" s="103">
        <f>A3/B3</f>
        <v>12.272727272727273</v>
      </c>
      <c r="D3" s="102">
        <f>-C3/1000/2+SQRT(C3/1000*C3/1000/4+C3/1000)</f>
        <v>0.10481579826868875</v>
      </c>
      <c r="E3" s="101">
        <f>-LN(1-2*D3)*4000/2/PI()</f>
        <v>149.7686903837982</v>
      </c>
      <c r="F3" s="101">
        <f>-LN(1-2*D3)*8000/2/PI()</f>
        <v>299.5373807675964</v>
      </c>
      <c r="G3" s="101">
        <f>-LN(1-2*D3)*16000/2/PI()</f>
        <v>599.07476153519281</v>
      </c>
      <c r="H3" s="101">
        <f>-LN(1-2*D3)*32000/2/PI()</f>
        <v>1198.1495230703856</v>
      </c>
    </row>
    <row r="6" spans="1:8" ht="30" customHeight="1" x14ac:dyDescent="0.25">
      <c r="A6" s="147" t="s">
        <v>60</v>
      </c>
      <c r="B6" s="148"/>
      <c r="C6" s="148"/>
      <c r="D6" s="148"/>
      <c r="E6" s="148"/>
      <c r="F6" s="148"/>
      <c r="G6" s="148"/>
      <c r="H6" s="148"/>
    </row>
    <row r="7" spans="1:8" ht="15.75" customHeight="1" x14ac:dyDescent="0.25">
      <c r="A7" s="114" t="s">
        <v>59</v>
      </c>
      <c r="B7" s="114" t="s">
        <v>58</v>
      </c>
      <c r="C7" s="112" t="s">
        <v>57</v>
      </c>
      <c r="D7" s="111" t="s">
        <v>56</v>
      </c>
      <c r="E7" s="110" t="s">
        <v>55</v>
      </c>
      <c r="F7" s="109" t="s">
        <v>54</v>
      </c>
      <c r="G7" s="109" t="s">
        <v>53</v>
      </c>
      <c r="H7" s="109" t="s">
        <v>52</v>
      </c>
    </row>
    <row r="8" spans="1:8" ht="15.75" customHeight="1" x14ac:dyDescent="0.25">
      <c r="A8" s="104">
        <v>1</v>
      </c>
      <c r="B8" s="104">
        <v>88</v>
      </c>
      <c r="C8" s="103">
        <f t="shared" ref="C8:C39" si="0">A8/B8</f>
        <v>1.1363636363636364E-2</v>
      </c>
      <c r="D8" s="102">
        <f t="shared" ref="D8:D39" si="1">-C8/1000/2+SQRT(C8/1000*C8/1000/4+C8/1000)</f>
        <v>3.3653222824822871E-3</v>
      </c>
      <c r="E8" s="101">
        <f t="shared" ref="E8:E39" si="2">-LN(1-2*D8)*4000/2/PI()</f>
        <v>4.2993463824683271</v>
      </c>
      <c r="F8" s="101">
        <f t="shared" ref="F8:F39" si="3">-LN(1-2*D8)*8000/2/PI()</f>
        <v>8.5986927649366542</v>
      </c>
      <c r="G8" s="101">
        <f t="shared" ref="G8:G39" si="4">-LN(1-2*D8)*16000/2/PI()</f>
        <v>17.197385529873308</v>
      </c>
      <c r="H8" s="101">
        <f t="shared" ref="H8:H39" si="5">-LN(1-2*D8)*32000/2/PI()</f>
        <v>34.394771059746617</v>
      </c>
    </row>
    <row r="9" spans="1:8" ht="15.75" customHeight="1" x14ac:dyDescent="0.25">
      <c r="A9" s="104">
        <v>2</v>
      </c>
      <c r="B9" s="104">
        <f t="shared" ref="B9:B39" si="6">B8</f>
        <v>88</v>
      </c>
      <c r="C9" s="103">
        <f t="shared" si="0"/>
        <v>2.2727272727272728E-2</v>
      </c>
      <c r="D9" s="102">
        <f t="shared" si="1"/>
        <v>4.7559628533477751E-3</v>
      </c>
      <c r="E9" s="101">
        <f t="shared" si="2"/>
        <v>6.0844635555280915</v>
      </c>
      <c r="F9" s="101">
        <f t="shared" si="3"/>
        <v>12.168927111056183</v>
      </c>
      <c r="G9" s="101">
        <f t="shared" si="4"/>
        <v>24.337854222112366</v>
      </c>
      <c r="H9" s="101">
        <f t="shared" si="5"/>
        <v>48.675708444224732</v>
      </c>
    </row>
    <row r="10" spans="1:8" ht="15.75" customHeight="1" x14ac:dyDescent="0.25">
      <c r="A10" s="104">
        <v>3</v>
      </c>
      <c r="B10" s="104">
        <f t="shared" si="6"/>
        <v>88</v>
      </c>
      <c r="C10" s="103">
        <f t="shared" si="0"/>
        <v>3.4090909090909088E-2</v>
      </c>
      <c r="D10" s="102">
        <f t="shared" si="1"/>
        <v>5.8217215076161411E-3</v>
      </c>
      <c r="E10" s="101">
        <f t="shared" si="2"/>
        <v>7.4559371589833283</v>
      </c>
      <c r="F10" s="101">
        <f t="shared" si="3"/>
        <v>14.911874317966657</v>
      </c>
      <c r="G10" s="101">
        <f t="shared" si="4"/>
        <v>29.823748635933313</v>
      </c>
      <c r="H10" s="101">
        <f t="shared" si="5"/>
        <v>59.647497271866627</v>
      </c>
    </row>
    <row r="11" spans="1:8" ht="15.75" customHeight="1" x14ac:dyDescent="0.25">
      <c r="A11" s="104">
        <v>4</v>
      </c>
      <c r="B11" s="104">
        <f t="shared" si="6"/>
        <v>88</v>
      </c>
      <c r="C11" s="103">
        <f t="shared" si="0"/>
        <v>4.5454545454545456E-2</v>
      </c>
      <c r="D11" s="102">
        <f t="shared" si="1"/>
        <v>6.7193096586066906E-3</v>
      </c>
      <c r="E11" s="101">
        <f t="shared" si="2"/>
        <v>8.6132966843503755</v>
      </c>
      <c r="F11" s="101">
        <f t="shared" si="3"/>
        <v>17.226593368700751</v>
      </c>
      <c r="G11" s="101">
        <f t="shared" si="4"/>
        <v>34.453186737401502</v>
      </c>
      <c r="H11" s="101">
        <f t="shared" si="5"/>
        <v>68.906373474803004</v>
      </c>
    </row>
    <row r="12" spans="1:8" ht="15.75" customHeight="1" x14ac:dyDescent="0.25">
      <c r="A12" s="104">
        <v>6</v>
      </c>
      <c r="B12" s="104">
        <f t="shared" si="6"/>
        <v>88</v>
      </c>
      <c r="C12" s="103">
        <f t="shared" si="0"/>
        <v>6.8181818181818177E-2</v>
      </c>
      <c r="D12" s="102">
        <f t="shared" si="1"/>
        <v>8.223207703161213E-3</v>
      </c>
      <c r="E12" s="101">
        <f t="shared" si="2"/>
        <v>10.557166948824053</v>
      </c>
      <c r="F12" s="101">
        <f t="shared" si="3"/>
        <v>21.114333897648105</v>
      </c>
      <c r="G12" s="101">
        <f t="shared" si="4"/>
        <v>42.228667795296211</v>
      </c>
      <c r="H12" s="101">
        <f t="shared" si="5"/>
        <v>84.457335590592422</v>
      </c>
    </row>
    <row r="13" spans="1:8" ht="15.75" customHeight="1" x14ac:dyDescent="0.25">
      <c r="A13" s="104">
        <v>8</v>
      </c>
      <c r="B13" s="104">
        <f t="shared" si="6"/>
        <v>88</v>
      </c>
      <c r="C13" s="103">
        <f t="shared" si="0"/>
        <v>9.0909090909090912E-2</v>
      </c>
      <c r="D13" s="102">
        <f t="shared" si="1"/>
        <v>9.489279694407278E-3</v>
      </c>
      <c r="E13" s="101">
        <f t="shared" si="2"/>
        <v>12.198248401776363</v>
      </c>
      <c r="F13" s="101">
        <f t="shared" si="3"/>
        <v>24.396496803552726</v>
      </c>
      <c r="G13" s="101">
        <f t="shared" si="4"/>
        <v>48.792993607105451</v>
      </c>
      <c r="H13" s="101">
        <f t="shared" si="5"/>
        <v>97.585987214210903</v>
      </c>
    </row>
    <row r="14" spans="1:8" ht="15.75" customHeight="1" x14ac:dyDescent="0.25">
      <c r="A14" s="104">
        <v>10</v>
      </c>
      <c r="B14" s="104">
        <f t="shared" si="6"/>
        <v>88</v>
      </c>
      <c r="C14" s="103">
        <f t="shared" si="0"/>
        <v>0.11363636363636363</v>
      </c>
      <c r="D14" s="102">
        <f t="shared" si="1"/>
        <v>1.0603369055850242E-2</v>
      </c>
      <c r="E14" s="101">
        <f t="shared" si="2"/>
        <v>13.645837544508129</v>
      </c>
      <c r="F14" s="101">
        <f t="shared" si="3"/>
        <v>27.291675089016259</v>
      </c>
      <c r="G14" s="101">
        <f t="shared" si="4"/>
        <v>54.583350178032518</v>
      </c>
      <c r="H14" s="101">
        <f t="shared" si="5"/>
        <v>109.16670035606504</v>
      </c>
    </row>
    <row r="15" spans="1:8" ht="15.75" customHeight="1" x14ac:dyDescent="0.25">
      <c r="A15" s="104">
        <v>12</v>
      </c>
      <c r="B15" s="104">
        <f t="shared" si="6"/>
        <v>88</v>
      </c>
      <c r="C15" s="103">
        <f t="shared" si="0"/>
        <v>0.13636363636363635</v>
      </c>
      <c r="D15" s="102">
        <f t="shared" si="1"/>
        <v>1.1609501390570117E-2</v>
      </c>
      <c r="E15" s="101">
        <f t="shared" si="2"/>
        <v>14.955987667387655</v>
      </c>
      <c r="F15" s="101">
        <f t="shared" si="3"/>
        <v>29.91197533477531</v>
      </c>
      <c r="G15" s="101">
        <f t="shared" si="4"/>
        <v>59.823950669550619</v>
      </c>
      <c r="H15" s="101">
        <f t="shared" si="5"/>
        <v>119.64790133910124</v>
      </c>
    </row>
    <row r="16" spans="1:8" ht="15.75" customHeight="1" x14ac:dyDescent="0.25">
      <c r="A16" s="104">
        <v>14</v>
      </c>
      <c r="B16" s="104">
        <f t="shared" si="6"/>
        <v>88</v>
      </c>
      <c r="C16" s="103">
        <f t="shared" si="0"/>
        <v>0.15909090909090909</v>
      </c>
      <c r="D16" s="102">
        <f t="shared" si="1"/>
        <v>1.2533829849878336E-2</v>
      </c>
      <c r="E16" s="101">
        <f t="shared" si="2"/>
        <v>16.161996640174145</v>
      </c>
      <c r="F16" s="101">
        <f t="shared" si="3"/>
        <v>32.32399328034829</v>
      </c>
      <c r="G16" s="101">
        <f t="shared" si="4"/>
        <v>64.64798656069658</v>
      </c>
      <c r="H16" s="101">
        <f t="shared" si="5"/>
        <v>129.29597312139316</v>
      </c>
    </row>
    <row r="17" spans="1:8" ht="15.75" customHeight="1" x14ac:dyDescent="0.25">
      <c r="A17" s="104">
        <v>16</v>
      </c>
      <c r="B17" s="104">
        <f t="shared" si="6"/>
        <v>88</v>
      </c>
      <c r="C17" s="103">
        <f t="shared" si="0"/>
        <v>0.18181818181818182</v>
      </c>
      <c r="D17" s="102">
        <f t="shared" si="1"/>
        <v>1.339339460935633E-2</v>
      </c>
      <c r="E17" s="101">
        <f t="shared" si="2"/>
        <v>17.285559637303912</v>
      </c>
      <c r="F17" s="101">
        <f t="shared" si="3"/>
        <v>34.571119274607824</v>
      </c>
      <c r="G17" s="101">
        <f t="shared" si="4"/>
        <v>69.142238549215648</v>
      </c>
      <c r="H17" s="101">
        <f t="shared" si="5"/>
        <v>138.2844770984313</v>
      </c>
    </row>
    <row r="18" spans="1:8" ht="15.75" customHeight="1" x14ac:dyDescent="0.25">
      <c r="A18" s="104">
        <v>20</v>
      </c>
      <c r="B18" s="104">
        <f t="shared" si="6"/>
        <v>88</v>
      </c>
      <c r="C18" s="103">
        <f t="shared" si="0"/>
        <v>0.22727272727272727</v>
      </c>
      <c r="D18" s="102">
        <f t="shared" si="1"/>
        <v>1.4962359142328333E-2</v>
      </c>
      <c r="E18" s="101">
        <f t="shared" si="2"/>
        <v>19.341527581990071</v>
      </c>
      <c r="F18" s="101">
        <f t="shared" si="3"/>
        <v>38.683055163980143</v>
      </c>
      <c r="G18" s="101">
        <f t="shared" si="4"/>
        <v>77.366110327960286</v>
      </c>
      <c r="H18" s="101">
        <f t="shared" si="5"/>
        <v>154.73222065592057</v>
      </c>
    </row>
    <row r="19" spans="1:8" ht="15.75" customHeight="1" x14ac:dyDescent="0.25">
      <c r="A19" s="104">
        <v>24</v>
      </c>
      <c r="B19" s="104">
        <f t="shared" si="6"/>
        <v>88</v>
      </c>
      <c r="C19" s="103">
        <f t="shared" si="0"/>
        <v>0.27272727272727271</v>
      </c>
      <c r="D19" s="102">
        <f t="shared" si="1"/>
        <v>1.6378655823770072E-2</v>
      </c>
      <c r="E19" s="101">
        <f t="shared" si="2"/>
        <v>21.203159234378983</v>
      </c>
      <c r="F19" s="101">
        <f t="shared" si="3"/>
        <v>42.406318468757966</v>
      </c>
      <c r="G19" s="101">
        <f t="shared" si="4"/>
        <v>84.812636937515933</v>
      </c>
      <c r="H19" s="101">
        <f t="shared" si="5"/>
        <v>169.62527387503187</v>
      </c>
    </row>
    <row r="20" spans="1:8" ht="15.75" customHeight="1" x14ac:dyDescent="0.25">
      <c r="A20" s="104">
        <v>28</v>
      </c>
      <c r="B20" s="104">
        <f t="shared" si="6"/>
        <v>88</v>
      </c>
      <c r="C20" s="103">
        <f t="shared" si="0"/>
        <v>0.31818181818181818</v>
      </c>
      <c r="D20" s="102">
        <f t="shared" si="1"/>
        <v>1.7679270229174385E-2</v>
      </c>
      <c r="E20" s="101">
        <f t="shared" si="2"/>
        <v>22.917542258831897</v>
      </c>
      <c r="F20" s="101">
        <f t="shared" si="3"/>
        <v>45.835084517663795</v>
      </c>
      <c r="G20" s="101">
        <f t="shared" si="4"/>
        <v>91.670169035327589</v>
      </c>
      <c r="H20" s="101">
        <f t="shared" si="5"/>
        <v>183.34033807065518</v>
      </c>
    </row>
    <row r="21" spans="1:8" ht="15.75" customHeight="1" x14ac:dyDescent="0.25">
      <c r="A21" s="104">
        <v>32</v>
      </c>
      <c r="B21" s="104">
        <f t="shared" si="6"/>
        <v>88</v>
      </c>
      <c r="C21" s="103">
        <f t="shared" si="0"/>
        <v>0.36363636363636365</v>
      </c>
      <c r="D21" s="102">
        <f t="shared" si="1"/>
        <v>1.8888300367566963E-2</v>
      </c>
      <c r="E21" s="101">
        <f t="shared" si="2"/>
        <v>24.515356224901691</v>
      </c>
      <c r="F21" s="101">
        <f t="shared" si="3"/>
        <v>49.030712449803382</v>
      </c>
      <c r="G21" s="101">
        <f t="shared" si="4"/>
        <v>98.061424899606763</v>
      </c>
      <c r="H21" s="101">
        <f t="shared" si="5"/>
        <v>196.12284979921353</v>
      </c>
    </row>
    <row r="22" spans="1:8" ht="15.75" customHeight="1" x14ac:dyDescent="0.25">
      <c r="A22" s="104">
        <v>40</v>
      </c>
      <c r="B22" s="104">
        <f t="shared" si="6"/>
        <v>88</v>
      </c>
      <c r="C22" s="103">
        <f t="shared" si="0"/>
        <v>0.45454545454545453</v>
      </c>
      <c r="D22" s="102">
        <f t="shared" si="1"/>
        <v>2.1094010241582983E-2</v>
      </c>
      <c r="E22" s="101">
        <f t="shared" si="2"/>
        <v>27.440721047396064</v>
      </c>
      <c r="F22" s="101">
        <f t="shared" si="3"/>
        <v>54.881442094792128</v>
      </c>
      <c r="G22" s="101">
        <f t="shared" si="4"/>
        <v>109.76288418958426</v>
      </c>
      <c r="H22" s="101">
        <f t="shared" si="5"/>
        <v>219.52576837916851</v>
      </c>
    </row>
    <row r="23" spans="1:8" ht="15.75" customHeight="1" x14ac:dyDescent="0.25">
      <c r="A23" s="104">
        <v>48</v>
      </c>
      <c r="B23" s="104">
        <f t="shared" si="6"/>
        <v>88</v>
      </c>
      <c r="C23" s="103">
        <f t="shared" si="0"/>
        <v>0.54545454545454541</v>
      </c>
      <c r="D23" s="102">
        <f t="shared" si="1"/>
        <v>2.3083833382040259E-2</v>
      </c>
      <c r="E23" s="101">
        <f t="shared" si="2"/>
        <v>30.091345070434599</v>
      </c>
      <c r="F23" s="101">
        <f t="shared" si="3"/>
        <v>60.182690140869198</v>
      </c>
      <c r="G23" s="101">
        <f t="shared" si="4"/>
        <v>120.3653802817384</v>
      </c>
      <c r="H23" s="101">
        <f t="shared" si="5"/>
        <v>240.73076056347679</v>
      </c>
    </row>
    <row r="24" spans="1:8" ht="15.75" customHeight="1" x14ac:dyDescent="0.25">
      <c r="A24" s="104">
        <v>55</v>
      </c>
      <c r="B24" s="104">
        <f t="shared" si="6"/>
        <v>88</v>
      </c>
      <c r="C24" s="103">
        <f t="shared" si="0"/>
        <v>0.625</v>
      </c>
      <c r="D24" s="102">
        <f t="shared" si="1"/>
        <v>2.4689453048712014E-2</v>
      </c>
      <c r="E24" s="101">
        <f t="shared" si="2"/>
        <v>32.23825017376528</v>
      </c>
      <c r="F24" s="101">
        <f t="shared" si="3"/>
        <v>64.47650034753056</v>
      </c>
      <c r="G24" s="101">
        <f t="shared" si="4"/>
        <v>128.95300069506112</v>
      </c>
      <c r="H24" s="101">
        <f t="shared" si="5"/>
        <v>257.90600139012224</v>
      </c>
    </row>
    <row r="25" spans="1:8" ht="15.75" customHeight="1" x14ac:dyDescent="0.25">
      <c r="A25" s="104">
        <v>64</v>
      </c>
      <c r="B25" s="104">
        <f t="shared" si="6"/>
        <v>88</v>
      </c>
      <c r="C25" s="103">
        <f t="shared" si="0"/>
        <v>0.72727272727272729</v>
      </c>
      <c r="D25" s="102">
        <f t="shared" si="1"/>
        <v>2.6606809659328958E-2</v>
      </c>
      <c r="E25" s="101">
        <f t="shared" si="2"/>
        <v>34.811506171242975</v>
      </c>
      <c r="F25" s="101">
        <f t="shared" si="3"/>
        <v>69.62301234248595</v>
      </c>
      <c r="G25" s="101">
        <f t="shared" si="4"/>
        <v>139.2460246849719</v>
      </c>
      <c r="H25" s="101">
        <f t="shared" si="5"/>
        <v>278.4920493699438</v>
      </c>
    </row>
    <row r="26" spans="1:8" ht="15.75" customHeight="1" x14ac:dyDescent="0.25">
      <c r="A26" s="104">
        <v>80</v>
      </c>
      <c r="B26" s="104">
        <f t="shared" si="6"/>
        <v>88</v>
      </c>
      <c r="C26" s="103">
        <f t="shared" si="0"/>
        <v>0.90909090909090906</v>
      </c>
      <c r="D26" s="102">
        <f t="shared" si="1"/>
        <v>2.9700015073858155E-2</v>
      </c>
      <c r="E26" s="101">
        <f t="shared" si="2"/>
        <v>38.984902420621772</v>
      </c>
      <c r="F26" s="101">
        <f t="shared" si="3"/>
        <v>77.969804841243544</v>
      </c>
      <c r="G26" s="101">
        <f t="shared" si="4"/>
        <v>155.93960968248709</v>
      </c>
      <c r="H26" s="101">
        <f t="shared" si="5"/>
        <v>311.87921936497418</v>
      </c>
    </row>
    <row r="27" spans="1:8" ht="15.75" customHeight="1" x14ac:dyDescent="0.25">
      <c r="A27" s="104">
        <v>100</v>
      </c>
      <c r="B27" s="104">
        <f t="shared" si="6"/>
        <v>88</v>
      </c>
      <c r="C27" s="103">
        <f t="shared" si="0"/>
        <v>1.1363636363636365</v>
      </c>
      <c r="D27" s="102">
        <f t="shared" si="1"/>
        <v>3.3146599316242725E-2</v>
      </c>
      <c r="E27" s="101">
        <f t="shared" si="2"/>
        <v>43.667537306356451</v>
      </c>
      <c r="F27" s="101">
        <f t="shared" si="3"/>
        <v>87.335074612712901</v>
      </c>
      <c r="G27" s="101">
        <f t="shared" si="4"/>
        <v>174.6701492254258</v>
      </c>
      <c r="H27" s="101">
        <f t="shared" si="5"/>
        <v>349.34029845085161</v>
      </c>
    </row>
    <row r="28" spans="1:8" ht="15.75" customHeight="1" x14ac:dyDescent="0.25">
      <c r="A28" s="104">
        <v>128</v>
      </c>
      <c r="B28" s="104">
        <f t="shared" si="6"/>
        <v>88</v>
      </c>
      <c r="C28" s="103">
        <f t="shared" si="0"/>
        <v>1.4545454545454546</v>
      </c>
      <c r="D28" s="102">
        <f t="shared" si="1"/>
        <v>3.7418164485653396E-2</v>
      </c>
      <c r="E28" s="101">
        <f t="shared" si="2"/>
        <v>49.519224193828258</v>
      </c>
      <c r="F28" s="101">
        <f t="shared" si="3"/>
        <v>99.038448387656516</v>
      </c>
      <c r="G28" s="101">
        <f t="shared" si="4"/>
        <v>198.07689677531303</v>
      </c>
      <c r="H28" s="101">
        <f t="shared" si="5"/>
        <v>396.15379355062606</v>
      </c>
    </row>
    <row r="29" spans="1:8" ht="15.75" customHeight="1" x14ac:dyDescent="0.25">
      <c r="A29" s="104">
        <v>160</v>
      </c>
      <c r="B29" s="104">
        <f t="shared" si="6"/>
        <v>88</v>
      </c>
      <c r="C29" s="103">
        <f t="shared" si="0"/>
        <v>1.8181818181818181</v>
      </c>
      <c r="D29" s="102">
        <f t="shared" si="1"/>
        <v>4.1740742202690549E-2</v>
      </c>
      <c r="E29" s="101">
        <f t="shared" si="2"/>
        <v>55.496061402588019</v>
      </c>
      <c r="F29" s="101">
        <f t="shared" si="3"/>
        <v>110.99212280517604</v>
      </c>
      <c r="G29" s="101">
        <f t="shared" si="4"/>
        <v>221.98424561035208</v>
      </c>
      <c r="H29" s="101">
        <f t="shared" si="5"/>
        <v>443.96849122070415</v>
      </c>
    </row>
    <row r="30" spans="1:8" ht="15.75" customHeight="1" x14ac:dyDescent="0.25">
      <c r="A30" s="104">
        <v>200</v>
      </c>
      <c r="B30" s="104">
        <f t="shared" si="6"/>
        <v>88</v>
      </c>
      <c r="C30" s="103">
        <f t="shared" si="0"/>
        <v>2.2727272727272729</v>
      </c>
      <c r="D30" s="102">
        <f t="shared" si="1"/>
        <v>4.6550307405357476E-2</v>
      </c>
      <c r="E30" s="101">
        <f t="shared" si="2"/>
        <v>62.21288195512313</v>
      </c>
      <c r="F30" s="101">
        <f t="shared" si="3"/>
        <v>124.42576391024626</v>
      </c>
      <c r="G30" s="101">
        <f t="shared" si="4"/>
        <v>248.85152782049252</v>
      </c>
      <c r="H30" s="101">
        <f t="shared" si="5"/>
        <v>497.70305564098504</v>
      </c>
    </row>
    <row r="31" spans="1:8" ht="15.75" customHeight="1" x14ac:dyDescent="0.25">
      <c r="A31" s="104">
        <v>256</v>
      </c>
      <c r="B31" s="104">
        <f t="shared" si="6"/>
        <v>88</v>
      </c>
      <c r="C31" s="103">
        <f t="shared" si="0"/>
        <v>2.9090909090909092</v>
      </c>
      <c r="D31" s="102">
        <f t="shared" si="1"/>
        <v>5.2501053064702284E-2</v>
      </c>
      <c r="E31" s="101">
        <f t="shared" si="2"/>
        <v>70.622723032218573</v>
      </c>
      <c r="F31" s="101">
        <f t="shared" si="3"/>
        <v>141.24544606443715</v>
      </c>
      <c r="G31" s="101">
        <f t="shared" si="4"/>
        <v>282.49089212887429</v>
      </c>
      <c r="H31" s="101">
        <f t="shared" si="5"/>
        <v>564.98178425774859</v>
      </c>
    </row>
    <row r="32" spans="1:8" ht="15.75" customHeight="1" x14ac:dyDescent="0.25">
      <c r="A32" s="104">
        <v>300</v>
      </c>
      <c r="B32" s="104">
        <f t="shared" si="6"/>
        <v>88</v>
      </c>
      <c r="C32" s="103">
        <f t="shared" si="0"/>
        <v>3.4090909090909092</v>
      </c>
      <c r="D32" s="102">
        <f t="shared" si="1"/>
        <v>5.6707751061663536E-2</v>
      </c>
      <c r="E32" s="101">
        <f t="shared" si="2"/>
        <v>76.635550824124977</v>
      </c>
      <c r="F32" s="101">
        <f t="shared" si="3"/>
        <v>153.27110164824995</v>
      </c>
      <c r="G32" s="101">
        <f t="shared" si="4"/>
        <v>306.54220329649991</v>
      </c>
      <c r="H32" s="101">
        <f t="shared" si="5"/>
        <v>613.08440659299981</v>
      </c>
    </row>
    <row r="33" spans="1:8" ht="15.75" customHeight="1" x14ac:dyDescent="0.25">
      <c r="A33" s="104">
        <v>350</v>
      </c>
      <c r="B33" s="104">
        <f t="shared" si="6"/>
        <v>88</v>
      </c>
      <c r="C33" s="103">
        <f t="shared" si="0"/>
        <v>3.9772727272727271</v>
      </c>
      <c r="D33" s="102">
        <f t="shared" si="1"/>
        <v>6.1108331882544074E-2</v>
      </c>
      <c r="E33" s="101">
        <f t="shared" si="2"/>
        <v>82.986879482812967</v>
      </c>
      <c r="F33" s="101">
        <f t="shared" si="3"/>
        <v>165.97375896562593</v>
      </c>
      <c r="G33" s="101">
        <f t="shared" si="4"/>
        <v>331.94751793125187</v>
      </c>
      <c r="H33" s="101">
        <f t="shared" si="5"/>
        <v>663.89503586250373</v>
      </c>
    </row>
    <row r="34" spans="1:8" ht="15.75" customHeight="1" x14ac:dyDescent="0.25">
      <c r="A34" s="108">
        <v>400</v>
      </c>
      <c r="B34" s="108">
        <f t="shared" si="6"/>
        <v>88</v>
      </c>
      <c r="C34" s="107">
        <f t="shared" si="0"/>
        <v>4.5454545454545459</v>
      </c>
      <c r="D34" s="106">
        <f t="shared" si="1"/>
        <v>6.5185554907526505E-2</v>
      </c>
      <c r="E34" s="105">
        <f t="shared" si="2"/>
        <v>88.928601983823256</v>
      </c>
      <c r="F34" s="105">
        <f t="shared" si="3"/>
        <v>177.85720396764651</v>
      </c>
      <c r="G34" s="105">
        <f t="shared" si="4"/>
        <v>355.71440793529302</v>
      </c>
      <c r="H34" s="105">
        <f t="shared" si="5"/>
        <v>711.42881587058605</v>
      </c>
    </row>
    <row r="35" spans="1:8" ht="15.75" customHeight="1" x14ac:dyDescent="0.25">
      <c r="A35" s="104">
        <v>512</v>
      </c>
      <c r="B35" s="104">
        <f t="shared" si="6"/>
        <v>88</v>
      </c>
      <c r="C35" s="103">
        <f t="shared" si="0"/>
        <v>5.8181818181818183</v>
      </c>
      <c r="D35" s="102">
        <f t="shared" si="1"/>
        <v>7.3423370259793036E-2</v>
      </c>
      <c r="E35" s="101">
        <f t="shared" si="2"/>
        <v>101.10545446448107</v>
      </c>
      <c r="F35" s="101">
        <f t="shared" si="3"/>
        <v>202.21090892896214</v>
      </c>
      <c r="G35" s="101">
        <f t="shared" si="4"/>
        <v>404.42181785792428</v>
      </c>
      <c r="H35" s="101">
        <f t="shared" si="5"/>
        <v>808.84363571584856</v>
      </c>
    </row>
    <row r="36" spans="1:8" ht="15.75" customHeight="1" x14ac:dyDescent="0.25">
      <c r="A36" s="104">
        <v>600</v>
      </c>
      <c r="B36" s="104">
        <f t="shared" si="6"/>
        <v>88</v>
      </c>
      <c r="C36" s="103">
        <f t="shared" si="0"/>
        <v>6.8181818181818183</v>
      </c>
      <c r="D36" s="102">
        <f t="shared" si="1"/>
        <v>7.9233535616257775E-2</v>
      </c>
      <c r="E36" s="101">
        <f t="shared" si="2"/>
        <v>109.83609532121264</v>
      </c>
      <c r="F36" s="101">
        <f t="shared" si="3"/>
        <v>219.67219064242528</v>
      </c>
      <c r="G36" s="101">
        <f t="shared" si="4"/>
        <v>439.34438128485056</v>
      </c>
      <c r="H36" s="101">
        <f t="shared" si="5"/>
        <v>878.68876256970111</v>
      </c>
    </row>
    <row r="37" spans="1:8" ht="15.75" customHeight="1" x14ac:dyDescent="0.25">
      <c r="A37" s="104">
        <v>700</v>
      </c>
      <c r="B37" s="104">
        <f t="shared" si="6"/>
        <v>88</v>
      </c>
      <c r="C37" s="103">
        <f t="shared" si="0"/>
        <v>7.9545454545454541</v>
      </c>
      <c r="D37" s="102">
        <f t="shared" si="1"/>
        <v>8.5299623236311045E-2</v>
      </c>
      <c r="E37" s="101">
        <f t="shared" si="2"/>
        <v>119.08088875587225</v>
      </c>
      <c r="F37" s="101">
        <f t="shared" si="3"/>
        <v>238.1617775117445</v>
      </c>
      <c r="G37" s="101">
        <f t="shared" si="4"/>
        <v>476.32355502348901</v>
      </c>
      <c r="H37" s="101">
        <f t="shared" si="5"/>
        <v>952.64711004697801</v>
      </c>
    </row>
    <row r="38" spans="1:8" ht="15.75" customHeight="1" x14ac:dyDescent="0.25">
      <c r="A38" s="104">
        <v>850</v>
      </c>
      <c r="B38" s="104">
        <f t="shared" si="6"/>
        <v>88</v>
      </c>
      <c r="C38" s="103">
        <f t="shared" si="0"/>
        <v>9.6590909090909083</v>
      </c>
      <c r="D38" s="102">
        <f t="shared" si="1"/>
        <v>9.3569719880051583E-2</v>
      </c>
      <c r="E38" s="101">
        <f t="shared" si="2"/>
        <v>131.90487730966353</v>
      </c>
      <c r="F38" s="101">
        <f t="shared" si="3"/>
        <v>263.80975461932707</v>
      </c>
      <c r="G38" s="101">
        <f t="shared" si="4"/>
        <v>527.61950923865413</v>
      </c>
      <c r="H38" s="101">
        <f t="shared" si="5"/>
        <v>1055.2390184773083</v>
      </c>
    </row>
    <row r="39" spans="1:8" ht="15.75" customHeight="1" x14ac:dyDescent="0.25">
      <c r="A39" s="104">
        <v>1024</v>
      </c>
      <c r="B39" s="104">
        <f t="shared" si="6"/>
        <v>88</v>
      </c>
      <c r="C39" s="103">
        <f t="shared" si="0"/>
        <v>11.636363636363637</v>
      </c>
      <c r="D39" s="102">
        <f t="shared" si="1"/>
        <v>0.1022105869243761</v>
      </c>
      <c r="E39" s="101">
        <f t="shared" si="2"/>
        <v>145.58561294149561</v>
      </c>
      <c r="F39" s="101">
        <f t="shared" si="3"/>
        <v>291.17122588299122</v>
      </c>
      <c r="G39" s="101">
        <f t="shared" si="4"/>
        <v>582.34245176598245</v>
      </c>
      <c r="H39" s="101">
        <f t="shared" si="5"/>
        <v>1164.6849035319649</v>
      </c>
    </row>
    <row r="40" spans="1:8" ht="15.75" customHeight="1" x14ac:dyDescent="0.25">
      <c r="A40" s="100"/>
      <c r="B40" s="100"/>
      <c r="C40" s="99"/>
      <c r="D40" s="98"/>
      <c r="E40" s="97"/>
      <c r="F40" s="96"/>
      <c r="G40" s="96"/>
      <c r="H40" s="96"/>
    </row>
    <row r="41" spans="1:8" ht="15.75" customHeight="1" x14ac:dyDescent="0.25">
      <c r="A41" s="100"/>
      <c r="B41" s="100"/>
      <c r="C41" s="99"/>
      <c r="D41" s="98"/>
      <c r="E41" s="97"/>
      <c r="F41" s="96"/>
      <c r="G41" s="96"/>
      <c r="H41" s="96"/>
    </row>
    <row r="42" spans="1:8" ht="15.75" customHeight="1" x14ac:dyDescent="0.25">
      <c r="A42" s="100"/>
      <c r="B42" s="100"/>
      <c r="C42" s="99"/>
      <c r="D42" s="98"/>
      <c r="E42" s="97"/>
      <c r="F42" s="96"/>
      <c r="G42" s="96"/>
      <c r="H42" s="96"/>
    </row>
    <row r="43" spans="1:8" ht="15.75" customHeight="1" x14ac:dyDescent="0.25">
      <c r="A43" s="100"/>
      <c r="B43" s="100"/>
      <c r="C43" s="99"/>
      <c r="D43" s="98"/>
      <c r="E43" s="97"/>
      <c r="F43" s="96"/>
      <c r="G43" s="96"/>
      <c r="H43" s="96"/>
    </row>
    <row r="44" spans="1:8" ht="15.75" customHeight="1" x14ac:dyDescent="0.25">
      <c r="A44" s="100"/>
      <c r="B44" s="100"/>
      <c r="C44" s="99"/>
      <c r="D44" s="98"/>
      <c r="E44" s="97"/>
      <c r="F44" s="96"/>
      <c r="G44" s="96"/>
      <c r="H44" s="96"/>
    </row>
    <row r="45" spans="1:8" ht="15.75" customHeight="1" x14ac:dyDescent="0.25">
      <c r="A45" s="100"/>
      <c r="B45" s="100"/>
      <c r="C45" s="99"/>
      <c r="D45" s="98"/>
      <c r="E45" s="97"/>
      <c r="F45" s="96"/>
      <c r="G45" s="96"/>
      <c r="H45" s="96"/>
    </row>
    <row r="46" spans="1:8" ht="15.75" customHeight="1" x14ac:dyDescent="0.25">
      <c r="A46" s="100"/>
      <c r="B46" s="100"/>
      <c r="C46" s="99"/>
      <c r="D46" s="98"/>
      <c r="E46" s="97"/>
      <c r="F46" s="96"/>
      <c r="G46" s="96"/>
      <c r="H46" s="96"/>
    </row>
    <row r="47" spans="1:8" ht="15.75" customHeight="1" x14ac:dyDescent="0.25">
      <c r="A47" s="100"/>
      <c r="B47" s="100"/>
      <c r="C47" s="99"/>
      <c r="D47" s="98"/>
      <c r="E47" s="97"/>
      <c r="F47" s="96"/>
      <c r="G47" s="96"/>
      <c r="H47" s="96"/>
    </row>
    <row r="48" spans="1:8" ht="15.75" customHeight="1" x14ac:dyDescent="0.25">
      <c r="A48" s="100"/>
      <c r="B48" s="100"/>
      <c r="C48" s="99"/>
      <c r="D48" s="98"/>
      <c r="E48" s="97"/>
      <c r="F48" s="96"/>
      <c r="G48" s="96"/>
      <c r="H48" s="96"/>
    </row>
    <row r="49" spans="1:8" ht="15.75" customHeight="1" x14ac:dyDescent="0.25">
      <c r="A49" s="100"/>
      <c r="B49" s="100"/>
      <c r="C49" s="99"/>
      <c r="D49" s="98"/>
      <c r="E49" s="97"/>
      <c r="F49" s="96"/>
      <c r="G49" s="96"/>
      <c r="H49" s="96"/>
    </row>
    <row r="50" spans="1:8" ht="15.75" customHeight="1" x14ac:dyDescent="0.25">
      <c r="A50" s="100"/>
      <c r="B50" s="100"/>
      <c r="C50" s="99"/>
      <c r="D50" s="98"/>
      <c r="E50" s="97"/>
      <c r="F50" s="96"/>
      <c r="G50" s="96"/>
      <c r="H50" s="96"/>
    </row>
    <row r="51" spans="1:8" ht="15.75" customHeight="1" x14ac:dyDescent="0.25">
      <c r="A51" s="100"/>
      <c r="B51" s="100"/>
      <c r="C51" s="99"/>
      <c r="D51" s="98"/>
      <c r="E51" s="97"/>
      <c r="F51" s="96"/>
      <c r="G51" s="96"/>
      <c r="H51" s="96"/>
    </row>
    <row r="52" spans="1:8" ht="15.75" customHeight="1" x14ac:dyDescent="0.25">
      <c r="A52" s="100"/>
      <c r="B52" s="100"/>
      <c r="C52" s="99"/>
      <c r="D52" s="98"/>
      <c r="E52" s="97"/>
      <c r="F52" s="96"/>
      <c r="G52" s="96"/>
      <c r="H52" s="96"/>
    </row>
    <row r="53" spans="1:8" ht="15.75" customHeight="1" x14ac:dyDescent="0.25">
      <c r="A53" s="100"/>
      <c r="B53" s="100"/>
      <c r="C53" s="99"/>
      <c r="D53" s="98"/>
      <c r="E53" s="97"/>
      <c r="F53" s="96"/>
      <c r="G53" s="96"/>
      <c r="H53" s="96"/>
    </row>
    <row r="54" spans="1:8" ht="15.75" customHeight="1" x14ac:dyDescent="0.25">
      <c r="A54" s="100"/>
      <c r="B54" s="100"/>
      <c r="C54" s="99"/>
      <c r="D54" s="98"/>
      <c r="E54" s="97"/>
      <c r="F54" s="96"/>
      <c r="G54" s="96"/>
      <c r="H54" s="96"/>
    </row>
    <row r="55" spans="1:8" ht="15.75" customHeight="1" x14ac:dyDescent="0.25">
      <c r="A55" s="100"/>
      <c r="B55" s="100"/>
      <c r="C55" s="99"/>
      <c r="D55" s="98"/>
      <c r="E55" s="97"/>
      <c r="F55" s="96"/>
      <c r="G55" s="96"/>
      <c r="H55" s="96"/>
    </row>
    <row r="56" spans="1:8" ht="15.75" customHeight="1" x14ac:dyDescent="0.25">
      <c r="A56" s="100"/>
      <c r="B56" s="100"/>
      <c r="C56" s="99"/>
      <c r="D56" s="98"/>
      <c r="E56" s="97"/>
      <c r="F56" s="96"/>
      <c r="G56" s="96"/>
      <c r="H56" s="96"/>
    </row>
    <row r="57" spans="1:8" ht="15.75" customHeight="1" x14ac:dyDescent="0.25">
      <c r="A57" s="100"/>
      <c r="B57" s="100"/>
      <c r="C57" s="99"/>
      <c r="D57" s="98"/>
      <c r="E57" s="97"/>
      <c r="F57" s="96"/>
      <c r="G57" s="96"/>
      <c r="H57" s="96"/>
    </row>
    <row r="58" spans="1:8" ht="15.75" customHeight="1" x14ac:dyDescent="0.25">
      <c r="A58" s="100"/>
      <c r="B58" s="100"/>
      <c r="C58" s="99"/>
      <c r="D58" s="98"/>
      <c r="E58" s="97"/>
      <c r="F58" s="96"/>
      <c r="G58" s="96"/>
      <c r="H58" s="96"/>
    </row>
    <row r="59" spans="1:8" ht="15.75" customHeight="1" x14ac:dyDescent="0.25">
      <c r="A59" s="100"/>
      <c r="B59" s="100"/>
      <c r="C59" s="99"/>
      <c r="D59" s="98"/>
      <c r="E59" s="97"/>
      <c r="F59" s="96"/>
      <c r="G59" s="96"/>
      <c r="H59" s="96"/>
    </row>
    <row r="60" spans="1:8" ht="15.75" customHeight="1" x14ac:dyDescent="0.25">
      <c r="A60" s="100"/>
      <c r="B60" s="100"/>
      <c r="C60" s="99"/>
      <c r="D60" s="98"/>
      <c r="E60" s="97"/>
      <c r="F60" s="96"/>
      <c r="G60" s="96"/>
      <c r="H60" s="96"/>
    </row>
    <row r="61" spans="1:8" ht="15.75" customHeight="1" x14ac:dyDescent="0.25">
      <c r="A61" s="100"/>
      <c r="B61" s="100"/>
      <c r="C61" s="99"/>
      <c r="D61" s="98"/>
      <c r="E61" s="97"/>
      <c r="F61" s="96"/>
      <c r="G61" s="96"/>
      <c r="H61" s="96"/>
    </row>
    <row r="62" spans="1:8" ht="15.75" customHeight="1" x14ac:dyDescent="0.25">
      <c r="A62" s="100"/>
      <c r="B62" s="100"/>
      <c r="C62" s="99"/>
      <c r="D62" s="98"/>
      <c r="E62" s="97"/>
      <c r="F62" s="96"/>
      <c r="G62" s="96"/>
      <c r="H62" s="96"/>
    </row>
    <row r="63" spans="1:8" ht="15.75" customHeight="1" x14ac:dyDescent="0.25">
      <c r="A63" s="100"/>
      <c r="B63" s="100"/>
      <c r="C63" s="99"/>
      <c r="D63" s="98"/>
      <c r="E63" s="97"/>
      <c r="F63" s="96"/>
      <c r="G63" s="96"/>
      <c r="H63" s="96"/>
    </row>
    <row r="64" spans="1:8" ht="15.75" customHeight="1" x14ac:dyDescent="0.25">
      <c r="A64" s="100"/>
      <c r="B64" s="100"/>
      <c r="C64" s="99"/>
      <c r="D64" s="98"/>
      <c r="E64" s="97"/>
      <c r="F64" s="96"/>
      <c r="G64" s="96"/>
      <c r="H64" s="96"/>
    </row>
    <row r="65" spans="1:8" ht="15.75" customHeight="1" x14ac:dyDescent="0.25">
      <c r="A65" s="100"/>
      <c r="B65" s="100"/>
      <c r="C65" s="99"/>
      <c r="D65" s="98"/>
      <c r="E65" s="97"/>
      <c r="F65" s="96"/>
      <c r="G65" s="96"/>
      <c r="H65" s="96"/>
    </row>
    <row r="66" spans="1:8" ht="15.75" customHeight="1" x14ac:dyDescent="0.25">
      <c r="A66" s="100"/>
      <c r="B66" s="100"/>
      <c r="C66" s="99"/>
      <c r="D66" s="98"/>
      <c r="E66" s="97"/>
      <c r="F66" s="96"/>
      <c r="G66" s="96"/>
      <c r="H66" s="96"/>
    </row>
    <row r="67" spans="1:8" ht="15.75" customHeight="1" x14ac:dyDescent="0.25">
      <c r="A67" s="100"/>
      <c r="B67" s="100"/>
      <c r="C67" s="99"/>
      <c r="D67" s="98"/>
      <c r="E67" s="97"/>
      <c r="F67" s="96"/>
      <c r="G67" s="96"/>
      <c r="H67" s="96"/>
    </row>
    <row r="68" spans="1:8" ht="15.75" customHeight="1" x14ac:dyDescent="0.25">
      <c r="A68" s="100"/>
      <c r="B68" s="100"/>
      <c r="C68" s="99"/>
      <c r="D68" s="98"/>
      <c r="E68" s="97"/>
      <c r="F68" s="96"/>
      <c r="G68" s="96"/>
      <c r="H68" s="96"/>
    </row>
    <row r="69" spans="1:8" ht="15.75" customHeight="1" x14ac:dyDescent="0.25">
      <c r="A69" s="100"/>
      <c r="B69" s="100"/>
      <c r="C69" s="99"/>
      <c r="D69" s="98"/>
      <c r="E69" s="97"/>
      <c r="F69" s="96"/>
      <c r="G69" s="96"/>
      <c r="H69" s="96"/>
    </row>
    <row r="70" spans="1:8" ht="15.75" customHeight="1" x14ac:dyDescent="0.25">
      <c r="A70" s="100"/>
      <c r="B70" s="100"/>
      <c r="C70" s="99"/>
      <c r="D70" s="98"/>
      <c r="E70" s="97"/>
      <c r="F70" s="96"/>
      <c r="G70" s="96"/>
      <c r="H70" s="96"/>
    </row>
    <row r="71" spans="1:8" ht="15.75" customHeight="1" x14ac:dyDescent="0.25">
      <c r="A71" s="100"/>
      <c r="B71" s="100"/>
      <c r="C71" s="99"/>
      <c r="D71" s="98"/>
      <c r="E71" s="97"/>
      <c r="F71" s="96"/>
      <c r="G71" s="96"/>
      <c r="H71" s="96"/>
    </row>
    <row r="72" spans="1:8" ht="15.75" customHeight="1" x14ac:dyDescent="0.25">
      <c r="A72" s="100"/>
      <c r="B72" s="100"/>
      <c r="C72" s="99"/>
      <c r="D72" s="98"/>
      <c r="E72" s="97"/>
      <c r="F72" s="96"/>
      <c r="G72" s="96"/>
      <c r="H72" s="96"/>
    </row>
    <row r="73" spans="1:8" ht="15.75" customHeight="1" x14ac:dyDescent="0.25">
      <c r="A73" s="100"/>
      <c r="B73" s="100"/>
      <c r="C73" s="99"/>
      <c r="D73" s="98"/>
      <c r="E73" s="97"/>
      <c r="F73" s="96"/>
      <c r="G73" s="96"/>
      <c r="H73" s="96"/>
    </row>
    <row r="74" spans="1:8" ht="15.75" customHeight="1" x14ac:dyDescent="0.25">
      <c r="A74" s="100"/>
      <c r="B74" s="100"/>
      <c r="C74" s="99"/>
      <c r="D74" s="98"/>
      <c r="E74" s="97"/>
      <c r="F74" s="96"/>
      <c r="G74" s="96"/>
      <c r="H74" s="96"/>
    </row>
    <row r="75" spans="1:8" ht="15.75" customHeight="1" x14ac:dyDescent="0.25">
      <c r="A75" s="100"/>
      <c r="B75" s="100"/>
      <c r="C75" s="99"/>
      <c r="D75" s="98"/>
      <c r="E75" s="97"/>
      <c r="F75" s="96"/>
      <c r="G75" s="96"/>
      <c r="H75" s="96"/>
    </row>
    <row r="76" spans="1:8" ht="15.75" customHeight="1" x14ac:dyDescent="0.25">
      <c r="A76" s="100"/>
      <c r="B76" s="100"/>
      <c r="C76" s="99"/>
      <c r="D76" s="98"/>
      <c r="E76" s="97"/>
      <c r="F76" s="96"/>
      <c r="G76" s="96"/>
      <c r="H76" s="96"/>
    </row>
    <row r="77" spans="1:8" ht="15.75" customHeight="1" x14ac:dyDescent="0.25">
      <c r="A77" s="100"/>
      <c r="B77" s="100"/>
      <c r="C77" s="99"/>
      <c r="D77" s="98"/>
      <c r="E77" s="97"/>
      <c r="F77" s="96"/>
      <c r="G77" s="96"/>
      <c r="H77" s="96"/>
    </row>
    <row r="78" spans="1:8" ht="15.75" customHeight="1" x14ac:dyDescent="0.25">
      <c r="A78" s="100"/>
      <c r="B78" s="100"/>
      <c r="C78" s="99"/>
      <c r="D78" s="98"/>
      <c r="E78" s="97"/>
      <c r="F78" s="96"/>
      <c r="G78" s="96"/>
      <c r="H78" s="96"/>
    </row>
    <row r="79" spans="1:8" ht="15.75" customHeight="1" x14ac:dyDescent="0.25">
      <c r="A79" s="100"/>
      <c r="B79" s="100"/>
      <c r="C79" s="99"/>
      <c r="D79" s="98"/>
      <c r="E79" s="97"/>
      <c r="F79" s="96"/>
      <c r="G79" s="96"/>
      <c r="H79" s="96"/>
    </row>
    <row r="80" spans="1:8" ht="15.75" customHeight="1" x14ac:dyDescent="0.25">
      <c r="A80" s="100"/>
      <c r="B80" s="100"/>
      <c r="C80" s="99"/>
      <c r="D80" s="98"/>
      <c r="E80" s="97"/>
      <c r="F80" s="96"/>
      <c r="G80" s="96"/>
      <c r="H80" s="96"/>
    </row>
    <row r="81" spans="1:8" ht="15.75" customHeight="1" x14ac:dyDescent="0.25">
      <c r="A81" s="100"/>
      <c r="B81" s="100"/>
      <c r="C81" s="99"/>
      <c r="D81" s="98"/>
      <c r="E81" s="97"/>
      <c r="F81" s="96"/>
      <c r="G81" s="96"/>
      <c r="H81" s="96"/>
    </row>
    <row r="82" spans="1:8" ht="15.75" customHeight="1" x14ac:dyDescent="0.25">
      <c r="A82" s="100"/>
      <c r="B82" s="100"/>
      <c r="C82" s="99"/>
      <c r="D82" s="98"/>
      <c r="E82" s="97"/>
      <c r="F82" s="96"/>
      <c r="G82" s="96"/>
      <c r="H82" s="96"/>
    </row>
    <row r="83" spans="1:8" ht="15.75" customHeight="1" x14ac:dyDescent="0.25">
      <c r="A83" s="100"/>
      <c r="B83" s="100"/>
      <c r="C83" s="99"/>
      <c r="D83" s="98"/>
      <c r="E83" s="97"/>
      <c r="F83" s="96"/>
      <c r="G83" s="96"/>
      <c r="H83" s="96"/>
    </row>
    <row r="84" spans="1:8" ht="15.75" customHeight="1" x14ac:dyDescent="0.25">
      <c r="A84" s="100"/>
      <c r="B84" s="100"/>
      <c r="C84" s="99"/>
      <c r="D84" s="98"/>
      <c r="E84" s="97"/>
      <c r="F84" s="96"/>
      <c r="G84" s="96"/>
      <c r="H84" s="96"/>
    </row>
    <row r="85" spans="1:8" ht="15.75" customHeight="1" x14ac:dyDescent="0.25">
      <c r="A85" s="100"/>
      <c r="B85" s="100"/>
      <c r="C85" s="99"/>
      <c r="D85" s="98"/>
      <c r="E85" s="97"/>
      <c r="F85" s="96"/>
      <c r="G85" s="96"/>
      <c r="H85" s="96"/>
    </row>
    <row r="86" spans="1:8" ht="15.75" customHeight="1" x14ac:dyDescent="0.25"/>
    <row r="87" spans="1:8" ht="15.75" customHeight="1" x14ac:dyDescent="0.25"/>
    <row r="88" spans="1:8" ht="15.75" customHeight="1" x14ac:dyDescent="0.25"/>
    <row r="89" spans="1:8" ht="15.75" customHeight="1" x14ac:dyDescent="0.25"/>
    <row r="90" spans="1:8" ht="15.75" customHeight="1" x14ac:dyDescent="0.25"/>
    <row r="91" spans="1:8" ht="15.75" customHeight="1" x14ac:dyDescent="0.25"/>
    <row r="92" spans="1:8" ht="15.75" customHeight="1" x14ac:dyDescent="0.25"/>
    <row r="93" spans="1:8" ht="15.75" customHeight="1" x14ac:dyDescent="0.25"/>
    <row r="94" spans="1:8" ht="15.75" customHeight="1" x14ac:dyDescent="0.25"/>
    <row r="95" spans="1:8" ht="15.75" customHeight="1" x14ac:dyDescent="0.25"/>
    <row r="96" spans="1:8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</sheetData>
  <mergeCells count="2">
    <mergeCell ref="A6:H6"/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5"/>
  <sheetViews>
    <sheetView workbookViewId="0">
      <selection activeCell="A3" sqref="A3"/>
    </sheetView>
  </sheetViews>
  <sheetFormatPr defaultRowHeight="15" x14ac:dyDescent="0.25"/>
  <cols>
    <col min="1" max="16384" width="9.140625" style="123"/>
  </cols>
  <sheetData>
    <row r="1" spans="1:1" x14ac:dyDescent="0.25">
      <c r="A1" s="123" t="s">
        <v>72</v>
      </c>
    </row>
    <row r="2" spans="1:1" x14ac:dyDescent="0.25">
      <c r="A2" s="123" t="s">
        <v>73</v>
      </c>
    </row>
    <row r="4" spans="1:1" x14ac:dyDescent="0.25">
      <c r="A4" s="123" t="s">
        <v>70</v>
      </c>
    </row>
    <row r="5" spans="1:1" x14ac:dyDescent="0.25">
      <c r="A5" s="123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H33"/>
  <sheetViews>
    <sheetView topLeftCell="A19" zoomScale="130" zoomScaleNormal="130" workbookViewId="0">
      <selection activeCell="A35" sqref="A35"/>
    </sheetView>
  </sheetViews>
  <sheetFormatPr defaultRowHeight="15" x14ac:dyDescent="0.25"/>
  <cols>
    <col min="1" max="1" width="12" bestFit="1" customWidth="1"/>
    <col min="2" max="2" width="12" style="126" bestFit="1" customWidth="1"/>
  </cols>
  <sheetData>
    <row r="26" spans="1:8" x14ac:dyDescent="0.25">
      <c r="A26">
        <v>0</v>
      </c>
      <c r="B26" s="126">
        <v>0</v>
      </c>
      <c r="D26" s="92">
        <v>0.25</v>
      </c>
      <c r="E26" s="149" t="s">
        <v>50</v>
      </c>
      <c r="F26" s="149"/>
      <c r="G26" s="93">
        <f>10^(G27/10)</f>
        <v>1E-4</v>
      </c>
    </row>
    <row r="27" spans="1:8" x14ac:dyDescent="0.25">
      <c r="A27">
        <v>-20</v>
      </c>
      <c r="B27" s="126">
        <v>10000</v>
      </c>
      <c r="D27" s="62">
        <f>10*LOG10(D26)</f>
        <v>-6.0205999132796242</v>
      </c>
      <c r="E27" t="s">
        <v>51</v>
      </c>
      <c r="G27" s="91">
        <v>-40</v>
      </c>
      <c r="H27" t="s">
        <v>51</v>
      </c>
    </row>
    <row r="29" spans="1:8" x14ac:dyDescent="0.25">
      <c r="B29" s="126" t="s">
        <v>88</v>
      </c>
      <c r="C29" s="126" t="s">
        <v>87</v>
      </c>
      <c r="E29" s="128">
        <v>2</v>
      </c>
      <c r="F29" s="129">
        <f>1/(E29/1000)</f>
        <v>500</v>
      </c>
    </row>
    <row r="30" spans="1:8" x14ac:dyDescent="0.25">
      <c r="A30" t="s">
        <v>83</v>
      </c>
      <c r="B30" s="126">
        <f>1/32000</f>
        <v>3.1250000000000001E-5</v>
      </c>
      <c r="C30" s="70">
        <f>B30*1000</f>
        <v>3.125E-2</v>
      </c>
      <c r="E30" s="127">
        <f>$E$29/C30</f>
        <v>64</v>
      </c>
    </row>
    <row r="31" spans="1:8" x14ac:dyDescent="0.25">
      <c r="A31" t="s">
        <v>84</v>
      </c>
      <c r="B31" s="126">
        <f>1/16000</f>
        <v>6.2500000000000001E-5</v>
      </c>
      <c r="C31" s="70">
        <f t="shared" ref="C31:C33" si="0">B31*1000</f>
        <v>6.25E-2</v>
      </c>
      <c r="E31" s="127">
        <f t="shared" ref="E31:E33" si="1">$E$29/C31</f>
        <v>32</v>
      </c>
    </row>
    <row r="32" spans="1:8" x14ac:dyDescent="0.25">
      <c r="A32" t="s">
        <v>85</v>
      </c>
      <c r="B32" s="126">
        <f>1/8000</f>
        <v>1.25E-4</v>
      </c>
      <c r="C32" s="70">
        <f t="shared" si="0"/>
        <v>0.125</v>
      </c>
      <c r="E32" s="127">
        <f t="shared" si="1"/>
        <v>16</v>
      </c>
    </row>
    <row r="33" spans="1:5" x14ac:dyDescent="0.25">
      <c r="A33" t="s">
        <v>86</v>
      </c>
      <c r="B33" s="126">
        <f>1/4000</f>
        <v>2.5000000000000001E-4</v>
      </c>
      <c r="C33" s="70">
        <f t="shared" si="0"/>
        <v>0.25</v>
      </c>
      <c r="E33" s="127">
        <f t="shared" si="1"/>
        <v>8</v>
      </c>
    </row>
  </sheetData>
  <mergeCells count="1">
    <mergeCell ref="E26:F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30" zoomScaleNormal="130" workbookViewId="0">
      <selection activeCell="E2" sqref="E2"/>
    </sheetView>
  </sheetViews>
  <sheetFormatPr defaultRowHeight="15" x14ac:dyDescent="0.25"/>
  <cols>
    <col min="1" max="1" width="16.140625" customWidth="1"/>
    <col min="2" max="2" width="12" style="130" bestFit="1" customWidth="1"/>
  </cols>
  <sheetData>
    <row r="1" spans="1:5" x14ac:dyDescent="0.25">
      <c r="E1" t="s">
        <v>94</v>
      </c>
    </row>
    <row r="2" spans="1:5" x14ac:dyDescent="0.25">
      <c r="E2" s="131">
        <f>1/(C8/1000)</f>
        <v>500</v>
      </c>
    </row>
    <row r="3" spans="1:5" x14ac:dyDescent="0.25">
      <c r="A3" t="s">
        <v>89</v>
      </c>
      <c r="B3" s="130" t="s">
        <v>88</v>
      </c>
      <c r="C3" s="130" t="s">
        <v>87</v>
      </c>
      <c r="E3" s="128">
        <v>2</v>
      </c>
    </row>
    <row r="4" spans="1:5" x14ac:dyDescent="0.25">
      <c r="A4" t="s">
        <v>83</v>
      </c>
      <c r="B4" s="130">
        <f>1/32000</f>
        <v>3.1250000000000001E-5</v>
      </c>
      <c r="C4" s="70">
        <f>B4*1000</f>
        <v>3.125E-2</v>
      </c>
      <c r="E4" s="130">
        <f>$E$3/C4</f>
        <v>64</v>
      </c>
    </row>
    <row r="5" spans="1:5" x14ac:dyDescent="0.25">
      <c r="A5" t="s">
        <v>84</v>
      </c>
      <c r="B5" s="130">
        <f>1/16000</f>
        <v>6.2500000000000001E-5</v>
      </c>
      <c r="C5" s="70">
        <f t="shared" ref="C5:C7" si="0">B5*1000</f>
        <v>6.25E-2</v>
      </c>
      <c r="E5" s="130">
        <f>$E$3/C5</f>
        <v>32</v>
      </c>
    </row>
    <row r="6" spans="1:5" x14ac:dyDescent="0.25">
      <c r="A6" t="s">
        <v>85</v>
      </c>
      <c r="B6" s="130">
        <f>1/8000</f>
        <v>1.25E-4</v>
      </c>
      <c r="C6" s="70">
        <f t="shared" si="0"/>
        <v>0.125</v>
      </c>
      <c r="E6" s="130">
        <f>$E$3/C6</f>
        <v>16</v>
      </c>
    </row>
    <row r="7" spans="1:5" x14ac:dyDescent="0.25">
      <c r="A7" t="s">
        <v>86</v>
      </c>
      <c r="B7" s="130">
        <f>1/4000</f>
        <v>2.5000000000000001E-4</v>
      </c>
      <c r="C7" s="70">
        <f t="shared" si="0"/>
        <v>0.25</v>
      </c>
      <c r="E7" s="130">
        <f>$E$3/C7</f>
        <v>8</v>
      </c>
    </row>
    <row r="8" spans="1:5" x14ac:dyDescent="0.25">
      <c r="A8" t="s">
        <v>91</v>
      </c>
      <c r="C8" s="130">
        <v>2</v>
      </c>
    </row>
    <row r="9" spans="1:5" x14ac:dyDescent="0.25">
      <c r="A9" t="s">
        <v>90</v>
      </c>
      <c r="C9" s="130">
        <v>5</v>
      </c>
    </row>
    <row r="10" spans="1:5" x14ac:dyDescent="0.25">
      <c r="A10" t="s">
        <v>92</v>
      </c>
      <c r="C10" s="130">
        <v>15</v>
      </c>
    </row>
    <row r="11" spans="1:5" x14ac:dyDescent="0.25">
      <c r="A11" t="s">
        <v>93</v>
      </c>
      <c r="C11" s="130">
        <v>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BF Filter Latency</vt:lpstr>
      <vt:lpstr>FKF-Cutoff Calcs</vt:lpstr>
      <vt:lpstr>&lt;spacer&gt;</vt:lpstr>
      <vt:lpstr>Attenuation-DRAFT</vt:lpstr>
      <vt:lpstr>Delay and Timing</vt:lpstr>
    </vt:vector>
  </TitlesOfParts>
  <Company>Herbert, Rowland and Grubic,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Spatz, Mark</dc:creator>
  <cp:lastModifiedBy>Spatz, Mark</cp:lastModifiedBy>
  <dcterms:created xsi:type="dcterms:W3CDTF">2018-02-20T16:35:59Z</dcterms:created>
  <dcterms:modified xsi:type="dcterms:W3CDTF">2018-12-08T17:53:12Z</dcterms:modified>
</cp:coreProperties>
</file>