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ПрофильныйПрокат" sheetId="1" state="visible" r:id="rId1"/>
    <sheet name="ПлоскийПрокат" sheetId="2" state="visible" r:id="rId2"/>
    <sheet name="ПокупныеИзделия" sheetId="3" state="visible" r:id="rId3"/>
    <sheet name="УнифицированныеИзделия" sheetId="4" state="visible" r:id="rId4"/>
  </sheets>
  <definedNames>
    <definedName name="_xlnm.Print_Area" localSheetId="0">'ПрофильныйПрокат'!$A$1:$I$91</definedName>
    <definedName name="_xlnm.Print_Area" localSheetId="1">'ПлоскийПрокат'!$A$1:$I$29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theme="1"/>
      <sz val="10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47">
    <xf numFmtId="0" fontId="0" fillId="0" borderId="0" pivotButton="0" quotePrefix="0" xfId="0"/>
    <xf numFmtId="0" fontId="5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textRotation="90" wrapText="1"/>
    </xf>
    <xf numFmtId="0" fontId="5" fillId="0" borderId="0" applyAlignment="1" pivotButton="0" quotePrefix="0" xfId="0">
      <alignment horizontal="left"/>
    </xf>
    <xf numFmtId="2" fontId="5" fillId="3" borderId="0" pivotButton="0" quotePrefix="0" xfId="0"/>
    <xf numFmtId="2" fontId="10" fillId="2" borderId="0" pivotButton="0" quotePrefix="0" xfId="0"/>
    <xf numFmtId="2" fontId="10" fillId="0" borderId="0" pivotButton="0" quotePrefix="0" xfId="0"/>
    <xf numFmtId="2" fontId="10" fillId="0" borderId="0" pivotButton="0" quotePrefix="0" xfId="0"/>
    <xf numFmtId="0" fontId="11" fillId="0" borderId="0" pivotButton="0" quotePrefix="0" xfId="0"/>
    <xf numFmtId="0" fontId="5" fillId="0" borderId="0" pivotButton="0" quotePrefix="0" xfId="0"/>
    <xf numFmtId="2" fontId="9" fillId="0" borderId="0" pivotButton="0" quotePrefix="0" xfId="0"/>
    <xf numFmtId="2" fontId="5" fillId="0" borderId="0" pivotButton="0" quotePrefix="0" xfId="0"/>
    <xf numFmtId="2" fontId="5" fillId="2" borderId="0" pivotButton="0" quotePrefix="0" xfId="0"/>
    <xf numFmtId="2" fontId="5" fillId="0" borderId="0" pivotButton="0" quotePrefix="0" xfId="0"/>
    <xf numFmtId="0" fontId="5" fillId="0" borderId="0" applyAlignment="1" pivotButton="0" quotePrefix="0" xfId="0">
      <alignment wrapText="1"/>
    </xf>
    <xf numFmtId="0" fontId="9" fillId="0" borderId="0" applyAlignment="1" pivotButton="0" quotePrefix="0" xfId="0">
      <alignment horizontal="center" vertical="center" textRotation="90" wrapText="1"/>
    </xf>
    <xf numFmtId="2" fontId="10" fillId="2" borderId="0" applyAlignment="1" pivotButton="0" quotePrefix="0" xfId="0">
      <alignment horizontal="right"/>
    </xf>
    <xf numFmtId="2" fontId="10" fillId="0" borderId="0" applyAlignment="1" pivotButton="0" quotePrefix="0" xfId="0">
      <alignment horizontal="right"/>
    </xf>
    <xf numFmtId="2" fontId="10" fillId="0" borderId="0" applyAlignment="1" pivotButton="0" quotePrefix="0" xfId="0">
      <alignment horizontal="right"/>
    </xf>
    <xf numFmtId="0" fontId="5" fillId="3" borderId="0" pivotButton="0" quotePrefix="0" xfId="0"/>
    <xf numFmtId="0" fontId="9" fillId="0" borderId="0" applyAlignment="1" pivotButton="0" quotePrefix="0" xfId="0">
      <alignment horizontal="right"/>
    </xf>
    <xf numFmtId="2" fontId="5" fillId="3" borderId="0" applyAlignment="1" pivotButton="0" quotePrefix="0" xfId="0">
      <alignment horizontal="left"/>
    </xf>
    <xf numFmtId="2" fontId="5" fillId="2" borderId="0" applyAlignment="1" pivotButton="0" quotePrefix="0" xfId="0">
      <alignment horizontal="right"/>
    </xf>
    <xf numFmtId="0" fontId="5" fillId="3" borderId="0" applyAlignment="1" pivotButton="0" quotePrefix="0" xfId="0">
      <alignment horizontal="left"/>
    </xf>
    <xf numFmtId="0" fontId="5" fillId="2" borderId="0" pivotButton="0" quotePrefix="0" xfId="0"/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left"/>
    </xf>
    <xf numFmtId="0" fontId="3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12" fillId="0" borderId="0" applyAlignment="1" pivotButton="0" quotePrefix="0" xfId="0">
      <alignment horizontal="left"/>
    </xf>
    <xf numFmtId="0" fontId="12" fillId="0" borderId="0" pivotButton="0" quotePrefix="0" xfId="0"/>
    <xf numFmtId="2" fontId="12" fillId="3" borderId="0" pivotButton="0" quotePrefix="0" xfId="0"/>
    <xf numFmtId="2" fontId="12" fillId="2" borderId="0" pivotButton="0" quotePrefix="0" xfId="0"/>
    <xf numFmtId="2" fontId="12" fillId="0" borderId="0" pivotButton="0" quotePrefix="0" xfId="0"/>
    <xf numFmtId="2" fontId="12" fillId="2" borderId="0" applyAlignment="1" pivotButton="0" quotePrefix="0" xfId="0">
      <alignment horizontal="right"/>
    </xf>
    <xf numFmtId="2" fontId="12" fillId="0" borderId="0" applyAlignment="1" pivotButton="0" quotePrefix="0" xfId="0">
      <alignment horizontal="right"/>
    </xf>
  </cellXfs>
  <cellStyles count="6">
    <cellStyle name="Обычный" xfId="0" builtinId="0"/>
    <cellStyle name="Обычный 2" xfId="1"/>
    <cellStyle name="Обычный 2 2" xfId="2"/>
    <cellStyle name="Обычный 2 4" xfId="3"/>
    <cellStyle name="Обычный 2 2 2" xfId="4"/>
    <cellStyle name="Обычный 2 3" xfId="5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tabSelected="1" view="pageLayout" topLeftCell="A43" zoomScaleNormal="100" workbookViewId="0">
      <selection activeCell="B52" sqref="B52"/>
    </sheetView>
  </sheetViews>
  <sheetFormatPr baseColWidth="8" defaultColWidth="9.140625" defaultRowHeight="15"/>
  <cols>
    <col width="17.5703125" customWidth="1" style="27" min="1" max="1"/>
    <col width="27.5703125" customWidth="1" style="27" min="2" max="2"/>
    <col width="7.42578125" customWidth="1" style="5" min="3" max="3"/>
    <col width="7.42578125" customWidth="1" style="13" min="4" max="4"/>
    <col width="4.85546875" customWidth="1" style="14" min="5" max="5"/>
    <col width="7.42578125" customWidth="1" style="14" min="6" max="6"/>
    <col width="7.42578125" customWidth="1" style="13" min="7" max="7"/>
    <col width="7.42578125" customWidth="1" style="27" min="8" max="9"/>
    <col width="9.140625" customWidth="1" style="27" min="10" max="16384"/>
  </cols>
  <sheetData>
    <row r="1">
      <c r="A1" s="37" t="inlineStr">
        <is>
          <t>МД000_ВЕДОМОСТЬ ПРОФИЛЬНОГО ПРОКАТА</t>
        </is>
      </c>
    </row>
    <row r="2" ht="84.95" customHeight="1">
      <c r="A2" s="36" t="inlineStr">
        <is>
          <t>Сортамент</t>
        </is>
      </c>
      <c r="B2" s="36" t="inlineStr">
        <is>
          <t>Материал</t>
        </is>
      </c>
      <c r="C2" s="16" t="inlineStr">
        <is>
          <t>Масса 
/1 п.м./
кг</t>
        </is>
      </c>
      <c r="D2" s="16" t="inlineStr">
        <is>
          <t>Количество
/изделие/
кг</t>
        </is>
      </c>
      <c r="E2" s="16" t="inlineStr">
        <is>
          <t>Коэффициент
/поставка/</t>
        </is>
      </c>
      <c r="F2" s="16" t="inlineStr">
        <is>
          <t>Количество
/поставка/
кг</t>
        </is>
      </c>
      <c r="G2" s="16" t="inlineStr">
        <is>
          <t>Длина
/поставка/
п.м</t>
        </is>
      </c>
      <c r="H2" s="16" t="inlineStr">
        <is>
          <t>Количество
/поставка/
(коэф. 1,1), кг</t>
        </is>
      </c>
      <c r="I2" s="16" t="inlineStr">
        <is>
          <t>Длина
/поставка/
(коэф. 1,1), м</t>
        </is>
      </c>
    </row>
    <row r="3">
      <c r="A3" s="37" t="inlineStr">
        <is>
          <t>КВАДРАТ ГОСТ 2591-2006</t>
        </is>
      </c>
    </row>
    <row r="4">
      <c r="A4" s="4" t="inlineStr">
        <is>
          <t>квадрат 10</t>
        </is>
      </c>
      <c r="B4" s="27" t="inlineStr">
        <is>
          <t>Ст3сп ГОСТ 535-2005</t>
        </is>
      </c>
      <c r="C4" s="5">
        <f>(10^2)*10^(-6)*7850</f>
        <v/>
      </c>
      <c r="D4" s="6" t="n">
        <v>10</v>
      </c>
      <c r="E4" s="8">
        <f>F4/D4</f>
        <v/>
      </c>
      <c r="F4" s="8">
        <f>G4*C4</f>
        <v/>
      </c>
      <c r="G4" s="6" t="n">
        <v>1</v>
      </c>
      <c r="H4" s="8">
        <f>D4*1.1</f>
        <v/>
      </c>
      <c r="I4" s="8">
        <f>H4/C4</f>
        <v/>
      </c>
    </row>
    <row r="5">
      <c r="A5" s="4" t="inlineStr">
        <is>
          <t>квадрат 16</t>
        </is>
      </c>
      <c r="B5" s="27" t="inlineStr">
        <is>
          <t>Ст3сп ГОСТ 535-2005</t>
        </is>
      </c>
      <c r="C5" s="5">
        <f>(16^2)*10^(-6)*7850</f>
        <v/>
      </c>
      <c r="D5" s="6" t="n">
        <v>10</v>
      </c>
      <c r="E5" s="8">
        <f>F5/D5</f>
        <v/>
      </c>
      <c r="F5" s="8">
        <f>G5*C5</f>
        <v/>
      </c>
      <c r="G5" s="6" t="n">
        <v>1</v>
      </c>
      <c r="H5" s="8">
        <f>D5*1.1</f>
        <v/>
      </c>
      <c r="I5" s="8">
        <f>H5/C5</f>
        <v/>
      </c>
    </row>
    <row r="6">
      <c r="A6" s="37" t="inlineStr">
        <is>
          <t>КРУГ ГОСТ 2590-2006</t>
        </is>
      </c>
    </row>
    <row r="7">
      <c r="A7" s="4" t="inlineStr">
        <is>
          <t>круг 8</t>
        </is>
      </c>
      <c r="B7" s="27" t="inlineStr">
        <is>
          <t>Ст3сп ГОСТ 535-2005</t>
        </is>
      </c>
      <c r="C7" s="5">
        <f>3.14159/4*(8^2)*10^(-6)*7850</f>
        <v/>
      </c>
      <c r="D7" s="6" t="n">
        <v>10</v>
      </c>
      <c r="E7" s="8">
        <f>F7/D7</f>
        <v/>
      </c>
      <c r="F7" s="8">
        <f>G7*C7</f>
        <v/>
      </c>
      <c r="G7" s="6" t="n">
        <v>1</v>
      </c>
      <c r="H7" s="8">
        <f>D7*1.1</f>
        <v/>
      </c>
      <c r="I7" s="8">
        <f>H7/C7</f>
        <v/>
      </c>
    </row>
    <row r="8">
      <c r="A8" s="4" t="inlineStr">
        <is>
          <t>круг 10</t>
        </is>
      </c>
      <c r="B8" s="27" t="inlineStr">
        <is>
          <t>Ст3сп ГОСТ 535-2005</t>
        </is>
      </c>
      <c r="C8" s="5">
        <f>3.14159/4*(10^2)*10^(-6)*7850</f>
        <v/>
      </c>
      <c r="D8" s="6" t="n">
        <v>10</v>
      </c>
      <c r="E8" s="8">
        <f>F8/D8</f>
        <v/>
      </c>
      <c r="F8" s="8">
        <f>G8*C8</f>
        <v/>
      </c>
      <c r="G8" s="6" t="n">
        <v>1</v>
      </c>
      <c r="H8" s="8">
        <f>D8*1.1</f>
        <v/>
      </c>
      <c r="I8" s="8">
        <f>H8/C8</f>
        <v/>
      </c>
    </row>
    <row r="9">
      <c r="A9" s="4" t="inlineStr">
        <is>
          <t>круг 12</t>
        </is>
      </c>
      <c r="B9" s="27" t="inlineStr">
        <is>
          <t>Ст3сп ГОСТ 535-2005</t>
        </is>
      </c>
      <c r="C9" s="5">
        <f>3.14159/4*(12^2)*10^(-6)*7850</f>
        <v/>
      </c>
      <c r="D9" s="6" t="n">
        <v>10</v>
      </c>
      <c r="E9" s="8">
        <f>F9/D9</f>
        <v/>
      </c>
      <c r="F9" s="8">
        <f>G9*C9</f>
        <v/>
      </c>
      <c r="G9" s="6" t="n">
        <v>1</v>
      </c>
      <c r="H9" s="8">
        <f>D9*1.1</f>
        <v/>
      </c>
      <c r="I9" s="8">
        <f>H9/C9</f>
        <v/>
      </c>
    </row>
    <row r="10">
      <c r="A10" s="4" t="inlineStr">
        <is>
          <t>круг 16</t>
        </is>
      </c>
      <c r="B10" s="27" t="inlineStr">
        <is>
          <t>Ст3сп ГОСТ 535-2005</t>
        </is>
      </c>
      <c r="C10" s="5">
        <f>3.14159/4*(16^2)*10^(-6)*7850</f>
        <v/>
      </c>
      <c r="D10" s="6" t="n">
        <v>10</v>
      </c>
      <c r="E10" s="8">
        <f>F10/D10</f>
        <v/>
      </c>
      <c r="F10" s="8">
        <f>G10*C10</f>
        <v/>
      </c>
      <c r="G10" s="6" t="n">
        <v>1</v>
      </c>
      <c r="H10" s="8">
        <f>D10*1.1</f>
        <v/>
      </c>
      <c r="I10" s="8">
        <f>H10/C10</f>
        <v/>
      </c>
    </row>
    <row r="11">
      <c r="A11" s="4" t="inlineStr">
        <is>
          <t>круг 25</t>
        </is>
      </c>
      <c r="B11" s="27" t="inlineStr">
        <is>
          <t>Ст3сп ГОСТ 535-2005</t>
        </is>
      </c>
      <c r="C11" s="5">
        <f>3.14159/4*(25^2)*10^(-6)*7850</f>
        <v/>
      </c>
      <c r="D11" s="6" t="n">
        <v>10</v>
      </c>
      <c r="E11" s="8">
        <f>F11/D11</f>
        <v/>
      </c>
      <c r="F11" s="8">
        <f>G11*C11</f>
        <v/>
      </c>
      <c r="G11" s="6" t="n">
        <v>1</v>
      </c>
      <c r="H11" s="8">
        <f>D11*1.1</f>
        <v/>
      </c>
      <c r="I11" s="8">
        <f>H11/C11</f>
        <v/>
      </c>
    </row>
    <row r="12">
      <c r="A12" s="40" t="inlineStr">
        <is>
          <t>круг 40</t>
        </is>
      </c>
      <c r="B12" s="41" t="inlineStr">
        <is>
          <t>Ст3сп ГОСТ 535-2005</t>
        </is>
      </c>
      <c r="C12" s="42">
        <f>3.14159/4*(40^2)*10^(-6)*7850</f>
        <v/>
      </c>
      <c r="D12" s="43" t="n">
        <v>0.576</v>
      </c>
      <c r="E12" s="44">
        <f>F12/D12</f>
        <v/>
      </c>
      <c r="F12" s="44">
        <f>G12*C12</f>
        <v/>
      </c>
      <c r="G12" s="43" t="n">
        <v>0.08</v>
      </c>
      <c r="H12" s="44">
        <f>D12*1.1</f>
        <v/>
      </c>
      <c r="I12" s="44">
        <f>H12/C12</f>
        <v/>
      </c>
    </row>
    <row r="13">
      <c r="A13" s="37" t="inlineStr">
        <is>
          <t>ПОЛОСА ГОСТ 103-2006</t>
        </is>
      </c>
    </row>
    <row r="14">
      <c r="A14" s="27" t="inlineStr">
        <is>
          <t>полоса 4х20</t>
        </is>
      </c>
      <c r="B14" s="27" t="inlineStr">
        <is>
          <t>Ст3сп ГОСТ 535-2005</t>
        </is>
      </c>
      <c r="C14" s="5">
        <f>(4*20)*10^(-6)*7850</f>
        <v/>
      </c>
      <c r="D14" s="6" t="n">
        <v>10</v>
      </c>
      <c r="E14" s="8">
        <f>F14/D14</f>
        <v/>
      </c>
      <c r="F14" s="8">
        <f>G14*C14</f>
        <v/>
      </c>
      <c r="G14" s="6" t="n">
        <v>1</v>
      </c>
      <c r="H14" s="8">
        <f>D14*1.1</f>
        <v/>
      </c>
      <c r="I14" s="8">
        <f>H14/C14</f>
        <v/>
      </c>
    </row>
    <row r="15">
      <c r="A15" s="27" t="inlineStr">
        <is>
          <t>полоса 4х40</t>
        </is>
      </c>
      <c r="B15" s="27" t="inlineStr">
        <is>
          <t>Ст3сп ГОСТ 535-2005</t>
        </is>
      </c>
      <c r="C15" s="5">
        <f>(4*40)*10^(-6)*7850</f>
        <v/>
      </c>
      <c r="D15" s="6" t="n">
        <v>10</v>
      </c>
      <c r="E15" s="8">
        <f>F15/D15</f>
        <v/>
      </c>
      <c r="F15" s="8">
        <f>G15*C15</f>
        <v/>
      </c>
      <c r="G15" s="6" t="n">
        <v>1</v>
      </c>
      <c r="H15" s="8">
        <f>D15*1.1</f>
        <v/>
      </c>
      <c r="I15" s="8">
        <f>H15/C15</f>
        <v/>
      </c>
    </row>
    <row r="16">
      <c r="A16" s="27" t="inlineStr">
        <is>
          <t>полоса 8х80</t>
        </is>
      </c>
      <c r="B16" s="27" t="inlineStr">
        <is>
          <t>Ст3сп ГОСТ 535-2005</t>
        </is>
      </c>
      <c r="C16" s="5">
        <f>(8*80)*10^(-6)*7850</f>
        <v/>
      </c>
      <c r="D16" s="6" t="n">
        <v>10</v>
      </c>
      <c r="E16" s="8">
        <f>F16/D16</f>
        <v/>
      </c>
      <c r="F16" s="8">
        <f>G16*C16</f>
        <v/>
      </c>
      <c r="G16" s="6" t="n">
        <v>1</v>
      </c>
      <c r="H16" s="8">
        <f>D16*1.1</f>
        <v/>
      </c>
      <c r="I16" s="8">
        <f>H16/C16</f>
        <v/>
      </c>
    </row>
    <row r="17">
      <c r="A17" s="27" t="inlineStr">
        <is>
          <t>полоса 10х100</t>
        </is>
      </c>
      <c r="B17" s="27" t="inlineStr">
        <is>
          <t>Ст3сп ГОСТ 535-2005</t>
        </is>
      </c>
      <c r="C17" s="5">
        <f>(10*100)*10^(-6)*7850</f>
        <v/>
      </c>
      <c r="D17" s="6" t="n">
        <v>10</v>
      </c>
      <c r="E17" s="8">
        <f>F17/D17</f>
        <v/>
      </c>
      <c r="F17" s="8">
        <f>G17*C17</f>
        <v/>
      </c>
      <c r="G17" s="6" t="n">
        <v>1</v>
      </c>
      <c r="H17" s="8">
        <f>D17*1.1</f>
        <v/>
      </c>
      <c r="I17" s="8">
        <f>H17/C17</f>
        <v/>
      </c>
    </row>
    <row r="18">
      <c r="A18" s="37" t="inlineStr">
        <is>
          <t>УГОЛОК ГОСТ 8509-93</t>
        </is>
      </c>
    </row>
    <row r="19">
      <c r="A19" s="27" t="inlineStr">
        <is>
          <t>уголок 25х25х4</t>
        </is>
      </c>
      <c r="B19" s="27" t="inlineStr">
        <is>
          <t>Ст3сп ГОСТ 535-2005</t>
        </is>
      </c>
      <c r="C19" s="5" t="n">
        <v>1.46</v>
      </c>
      <c r="D19" s="6" t="n">
        <v>10</v>
      </c>
      <c r="E19" s="8">
        <f>F19/D19</f>
        <v/>
      </c>
      <c r="F19" s="8">
        <f>G19*C19</f>
        <v/>
      </c>
      <c r="G19" s="6" t="n">
        <v>1</v>
      </c>
      <c r="H19" s="8">
        <f>D19*1.1</f>
        <v/>
      </c>
      <c r="I19" s="8">
        <f>H19/C19</f>
        <v/>
      </c>
    </row>
    <row r="20">
      <c r="A20" s="27" t="inlineStr">
        <is>
          <t>уголок 40х40х4</t>
        </is>
      </c>
      <c r="B20" s="27" t="inlineStr">
        <is>
          <t>Ст3сп ГОСТ 535-2005</t>
        </is>
      </c>
      <c r="C20" s="5" t="n">
        <v>2.42</v>
      </c>
      <c r="D20" s="6" t="n">
        <v>10</v>
      </c>
      <c r="E20" s="8">
        <f>F20/D20</f>
        <v/>
      </c>
      <c r="F20" s="8">
        <f>G20*C20</f>
        <v/>
      </c>
      <c r="G20" s="6" t="n">
        <v>1</v>
      </c>
      <c r="H20" s="8">
        <f>D20*1.1</f>
        <v/>
      </c>
      <c r="I20" s="8">
        <f>H20/C20</f>
        <v/>
      </c>
    </row>
    <row r="21">
      <c r="A21" s="27" t="inlineStr">
        <is>
          <t>уголок 50х50х5</t>
        </is>
      </c>
      <c r="B21" s="27" t="inlineStr">
        <is>
          <t>Ст3сп ГОСТ 535-2005</t>
        </is>
      </c>
      <c r="C21" s="5" t="n">
        <v>3.77</v>
      </c>
      <c r="D21" s="6" t="n">
        <v>10</v>
      </c>
      <c r="E21" s="8">
        <f>F21/D21</f>
        <v/>
      </c>
      <c r="F21" s="8">
        <f>G21*C21</f>
        <v/>
      </c>
      <c r="G21" s="6" t="n">
        <v>1</v>
      </c>
      <c r="H21" s="8">
        <f>D21*1.1</f>
        <v/>
      </c>
      <c r="I21" s="8">
        <f>H21/C21</f>
        <v/>
      </c>
    </row>
    <row r="22">
      <c r="A22" s="27" t="inlineStr">
        <is>
          <t>уголок 63х63х5</t>
        </is>
      </c>
      <c r="B22" s="27" t="inlineStr">
        <is>
          <t>Ст3сп ГОСТ 535-2005</t>
        </is>
      </c>
      <c r="C22" s="5" t="n">
        <v>4.81</v>
      </c>
      <c r="D22" s="6" t="n">
        <v>10</v>
      </c>
      <c r="E22" s="8">
        <f>F22/D22</f>
        <v/>
      </c>
      <c r="F22" s="8">
        <f>G22*C22</f>
        <v/>
      </c>
      <c r="G22" s="6" t="n">
        <v>1</v>
      </c>
      <c r="H22" s="8">
        <f>D22*1.1</f>
        <v/>
      </c>
      <c r="I22" s="8">
        <f>H22/C22</f>
        <v/>
      </c>
    </row>
    <row r="23">
      <c r="A23" s="37" t="inlineStr">
        <is>
          <t>ШВЕЛЛЕР ГОСТ 8240-97</t>
        </is>
      </c>
    </row>
    <row r="24">
      <c r="A24" s="27" t="inlineStr">
        <is>
          <t>швеллер 8П</t>
        </is>
      </c>
      <c r="B24" s="27" t="inlineStr">
        <is>
          <t>Ст3сп ГОСТ 535-2005</t>
        </is>
      </c>
      <c r="C24" s="5" t="n">
        <v>7.05</v>
      </c>
      <c r="D24" s="6" t="n">
        <v>10</v>
      </c>
      <c r="E24" s="8">
        <f>F24/D24</f>
        <v/>
      </c>
      <c r="F24" s="8">
        <f>G24*C24</f>
        <v/>
      </c>
      <c r="G24" s="6" t="n">
        <v>1</v>
      </c>
      <c r="H24" s="8">
        <f>D24*1.1</f>
        <v/>
      </c>
      <c r="I24" s="8">
        <f>H24/C24</f>
        <v/>
      </c>
    </row>
    <row r="25">
      <c r="A25" s="27" t="inlineStr">
        <is>
          <t>швеллер 10П</t>
        </is>
      </c>
      <c r="B25" s="27" t="inlineStr">
        <is>
          <t>Ст3сп ГОСТ 535-2005</t>
        </is>
      </c>
      <c r="C25" s="5" t="n">
        <v>8.59</v>
      </c>
      <c r="D25" s="6" t="n">
        <v>10</v>
      </c>
      <c r="E25" s="8">
        <f>F25/D25</f>
        <v/>
      </c>
      <c r="F25" s="8">
        <f>G25*C25</f>
        <v/>
      </c>
      <c r="G25" s="6" t="n">
        <v>1</v>
      </c>
      <c r="H25" s="8">
        <f>D25*1.1</f>
        <v/>
      </c>
      <c r="I25" s="8">
        <f>H25/C25</f>
        <v/>
      </c>
    </row>
    <row r="26">
      <c r="A26" s="27" t="inlineStr">
        <is>
          <t>швеллер 16П</t>
        </is>
      </c>
      <c r="B26" s="27" t="inlineStr">
        <is>
          <t>Ст3сп ГОСТ 535-2005</t>
        </is>
      </c>
      <c r="C26" s="5" t="n">
        <v>14.2</v>
      </c>
      <c r="D26" s="6" t="n">
        <v>10</v>
      </c>
      <c r="E26" s="8">
        <f>F26/D26</f>
        <v/>
      </c>
      <c r="F26" s="8">
        <f>G26*C26</f>
        <v/>
      </c>
      <c r="G26" s="6" t="n">
        <v>1</v>
      </c>
      <c r="H26" s="8">
        <f>D26*1.1</f>
        <v/>
      </c>
      <c r="I26" s="8">
        <f>H26/C26</f>
        <v/>
      </c>
    </row>
    <row r="27">
      <c r="A27" s="37" t="inlineStr">
        <is>
          <t>ДВУТАВР ГОСТ 8239-89 (ТУ 24107-044-001)</t>
        </is>
      </c>
    </row>
    <row r="28">
      <c r="A28" s="4" t="inlineStr">
        <is>
          <t>двутавр 18</t>
        </is>
      </c>
      <c r="B28" s="27" t="inlineStr">
        <is>
          <t>Ст3сп ГОСТ 535-2005</t>
        </is>
      </c>
      <c r="C28" s="5" t="n">
        <v>18.4</v>
      </c>
      <c r="D28" s="6" t="n">
        <v>10</v>
      </c>
      <c r="E28" s="8">
        <f>F28/D28</f>
        <v/>
      </c>
      <c r="F28" s="8">
        <f>G28*C28</f>
        <v/>
      </c>
      <c r="G28" s="6" t="n">
        <v>1</v>
      </c>
      <c r="H28" s="8">
        <f>D28*1.1</f>
        <v/>
      </c>
      <c r="I28" s="8">
        <f>H28/C28</f>
        <v/>
      </c>
    </row>
    <row r="29">
      <c r="A29" s="37" t="inlineStr">
        <is>
          <t>ДВУТАВР С ПАРАЛЛЕЛЬНЫМИ ГРАНЯМИ ГОСТ Р 57837-2017 (СТО АСЧМ 20-93, ГОСТ 26020-83)</t>
        </is>
      </c>
    </row>
    <row r="30">
      <c r="A30" s="27" t="inlineStr">
        <is>
          <t>двутавр 20Б1</t>
        </is>
      </c>
      <c r="B30" s="27" t="inlineStr">
        <is>
          <t>Ст3сп ГОСТ 535-2005</t>
        </is>
      </c>
      <c r="C30" s="5" t="n">
        <v>21.3</v>
      </c>
      <c r="D30" s="6" t="n">
        <v>10</v>
      </c>
      <c r="E30" s="8">
        <f>F30/D30</f>
        <v/>
      </c>
      <c r="F30" s="8">
        <f>G30*C30</f>
        <v/>
      </c>
      <c r="G30" s="6" t="n">
        <v>1</v>
      </c>
      <c r="H30" s="8">
        <f>D30*1.1</f>
        <v/>
      </c>
      <c r="I30" s="8">
        <f>H30/C30</f>
        <v/>
      </c>
    </row>
    <row r="31">
      <c r="A31" s="27" t="inlineStr">
        <is>
          <t>двутавр 20Ш1</t>
        </is>
      </c>
      <c r="B31" s="27" t="inlineStr">
        <is>
          <t>Ст3сп ГОСТ 535-2005</t>
        </is>
      </c>
      <c r="C31" s="5" t="n">
        <v>30.6</v>
      </c>
      <c r="D31" s="6" t="n">
        <v>10</v>
      </c>
      <c r="E31" s="8">
        <f>F31/D31</f>
        <v/>
      </c>
      <c r="F31" s="8">
        <f>G31*C31</f>
        <v/>
      </c>
      <c r="G31" s="6" t="n">
        <v>1</v>
      </c>
      <c r="H31" s="8">
        <f>D31*1.1</f>
        <v/>
      </c>
      <c r="I31" s="8">
        <f>H31/C31</f>
        <v/>
      </c>
    </row>
    <row r="32">
      <c r="A32" s="27" t="inlineStr">
        <is>
          <t>двутавр 20К1</t>
        </is>
      </c>
      <c r="B32" s="27" t="inlineStr">
        <is>
          <t>Ст3сп ГОСТ 535-2005</t>
        </is>
      </c>
      <c r="C32" s="5" t="n">
        <v>41.4</v>
      </c>
      <c r="D32" s="6" t="n">
        <v>10</v>
      </c>
      <c r="E32" s="8">
        <f>F32/D32</f>
        <v/>
      </c>
      <c r="F32" s="8">
        <f>G32*C32</f>
        <v/>
      </c>
      <c r="G32" s="6" t="n">
        <v>1</v>
      </c>
      <c r="H32" s="8">
        <f>D32*1.1</f>
        <v/>
      </c>
      <c r="I32" s="8">
        <f>H32/C32</f>
        <v/>
      </c>
    </row>
    <row r="33">
      <c r="A33" s="37" t="inlineStr">
        <is>
          <t>БАЛКА ДВУТАВРОВАЯ СПЕЦИАЛЬНАЯ ГОСТ 19425-74</t>
        </is>
      </c>
    </row>
    <row r="34">
      <c r="A34" s="27" t="inlineStr">
        <is>
          <t>двутавр 24М</t>
        </is>
      </c>
      <c r="B34" s="27" t="inlineStr">
        <is>
          <t>Ст3сп ГОСТ 535-2005</t>
        </is>
      </c>
      <c r="C34" s="5" t="n">
        <v>38.3</v>
      </c>
      <c r="D34" s="6" t="n">
        <v>10</v>
      </c>
      <c r="E34" s="8">
        <f>F34/D34</f>
        <v/>
      </c>
      <c r="F34" s="8">
        <f>G34*C34</f>
        <v/>
      </c>
      <c r="G34" s="6" t="n">
        <v>1</v>
      </c>
      <c r="H34" s="8">
        <f>D34*1.1</f>
        <v/>
      </c>
      <c r="I34" s="8">
        <f>H34/C34</f>
        <v/>
      </c>
    </row>
    <row r="35">
      <c r="A35" s="37" t="inlineStr">
        <is>
          <t>ТРУБА ВГП ГОСТ 3262-75</t>
        </is>
      </c>
    </row>
    <row r="36">
      <c r="A36" s="27" t="inlineStr">
        <is>
          <t>труба 15х2,8</t>
        </is>
      </c>
      <c r="B36" s="27" t="inlineStr">
        <is>
          <t>Ст3сп</t>
        </is>
      </c>
      <c r="C36" s="5">
        <f>3.14159/4*(21.3^2-(21.3-2*2.8)^2)*10^(-6)*7850</f>
        <v/>
      </c>
      <c r="D36" s="6" t="n">
        <v>10</v>
      </c>
      <c r="E36" s="8">
        <f>F36/D36</f>
        <v/>
      </c>
      <c r="F36" s="8">
        <f>G36*C36</f>
        <v/>
      </c>
      <c r="G36" s="6" t="n">
        <v>1</v>
      </c>
      <c r="H36" s="8">
        <f>D36*1.1</f>
        <v/>
      </c>
      <c r="I36" s="8">
        <f>H36/C36</f>
        <v/>
      </c>
    </row>
    <row r="37">
      <c r="A37" s="27" t="inlineStr">
        <is>
          <t>труба 20х2,8</t>
        </is>
      </c>
      <c r="B37" s="27" t="inlineStr">
        <is>
          <t>Ст3сп</t>
        </is>
      </c>
      <c r="C37" s="5">
        <f>3.14159/4*(26.8^2-(26.8-2*2.8)^2)*10^(-6)*7850</f>
        <v/>
      </c>
      <c r="D37" s="6" t="n">
        <v>10</v>
      </c>
      <c r="E37" s="8">
        <f>F37/D37</f>
        <v/>
      </c>
      <c r="F37" s="8">
        <f>G37*C37</f>
        <v/>
      </c>
      <c r="G37" s="6" t="n">
        <v>1</v>
      </c>
      <c r="H37" s="8">
        <f>D37*1.1</f>
        <v/>
      </c>
      <c r="I37" s="8">
        <f>H37/C37</f>
        <v/>
      </c>
    </row>
    <row r="38">
      <c r="A38" s="27" t="inlineStr">
        <is>
          <t>труба 25х3,2</t>
        </is>
      </c>
      <c r="B38" s="27" t="inlineStr">
        <is>
          <t>Ст3сп</t>
        </is>
      </c>
      <c r="C38" s="5">
        <f>3.14159/4*(33.5^2-(33.5-2*3.2)^2)*10^(-6)*7850</f>
        <v/>
      </c>
      <c r="D38" s="6" t="n">
        <v>10</v>
      </c>
      <c r="E38" s="8">
        <f>F38/D38</f>
        <v/>
      </c>
      <c r="F38" s="8">
        <f>G38*C38</f>
        <v/>
      </c>
      <c r="G38" s="6" t="n">
        <v>1</v>
      </c>
      <c r="H38" s="8">
        <f>D38*1.1</f>
        <v/>
      </c>
      <c r="I38" s="8">
        <f>H38/C38</f>
        <v/>
      </c>
    </row>
    <row r="39">
      <c r="A39" s="27" t="inlineStr">
        <is>
          <t>труба 32х3,2</t>
        </is>
      </c>
      <c r="B39" s="27" t="inlineStr">
        <is>
          <t>Ст3сп</t>
        </is>
      </c>
      <c r="C39" s="5">
        <f>3.14159/4*(42.3^2-(42.3-2*3.2)^2)*10^(-6)*7850</f>
        <v/>
      </c>
      <c r="D39" s="6" t="n">
        <v>10</v>
      </c>
      <c r="E39" s="8">
        <f>F39/D39</f>
        <v/>
      </c>
      <c r="F39" s="8">
        <f>G39*C39</f>
        <v/>
      </c>
      <c r="G39" s="6" t="n">
        <v>1</v>
      </c>
      <c r="H39" s="8">
        <f>D39*1.1</f>
        <v/>
      </c>
      <c r="I39" s="8">
        <f>H39/C39</f>
        <v/>
      </c>
    </row>
    <row r="40">
      <c r="A40" s="27" t="inlineStr">
        <is>
          <t>труба 40х3,5</t>
        </is>
      </c>
      <c r="B40" s="27" t="inlineStr">
        <is>
          <t>Ст3сп</t>
        </is>
      </c>
      <c r="C40" s="5">
        <f>3.14159/4*(48^2-(48-2*3.5)^2)*10^(-6)*7850</f>
        <v/>
      </c>
      <c r="D40" s="6" t="n">
        <v>10</v>
      </c>
      <c r="E40" s="8">
        <f>F40/D40</f>
        <v/>
      </c>
      <c r="F40" s="8">
        <f>G40*C40</f>
        <v/>
      </c>
      <c r="G40" s="6" t="n">
        <v>1</v>
      </c>
      <c r="H40" s="8">
        <f>D40*1.1</f>
        <v/>
      </c>
      <c r="I40" s="8">
        <f>H40/C40</f>
        <v/>
      </c>
    </row>
    <row r="41">
      <c r="A41" s="27" t="inlineStr">
        <is>
          <t>труба 50х3,5</t>
        </is>
      </c>
      <c r="B41" s="27" t="inlineStr">
        <is>
          <t>Ст3сп</t>
        </is>
      </c>
      <c r="C41" s="5">
        <f>3.14159/4*(60^2-(60-2*3.5)^2)*10^(-6)*7850</f>
        <v/>
      </c>
      <c r="D41" s="6" t="n">
        <v>10</v>
      </c>
      <c r="E41" s="8">
        <f>F41/D41</f>
        <v/>
      </c>
      <c r="F41" s="8">
        <f>G41*C41</f>
        <v/>
      </c>
      <c r="G41" s="6" t="n">
        <v>1</v>
      </c>
      <c r="H41" s="8">
        <f>D41*1.1</f>
        <v/>
      </c>
      <c r="I41" s="8">
        <f>H41/C41</f>
        <v/>
      </c>
    </row>
    <row r="42">
      <c r="A42" s="37" t="inlineStr">
        <is>
          <t>ТРУБА ЭЛЕКТРОСВАРНАЯ ГОСТ 10704-91</t>
        </is>
      </c>
    </row>
    <row r="43">
      <c r="A43" s="27" t="inlineStr">
        <is>
          <t>труба 12х2</t>
        </is>
      </c>
      <c r="B43" s="27" t="inlineStr">
        <is>
          <t>Ст3сп ГОСТ 10705-80</t>
        </is>
      </c>
      <c r="C43" s="5">
        <f>3.14159/4*(12^2-(12-2*2)^2)*10^(-6)*7850</f>
        <v/>
      </c>
      <c r="D43" s="6" t="n">
        <v>10</v>
      </c>
      <c r="E43" s="8">
        <f>F43/D43</f>
        <v/>
      </c>
      <c r="F43" s="8">
        <f>G43*C43</f>
        <v/>
      </c>
      <c r="G43" s="6" t="n">
        <v>1</v>
      </c>
      <c r="H43" s="8">
        <f>D43*1.1</f>
        <v/>
      </c>
      <c r="I43" s="8">
        <f>H43/C43</f>
        <v/>
      </c>
    </row>
    <row r="44">
      <c r="A44" s="39" t="inlineStr">
        <is>
          <t>труба 76х3,5</t>
        </is>
      </c>
      <c r="B44" s="27" t="inlineStr">
        <is>
          <t>Ст3сп ГОСТ 10705-80</t>
        </is>
      </c>
      <c r="C44" s="5">
        <f>3.14159/4*(76^2-(76-2*3.5)^2)*10^(-6)*7850</f>
        <v/>
      </c>
      <c r="D44" s="6" t="n">
        <v>10</v>
      </c>
      <c r="E44" s="8">
        <f>F44/D44</f>
        <v/>
      </c>
      <c r="F44" s="8">
        <f>G44*C44</f>
        <v/>
      </c>
      <c r="G44" s="6" t="n">
        <v>1</v>
      </c>
      <c r="H44" s="8">
        <f>D44*1.1</f>
        <v/>
      </c>
      <c r="I44" s="8">
        <f>H44/C44</f>
        <v/>
      </c>
    </row>
    <row r="45">
      <c r="A45" s="27" t="inlineStr">
        <is>
          <t>труба 89х4</t>
        </is>
      </c>
      <c r="B45" s="27" t="inlineStr">
        <is>
          <t>Ст3сп ГОСТ 10705-80</t>
        </is>
      </c>
      <c r="C45" s="5">
        <f>3.14159/4*(89^2-(89-2*4)^2)*10^(-6)*7850</f>
        <v/>
      </c>
      <c r="D45" s="6" t="n">
        <v>10</v>
      </c>
      <c r="E45" s="8">
        <f>F45/D45</f>
        <v/>
      </c>
      <c r="F45" s="8">
        <f>G45*C45</f>
        <v/>
      </c>
      <c r="G45" s="6" t="n">
        <v>1</v>
      </c>
      <c r="H45" s="8">
        <f>D45*1.1</f>
        <v/>
      </c>
      <c r="I45" s="8">
        <f>H45/C45</f>
        <v/>
      </c>
    </row>
    <row r="46">
      <c r="A46" s="27" t="inlineStr">
        <is>
          <t>труба 108х4</t>
        </is>
      </c>
      <c r="B46" s="27" t="inlineStr">
        <is>
          <t>Ст3сп ГОСТ 10705-80</t>
        </is>
      </c>
      <c r="C46" s="5">
        <f>3.14159/4*(108^2-(108-2*4)^2)*10^(-6)*7850</f>
        <v/>
      </c>
      <c r="D46" s="6" t="n">
        <v>10</v>
      </c>
      <c r="E46" s="8">
        <f>F46/D46</f>
        <v/>
      </c>
      <c r="F46" s="8">
        <f>G46*C46</f>
        <v/>
      </c>
      <c r="G46" s="6" t="n">
        <v>1</v>
      </c>
      <c r="H46" s="8">
        <f>D46*1.1</f>
        <v/>
      </c>
      <c r="I46" s="8">
        <f>H46/C46</f>
        <v/>
      </c>
    </row>
    <row r="47">
      <c r="A47" s="27" t="inlineStr">
        <is>
          <t>труба 114х5</t>
        </is>
      </c>
      <c r="B47" s="27" t="inlineStr">
        <is>
          <t>Ст3сп ГОСТ 10705-80</t>
        </is>
      </c>
      <c r="C47" s="5">
        <f>3.14159/4*(114^2-(114-2*5)^2)*10^(-6)*7850</f>
        <v/>
      </c>
      <c r="D47" s="6" t="n">
        <v>10</v>
      </c>
      <c r="E47" s="8">
        <f>F47/D47</f>
        <v/>
      </c>
      <c r="F47" s="8">
        <f>G47*C47</f>
        <v/>
      </c>
      <c r="G47" s="6" t="n">
        <v>1</v>
      </c>
      <c r="H47" s="8">
        <f>D47*1.1</f>
        <v/>
      </c>
      <c r="I47" s="8">
        <f>H47/C47</f>
        <v/>
      </c>
    </row>
    <row r="48">
      <c r="A48" s="27" t="inlineStr">
        <is>
          <t>труба 159х4</t>
        </is>
      </c>
      <c r="B48" s="27" t="inlineStr">
        <is>
          <t>Ст3сп ГОСТ 10705-80</t>
        </is>
      </c>
      <c r="C48" s="5">
        <f>3.14159/4*(159^2-(159-2*4)^2)*10^(-6)*7850</f>
        <v/>
      </c>
      <c r="D48" s="6" t="n">
        <v>10</v>
      </c>
      <c r="E48" s="8">
        <f>F48/D48</f>
        <v/>
      </c>
      <c r="F48" s="8">
        <f>G48*C48</f>
        <v/>
      </c>
      <c r="G48" s="6" t="n">
        <v>1</v>
      </c>
      <c r="H48" s="8">
        <f>D48*1.1</f>
        <v/>
      </c>
      <c r="I48" s="8">
        <f>H48/C48</f>
        <v/>
      </c>
    </row>
    <row r="49">
      <c r="A49" s="37" t="inlineStr">
        <is>
          <t>ТРУБА КВАДРАТНАЯ ГОСТ 8639-82</t>
        </is>
      </c>
    </row>
    <row r="50">
      <c r="A50" s="27" t="inlineStr">
        <is>
          <t>труба 25х25х2</t>
        </is>
      </c>
      <c r="B50" s="27" t="inlineStr">
        <is>
          <t>Ст3сп ГОСТ 13663-86</t>
        </is>
      </c>
      <c r="C50" s="5" t="n">
        <v>1.39</v>
      </c>
      <c r="D50" s="6" t="n">
        <v>10</v>
      </c>
      <c r="E50" s="8">
        <f>F50/D50</f>
        <v/>
      </c>
      <c r="F50" s="8">
        <f>G50*C50</f>
        <v/>
      </c>
      <c r="G50" s="6" t="n">
        <v>1</v>
      </c>
      <c r="H50" s="8">
        <f>D50*1.1</f>
        <v/>
      </c>
      <c r="I50" s="8">
        <f>H50/C50</f>
        <v/>
      </c>
    </row>
    <row r="51">
      <c r="A51" s="41" t="inlineStr">
        <is>
          <t>труба 40х40х3</t>
        </is>
      </c>
      <c r="B51" s="41" t="inlineStr">
        <is>
          <t>Ст3сп ГОСТ 13663-86</t>
        </is>
      </c>
      <c r="C51" s="42" t="n">
        <v>3.36</v>
      </c>
      <c r="D51" s="43" t="n">
        <v>45.151</v>
      </c>
      <c r="E51" s="44">
        <f>F51/D51</f>
        <v/>
      </c>
      <c r="F51" s="44">
        <f>G51*C51</f>
        <v/>
      </c>
      <c r="G51" s="43" t="n">
        <v>13.44</v>
      </c>
      <c r="H51" s="44">
        <f>D51*1.1</f>
        <v/>
      </c>
      <c r="I51" s="44">
        <f>H51/C51</f>
        <v/>
      </c>
    </row>
    <row r="52">
      <c r="A52" s="39" t="inlineStr">
        <is>
          <t>труба 80х80х3</t>
        </is>
      </c>
      <c r="B52" s="27" t="inlineStr">
        <is>
          <t>Ст3сп ГОСТ 13663-86</t>
        </is>
      </c>
      <c r="C52" s="5" t="n">
        <v>7.13</v>
      </c>
      <c r="D52" s="6" t="n">
        <v>10</v>
      </c>
      <c r="E52" s="8">
        <f>F52/D52</f>
        <v/>
      </c>
      <c r="F52" s="8">
        <f>G52*C52</f>
        <v/>
      </c>
      <c r="G52" s="6" t="n">
        <v>1</v>
      </c>
      <c r="H52" s="8">
        <f>D52*1.1</f>
        <v/>
      </c>
      <c r="I52" s="8">
        <f>H52/C52</f>
        <v/>
      </c>
    </row>
    <row r="53">
      <c r="A53" s="27" t="inlineStr">
        <is>
          <t>труба 100х100х6</t>
        </is>
      </c>
      <c r="B53" s="27" t="inlineStr">
        <is>
          <t>Ст3сп ГОСТ 13663-86</t>
        </is>
      </c>
      <c r="C53" s="5" t="n">
        <v>17.22</v>
      </c>
      <c r="D53" s="6" t="n">
        <v>10</v>
      </c>
      <c r="E53" s="8">
        <f>F53/D53</f>
        <v/>
      </c>
      <c r="F53" s="8">
        <f>G53*C53</f>
        <v/>
      </c>
      <c r="G53" s="6" t="n">
        <v>1</v>
      </c>
      <c r="H53" s="8">
        <f>D53*1.1</f>
        <v/>
      </c>
      <c r="I53" s="8">
        <f>H53/C53</f>
        <v/>
      </c>
    </row>
    <row r="54">
      <c r="A54" s="37" t="inlineStr">
        <is>
          <t>ТРУБА ПРЯМОУГОЛЬНАЯ ГОСТ 8645-68</t>
        </is>
      </c>
    </row>
    <row r="55">
      <c r="A55" s="27" t="inlineStr">
        <is>
          <t>труба 40х20х2,5</t>
        </is>
      </c>
      <c r="B55" s="27" t="inlineStr">
        <is>
          <t>Ст3сп ГОСТ 13663-86</t>
        </is>
      </c>
      <c r="C55" s="5" t="n">
        <v>2.07</v>
      </c>
      <c r="D55" s="6" t="n">
        <v>10</v>
      </c>
      <c r="E55" s="8">
        <f>F55/D55</f>
        <v/>
      </c>
      <c r="F55" s="8">
        <f>G55*C55</f>
        <v/>
      </c>
      <c r="G55" s="6" t="n">
        <v>1</v>
      </c>
      <c r="H55" s="8">
        <f>D55*1.1</f>
        <v/>
      </c>
      <c r="I55" s="8">
        <f>H55/C55</f>
        <v/>
      </c>
    </row>
    <row r="56">
      <c r="A56" s="27" t="inlineStr">
        <is>
          <t>труба 50х25х2,5</t>
        </is>
      </c>
      <c r="B56" s="27" t="inlineStr">
        <is>
          <t>Ст3сп ГОСТ 13663-86</t>
        </is>
      </c>
      <c r="C56" s="5" t="n">
        <v>2.66</v>
      </c>
      <c r="D56" s="6" t="n">
        <v>10</v>
      </c>
      <c r="E56" s="8">
        <f>F56/D56</f>
        <v/>
      </c>
      <c r="F56" s="8">
        <f>G56*C56</f>
        <v/>
      </c>
      <c r="G56" s="6" t="n">
        <v>1</v>
      </c>
      <c r="H56" s="8">
        <f>D56*1.1</f>
        <v/>
      </c>
      <c r="I56" s="8">
        <f>H56/C56</f>
        <v/>
      </c>
    </row>
    <row r="57">
      <c r="A57" s="27" t="inlineStr">
        <is>
          <t>труба 60х30х3</t>
        </is>
      </c>
      <c r="B57" s="27" t="inlineStr">
        <is>
          <t>Ст3сп ГОСТ 13663-86</t>
        </is>
      </c>
      <c r="C57" s="5" t="n">
        <v>3.83</v>
      </c>
      <c r="D57" s="6" t="n">
        <v>10</v>
      </c>
      <c r="E57" s="8">
        <f>F57/D57</f>
        <v/>
      </c>
      <c r="F57" s="8">
        <f>G57*C57</f>
        <v/>
      </c>
      <c r="G57" s="6" t="n">
        <v>1</v>
      </c>
      <c r="H57" s="8">
        <f>D57*1.1</f>
        <v/>
      </c>
      <c r="I57" s="8">
        <f>H57/C57</f>
        <v/>
      </c>
    </row>
    <row r="58">
      <c r="A58" s="27" t="inlineStr">
        <is>
          <t>труба 60х40х4</t>
        </is>
      </c>
      <c r="B58" s="27" t="inlineStr">
        <is>
          <t>Ст3сп ГОСТ 13663-86</t>
        </is>
      </c>
      <c r="C58" s="5" t="n">
        <v>5.56</v>
      </c>
      <c r="D58" s="6" t="n">
        <v>10</v>
      </c>
      <c r="E58" s="8">
        <f>F58/D58</f>
        <v/>
      </c>
      <c r="F58" s="8">
        <f>G58*C58</f>
        <v/>
      </c>
      <c r="G58" s="6" t="n">
        <v>1</v>
      </c>
      <c r="H58" s="8">
        <f>D58*1.1</f>
        <v/>
      </c>
      <c r="I58" s="8">
        <f>H58/C58</f>
        <v/>
      </c>
    </row>
    <row r="59">
      <c r="A59" s="27" t="inlineStr">
        <is>
          <t>труба 80х40х4</t>
        </is>
      </c>
      <c r="B59" s="27" t="inlineStr">
        <is>
          <t>Ст3сп ГОСТ 13663-86</t>
        </is>
      </c>
      <c r="C59" s="5" t="n">
        <v>6.82</v>
      </c>
      <c r="D59" s="6" t="n">
        <v>10</v>
      </c>
      <c r="E59" s="8">
        <f>F59/D59</f>
        <v/>
      </c>
      <c r="F59" s="8">
        <f>G59*C59</f>
        <v/>
      </c>
      <c r="G59" s="6" t="n">
        <v>1</v>
      </c>
      <c r="H59" s="8">
        <f>D59*1.1</f>
        <v/>
      </c>
      <c r="I59" s="8">
        <f>H59/C59</f>
        <v/>
      </c>
    </row>
    <row r="60">
      <c r="A60" s="36" t="inlineStr">
        <is>
          <t>АРМАТУРА ГОСТ Р 52544-2006 (ГОСТ 34028-2016)</t>
        </is>
      </c>
    </row>
    <row r="61">
      <c r="A61" s="27" t="inlineStr">
        <is>
          <t>арматура 32-А500С</t>
        </is>
      </c>
      <c r="C61" s="5" t="n">
        <v>6.313</v>
      </c>
      <c r="D61" s="6" t="n">
        <v>10</v>
      </c>
      <c r="E61" s="8">
        <f>F61/D61</f>
        <v/>
      </c>
      <c r="F61" s="8">
        <f>G61*C61</f>
        <v/>
      </c>
      <c r="G61" s="6" t="n">
        <v>1</v>
      </c>
      <c r="H61" s="8">
        <f>D61*1.1</f>
        <v/>
      </c>
      <c r="I61" s="8">
        <f>H61/C61</f>
        <v/>
      </c>
    </row>
    <row r="62">
      <c r="A62" s="37" t="inlineStr">
        <is>
          <t>КРУГ НЕРЖ ГОСТ 2590-2006</t>
        </is>
      </c>
    </row>
    <row r="63">
      <c r="A63" s="4" t="inlineStr">
        <is>
          <t>круг 45</t>
        </is>
      </c>
      <c r="B63" s="27" t="inlineStr">
        <is>
          <t>08Х18Н10 ГОСТ 5949-2018</t>
        </is>
      </c>
      <c r="C63" s="5">
        <f>3.14159/4*(45^2)*10^(-6)*7900</f>
        <v/>
      </c>
      <c r="D63" s="6" t="n">
        <v>10</v>
      </c>
      <c r="E63" s="8">
        <f>F63/D63</f>
        <v/>
      </c>
      <c r="F63" s="8">
        <f>G63*C63</f>
        <v/>
      </c>
      <c r="G63" s="6" t="n">
        <v>1</v>
      </c>
      <c r="H63" s="8">
        <f>D63*1.1</f>
        <v/>
      </c>
      <c r="I63" s="8">
        <f>H63/C63</f>
        <v/>
      </c>
    </row>
    <row r="64">
      <c r="A64" s="37" t="inlineStr">
        <is>
          <t>ТРУБА НЕРЖ ЭЛЕКТРОСВАРНАЯ ГОСТ 11068-81</t>
        </is>
      </c>
    </row>
    <row r="65">
      <c r="A65" s="28" t="inlineStr">
        <is>
          <t>труба 21,3х3</t>
        </is>
      </c>
      <c r="B65" s="27" t="inlineStr">
        <is>
          <t>08Х18Н10</t>
        </is>
      </c>
      <c r="C65" s="5">
        <f>3.14159/4*(21.3^2-(21.3-2*3)^2)*10^(-6)*7900</f>
        <v/>
      </c>
      <c r="D65" s="6" t="n">
        <v>10</v>
      </c>
      <c r="E65" s="8">
        <f>F65/D65</f>
        <v/>
      </c>
      <c r="F65" s="8">
        <f>G65*C65</f>
        <v/>
      </c>
      <c r="G65" s="6" t="n">
        <v>1</v>
      </c>
      <c r="H65" s="8">
        <f>D65*1.1</f>
        <v/>
      </c>
      <c r="I65" s="8">
        <f>H65/C65</f>
        <v/>
      </c>
    </row>
    <row r="66">
      <c r="A66" s="28" t="inlineStr">
        <is>
          <t>труба 26,9х3</t>
        </is>
      </c>
      <c r="B66" s="27" t="inlineStr">
        <is>
          <t>08Х18Н10</t>
        </is>
      </c>
      <c r="C66" s="5">
        <f>3.14159/4*(26.9^2-(26.9-2*3)^2)*10^(-6)*7900</f>
        <v/>
      </c>
      <c r="D66" s="6" t="n">
        <v>10</v>
      </c>
      <c r="E66" s="8">
        <f>F66/D66</f>
        <v/>
      </c>
      <c r="F66" s="8">
        <f>G66*C66</f>
        <v/>
      </c>
      <c r="G66" s="6" t="n">
        <v>1</v>
      </c>
      <c r="H66" s="8">
        <f>D66*1.1</f>
        <v/>
      </c>
      <c r="I66" s="8">
        <f>H66/C66</f>
        <v/>
      </c>
    </row>
    <row r="67">
      <c r="A67" s="28" t="inlineStr">
        <is>
          <t>труба 33,7х3</t>
        </is>
      </c>
      <c r="B67" s="27" t="inlineStr">
        <is>
          <t>08Х18Н10</t>
        </is>
      </c>
      <c r="C67" s="5">
        <f>3.14159/4*(33.7^2-(33.7-2*3)^2)*10^(-6)*7900</f>
        <v/>
      </c>
      <c r="D67" s="6" t="n">
        <v>10</v>
      </c>
      <c r="E67" s="8">
        <f>F67/D67</f>
        <v/>
      </c>
      <c r="F67" s="8">
        <f>G67*C67</f>
        <v/>
      </c>
      <c r="G67" s="6" t="n">
        <v>1</v>
      </c>
      <c r="H67" s="8">
        <f>D67*1.1</f>
        <v/>
      </c>
      <c r="I67" s="8">
        <f>H67/C67</f>
        <v/>
      </c>
    </row>
    <row r="68">
      <c r="A68" s="37" t="inlineStr">
        <is>
          <t>ТРУБА НЕРЖ ГОСТ 9941-81</t>
        </is>
      </c>
    </row>
    <row r="69">
      <c r="A69" s="27" t="inlineStr">
        <is>
          <t>труба 10х1,5</t>
        </is>
      </c>
      <c r="B69" s="27" t="inlineStr">
        <is>
          <t>08Х18Н10</t>
        </is>
      </c>
      <c r="C69" s="5">
        <f>3.14159/4*(10^2-(10-2*1.5)^2)*10^(-6)*7900</f>
        <v/>
      </c>
      <c r="D69" s="6" t="n">
        <v>10</v>
      </c>
      <c r="E69" s="8">
        <f>F69/D69</f>
        <v/>
      </c>
      <c r="F69" s="8">
        <f>G69*C69</f>
        <v/>
      </c>
      <c r="G69" s="6" t="n">
        <v>1</v>
      </c>
      <c r="H69" s="8">
        <f>D69*1.1</f>
        <v/>
      </c>
      <c r="I69" s="8">
        <f>H69/C69</f>
        <v/>
      </c>
    </row>
    <row r="70">
      <c r="A70" s="27" t="inlineStr">
        <is>
          <t>труба 21х3</t>
        </is>
      </c>
      <c r="B70" s="27" t="inlineStr">
        <is>
          <t>08Х18Н10</t>
        </is>
      </c>
      <c r="C70" s="5">
        <f>3.14159/4*(21^2-(21-2*3)^2)*10^(-6)*7900</f>
        <v/>
      </c>
      <c r="D70" s="6" t="n">
        <v>10</v>
      </c>
      <c r="E70" s="8">
        <f>F70/D70</f>
        <v/>
      </c>
      <c r="F70" s="8">
        <f>G70*C70</f>
        <v/>
      </c>
      <c r="G70" s="6" t="n">
        <v>1</v>
      </c>
      <c r="H70" s="8">
        <f>D70*1.1</f>
        <v/>
      </c>
      <c r="I70" s="8">
        <f>H70/C70</f>
        <v/>
      </c>
    </row>
    <row r="71">
      <c r="A71" s="41" t="inlineStr">
        <is>
          <t>труба 27х3</t>
        </is>
      </c>
      <c r="B71" s="41" t="inlineStr">
        <is>
          <t>08Х18Н10</t>
        </is>
      </c>
      <c r="C71" s="42">
        <f>3.14159/4*(27^2-(27-2*3)^2)*10^(-6)*7900</f>
        <v/>
      </c>
      <c r="D71" s="43" t="n">
        <v>0.6120000000000001</v>
      </c>
      <c r="E71" s="44">
        <f>F71/D71</f>
        <v/>
      </c>
      <c r="F71" s="44">
        <f>G71*C71</f>
        <v/>
      </c>
      <c r="G71" s="43" t="n">
        <v>0.36</v>
      </c>
      <c r="H71" s="44">
        <f>D71*1.1</f>
        <v/>
      </c>
      <c r="I71" s="44">
        <f>H71/C71</f>
        <v/>
      </c>
    </row>
    <row r="72">
      <c r="A72" s="41" t="inlineStr">
        <is>
          <t>труба 34х3</t>
        </is>
      </c>
      <c r="B72" s="41" t="inlineStr">
        <is>
          <t>08Х18Н10</t>
        </is>
      </c>
      <c r="C72" s="42">
        <f>3.14159/4*(34^2-(34-2*3)^2)*10^(-6)*7900</f>
        <v/>
      </c>
      <c r="D72" s="43" t="n">
        <v>0.121</v>
      </c>
      <c r="E72" s="44">
        <f>F72/D72</f>
        <v/>
      </c>
      <c r="F72" s="44">
        <f>G72*C72</f>
        <v/>
      </c>
      <c r="G72" s="43" t="n">
        <v>0.08</v>
      </c>
      <c r="H72" s="44">
        <f>D72*1.1</f>
        <v/>
      </c>
      <c r="I72" s="44">
        <f>H72/C72</f>
        <v/>
      </c>
    </row>
    <row r="73">
      <c r="A73" s="27" t="inlineStr">
        <is>
          <t>труба 42х3,5</t>
        </is>
      </c>
      <c r="B73" s="27" t="inlineStr">
        <is>
          <t>08Х18Н10</t>
        </is>
      </c>
      <c r="C73" s="5">
        <f>3.14159/4*(42^2-(42-2*3.5)^2)*10^(-6)*7900</f>
        <v/>
      </c>
      <c r="D73" s="6" t="n">
        <v>10</v>
      </c>
      <c r="E73" s="8">
        <f>F73/D73</f>
        <v/>
      </c>
      <c r="F73" s="8">
        <f>G73*C73</f>
        <v/>
      </c>
      <c r="G73" s="6" t="n">
        <v>1</v>
      </c>
      <c r="H73" s="8">
        <f>D73*1.1</f>
        <v/>
      </c>
      <c r="I73" s="8">
        <f>H73/C73</f>
        <v/>
      </c>
    </row>
    <row r="74">
      <c r="A74" s="27" t="inlineStr">
        <is>
          <t>труба 48х3,5</t>
        </is>
      </c>
      <c r="B74" s="27" t="inlineStr">
        <is>
          <t>08Х18Н10</t>
        </is>
      </c>
      <c r="C74" s="5">
        <f>3.14159/4*(48^2-(48-2*3.5)^2)*10^(-6)*7900</f>
        <v/>
      </c>
      <c r="D74" s="6" t="n">
        <v>10</v>
      </c>
      <c r="E74" s="8">
        <f>F74/D74</f>
        <v/>
      </c>
      <c r="F74" s="8">
        <f>G74*C74</f>
        <v/>
      </c>
      <c r="G74" s="6" t="n">
        <v>1</v>
      </c>
      <c r="H74" s="8">
        <f>D74*1.1</f>
        <v/>
      </c>
      <c r="I74" s="8">
        <f>H74/C74</f>
        <v/>
      </c>
    </row>
    <row r="75">
      <c r="A75" s="37" t="inlineStr">
        <is>
          <t>ТРУБА КВАДРАТНАЯ НЕРЖ ГОСТ 8639-82</t>
        </is>
      </c>
    </row>
    <row r="76">
      <c r="A76" s="27" t="inlineStr">
        <is>
          <t>труба 25х25х2</t>
        </is>
      </c>
      <c r="B76" s="27" t="inlineStr">
        <is>
          <t>08Х18Н10</t>
        </is>
      </c>
      <c r="C76" s="5">
        <f>(1.77)*10^(-4)*7900</f>
        <v/>
      </c>
      <c r="D76" s="6" t="n">
        <v>10</v>
      </c>
      <c r="E76" s="8">
        <f>F76/D76</f>
        <v/>
      </c>
      <c r="F76" s="8">
        <f>G76*C76</f>
        <v/>
      </c>
      <c r="G76" s="6" t="n">
        <v>1</v>
      </c>
      <c r="H76" s="8">
        <f>D76*1.1</f>
        <v/>
      </c>
      <c r="I76" s="8">
        <f>H76/C76</f>
        <v/>
      </c>
    </row>
    <row r="77">
      <c r="A77" s="41" t="inlineStr">
        <is>
          <t>труба 40х40х3</t>
        </is>
      </c>
      <c r="B77" s="41" t="inlineStr">
        <is>
          <t>08Х18Н10</t>
        </is>
      </c>
      <c r="C77" s="42">
        <f>(4.28)*10^(-4)*7900</f>
        <v/>
      </c>
      <c r="D77" s="43" t="n">
        <v>2.726</v>
      </c>
      <c r="E77" s="44">
        <f>F77/D77</f>
        <v/>
      </c>
      <c r="F77" s="44">
        <f>G77*C77</f>
        <v/>
      </c>
      <c r="G77" s="43" t="n">
        <v>0.82</v>
      </c>
      <c r="H77" s="44">
        <f>D77*1.1</f>
        <v/>
      </c>
      <c r="I77" s="44">
        <f>H77/C77</f>
        <v/>
      </c>
    </row>
    <row r="78">
      <c r="A78" s="37" t="inlineStr">
        <is>
          <t>ТРУБА ПРЯМОУГОЛЬНАЯ НЕРЖ ГОСТ 8645-68</t>
        </is>
      </c>
    </row>
    <row r="79">
      <c r="A79" s="27" t="inlineStr">
        <is>
          <t>труба 40х20х2</t>
        </is>
      </c>
      <c r="B79" s="27" t="inlineStr">
        <is>
          <t>08Х18Н10</t>
        </is>
      </c>
      <c r="C79" s="5">
        <f>(2.17)*10^(-4)*7900</f>
        <v/>
      </c>
      <c r="D79" s="6" t="n">
        <v>10</v>
      </c>
      <c r="E79" s="8">
        <f>F79/D79</f>
        <v/>
      </c>
      <c r="F79" s="8">
        <f>G79*C79</f>
        <v/>
      </c>
      <c r="G79" s="6" t="n">
        <v>1</v>
      </c>
      <c r="H79" s="8">
        <f>D79*1.1</f>
        <v/>
      </c>
      <c r="I79" s="8">
        <f>H79/C79</f>
        <v/>
      </c>
    </row>
    <row r="80">
      <c r="A80" s="37" t="inlineStr">
        <is>
          <t>УГОЛОК НЕРЖ ГОСТ 8509-93</t>
        </is>
      </c>
    </row>
    <row r="81">
      <c r="A81" s="27" t="inlineStr">
        <is>
          <t>уголок 35х35х3</t>
        </is>
      </c>
      <c r="B81" s="27" t="inlineStr">
        <is>
          <t>08Х18Н10</t>
        </is>
      </c>
      <c r="C81" s="5">
        <f>(2.04)*10^(-4)*7900</f>
        <v/>
      </c>
      <c r="D81" s="6" t="n">
        <v>10</v>
      </c>
      <c r="E81" s="8">
        <f>F81/D81</f>
        <v/>
      </c>
      <c r="F81" s="8">
        <f>G81*C81</f>
        <v/>
      </c>
      <c r="G81" s="6" t="n">
        <v>1</v>
      </c>
      <c r="H81" s="8">
        <f>D81*1.1</f>
        <v/>
      </c>
      <c r="I81" s="8">
        <f>H81/C81</f>
        <v/>
      </c>
    </row>
    <row r="82">
      <c r="A82" s="37" t="inlineStr">
        <is>
          <t>ПРУТОК ЛАТУНЬ ГОСТ Р 52597-2006 (ГОСТ 2060-2006)</t>
        </is>
      </c>
    </row>
    <row r="83">
      <c r="A83" s="4" t="inlineStr">
        <is>
          <t>круг 20</t>
        </is>
      </c>
      <c r="B83" s="27" t="inlineStr">
        <is>
          <t>ЛС59-1</t>
        </is>
      </c>
      <c r="C83" s="5">
        <f>3.14159/4*(20^2)*10^(-6)*8400</f>
        <v/>
      </c>
      <c r="D83" s="6" t="n">
        <v>10</v>
      </c>
      <c r="E83" s="8">
        <f>F83/D83</f>
        <v/>
      </c>
      <c r="F83" s="8">
        <f>G83*C83</f>
        <v/>
      </c>
      <c r="G83" s="6" t="n">
        <v>1</v>
      </c>
      <c r="H83" s="8">
        <f>D83*1.1</f>
        <v/>
      </c>
      <c r="I83" s="8">
        <f>H83/C83</f>
        <v/>
      </c>
    </row>
    <row r="84">
      <c r="A84" s="4" t="inlineStr">
        <is>
          <t>шестигранник 19</t>
        </is>
      </c>
      <c r="B84" s="27" t="inlineStr">
        <is>
          <t>ЛС59-1</t>
        </is>
      </c>
      <c r="C84" s="5">
        <f>(3.126)*10^(-4)*8400</f>
        <v/>
      </c>
      <c r="D84" s="6" t="n">
        <v>10</v>
      </c>
      <c r="E84" s="8">
        <f>F84/D84</f>
        <v/>
      </c>
      <c r="F84" s="8">
        <f>G84*C84</f>
        <v/>
      </c>
      <c r="G84" s="6" t="n">
        <v>1</v>
      </c>
      <c r="H84" s="8">
        <f>D84*1.1</f>
        <v/>
      </c>
      <c r="I84" s="8">
        <f>H84/C84</f>
        <v/>
      </c>
    </row>
    <row r="85">
      <c r="A85" s="37" t="inlineStr">
        <is>
          <t>ФТОРОПЛАСТ ТУ 6-05-810-88</t>
        </is>
      </c>
    </row>
    <row r="86">
      <c r="A86" s="4" t="inlineStr">
        <is>
          <t>стержень 40</t>
        </is>
      </c>
      <c r="B86" s="9" t="inlineStr">
        <is>
          <t>Ф-4</t>
        </is>
      </c>
      <c r="C86" s="5">
        <f>3.14159/4*(40^2)*10^(-6)*2200</f>
        <v/>
      </c>
      <c r="D86" s="6" t="n">
        <v>10</v>
      </c>
      <c r="E86" s="8">
        <f>F86/D86</f>
        <v/>
      </c>
      <c r="F86" s="8">
        <f>G86*C86</f>
        <v/>
      </c>
      <c r="G86" s="6" t="n">
        <v>1</v>
      </c>
      <c r="H86" s="8">
        <f>D86*1.1</f>
        <v/>
      </c>
      <c r="I86" s="8">
        <f>H86/C86</f>
        <v/>
      </c>
    </row>
    <row r="87">
      <c r="A87" s="38" t="inlineStr">
        <is>
          <t>стержень 60</t>
        </is>
      </c>
      <c r="B87" s="9" t="inlineStr">
        <is>
          <t>Ф-4</t>
        </is>
      </c>
      <c r="C87" s="5">
        <f>3.14159/4*(60^2)*10^(-6)*2200</f>
        <v/>
      </c>
      <c r="D87" s="6" t="n">
        <v>10</v>
      </c>
      <c r="E87" s="8">
        <f>F87/D87</f>
        <v/>
      </c>
      <c r="F87" s="8">
        <f>G87*C87</f>
        <v/>
      </c>
      <c r="G87" s="6" t="n">
        <v>1</v>
      </c>
      <c r="H87" s="8">
        <f>D87*1.1</f>
        <v/>
      </c>
      <c r="I87" s="8">
        <f>H87/C87</f>
        <v/>
      </c>
    </row>
    <row r="88">
      <c r="A88" s="37" t="inlineStr">
        <is>
          <t>КАПРОЛОН (ПОЛИАМИД 6 БЛОЧНЫЙ) ТУ 2224-001-78534599-2006</t>
        </is>
      </c>
    </row>
    <row r="89">
      <c r="A89" s="27" t="inlineStr">
        <is>
          <t>стержень 80</t>
        </is>
      </c>
      <c r="B89" s="27" t="inlineStr">
        <is>
          <t>маслонаполненный ПА-6</t>
        </is>
      </c>
      <c r="C89" s="5">
        <f>3.14159/4*(80^2)*10^(-6)*1140</f>
        <v/>
      </c>
      <c r="D89" s="6" t="n">
        <v>10</v>
      </c>
      <c r="E89" s="8">
        <f>F89/D89</f>
        <v/>
      </c>
      <c r="F89" s="8">
        <f>G89*C89</f>
        <v/>
      </c>
      <c r="G89" s="6" t="n">
        <v>1</v>
      </c>
      <c r="H89" s="8">
        <f>D89*1.1</f>
        <v/>
      </c>
      <c r="I89" s="8">
        <f>H89/C89</f>
        <v/>
      </c>
    </row>
    <row r="90">
      <c r="A90" s="35" t="n"/>
    </row>
    <row r="91" customFormat="1" s="27">
      <c r="C91" s="11" t="inlineStr">
        <is>
          <t>Итого</t>
        </is>
      </c>
      <c r="D91" s="11">
        <f>SUM(D3:D90)</f>
        <v/>
      </c>
      <c r="E91" s="14" t="n"/>
      <c r="F91" s="11">
        <f>SUM(F3:F90)</f>
        <v/>
      </c>
      <c r="G91" s="14" t="n"/>
      <c r="H91" s="11">
        <f>SUM(H3:H90)</f>
        <v/>
      </c>
    </row>
    <row r="92"/>
    <row r="93"/>
    <row r="94">
      <c r="B94" s="15" t="n"/>
    </row>
  </sheetData>
  <mergeCells count="24">
    <mergeCell ref="A90:I90"/>
    <mergeCell ref="A75:I75"/>
    <mergeCell ref="A80:I80"/>
    <mergeCell ref="A18:I18"/>
    <mergeCell ref="A27:I27"/>
    <mergeCell ref="A3:I3"/>
    <mergeCell ref="A33:I33"/>
    <mergeCell ref="A85:I85"/>
    <mergeCell ref="A42:I42"/>
    <mergeCell ref="A23:I23"/>
    <mergeCell ref="A35:I35"/>
    <mergeCell ref="A62:I62"/>
    <mergeCell ref="A29:I29"/>
    <mergeCell ref="A68:I68"/>
    <mergeCell ref="A13:I13"/>
    <mergeCell ref="A64:I64"/>
    <mergeCell ref="A82:I82"/>
    <mergeCell ref="A49:I49"/>
    <mergeCell ref="A60:I60"/>
    <mergeCell ref="A1:I1"/>
    <mergeCell ref="A88:I88"/>
    <mergeCell ref="A6:I6"/>
    <mergeCell ref="A78:I78"/>
    <mergeCell ref="A54:I54"/>
  </mergeCells>
  <pageMargins left="0.5905511811023622" right="0.1968503937007874" top="0.3937007874015748" bottom="0.3937007874015748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view="pageLayout" zoomScaleNormal="100" workbookViewId="0">
      <selection activeCell="B23" sqref="B23"/>
    </sheetView>
  </sheetViews>
  <sheetFormatPr baseColWidth="8" defaultColWidth="9.140625" defaultRowHeight="15"/>
  <cols>
    <col width="17.5703125" customWidth="1" style="27" min="1" max="1"/>
    <col width="27.5703125" customWidth="1" style="27" min="2" max="2"/>
    <col width="7.42578125" customWidth="1" style="20" min="3" max="3"/>
    <col width="7.42578125" customWidth="1" style="25" min="4" max="4"/>
    <col width="4.85546875" customWidth="1" style="27" min="5" max="5"/>
    <col width="7.42578125" customWidth="1" style="27" min="6" max="6"/>
    <col width="7.42578125" customWidth="1" style="25" min="7" max="7"/>
    <col width="7.42578125" customWidth="1" style="27" min="8" max="9"/>
    <col width="9.140625" customWidth="1" style="27" min="10" max="16384"/>
  </cols>
  <sheetData>
    <row r="1">
      <c r="A1" s="37" t="inlineStr">
        <is>
          <t>МД000_ВЕДОМОСТЬ ПЛОСКОГО ПРОКАТА</t>
        </is>
      </c>
    </row>
    <row r="2" ht="84.95" customHeight="1">
      <c r="A2" s="36" t="inlineStr">
        <is>
          <t>Сортамент</t>
        </is>
      </c>
      <c r="B2" s="36" t="inlineStr">
        <is>
          <t>Материал</t>
        </is>
      </c>
      <c r="C2" s="16" t="inlineStr">
        <is>
          <t>Масса
/1 м2/
кг</t>
        </is>
      </c>
      <c r="D2" s="16" t="inlineStr">
        <is>
          <t>Количество
/изделие/
кг</t>
        </is>
      </c>
      <c r="E2" s="16" t="inlineStr">
        <is>
          <t>Коэффициент
/поставка/</t>
        </is>
      </c>
      <c r="F2" s="16" t="inlineStr">
        <is>
          <t>Количество
/поставка/
кг</t>
        </is>
      </c>
      <c r="G2" s="16" t="inlineStr">
        <is>
          <t>Площадь
/поставка/
м2</t>
        </is>
      </c>
      <c r="H2" s="16" t="inlineStr">
        <is>
          <t>Количество
/поставка/
(коэф. 1,2), кг</t>
        </is>
      </c>
      <c r="I2" s="16" t="inlineStr">
        <is>
          <t>Площадь
/поставка/
(коэф. 1,2), м2</t>
        </is>
      </c>
    </row>
    <row r="3">
      <c r="A3" s="36" t="inlineStr">
        <is>
          <t>ЛИСТ ГОСТ 19903-2015 (горячекатанный)</t>
        </is>
      </c>
    </row>
    <row r="4">
      <c r="A4" s="33" t="inlineStr">
        <is>
          <t>Лист 1,5</t>
        </is>
      </c>
      <c r="B4" s="27" t="inlineStr">
        <is>
          <t>Ст3сп ГОСТ 16523-97</t>
        </is>
      </c>
      <c r="C4" s="5">
        <f>0.0015*7850</f>
        <v/>
      </c>
      <c r="D4" s="17" t="n">
        <v>10</v>
      </c>
      <c r="E4" s="19">
        <f>F4/D4</f>
        <v/>
      </c>
      <c r="F4" s="19">
        <f>C4*G4</f>
        <v/>
      </c>
      <c r="G4" s="17" t="n">
        <v>1</v>
      </c>
      <c r="H4" s="19">
        <f>D4*1.2</f>
        <v/>
      </c>
      <c r="I4" s="19">
        <f>H4/C4</f>
        <v/>
      </c>
    </row>
    <row r="5">
      <c r="A5" s="41" t="inlineStr">
        <is>
          <t>Лист 2</t>
        </is>
      </c>
      <c r="B5" s="41" t="inlineStr">
        <is>
          <t>Ст3сп ГОСТ 16523-97</t>
        </is>
      </c>
      <c r="C5" s="42">
        <f>0.002*7850</f>
        <v/>
      </c>
      <c r="D5" s="45" t="n">
        <v>0.124</v>
      </c>
      <c r="E5" s="46">
        <f>F5/D5</f>
        <v/>
      </c>
      <c r="F5" s="46">
        <f>C5*G5</f>
        <v/>
      </c>
      <c r="G5" s="45" t="n">
        <v>0.007939999999999999</v>
      </c>
      <c r="H5" s="46">
        <f>D5*1.2</f>
        <v/>
      </c>
      <c r="I5" s="46">
        <f>H5/C5</f>
        <v/>
      </c>
    </row>
    <row r="6">
      <c r="A6" s="33" t="inlineStr">
        <is>
          <t>Лист 3</t>
        </is>
      </c>
      <c r="B6" s="27" t="inlineStr">
        <is>
          <t>Ст3сп ГОСТ 16523-97</t>
        </is>
      </c>
      <c r="C6" s="5">
        <f>0.003*7850</f>
        <v/>
      </c>
      <c r="D6" s="17" t="n">
        <v>10</v>
      </c>
      <c r="E6" s="19">
        <f>F6/D6</f>
        <v/>
      </c>
      <c r="F6" s="19">
        <f>C6*G6</f>
        <v/>
      </c>
      <c r="G6" s="17" t="n">
        <v>1</v>
      </c>
      <c r="H6" s="19">
        <f>D6*1.2</f>
        <v/>
      </c>
      <c r="I6" s="19">
        <f>H6/C6</f>
        <v/>
      </c>
    </row>
    <row r="7">
      <c r="A7" s="41" t="inlineStr">
        <is>
          <t>Лист 4</t>
        </is>
      </c>
      <c r="B7" s="41" t="inlineStr">
        <is>
          <t>Ст3сп ГОСТ 14637-89</t>
        </is>
      </c>
      <c r="C7" s="42">
        <f>0.004*7850</f>
        <v/>
      </c>
      <c r="D7" s="45" t="n">
        <v>11.229</v>
      </c>
      <c r="E7" s="46">
        <f>F7/D7</f>
        <v/>
      </c>
      <c r="F7" s="46">
        <f>C7*G7</f>
        <v/>
      </c>
      <c r="G7" s="45" t="n">
        <v>0.364602</v>
      </c>
      <c r="H7" s="46">
        <f>D7*1.2</f>
        <v/>
      </c>
      <c r="I7" s="46">
        <f>H7/C7</f>
        <v/>
      </c>
    </row>
    <row r="8">
      <c r="A8" s="33" t="inlineStr">
        <is>
          <t>Лист 6</t>
        </is>
      </c>
      <c r="B8" s="27" t="inlineStr">
        <is>
          <t>Ст3сп ГОСТ 14637-89</t>
        </is>
      </c>
      <c r="C8" s="5">
        <f>0.006*7850</f>
        <v/>
      </c>
      <c r="D8" s="17" t="n">
        <v>10</v>
      </c>
      <c r="E8" s="19">
        <f>F8/D8</f>
        <v/>
      </c>
      <c r="F8" s="19">
        <f>C8*G8</f>
        <v/>
      </c>
      <c r="G8" s="17" t="n">
        <v>1</v>
      </c>
      <c r="H8" s="19">
        <f>D8*1.2</f>
        <v/>
      </c>
      <c r="I8" s="19">
        <f>H8/C8</f>
        <v/>
      </c>
    </row>
    <row r="9">
      <c r="A9" s="37" t="inlineStr">
        <is>
          <t>ЛИСТ НЕРЖ ГОСТ 19903-2015 (горячекатанный)</t>
        </is>
      </c>
    </row>
    <row r="10">
      <c r="A10" s="41" t="inlineStr">
        <is>
          <t>Лист 2</t>
        </is>
      </c>
      <c r="B10" s="41" t="inlineStr">
        <is>
          <t>08Х18Н10 ГОСТ 5582-75</t>
        </is>
      </c>
      <c r="C10" s="42">
        <f>0.002*7900</f>
        <v/>
      </c>
      <c r="D10" s="45" t="n">
        <v>18.92</v>
      </c>
      <c r="E10" s="46">
        <f>F10/D10</f>
        <v/>
      </c>
      <c r="F10" s="46">
        <f>C10*G10</f>
        <v/>
      </c>
      <c r="G10" s="45" t="n">
        <v>1.20008</v>
      </c>
      <c r="H10" s="46">
        <f>D10*1.2</f>
        <v/>
      </c>
      <c r="I10" s="46">
        <f>H10/C10</f>
        <v/>
      </c>
    </row>
    <row r="11">
      <c r="A11" s="33" t="inlineStr">
        <is>
          <t>Лист 3</t>
        </is>
      </c>
      <c r="B11" s="27" t="inlineStr">
        <is>
          <t>08Х18Н10 ГОСТ 5582-75</t>
        </is>
      </c>
      <c r="C11" s="5">
        <f>0.003*7900</f>
        <v/>
      </c>
      <c r="D11" s="17" t="n">
        <v>10</v>
      </c>
      <c r="E11" s="19">
        <f>F11/D11</f>
        <v/>
      </c>
      <c r="F11" s="19">
        <f>C11*G11</f>
        <v/>
      </c>
      <c r="G11" s="17" t="n">
        <v>1</v>
      </c>
      <c r="H11" s="19">
        <f>D11*1.2</f>
        <v/>
      </c>
      <c r="I11" s="19">
        <f>H11/C11</f>
        <v/>
      </c>
    </row>
    <row r="12">
      <c r="A12" s="33" t="inlineStr">
        <is>
          <t>Лист 4</t>
        </is>
      </c>
      <c r="B12" s="27" t="inlineStr">
        <is>
          <t>08Х18Н10 ГОСТ 7350-77</t>
        </is>
      </c>
      <c r="C12" s="5">
        <f>0.003*7900</f>
        <v/>
      </c>
      <c r="D12" s="17" t="n">
        <v>10</v>
      </c>
      <c r="E12" s="19">
        <f>F12/D12</f>
        <v/>
      </c>
      <c r="F12" s="19">
        <f>C12*G12</f>
        <v/>
      </c>
      <c r="G12" s="17" t="n">
        <v>1</v>
      </c>
      <c r="H12" s="19">
        <f>D12*1.2</f>
        <v/>
      </c>
      <c r="I12" s="19">
        <f>H12/C12</f>
        <v/>
      </c>
    </row>
    <row r="13">
      <c r="A13" s="37" t="inlineStr">
        <is>
          <t>ЛИСТ ОЦИНК ГОСТ Р 52246-2004 (ГОСТ 14918-80)</t>
        </is>
      </c>
    </row>
    <row r="14">
      <c r="A14" s="33" t="inlineStr">
        <is>
          <t>Лист 0,55</t>
        </is>
      </c>
      <c r="B14" s="27" t="inlineStr">
        <is>
          <t>оцинкованный</t>
        </is>
      </c>
      <c r="C14" s="5">
        <f>0.00055*7850</f>
        <v/>
      </c>
      <c r="D14" s="17" t="n">
        <v>10</v>
      </c>
      <c r="E14" s="19">
        <f>F14/D14</f>
        <v/>
      </c>
      <c r="F14" s="19">
        <f>C14*G14</f>
        <v/>
      </c>
      <c r="G14" s="17" t="n">
        <v>1</v>
      </c>
      <c r="H14" s="19">
        <f>D14*1.2</f>
        <v/>
      </c>
      <c r="I14" s="19">
        <f>H14/C14</f>
        <v/>
      </c>
    </row>
    <row r="15">
      <c r="A15" s="37" t="inlineStr">
        <is>
          <t>ЛИСТ ПЛАСТИКОВЫЙ</t>
        </is>
      </c>
    </row>
    <row r="16">
      <c r="A16" s="32" t="inlineStr">
        <is>
          <t>Лист 3</t>
        </is>
      </c>
      <c r="B16" s="27" t="inlineStr">
        <is>
          <t>PP-C(полипропилен-сополимер)</t>
        </is>
      </c>
      <c r="C16" s="5">
        <f>0.003*910</f>
        <v/>
      </c>
      <c r="D16" s="17" t="n">
        <v>10</v>
      </c>
      <c r="E16" s="19">
        <f>F16/D16</f>
        <v/>
      </c>
      <c r="F16" s="19">
        <f>C16*G16</f>
        <v/>
      </c>
      <c r="G16" s="17" t="n">
        <v>1</v>
      </c>
      <c r="H16" s="19">
        <f>D16*1.2</f>
        <v/>
      </c>
      <c r="I16" s="19">
        <f>H16/C16</f>
        <v/>
      </c>
    </row>
    <row r="17">
      <c r="A17" s="32" t="inlineStr">
        <is>
          <t>Лист 5</t>
        </is>
      </c>
      <c r="B17" s="27" t="inlineStr">
        <is>
          <t>PP-C(полипропилен-сополимер)</t>
        </is>
      </c>
      <c r="C17" s="5">
        <f>0.005*910</f>
        <v/>
      </c>
      <c r="D17" s="17" t="n">
        <v>10</v>
      </c>
      <c r="E17" s="19">
        <f>F17/D17</f>
        <v/>
      </c>
      <c r="F17" s="19">
        <f>C17*G17</f>
        <v/>
      </c>
      <c r="G17" s="17" t="n">
        <v>1</v>
      </c>
      <c r="H17" s="19">
        <f>D17*1.2</f>
        <v/>
      </c>
      <c r="I17" s="19">
        <f>H17/C17</f>
        <v/>
      </c>
    </row>
    <row r="18">
      <c r="A18" s="37" t="inlineStr">
        <is>
          <t>ПРОФНАСТИЛ ГОСТ 24045-2016</t>
        </is>
      </c>
    </row>
    <row r="19">
      <c r="A19" s="33" t="inlineStr">
        <is>
          <t>С8-0,55х1150х2000</t>
        </is>
      </c>
      <c r="B19" s="27" t="inlineStr">
        <is>
          <t>оцинкованный</t>
        </is>
      </c>
      <c r="C19" s="20" t="n">
        <v>5.13</v>
      </c>
      <c r="D19" s="17" t="n">
        <v>10</v>
      </c>
      <c r="E19" s="19">
        <f>F19/D19</f>
        <v/>
      </c>
      <c r="F19" s="19">
        <f>C19*G19</f>
        <v/>
      </c>
      <c r="G19" s="17" t="n">
        <v>1</v>
      </c>
      <c r="H19" s="19">
        <f>D19*1.2</f>
        <v/>
      </c>
      <c r="I19" s="19">
        <f>H19/C19</f>
        <v/>
      </c>
    </row>
    <row r="20">
      <c r="A20" s="37" t="inlineStr">
        <is>
          <t>ПРОСЕЧНО-ВЫТЯЖНОЙ ЛИСТ ТУ 36.26.11-5-89 (ТУ 0971-001-55980712-2012)</t>
        </is>
      </c>
    </row>
    <row r="21">
      <c r="A21" s="33" t="inlineStr">
        <is>
          <t>Лист ПВЛ 508</t>
        </is>
      </c>
      <c r="B21" s="27" t="inlineStr">
        <is>
          <t>Ст3сп ГОСТ 380-2005</t>
        </is>
      </c>
      <c r="C21" s="20" t="n">
        <v>20</v>
      </c>
      <c r="D21" s="17" t="n">
        <v>10</v>
      </c>
      <c r="E21" s="19">
        <f>F21/D21</f>
        <v/>
      </c>
      <c r="F21" s="19">
        <f>C21*G21</f>
        <v/>
      </c>
      <c r="G21" s="17" t="n">
        <v>1</v>
      </c>
      <c r="H21" s="19">
        <f>D21*1.2</f>
        <v/>
      </c>
      <c r="I21" s="19">
        <f>H21/C21</f>
        <v/>
      </c>
    </row>
    <row r="22">
      <c r="A22" s="37" t="inlineStr">
        <is>
          <t>ЛИСТ РИФЛЕНЫЙ ГОСТ 8568-77</t>
        </is>
      </c>
    </row>
    <row r="23">
      <c r="A23" s="39" t="inlineStr">
        <is>
          <t>Лист чечевица 3</t>
        </is>
      </c>
      <c r="B23" s="39" t="inlineStr">
        <is>
          <t>Ст3сп</t>
        </is>
      </c>
      <c r="C23" s="5">
        <f>0.002*7850*(1-0.3265)</f>
        <v/>
      </c>
      <c r="D23" s="17" t="n">
        <v>10</v>
      </c>
      <c r="E23" s="19">
        <f>F23/D23</f>
        <v/>
      </c>
      <c r="F23" s="19">
        <f>C23*G23</f>
        <v/>
      </c>
      <c r="G23" s="17" t="n">
        <v>1</v>
      </c>
      <c r="H23" s="19">
        <f>D23*1.2</f>
        <v/>
      </c>
      <c r="I23" s="19">
        <f>H23/C23</f>
        <v/>
      </c>
    </row>
    <row r="24">
      <c r="A24" s="37" t="inlineStr">
        <is>
          <t>ЛИСТ ПЕРФОРИРОВАННЫЙ ГОСТ Р 58602-2019</t>
        </is>
      </c>
    </row>
    <row r="25">
      <c r="A25" s="33" t="inlineStr">
        <is>
          <t>Лист 2 Rv 3-5</t>
        </is>
      </c>
      <c r="B25" s="27" t="inlineStr">
        <is>
          <t>08пс ГОСТ 1050-2013</t>
        </is>
      </c>
      <c r="C25" s="5">
        <f>0.002*7850*(1-0.3265)</f>
        <v/>
      </c>
      <c r="D25" s="17" t="n">
        <v>10</v>
      </c>
      <c r="E25" s="19">
        <f>F25/D25</f>
        <v/>
      </c>
      <c r="F25" s="19">
        <f>C25*G25</f>
        <v/>
      </c>
      <c r="G25" s="17" t="n">
        <v>1</v>
      </c>
      <c r="H25" s="19">
        <f>D25*1.2</f>
        <v/>
      </c>
      <c r="I25" s="19">
        <f>H25/C25</f>
        <v/>
      </c>
    </row>
    <row r="26">
      <c r="A26" s="37" t="inlineStr">
        <is>
          <t>ПЛАСТИНЫ РЕЗИНОВЫЕ И РЕЗИНОТКАНЕВЫЕ ГОСТ 7338-90</t>
        </is>
      </c>
    </row>
    <row r="27">
      <c r="A27" s="27" t="inlineStr">
        <is>
          <t>1Ф-1-ТМКЩ-С-3</t>
        </is>
      </c>
      <c r="C27" s="14" t="n"/>
      <c r="D27" s="14" t="n"/>
      <c r="E27" s="14" t="n"/>
      <c r="F27" s="14" t="n"/>
      <c r="G27" s="13" t="n">
        <v>1</v>
      </c>
    </row>
    <row r="28">
      <c r="A28" s="35" t="n"/>
    </row>
    <row r="29" customFormat="1" s="27">
      <c r="C29" s="11" t="inlineStr">
        <is>
          <t>Итого</t>
        </is>
      </c>
      <c r="D29" s="11">
        <f>SUM(D3:D28)</f>
        <v/>
      </c>
      <c r="E29" s="14" t="n"/>
      <c r="F29" s="11">
        <f>SUM(F3:F28)</f>
        <v/>
      </c>
      <c r="G29" s="11" t="n"/>
      <c r="H29" s="11">
        <f>SUM(H3:H28)</f>
        <v/>
      </c>
    </row>
    <row r="30">
      <c r="C30" s="5" t="n"/>
      <c r="D30" s="13" t="n"/>
      <c r="E30" s="14" t="n"/>
      <c r="F30" s="14" t="n"/>
      <c r="G30" s="13" t="n"/>
    </row>
    <row r="31">
      <c r="A31" s="21" t="n"/>
      <c r="C31" s="22" t="n"/>
      <c r="D31" s="23" t="n"/>
      <c r="E31" s="14" t="n"/>
      <c r="F31" s="14" t="n"/>
      <c r="G31" s="13" t="n"/>
    </row>
    <row r="32">
      <c r="C32" s="22" t="n"/>
      <c r="D32" s="23" t="n"/>
      <c r="E32" s="14" t="n"/>
      <c r="F32" s="14" t="n"/>
      <c r="G32" s="13" t="n"/>
    </row>
    <row r="33">
      <c r="C33" s="22" t="n"/>
      <c r="D33" s="23" t="n"/>
      <c r="E33" s="14" t="n"/>
      <c r="F33" s="14" t="n"/>
      <c r="G33" s="13" t="n"/>
    </row>
    <row r="34">
      <c r="C34" s="22" t="n"/>
      <c r="D34" s="23" t="n"/>
      <c r="E34" s="14" t="n"/>
      <c r="F34" s="14" t="n"/>
      <c r="G34" s="13" t="n"/>
    </row>
    <row r="35">
      <c r="C35" s="22" t="n"/>
      <c r="D35" s="23" t="n"/>
      <c r="E35" s="14" t="n"/>
      <c r="F35" s="14" t="n"/>
      <c r="G35" s="13" t="n"/>
    </row>
    <row r="36">
      <c r="C36" s="24" t="n"/>
      <c r="D36" s="23" t="n"/>
    </row>
  </sheetData>
  <mergeCells count="11">
    <mergeCell ref="A15:I15"/>
    <mergeCell ref="A28:I28"/>
    <mergeCell ref="A20:I20"/>
    <mergeCell ref="A13:I13"/>
    <mergeCell ref="A1:I1"/>
    <mergeCell ref="A18:I18"/>
    <mergeCell ref="A9:I9"/>
    <mergeCell ref="A3:I3"/>
    <mergeCell ref="A22:I22"/>
    <mergeCell ref="A26:I26"/>
    <mergeCell ref="A24:I24"/>
  </mergeCells>
  <pageMargins left="0.5905511811023623" right="0.1968503937007874" top="0.3937007874015748" bottom="0.3937007874015748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view="pageLayout" zoomScaleNormal="100" workbookViewId="0">
      <selection activeCell="A3" sqref="A3"/>
    </sheetView>
  </sheetViews>
  <sheetFormatPr baseColWidth="8" defaultColWidth="9.140625" defaultRowHeight="15"/>
  <cols>
    <col width="3.42578125" customWidth="1" style="27" min="1" max="1"/>
    <col width="47.140625" customWidth="1" style="27" min="2" max="2"/>
    <col width="18.42578125" customWidth="1" style="27" min="3" max="3"/>
    <col width="12.5703125" customWidth="1" style="27" min="4" max="4"/>
    <col width="4.85546875" customWidth="1" style="27" min="5" max="5"/>
    <col width="8.5703125" customWidth="1" style="27" min="6" max="6"/>
    <col width="10.7109375" bestFit="1" customWidth="1" style="27" min="7" max="7"/>
    <col width="9.140625" customWidth="1" style="27" min="8" max="16384"/>
  </cols>
  <sheetData>
    <row r="1">
      <c r="A1" s="37" t="inlineStr">
        <is>
          <t>МД000_ВЕДОМОСТЬ ПОКУПНЫХ ИЗДЕЛИЙ</t>
        </is>
      </c>
      <c r="G1" s="36" t="n"/>
    </row>
    <row r="2">
      <c r="B2" s="36" t="inlineStr">
        <is>
          <t>Наименование</t>
        </is>
      </c>
      <c r="C2" s="36" t="inlineStr">
        <is>
          <t>Обозначение</t>
        </is>
      </c>
      <c r="D2" s="36" t="inlineStr">
        <is>
          <t>Поставщик</t>
        </is>
      </c>
      <c r="E2" s="36" t="inlineStr">
        <is>
          <t>Кол.</t>
        </is>
      </c>
      <c r="F2" s="36" t="inlineStr">
        <is>
          <t>Артикул</t>
        </is>
      </c>
    </row>
    <row r="3">
      <c r="A3" t="n">
        <v>1</v>
      </c>
      <c r="B3" t="inlineStr">
        <is>
          <t>Болт шестигр. оц M10 x 25 DIN 933 ISO 4017</t>
        </is>
      </c>
      <c r="E3" t="n">
        <v>2</v>
      </c>
      <c r="F3" t="inlineStr"/>
    </row>
    <row r="4">
      <c r="A4" t="n">
        <v>2</v>
      </c>
      <c r="B4" t="inlineStr">
        <is>
          <t>Болт шестигр. оц M5 x 12 DIN 933 ISO 4017</t>
        </is>
      </c>
      <c r="E4" t="n">
        <v>4</v>
      </c>
      <c r="F4" t="inlineStr"/>
    </row>
    <row r="5">
      <c r="A5" t="n">
        <v>3</v>
      </c>
      <c r="B5" t="inlineStr">
        <is>
          <t>Болт шестигр. оц M6 x 16 DIN 933 ISO 4017</t>
        </is>
      </c>
      <c r="E5" t="n">
        <v>4</v>
      </c>
      <c r="F5" t="inlineStr"/>
    </row>
    <row r="6">
      <c r="A6" t="n">
        <v>4</v>
      </c>
      <c r="B6" t="inlineStr">
        <is>
          <t>Болт шестигр. оц M6 x 55 DIN 931 ISO 4014</t>
        </is>
      </c>
      <c r="E6" t="n">
        <v>4</v>
      </c>
      <c r="F6" t="inlineStr"/>
    </row>
    <row r="7">
      <c r="A7" t="n">
        <v>5</v>
      </c>
      <c r="B7" t="inlineStr">
        <is>
          <t>Болт шестигр. оц M8 x 20 DIN 933 ISO 4017</t>
        </is>
      </c>
      <c r="E7" t="n">
        <v>5</v>
      </c>
      <c r="F7" t="inlineStr"/>
    </row>
    <row r="8">
      <c r="A8" t="n">
        <v>6</v>
      </c>
      <c r="B8" t="inlineStr">
        <is>
          <t>Болт шестигр. оц M8 x 60 DIN 931 ISO 4014</t>
        </is>
      </c>
      <c r="E8" t="n">
        <v>6</v>
      </c>
      <c r="F8" t="inlineStr"/>
    </row>
    <row r="9">
      <c r="A9" t="n">
        <v>7</v>
      </c>
      <c r="B9" t="inlineStr">
        <is>
          <t>Болт шестигр. оц M8 x 70 DIN 933 ISO 4017</t>
        </is>
      </c>
      <c r="E9" t="n">
        <v>4</v>
      </c>
      <c r="F9" t="inlineStr"/>
    </row>
    <row r="10">
      <c r="A10" t="n">
        <v>8</v>
      </c>
      <c r="B10" t="inlineStr">
        <is>
          <t>Винт полуцил. оц M4 x 12 DIN 7985 ISO 7045</t>
        </is>
      </c>
      <c r="E10" t="n">
        <v>4</v>
      </c>
      <c r="F10" t="inlineStr"/>
    </row>
    <row r="11">
      <c r="A11" t="n">
        <v>9</v>
      </c>
      <c r="B11" t="inlineStr">
        <is>
          <t>Гайка шестигр. оц М10 DIN 934 ISO 4032</t>
        </is>
      </c>
      <c r="E11" t="n">
        <v>18</v>
      </c>
      <c r="F11" t="inlineStr"/>
    </row>
    <row r="12">
      <c r="A12" t="n">
        <v>10</v>
      </c>
      <c r="B12" t="inlineStr">
        <is>
          <t>Гайка шестигр. оц М4 DIN 934 ISO 4032</t>
        </is>
      </c>
      <c r="E12" t="n">
        <v>4</v>
      </c>
      <c r="F12" t="inlineStr"/>
    </row>
    <row r="13">
      <c r="A13" t="n">
        <v>11</v>
      </c>
      <c r="B13" t="inlineStr">
        <is>
          <t>Гайка шестигр. оц М6 DIN 934 ISO 4032</t>
        </is>
      </c>
      <c r="E13" t="n">
        <v>8</v>
      </c>
      <c r="F13" t="inlineStr"/>
    </row>
    <row r="14">
      <c r="A14" t="n">
        <v>12</v>
      </c>
      <c r="B14" t="inlineStr">
        <is>
          <t>Гайка шестигр. оц М8 DIN 934 ISO 4032</t>
        </is>
      </c>
      <c r="E14" t="n">
        <v>19</v>
      </c>
      <c r="F14" t="inlineStr"/>
    </row>
    <row r="15">
      <c r="A15" t="n">
        <v>13</v>
      </c>
      <c r="B15" t="inlineStr">
        <is>
          <t>Заглушка для трубы 40х40, черный пластик</t>
        </is>
      </c>
      <c r="E15" t="n">
        <v>4</v>
      </c>
      <c r="F15" t="inlineStr"/>
    </row>
    <row r="16">
      <c r="A16" t="n">
        <v>14</v>
      </c>
      <c r="B16" t="inlineStr">
        <is>
          <t>Манометр 0-6бар 60мм 1/4"</t>
        </is>
      </c>
      <c r="E16" t="n">
        <v>1</v>
      </c>
      <c r="F16" t="inlineStr"/>
    </row>
    <row r="17">
      <c r="A17" t="n">
        <v>15</v>
      </c>
      <c r="B17" t="inlineStr">
        <is>
          <t>Муфта обжимная для РВД 2SN DN8</t>
        </is>
      </c>
      <c r="E17" t="n">
        <v>4</v>
      </c>
      <c r="F17" t="inlineStr"/>
    </row>
    <row r="18">
      <c r="A18" t="n">
        <v>16</v>
      </c>
      <c r="B18" t="inlineStr">
        <is>
          <t>Отвод 90-1-26,9х2,0-AISI 304 ГОСТ 17375-2001</t>
        </is>
      </c>
      <c r="E18" t="n">
        <v>1</v>
      </c>
      <c r="F18" t="inlineStr"/>
    </row>
    <row r="19">
      <c r="A19" t="n">
        <v>17</v>
      </c>
      <c r="B19" t="inlineStr">
        <is>
          <t>Рукав 19мм Semperit MPC-EPDM</t>
        </is>
      </c>
      <c r="E19" t="inlineStr">
        <is>
          <t>1.822 м</t>
        </is>
      </c>
      <c r="F19" t="inlineStr"/>
    </row>
    <row r="20">
      <c r="A20" t="n">
        <v>18</v>
      </c>
      <c r="B20" t="inlineStr">
        <is>
          <t>Рукав 32мм Semperit MPC-EPDM</t>
        </is>
      </c>
      <c r="E20" t="inlineStr">
        <is>
          <t>0.134 м</t>
        </is>
      </c>
      <c r="F20" t="inlineStr"/>
    </row>
    <row r="21">
      <c r="A21" t="n">
        <v>19</v>
      </c>
      <c r="B21" t="inlineStr">
        <is>
          <t>Рукав высокого давления 2SN8</t>
        </is>
      </c>
      <c r="E21" t="inlineStr">
        <is>
          <t>0.590 м</t>
        </is>
      </c>
      <c r="F21" t="inlineStr"/>
    </row>
    <row r="22">
      <c r="A22" t="n">
        <v>20</v>
      </c>
      <c r="B22" t="inlineStr">
        <is>
          <t>Саморез с прессшайбой (сверло) 4,2х19</t>
        </is>
      </c>
      <c r="E22" t="n">
        <v>18</v>
      </c>
      <c r="F22" t="inlineStr">
        <is>
          <t>7025</t>
        </is>
      </c>
    </row>
    <row r="23">
      <c r="A23" t="n">
        <v>21</v>
      </c>
      <c r="B23" t="inlineStr">
        <is>
          <t>Труба 22х1,2 AISI 304 DIN EN 10312</t>
        </is>
      </c>
      <c r="E23" t="inlineStr">
        <is>
          <t>1.570 м</t>
        </is>
      </c>
      <c r="F23" t="inlineStr"/>
    </row>
    <row r="24">
      <c r="A24" t="n">
        <v>22</v>
      </c>
      <c r="B24" t="inlineStr">
        <is>
          <t>Труба 35х1,5 AISI 304 DIN EN 10312</t>
        </is>
      </c>
      <c r="E24" t="inlineStr">
        <is>
          <t>1.070 м</t>
        </is>
      </c>
      <c r="F24" t="inlineStr"/>
    </row>
    <row r="25">
      <c r="A25" t="n">
        <v>23</v>
      </c>
      <c r="B25" t="inlineStr">
        <is>
          <t>Фитинг для РВД DKF-W(г) M22x1,5 DN8</t>
        </is>
      </c>
      <c r="E25" t="n">
        <v>4</v>
      </c>
      <c r="F25" t="inlineStr"/>
    </row>
    <row r="26">
      <c r="A26" t="n">
        <v>24</v>
      </c>
      <c r="B26" t="inlineStr">
        <is>
          <t>Хомут червячный 16-27/9</t>
        </is>
      </c>
      <c r="E26" t="n">
        <v>10</v>
      </c>
      <c r="F26" t="inlineStr">
        <is>
          <t>1968</t>
        </is>
      </c>
    </row>
    <row r="27">
      <c r="A27" t="n">
        <v>25</v>
      </c>
      <c r="B27" t="inlineStr">
        <is>
          <t>Хомут червячный 32-50/9</t>
        </is>
      </c>
      <c r="E27" t="n">
        <v>2</v>
      </c>
      <c r="F27" t="inlineStr">
        <is>
          <t>1970</t>
        </is>
      </c>
    </row>
    <row r="28">
      <c r="A28" t="n">
        <v>26</v>
      </c>
      <c r="B28" t="inlineStr">
        <is>
          <t>Шайба плоская оц 10 DIN 125 ISO 7089</t>
        </is>
      </c>
      <c r="E28" t="n">
        <v>16</v>
      </c>
      <c r="F28" t="inlineStr"/>
    </row>
    <row r="29">
      <c r="A29" t="n">
        <v>27</v>
      </c>
      <c r="B29" t="inlineStr">
        <is>
          <t>Шайба плоская оц 4 DIN 125 ISO 7089</t>
        </is>
      </c>
      <c r="E29" t="n">
        <v>4</v>
      </c>
      <c r="F29" t="inlineStr"/>
    </row>
    <row r="30">
      <c r="A30" t="n">
        <v>28</v>
      </c>
      <c r="B30" t="inlineStr">
        <is>
          <t>Шайба плоская оц 5 DIN 125 ISO 7089</t>
        </is>
      </c>
      <c r="E30" t="n">
        <v>4</v>
      </c>
      <c r="F30" t="inlineStr"/>
    </row>
    <row r="31">
      <c r="A31" t="n">
        <v>29</v>
      </c>
      <c r="B31" t="inlineStr">
        <is>
          <t>Шайба плоская оц 6 DIN 125 ISO 7089</t>
        </is>
      </c>
      <c r="E31" t="n">
        <v>12</v>
      </c>
      <c r="F31" t="inlineStr"/>
    </row>
    <row r="32">
      <c r="A32" t="n">
        <v>30</v>
      </c>
      <c r="B32" t="inlineStr">
        <is>
          <t>Шайба плоская оц 8 DIN 125 ISO 7089</t>
        </is>
      </c>
      <c r="E32" t="n">
        <v>24</v>
      </c>
      <c r="F32" t="inlineStr"/>
    </row>
    <row r="33">
      <c r="A33" t="n">
        <v>31</v>
      </c>
      <c r="B33" t="inlineStr">
        <is>
          <t>Шайба пруж. оц 10 DIN 127 ГОСТ 6402</t>
        </is>
      </c>
      <c r="E33" t="n">
        <v>16</v>
      </c>
      <c r="F33" t="inlineStr"/>
    </row>
    <row r="34">
      <c r="A34" t="n">
        <v>32</v>
      </c>
      <c r="B34" t="inlineStr">
        <is>
          <t>Шайба пруж. оц 4 DIN 127 ГОСТ 6402</t>
        </is>
      </c>
      <c r="E34" t="n">
        <v>4</v>
      </c>
      <c r="F34" t="inlineStr"/>
    </row>
    <row r="35">
      <c r="A35" t="n">
        <v>33</v>
      </c>
      <c r="B35" t="inlineStr">
        <is>
          <t>Шайба пруж. оц 5 DIN 127 ГОСТ 6402</t>
        </is>
      </c>
      <c r="E35" t="n">
        <v>4</v>
      </c>
      <c r="F35" t="inlineStr"/>
    </row>
    <row r="36">
      <c r="A36" t="n">
        <v>34</v>
      </c>
      <c r="B36" t="inlineStr">
        <is>
          <t>Шайба пруж. оц 6 DIN 127 ГОСТ 6402</t>
        </is>
      </c>
      <c r="E36" t="n">
        <v>8</v>
      </c>
      <c r="F36" t="inlineStr"/>
    </row>
    <row r="37">
      <c r="A37" t="n">
        <v>35</v>
      </c>
      <c r="B37" t="inlineStr">
        <is>
          <t>Шайба пруж. оц 8 DIN 127 ГОСТ 6402</t>
        </is>
      </c>
      <c r="E37" t="n">
        <v>14</v>
      </c>
      <c r="F37" t="inlineStr"/>
    </row>
    <row r="38">
      <c r="A38" t="n">
        <v>36</v>
      </c>
      <c r="B38" t="inlineStr">
        <is>
          <t>Глушитель пневматический</t>
        </is>
      </c>
      <c r="C38" t="inlineStr">
        <is>
          <t xml:space="preserve"> 2901 1/4-17</t>
        </is>
      </c>
      <c r="D38" t="inlineStr">
        <is>
          <t>CAMOZZI</t>
        </is>
      </c>
      <c r="E38" t="n">
        <v>4</v>
      </c>
      <c r="F38" t="inlineStr"/>
    </row>
    <row r="39">
      <c r="A39" t="n">
        <v>37</v>
      </c>
      <c r="B39" t="inlineStr">
        <is>
          <t>Фитинг цанга угл. поворот.</t>
        </is>
      </c>
      <c r="C39" t="inlineStr">
        <is>
          <t>S6520 6-1/4</t>
        </is>
      </c>
      <c r="D39" t="inlineStr">
        <is>
          <t>Camozzi</t>
        </is>
      </c>
      <c r="E39" t="n">
        <v>2</v>
      </c>
      <c r="F39" t="inlineStr"/>
    </row>
    <row r="40">
      <c r="A40" t="n">
        <v>38</v>
      </c>
      <c r="B40" t="inlineStr">
        <is>
          <t>Поплавковый датчик уровня</t>
        </is>
      </c>
      <c r="C40" t="inlineStr">
        <is>
          <t>FS8-88-1M-PPHPVNO</t>
        </is>
      </c>
      <c r="D40" t="inlineStr">
        <is>
          <t>Cashtec</t>
        </is>
      </c>
      <c r="E40" t="n">
        <v>1</v>
      </c>
      <c r="F40" t="inlineStr"/>
    </row>
    <row r="41">
      <c r="A41" t="n">
        <v>39</v>
      </c>
      <c r="B41" t="inlineStr">
        <is>
          <t>Коробка ответв. с каб. вводами 80x80x40 IP44</t>
        </is>
      </c>
      <c r="C41" t="inlineStr">
        <is>
          <t>53700</t>
        </is>
      </c>
      <c r="D41" t="inlineStr">
        <is>
          <t>DKC</t>
        </is>
      </c>
      <c r="E41" t="n">
        <v>2</v>
      </c>
      <c r="F41" t="inlineStr"/>
    </row>
    <row r="42">
      <c r="A42" t="n">
        <v>40</v>
      </c>
      <c r="B42" t="inlineStr">
        <is>
          <t>Перфорированный короб RL12 40x40</t>
        </is>
      </c>
      <c r="C42" t="inlineStr">
        <is>
          <t xml:space="preserve">00134RL </t>
        </is>
      </c>
      <c r="D42" t="inlineStr">
        <is>
          <t>DKC</t>
        </is>
      </c>
      <c r="E42" t="inlineStr">
        <is>
          <t>4.340 м</t>
        </is>
      </c>
      <c r="F42" t="inlineStr">
        <is>
          <t>1431</t>
        </is>
      </c>
    </row>
    <row r="43">
      <c r="A43" t="n">
        <v>41</v>
      </c>
      <c r="B43" t="inlineStr">
        <is>
          <t>Э/двигатель с полым валом 5,5кВт, 1450об/мин, 380В, 50Гц, Termic</t>
        </is>
      </c>
      <c r="C43" t="inlineStr">
        <is>
          <t>HYDRO-090</t>
        </is>
      </c>
      <c r="D43" t="inlineStr">
        <is>
          <t>EME</t>
        </is>
      </c>
      <c r="E43" t="n">
        <v>2</v>
      </c>
      <c r="F43" t="inlineStr"/>
    </row>
    <row r="44">
      <c r="A44" t="n">
        <v>42</v>
      </c>
      <c r="B44" t="inlineStr">
        <is>
          <t>Насос высокого давления NMT0000</t>
        </is>
      </c>
      <c r="C44" t="inlineStr"/>
      <c r="D44" t="inlineStr">
        <is>
          <t>HAWK</t>
        </is>
      </c>
      <c r="E44" t="n">
        <v>2</v>
      </c>
      <c r="F44" t="inlineStr"/>
    </row>
    <row r="45">
      <c r="A45" t="n">
        <v>43</v>
      </c>
      <c r="B45" t="inlineStr">
        <is>
          <t>Гайка накидная для трубы 18М 3/4"</t>
        </is>
      </c>
      <c r="C45" t="inlineStr">
        <is>
          <t>Г20</t>
        </is>
      </c>
      <c r="D45" t="inlineStr">
        <is>
          <t>Kofulso</t>
        </is>
      </c>
      <c r="E45" t="n">
        <v>4</v>
      </c>
      <c r="F45" t="inlineStr"/>
    </row>
    <row r="46">
      <c r="A46" t="n">
        <v>44</v>
      </c>
      <c r="B46" t="inlineStr">
        <is>
          <t>Прокладка резиновая для гайки 3/4"</t>
        </is>
      </c>
      <c r="C46" t="inlineStr">
        <is>
          <t>ПР20</t>
        </is>
      </c>
      <c r="D46" t="inlineStr">
        <is>
          <t>Kofulso</t>
        </is>
      </c>
      <c r="E46" t="n">
        <v>9</v>
      </c>
      <c r="F46" t="inlineStr"/>
    </row>
    <row r="47">
      <c r="A47" t="n">
        <v>45</v>
      </c>
      <c r="B47" t="inlineStr"/>
      <c r="C47" t="inlineStr">
        <is>
          <t>18TM</t>
        </is>
      </c>
      <c r="D47" t="inlineStr">
        <is>
          <t>Kofulso</t>
        </is>
      </c>
      <c r="E47" t="n">
        <v>2</v>
      </c>
      <c r="F47" t="inlineStr"/>
    </row>
    <row r="48">
      <c r="A48" t="n">
        <v>46</v>
      </c>
      <c r="B48" t="inlineStr">
        <is>
          <t>Датчик давления 40бар 3/8"</t>
        </is>
      </c>
      <c r="C48" t="inlineStr">
        <is>
          <t>21.0006</t>
        </is>
      </c>
      <c r="D48" t="inlineStr">
        <is>
          <t>MTM Hydro</t>
        </is>
      </c>
      <c r="E48" t="n">
        <v>2</v>
      </c>
      <c r="F48" t="inlineStr"/>
    </row>
    <row r="49">
      <c r="A49" t="n">
        <v>47</v>
      </c>
      <c r="B49" t="inlineStr">
        <is>
          <t>Манометр для АВД, 63мм, 250бар, G1/4</t>
        </is>
      </c>
      <c r="C49" t="inlineStr">
        <is>
          <t>54830</t>
        </is>
      </c>
      <c r="D49" t="inlineStr">
        <is>
          <t>R+M</t>
        </is>
      </c>
      <c r="E49" t="n">
        <v>2</v>
      </c>
      <c r="F49" t="inlineStr"/>
    </row>
    <row r="50">
      <c r="A50" t="n">
        <v>48</v>
      </c>
      <c r="B50" t="inlineStr">
        <is>
          <t>Ниппель 500bar оц 1/4"</t>
        </is>
      </c>
      <c r="C50" t="inlineStr">
        <is>
          <t>57048</t>
        </is>
      </c>
      <c r="D50" t="inlineStr">
        <is>
          <t>R+M</t>
        </is>
      </c>
      <c r="E50" t="n">
        <v>2</v>
      </c>
      <c r="F50" t="inlineStr"/>
    </row>
    <row r="51">
      <c r="A51" t="n">
        <v>49</v>
      </c>
      <c r="B51" t="inlineStr">
        <is>
          <t>Ниппель переходной 400bar латунь 3/8"xM22</t>
        </is>
      </c>
      <c r="C51" t="inlineStr">
        <is>
          <t>56550</t>
        </is>
      </c>
      <c r="D51" t="inlineStr">
        <is>
          <t>R+M</t>
        </is>
      </c>
      <c r="E51" t="n">
        <v>6</v>
      </c>
      <c r="F51" t="inlineStr">
        <is>
          <t>6345</t>
        </is>
      </c>
    </row>
    <row r="52">
      <c r="A52" t="n">
        <v>50</v>
      </c>
      <c r="B52" t="inlineStr">
        <is>
          <t>Переходник 350bar оц. c вращ.гайкой 3/8"x3/8"(ВxН)</t>
        </is>
      </c>
      <c r="C52" t="inlineStr">
        <is>
          <t>58204</t>
        </is>
      </c>
      <c r="D52" t="inlineStr">
        <is>
          <t>R+M</t>
        </is>
      </c>
      <c r="E52" t="n">
        <v>2</v>
      </c>
      <c r="F52" t="inlineStr">
        <is>
          <t>4214</t>
        </is>
      </c>
    </row>
    <row r="53">
      <c r="A53" t="n">
        <v>51</v>
      </c>
      <c r="B53" t="inlineStr">
        <is>
          <t>Пробка 250bar латунь 1/4"</t>
        </is>
      </c>
      <c r="C53" t="inlineStr">
        <is>
          <t>57815</t>
        </is>
      </c>
      <c r="D53" t="inlineStr">
        <is>
          <t>R+M</t>
        </is>
      </c>
      <c r="E53" t="n">
        <v>2</v>
      </c>
      <c r="F53" t="inlineStr">
        <is>
          <t>6343</t>
        </is>
      </c>
    </row>
    <row r="54">
      <c r="A54" t="n">
        <v>52</v>
      </c>
      <c r="B54" t="inlineStr">
        <is>
          <t>Регулятор давления ST-261 с микровыключателем</t>
        </is>
      </c>
      <c r="C54" t="inlineStr">
        <is>
          <t>200261550</t>
        </is>
      </c>
      <c r="D54" t="inlineStr">
        <is>
          <t>R+M</t>
        </is>
      </c>
      <c r="E54" t="n">
        <v>2</v>
      </c>
      <c r="F54" t="inlineStr">
        <is>
          <t>6220</t>
        </is>
      </c>
    </row>
    <row r="55">
      <c r="A55" t="n">
        <v>53</v>
      </c>
      <c r="B55" t="inlineStr">
        <is>
          <t>Тройник 350бар латунь G3/8" (В-В-В)</t>
        </is>
      </c>
      <c r="C55" t="inlineStr">
        <is>
          <t>010005480</t>
        </is>
      </c>
      <c r="D55" t="inlineStr">
        <is>
          <t>R+M</t>
        </is>
      </c>
      <c r="E55" t="n">
        <v>2</v>
      </c>
      <c r="F55" t="inlineStr"/>
    </row>
    <row r="56">
      <c r="A56" t="n">
        <v>54</v>
      </c>
      <c r="B56" t="inlineStr">
        <is>
          <t xml:space="preserve">Э/м клапан прямого действия DN20 </t>
        </is>
      </c>
      <c r="C56" t="inlineStr">
        <is>
          <t>SM55634</t>
        </is>
      </c>
      <c r="D56" t="inlineStr">
        <is>
          <t>Smart</t>
        </is>
      </c>
      <c r="E56" t="n">
        <v>1</v>
      </c>
      <c r="F56" t="inlineStr"/>
    </row>
    <row r="57">
      <c r="A57" t="n">
        <v>55</v>
      </c>
      <c r="B57" t="inlineStr">
        <is>
          <t>Демпфер-гидрокомпенсатор 0,21л, G3/8", 220бар</t>
        </is>
      </c>
      <c r="C57" t="inlineStr">
        <is>
          <t>M-00008011</t>
        </is>
      </c>
      <c r="D57" t="inlineStr">
        <is>
          <t>TOR</t>
        </is>
      </c>
      <c r="E57" t="n">
        <v>2</v>
      </c>
      <c r="F57" t="inlineStr"/>
    </row>
    <row r="58">
      <c r="A58" t="n">
        <v>56</v>
      </c>
      <c r="B58" t="inlineStr">
        <is>
          <t>Бочонок резьбовой 1/2"х60</t>
        </is>
      </c>
      <c r="C58" t="inlineStr">
        <is>
          <t>VTr.652.N.0406</t>
        </is>
      </c>
      <c r="D58" t="inlineStr">
        <is>
          <t>VALTEC</t>
        </is>
      </c>
      <c r="E58" t="n">
        <v>1</v>
      </c>
      <c r="F58" t="inlineStr"/>
    </row>
    <row r="59">
      <c r="A59" t="n">
        <v>57</v>
      </c>
      <c r="B59" t="inlineStr">
        <is>
          <t>Вставка 22х1/2"(Н)</t>
        </is>
      </c>
      <c r="C59" t="inlineStr">
        <is>
          <t>VTi.906.I.002204</t>
        </is>
      </c>
      <c r="D59" t="inlineStr">
        <is>
          <t>VALTEC</t>
        </is>
      </c>
      <c r="E59" t="n">
        <v>2</v>
      </c>
      <c r="F59" t="inlineStr"/>
    </row>
    <row r="60">
      <c r="A60" t="n">
        <v>58</v>
      </c>
      <c r="B60" t="inlineStr">
        <is>
          <t>Вставка переходная 35х22</t>
        </is>
      </c>
      <c r="C60" t="inlineStr">
        <is>
          <t>VTi.905.I.003522</t>
        </is>
      </c>
      <c r="D60" t="inlineStr">
        <is>
          <t>VALTEC</t>
        </is>
      </c>
      <c r="E60" t="n">
        <v>2</v>
      </c>
      <c r="F60" t="inlineStr"/>
    </row>
    <row r="61">
      <c r="A61" t="n">
        <v>59</v>
      </c>
      <c r="B61" t="inlineStr">
        <is>
          <t>Гаситель гидроударов</t>
        </is>
      </c>
      <c r="C61" t="inlineStr">
        <is>
          <t>VT.CAR19.I.04001</t>
        </is>
      </c>
      <c r="D61" t="inlineStr">
        <is>
          <t>VALTEC</t>
        </is>
      </c>
      <c r="E61" t="n">
        <v>1</v>
      </c>
      <c r="F61" t="inlineStr"/>
    </row>
    <row r="62">
      <c r="A62" t="n">
        <v>60</v>
      </c>
      <c r="B62" t="inlineStr">
        <is>
          <t>Заглушка 3/4"</t>
        </is>
      </c>
      <c r="C62" t="inlineStr">
        <is>
          <t>VTr.590.N.0005</t>
        </is>
      </c>
      <c r="D62" t="inlineStr">
        <is>
          <t>VALTEC</t>
        </is>
      </c>
      <c r="E62" t="n">
        <v>1</v>
      </c>
      <c r="F62" t="inlineStr"/>
    </row>
    <row r="63">
      <c r="A63" t="n">
        <v>61</v>
      </c>
      <c r="B63" t="inlineStr">
        <is>
          <t>Кран шаровой Ду20 COMPACT</t>
        </is>
      </c>
      <c r="C63" t="inlineStr">
        <is>
          <t>VT.092.N.05</t>
        </is>
      </c>
      <c r="D63" t="inlineStr">
        <is>
          <t>VALTEC</t>
        </is>
      </c>
      <c r="E63" t="n">
        <v>2</v>
      </c>
      <c r="F63" t="inlineStr"/>
    </row>
    <row r="64">
      <c r="A64" t="n">
        <v>62</v>
      </c>
      <c r="B64" t="inlineStr">
        <is>
          <t>Кран шаровой(бабочка) 1/2"</t>
        </is>
      </c>
      <c r="C64" t="inlineStr">
        <is>
          <t>VT.217.N.04</t>
        </is>
      </c>
      <c r="D64" t="inlineStr">
        <is>
          <t>VALTEC</t>
        </is>
      </c>
      <c r="E64" t="n">
        <v>2</v>
      </c>
      <c r="F64" t="inlineStr"/>
    </row>
    <row r="65">
      <c r="A65" t="n">
        <v>63</v>
      </c>
      <c r="B65" t="inlineStr">
        <is>
          <t>Ниппель 3/4"</t>
        </is>
      </c>
      <c r="C65" t="inlineStr">
        <is>
          <t>VTr.582.N.0005</t>
        </is>
      </c>
      <c r="D65" t="inlineStr">
        <is>
          <t>VALTEC</t>
        </is>
      </c>
      <c r="E65" t="n">
        <v>8</v>
      </c>
      <c r="F65" t="inlineStr">
        <is>
          <t>1248</t>
        </is>
      </c>
    </row>
    <row r="66">
      <c r="A66" t="n">
        <v>64</v>
      </c>
      <c r="B66" t="inlineStr">
        <is>
          <t>Переходник 1/2"х1/4"(ВхН)</t>
        </is>
      </c>
      <c r="C66" t="inlineStr">
        <is>
          <t>VTr.592.N.0402</t>
        </is>
      </c>
      <c r="D66" t="inlineStr">
        <is>
          <t>VALTEC</t>
        </is>
      </c>
      <c r="E66" t="n">
        <v>2</v>
      </c>
      <c r="F66" t="inlineStr"/>
    </row>
    <row r="67">
      <c r="A67" t="n">
        <v>65</v>
      </c>
      <c r="B67" t="inlineStr">
        <is>
          <t>Пресс-тройник 35х1/2"(В)х35</t>
        </is>
      </c>
      <c r="C67" t="inlineStr">
        <is>
          <t>VTi.932.I.350435</t>
        </is>
      </c>
      <c r="D67" t="inlineStr">
        <is>
          <t>VALTEC</t>
        </is>
      </c>
      <c r="E67" t="n">
        <v>1</v>
      </c>
      <c r="F67" t="inlineStr"/>
    </row>
    <row r="68">
      <c r="A68" t="n">
        <v>66</v>
      </c>
      <c r="B68" t="inlineStr">
        <is>
          <t>Пресс-тройник 35х22х35</t>
        </is>
      </c>
      <c r="C68" t="inlineStr">
        <is>
          <t>VTi.931.I.352235</t>
        </is>
      </c>
      <c r="D68" t="inlineStr">
        <is>
          <t>VALTEC</t>
        </is>
      </c>
      <c r="E68" t="n">
        <v>4</v>
      </c>
      <c r="F68" t="inlineStr"/>
    </row>
    <row r="69">
      <c r="A69" t="n">
        <v>67</v>
      </c>
      <c r="B69" t="inlineStr">
        <is>
          <t>Пресс-угольник 35x1"(В)</t>
        </is>
      </c>
      <c r="C69" t="inlineStr">
        <is>
          <t>VTi.952.I.003506</t>
        </is>
      </c>
      <c r="D69" t="inlineStr">
        <is>
          <t>VALTEC</t>
        </is>
      </c>
      <c r="E69" t="n">
        <v>2</v>
      </c>
      <c r="F69" t="inlineStr"/>
    </row>
    <row r="70">
      <c r="A70" t="n">
        <v>68</v>
      </c>
      <c r="B70" t="inlineStr">
        <is>
          <t>Пресс-угольник ВхН 22х22</t>
        </is>
      </c>
      <c r="C70" t="inlineStr">
        <is>
          <t>VTi.950.I.002222</t>
        </is>
      </c>
      <c r="D70" t="inlineStr">
        <is>
          <t>VALTEC</t>
        </is>
      </c>
      <c r="E70" t="n">
        <v>4</v>
      </c>
      <c r="F70" t="inlineStr"/>
    </row>
    <row r="71">
      <c r="A71" t="n">
        <v>69</v>
      </c>
      <c r="B71" t="inlineStr">
        <is>
          <t>Пресс-фитинг с накидной гайкой 22х3/4"</t>
        </is>
      </c>
      <c r="C71" t="inlineStr">
        <is>
          <t>VTi.908.I.002205</t>
        </is>
      </c>
      <c r="D71" t="inlineStr">
        <is>
          <t>VALTEC</t>
        </is>
      </c>
      <c r="E71" t="n">
        <v>4</v>
      </c>
      <c r="F71" t="inlineStr"/>
    </row>
    <row r="72">
      <c r="A72" t="n">
        <v>70</v>
      </c>
      <c r="B72" t="inlineStr">
        <is>
          <t>Сгон разъемный 3/4"</t>
        </is>
      </c>
      <c r="C72" t="inlineStr">
        <is>
          <t>VTr.341.N.0005</t>
        </is>
      </c>
      <c r="D72" t="inlineStr">
        <is>
          <t>VALTEC</t>
        </is>
      </c>
      <c r="E72" t="n">
        <v>1</v>
      </c>
      <c r="F72" t="inlineStr"/>
    </row>
    <row r="73">
      <c r="A73" t="n">
        <v>71</v>
      </c>
      <c r="B73" t="inlineStr">
        <is>
          <t>Тройник 1/2"</t>
        </is>
      </c>
      <c r="C73" t="inlineStr">
        <is>
          <t>VTr.130.N.0004</t>
        </is>
      </c>
      <c r="D73" t="inlineStr">
        <is>
          <t>VALTEC</t>
        </is>
      </c>
      <c r="E73" t="n">
        <v>1</v>
      </c>
      <c r="F73" t="inlineStr">
        <is>
          <t>1143</t>
        </is>
      </c>
    </row>
    <row r="74">
      <c r="A74" t="n">
        <v>72</v>
      </c>
      <c r="B74" t="inlineStr">
        <is>
          <t>Угольник 3/4"</t>
        </is>
      </c>
      <c r="C74" t="inlineStr">
        <is>
          <t>VTr.090.N.0005</t>
        </is>
      </c>
      <c r="D74" t="inlineStr">
        <is>
          <t>VALTEC</t>
        </is>
      </c>
      <c r="E74" t="n">
        <v>1</v>
      </c>
      <c r="F74" t="inlineStr">
        <is>
          <t>1126</t>
        </is>
      </c>
    </row>
    <row r="75">
      <c r="A75" t="n">
        <v>73</v>
      </c>
      <c r="B75" t="inlineStr">
        <is>
          <t>Фильтр прямой 3/4"(В-В)</t>
        </is>
      </c>
      <c r="C75" t="inlineStr">
        <is>
          <t>VT.388.N.05</t>
        </is>
      </c>
      <c r="D75" t="inlineStr">
        <is>
          <t>VALTEC</t>
        </is>
      </c>
      <c r="E75" t="n">
        <v>2</v>
      </c>
      <c r="F75" t="inlineStr"/>
    </row>
    <row r="76">
      <c r="A76" t="n">
        <v>74</v>
      </c>
      <c r="B76" t="inlineStr">
        <is>
          <t>Футорка 1/2"x1/4"</t>
        </is>
      </c>
      <c r="C76" t="inlineStr">
        <is>
          <t>VTr.581.N.0402</t>
        </is>
      </c>
      <c r="D76" t="inlineStr">
        <is>
          <t>VALTEC</t>
        </is>
      </c>
      <c r="E76" t="n">
        <v>1</v>
      </c>
      <c r="F76" t="inlineStr">
        <is>
          <t>1949</t>
        </is>
      </c>
    </row>
    <row r="77">
      <c r="A77" t="n">
        <v>75</v>
      </c>
      <c r="B77" t="inlineStr">
        <is>
          <t>Штуцер для шланга 1/2"(Н)х20мм</t>
        </is>
      </c>
      <c r="C77" t="inlineStr">
        <is>
          <t>VTr.650.N.0420</t>
        </is>
      </c>
      <c r="D77" t="inlineStr">
        <is>
          <t>VALTEC</t>
        </is>
      </c>
      <c r="E77" t="n">
        <v>6</v>
      </c>
      <c r="F77" t="inlineStr"/>
    </row>
    <row r="78">
      <c r="A78" t="n">
        <v>76</v>
      </c>
      <c r="B78" t="inlineStr">
        <is>
          <t>Штуцер для шланга 3/4"(В)х20мм</t>
        </is>
      </c>
      <c r="C78" t="inlineStr">
        <is>
          <t>VTr.654.N.0520</t>
        </is>
      </c>
      <c r="D78" t="inlineStr">
        <is>
          <t>VALTEC</t>
        </is>
      </c>
      <c r="E78" t="n">
        <v>2</v>
      </c>
      <c r="F78" t="inlineStr">
        <is>
          <t>1245</t>
        </is>
      </c>
    </row>
    <row r="79">
      <c r="A79" t="n">
        <v>77</v>
      </c>
      <c r="B79" t="inlineStr">
        <is>
          <t>Штуцер для шланга 3/4"(Н)х20мм</t>
        </is>
      </c>
      <c r="C79" t="inlineStr">
        <is>
          <t>VTr.650.N.0520</t>
        </is>
      </c>
      <c r="D79" t="inlineStr">
        <is>
          <t>VALTEC</t>
        </is>
      </c>
      <c r="E79" t="n">
        <v>3</v>
      </c>
      <c r="F79" t="inlineStr">
        <is>
          <t>1241</t>
        </is>
      </c>
    </row>
    <row r="80">
      <c r="A80" t="n">
        <v>78</v>
      </c>
      <c r="B80" t="inlineStr">
        <is>
          <t>Хомут KSB1, уплотнение EPDM, М8 20-23 мм</t>
        </is>
      </c>
      <c r="C80" t="inlineStr">
        <is>
          <t>3363023</t>
        </is>
      </c>
      <c r="D80" t="inlineStr">
        <is>
          <t>Walraven</t>
        </is>
      </c>
      <c r="E80" t="n">
        <v>2</v>
      </c>
      <c r="F80" t="inlineStr"/>
    </row>
    <row r="81">
      <c r="A81" t="n">
        <v>79</v>
      </c>
      <c r="B81" t="inlineStr">
        <is>
          <t>Хомут KSB1, уплотнение EPDM, М8 32-35 мм</t>
        </is>
      </c>
      <c r="C81" t="inlineStr">
        <is>
          <t>3363035</t>
        </is>
      </c>
      <c r="D81" t="inlineStr">
        <is>
          <t>Walraven</t>
        </is>
      </c>
      <c r="E81" t="n">
        <v>4</v>
      </c>
      <c r="F81" t="inlineStr"/>
    </row>
    <row r="82">
      <c r="A82" t="n">
        <v>80</v>
      </c>
      <c r="B82" t="inlineStr">
        <is>
          <t>Виброизолятор М10х30х50</t>
        </is>
      </c>
      <c r="C82" t="inlineStr">
        <is>
          <t>K0566.05003055</t>
        </is>
      </c>
      <c r="D82" t="inlineStr">
        <is>
          <t>Алтервиа</t>
        </is>
      </c>
      <c r="E82" t="n">
        <v>8</v>
      </c>
      <c r="F82" t="inlineStr"/>
    </row>
    <row r="83">
      <c r="A83" t="n">
        <v>81</v>
      </c>
      <c r="B83" t="inlineStr">
        <is>
          <t>Опора дисковая d50xM10x40</t>
        </is>
      </c>
      <c r="C83" t="inlineStr">
        <is>
          <t>K0678.05010X040</t>
        </is>
      </c>
      <c r="D83" t="inlineStr">
        <is>
          <t>Алтервиа</t>
        </is>
      </c>
      <c r="E83" t="n">
        <v>4</v>
      </c>
      <c r="F83" t="inlineStr"/>
    </row>
    <row r="84">
      <c r="A84" t="n">
        <v>82</v>
      </c>
      <c r="B84" t="inlineStr">
        <is>
          <t>Кран шаровой 3-х ход. L-порт 3/4" с пневмоприводом</t>
        </is>
      </c>
      <c r="C84" t="inlineStr">
        <is>
          <t>2FRW</t>
        </is>
      </c>
      <c r="D84" t="inlineStr">
        <is>
          <t>ВЕНТАР</t>
        </is>
      </c>
      <c r="E84" t="n">
        <v>2</v>
      </c>
      <c r="F84" t="inlineStr"/>
    </row>
    <row r="85">
      <c r="A85" t="n">
        <v>83</v>
      </c>
      <c r="B85" t="inlineStr">
        <is>
          <t>Пневмораспределитель 4V310-08B NAMUR</t>
        </is>
      </c>
      <c r="C85" t="inlineStr">
        <is>
          <t>29QA</t>
        </is>
      </c>
      <c r="D85" t="inlineStr">
        <is>
          <t>ВЕНТАР</t>
        </is>
      </c>
      <c r="E85" t="n">
        <v>2</v>
      </c>
      <c r="F85" t="inlineStr"/>
    </row>
  </sheetData>
  <mergeCells count="1">
    <mergeCell ref="A1:F1"/>
  </mergeCells>
  <pageMargins left="0.5905511811023622" right="0.1968503937007874" top="0.3937007874015748" bottom="0.3937007874015748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view="pageLayout" zoomScaleNormal="100" workbookViewId="0">
      <selection activeCell="A3" sqref="A3"/>
    </sheetView>
  </sheetViews>
  <sheetFormatPr baseColWidth="8" defaultColWidth="9.140625" defaultRowHeight="15"/>
  <cols>
    <col width="3.42578125" customWidth="1" style="27" min="1" max="1"/>
    <col width="40.140625" customWidth="1" style="27" min="2" max="2"/>
    <col width="44.7109375" customWidth="1" style="27" min="3" max="3"/>
    <col width="6.5703125" customWidth="1" style="27" min="4" max="4"/>
    <col width="9.140625" customWidth="1" style="27" min="5" max="16384"/>
  </cols>
  <sheetData>
    <row r="1">
      <c r="A1" s="37" t="inlineStr">
        <is>
          <t>МД000_ВЕДОМОСТЬ УНИФИЦИРОВАННЫХ ИЗДЕЛИЙ</t>
        </is>
      </c>
    </row>
    <row r="2">
      <c r="B2" s="36" t="inlineStr">
        <is>
          <t>Обозначение</t>
        </is>
      </c>
      <c r="C2" s="36" t="inlineStr">
        <is>
          <t>Наименование</t>
        </is>
      </c>
      <c r="D2" s="36" t="inlineStr">
        <is>
          <t>Кол.</t>
        </is>
      </c>
    </row>
  </sheetData>
  <mergeCells count="1">
    <mergeCell ref="A1:D1"/>
  </mergeCells>
  <pageMargins left="0.5905511811023622" right="0.1968503937007874" top="0.3937007874015748" bottom="0.3937007874015748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2023-05-08T12:39:49Z</dcterms:modified>
</cp:coreProperties>
</file>