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ПрофильныйПрокат" sheetId="1" r:id="rId1"/>
    <sheet name="ПлоскийПрокат" sheetId="2" r:id="rId2"/>
    <sheet name="ПокупныеИзделия" sheetId="3" r:id="rId3"/>
    <sheet name="УнифицированныеИзделия" sheetId="4" r:id="rId4"/>
  </sheets>
  <definedNames>
    <definedName name="_xlnm._FilterDatabase" localSheetId="0" hidden="1">ПрофильныйПрокат!$A$2:$H$87</definedName>
    <definedName name="_xlnm.Print_Area" localSheetId="1">ПлоскийПрокат!$A$1:$I$34</definedName>
    <definedName name="_xlnm.Print_Area" localSheetId="0">ПрофильныйПрокат!$A$1:$I$89</definedName>
  </definedNames>
  <calcPr calcId="162913"/>
</workbook>
</file>

<file path=xl/calcChain.xml><?xml version="1.0" encoding="utf-8"?>
<calcChain xmlns="http://schemas.openxmlformats.org/spreadsheetml/2006/main">
  <c r="C15" i="2" l="1"/>
  <c r="F15" i="2" s="1"/>
  <c r="E15" i="2" s="1"/>
  <c r="H15" i="2"/>
  <c r="C76" i="1"/>
  <c r="H75" i="1"/>
  <c r="I75" i="1" s="1"/>
  <c r="C75" i="1"/>
  <c r="F75" i="1" s="1"/>
  <c r="E75" i="1" s="1"/>
  <c r="C12" i="1"/>
  <c r="H11" i="1"/>
  <c r="I11" i="1" s="1"/>
  <c r="C11" i="1"/>
  <c r="F11" i="1" s="1"/>
  <c r="E11" i="1" s="1"/>
  <c r="I15" i="2" l="1"/>
  <c r="C66" i="1"/>
  <c r="F66" i="1" s="1"/>
  <c r="E66" i="1" s="1"/>
  <c r="C65" i="1"/>
  <c r="F65" i="1" s="1"/>
  <c r="E65" i="1" s="1"/>
  <c r="C64" i="1"/>
  <c r="H66" i="1"/>
  <c r="H65" i="1"/>
  <c r="H64" i="1"/>
  <c r="I66" i="1" l="1"/>
  <c r="I65" i="1"/>
  <c r="I64" i="1"/>
  <c r="F64" i="1"/>
  <c r="E64" i="1" s="1"/>
  <c r="D89" i="1"/>
  <c r="C24" i="2" l="1"/>
  <c r="C87" i="1"/>
  <c r="C85" i="1"/>
  <c r="C83" i="1"/>
  <c r="C82" i="1"/>
  <c r="C80" i="1"/>
  <c r="C78" i="1"/>
  <c r="C73" i="1"/>
  <c r="C72" i="1"/>
  <c r="C71" i="1"/>
  <c r="C70" i="1"/>
  <c r="C69" i="1"/>
  <c r="C68" i="1"/>
  <c r="H6" i="2"/>
  <c r="I6" i="2" s="1"/>
  <c r="C6" i="2"/>
  <c r="F6" i="2" s="1"/>
  <c r="E6" i="2" s="1"/>
  <c r="C21" i="2"/>
  <c r="H25" i="1"/>
  <c r="I25" i="1" s="1"/>
  <c r="F25" i="1"/>
  <c r="E25" i="1" s="1"/>
  <c r="H21" i="1"/>
  <c r="I21" i="1" s="1"/>
  <c r="F21" i="1"/>
  <c r="E21" i="1" s="1"/>
  <c r="H57" i="1"/>
  <c r="I57" i="1" s="1"/>
  <c r="F57" i="1"/>
  <c r="E57" i="1" s="1"/>
  <c r="H55" i="1"/>
  <c r="I55" i="1" s="1"/>
  <c r="F55" i="1"/>
  <c r="E55" i="1" s="1"/>
  <c r="C15" i="1"/>
  <c r="F15" i="1" s="1"/>
  <c r="E15" i="1" s="1"/>
  <c r="H15" i="1"/>
  <c r="C9" i="1"/>
  <c r="F9" i="1" s="1"/>
  <c r="E9" i="1" s="1"/>
  <c r="C8" i="1"/>
  <c r="F8" i="1" s="1"/>
  <c r="E8" i="1" s="1"/>
  <c r="C7" i="1"/>
  <c r="F7" i="1" s="1"/>
  <c r="E7" i="1" s="1"/>
  <c r="H9" i="1"/>
  <c r="H10" i="1"/>
  <c r="C10" i="1"/>
  <c r="F10" i="1" s="1"/>
  <c r="E10" i="1" s="1"/>
  <c r="H8" i="1"/>
  <c r="H7" i="1"/>
  <c r="C5" i="1"/>
  <c r="H4" i="1"/>
  <c r="C4" i="1"/>
  <c r="F4" i="1" s="1"/>
  <c r="E4" i="1" s="1"/>
  <c r="C43" i="1"/>
  <c r="F43" i="1" s="1"/>
  <c r="E43" i="1" s="1"/>
  <c r="H43" i="1"/>
  <c r="C47" i="1"/>
  <c r="F47" i="1" s="1"/>
  <c r="E47" i="1" s="1"/>
  <c r="H47" i="1"/>
  <c r="C44" i="1"/>
  <c r="H31" i="1"/>
  <c r="I31" i="1" s="1"/>
  <c r="F31" i="1"/>
  <c r="E31" i="1" s="1"/>
  <c r="H30" i="1"/>
  <c r="I30" i="1" s="1"/>
  <c r="F30" i="1"/>
  <c r="E30" i="1" s="1"/>
  <c r="H28" i="1"/>
  <c r="I28" i="1" s="1"/>
  <c r="F28" i="1"/>
  <c r="E28" i="1" s="1"/>
  <c r="H34" i="1"/>
  <c r="I34" i="1" s="1"/>
  <c r="F34" i="1"/>
  <c r="E34" i="1" s="1"/>
  <c r="I43" i="1" l="1"/>
  <c r="I10" i="1"/>
  <c r="I15" i="1"/>
  <c r="I8" i="1"/>
  <c r="I9" i="1"/>
  <c r="I7" i="1"/>
  <c r="I4" i="1"/>
  <c r="I47" i="1"/>
  <c r="C62" i="1"/>
  <c r="C48" i="1" l="1"/>
  <c r="C46" i="1"/>
  <c r="C45" i="1"/>
  <c r="C41" i="1"/>
  <c r="C40" i="1"/>
  <c r="C39" i="1"/>
  <c r="C38" i="1"/>
  <c r="C37" i="1"/>
  <c r="C36" i="1"/>
  <c r="C17" i="1"/>
  <c r="C16" i="1"/>
  <c r="C14" i="1"/>
  <c r="C30" i="2"/>
  <c r="C23" i="2" l="1"/>
  <c r="C19" i="2"/>
  <c r="C17" i="2"/>
  <c r="F17" i="2" s="1"/>
  <c r="E17" i="2" s="1"/>
  <c r="C16" i="2"/>
  <c r="H17" i="2"/>
  <c r="H19" i="2"/>
  <c r="C13" i="2"/>
  <c r="F13" i="2" s="1"/>
  <c r="E13" i="2" s="1"/>
  <c r="C12" i="2"/>
  <c r="F12" i="2" s="1"/>
  <c r="E12" i="2" s="1"/>
  <c r="C11" i="2"/>
  <c r="F11" i="2" s="1"/>
  <c r="E11" i="2" s="1"/>
  <c r="C5" i="2"/>
  <c r="C9" i="2"/>
  <c r="C8" i="2"/>
  <c r="C7" i="2"/>
  <c r="C4" i="2"/>
  <c r="H13" i="2"/>
  <c r="I13" i="2" s="1"/>
  <c r="H12" i="2"/>
  <c r="H11" i="2"/>
  <c r="I17" i="2" l="1"/>
  <c r="I19" i="2"/>
  <c r="F19" i="2"/>
  <c r="E19" i="2" s="1"/>
  <c r="I12" i="2"/>
  <c r="I11" i="2"/>
  <c r="H30" i="2"/>
  <c r="H28" i="2"/>
  <c r="I28" i="2" s="1"/>
  <c r="F28" i="2"/>
  <c r="E28" i="2" s="1"/>
  <c r="H26" i="2"/>
  <c r="I26" i="2" s="1"/>
  <c r="F26" i="2"/>
  <c r="E26" i="2" s="1"/>
  <c r="H24" i="2"/>
  <c r="H23" i="2"/>
  <c r="H21" i="2"/>
  <c r="H16" i="2"/>
  <c r="H9" i="2"/>
  <c r="H8" i="2"/>
  <c r="H7" i="2"/>
  <c r="H5" i="2"/>
  <c r="H4" i="2"/>
  <c r="H87" i="1"/>
  <c r="H85" i="1"/>
  <c r="H83" i="1"/>
  <c r="H82" i="1"/>
  <c r="H80" i="1"/>
  <c r="H78" i="1"/>
  <c r="H76" i="1"/>
  <c r="H73" i="1"/>
  <c r="H72" i="1"/>
  <c r="H71" i="1"/>
  <c r="H70" i="1"/>
  <c r="H69" i="1"/>
  <c r="H68" i="1"/>
  <c r="H62" i="1"/>
  <c r="H26" i="1"/>
  <c r="H24" i="1"/>
  <c r="H22" i="1"/>
  <c r="H20" i="1"/>
  <c r="H19" i="1"/>
  <c r="H58" i="1"/>
  <c r="H56" i="1"/>
  <c r="H54" i="1"/>
  <c r="H52" i="1"/>
  <c r="H51" i="1"/>
  <c r="H50" i="1"/>
  <c r="H48" i="1"/>
  <c r="H46" i="1"/>
  <c r="H45" i="1"/>
  <c r="H44" i="1"/>
  <c r="H41" i="1"/>
  <c r="H40" i="1"/>
  <c r="H39" i="1"/>
  <c r="H38" i="1"/>
  <c r="H37" i="1"/>
  <c r="H36" i="1"/>
  <c r="H17" i="1"/>
  <c r="H16" i="1"/>
  <c r="H14" i="1"/>
  <c r="H12" i="1"/>
  <c r="H5" i="1"/>
  <c r="H32" i="1"/>
  <c r="H60" i="1"/>
  <c r="I60" i="1" s="1"/>
  <c r="F60" i="1"/>
  <c r="E60" i="1" s="1"/>
  <c r="H89" i="1" l="1"/>
  <c r="H34" i="2"/>
  <c r="F23" i="2" l="1"/>
  <c r="E23" i="2" s="1"/>
  <c r="I23" i="2"/>
  <c r="F24" i="2"/>
  <c r="E24" i="2" s="1"/>
  <c r="I24" i="2"/>
  <c r="F30" i="2" l="1"/>
  <c r="E30" i="2" s="1"/>
  <c r="I30" i="2"/>
  <c r="F21" i="2"/>
  <c r="E21" i="2" s="1"/>
  <c r="I21" i="2"/>
  <c r="F70" i="1" l="1"/>
  <c r="E70" i="1" s="1"/>
  <c r="I70" i="1"/>
  <c r="I76" i="1"/>
  <c r="F76" i="1"/>
  <c r="E76" i="1" s="1"/>
  <c r="F24" i="1"/>
  <c r="E24" i="1" s="1"/>
  <c r="I24" i="1"/>
  <c r="F83" i="1"/>
  <c r="E83" i="1" s="1"/>
  <c r="I83" i="1"/>
  <c r="F20" i="1"/>
  <c r="E20" i="1" s="1"/>
  <c r="I20" i="1"/>
  <c r="I78" i="1"/>
  <c r="F78" i="1"/>
  <c r="E78" i="1" s="1"/>
  <c r="F82" i="1"/>
  <c r="E82" i="1" s="1"/>
  <c r="I82" i="1"/>
  <c r="I73" i="1"/>
  <c r="F73" i="1"/>
  <c r="E73" i="1" s="1"/>
  <c r="I52" i="1"/>
  <c r="F52" i="1"/>
  <c r="E52" i="1" s="1"/>
  <c r="F58" i="1"/>
  <c r="E58" i="1" s="1"/>
  <c r="I58" i="1"/>
  <c r="F22" i="1"/>
  <c r="E22" i="1" s="1"/>
  <c r="I22" i="1"/>
  <c r="F50" i="1"/>
  <c r="E50" i="1" s="1"/>
  <c r="I50" i="1"/>
  <c r="I54" i="1"/>
  <c r="F54" i="1"/>
  <c r="E54" i="1" s="1"/>
  <c r="F71" i="1"/>
  <c r="E71" i="1" s="1"/>
  <c r="I71" i="1"/>
  <c r="I26" i="1"/>
  <c r="F26" i="1"/>
  <c r="E26" i="1" s="1"/>
  <c r="I68" i="1"/>
  <c r="F68" i="1"/>
  <c r="E68" i="1" s="1"/>
  <c r="I51" i="1"/>
  <c r="F51" i="1"/>
  <c r="E51" i="1" s="1"/>
  <c r="I19" i="1"/>
  <c r="F19" i="1"/>
  <c r="E19" i="1" s="1"/>
  <c r="F72" i="1"/>
  <c r="E72" i="1" s="1"/>
  <c r="I72" i="1"/>
  <c r="F69" i="1"/>
  <c r="E69" i="1" s="1"/>
  <c r="I69" i="1"/>
  <c r="F56" i="1"/>
  <c r="E56" i="1" s="1"/>
  <c r="I56" i="1"/>
  <c r="F80" i="1"/>
  <c r="E80" i="1" s="1"/>
  <c r="I80" i="1"/>
  <c r="F5" i="2"/>
  <c r="E5" i="2" s="1"/>
  <c r="I5" i="2"/>
  <c r="F16" i="2"/>
  <c r="E16" i="2" s="1"/>
  <c r="I16" i="2"/>
  <c r="F7" i="2"/>
  <c r="E7" i="2" s="1"/>
  <c r="I7" i="2"/>
  <c r="F8" i="2"/>
  <c r="E8" i="2" s="1"/>
  <c r="I8" i="2"/>
  <c r="F9" i="2"/>
  <c r="E9" i="2" s="1"/>
  <c r="I9" i="2"/>
  <c r="F4" i="2"/>
  <c r="E4" i="2" s="1"/>
  <c r="I4" i="2"/>
  <c r="D34" i="2"/>
  <c r="I16" i="1" l="1"/>
  <c r="F16" i="1"/>
  <c r="E16" i="1" s="1"/>
  <c r="I32" i="1"/>
  <c r="F32" i="1"/>
  <c r="E32" i="1" s="1"/>
  <c r="F62" i="1"/>
  <c r="E62" i="1" s="1"/>
  <c r="I62" i="1"/>
  <c r="I87" i="1"/>
  <c r="F87" i="1"/>
  <c r="E87" i="1" s="1"/>
  <c r="I48" i="1"/>
  <c r="F48" i="1"/>
  <c r="E48" i="1" s="1"/>
  <c r="F37" i="1"/>
  <c r="E37" i="1" s="1"/>
  <c r="I37" i="1"/>
  <c r="I5" i="1"/>
  <c r="F5" i="1"/>
  <c r="F36" i="1"/>
  <c r="E36" i="1" s="1"/>
  <c r="I36" i="1"/>
  <c r="I14" i="1"/>
  <c r="F14" i="1"/>
  <c r="E14" i="1" s="1"/>
  <c r="I38" i="1"/>
  <c r="F38" i="1"/>
  <c r="E38" i="1" s="1"/>
  <c r="I85" i="1"/>
  <c r="F85" i="1"/>
  <c r="E85" i="1" s="1"/>
  <c r="I39" i="1"/>
  <c r="F39" i="1"/>
  <c r="E39" i="1" s="1"/>
  <c r="F44" i="1"/>
  <c r="E44" i="1" s="1"/>
  <c r="I44" i="1"/>
  <c r="F40" i="1"/>
  <c r="E40" i="1" s="1"/>
  <c r="I40" i="1"/>
  <c r="I41" i="1"/>
  <c r="F41" i="1"/>
  <c r="E41" i="1" s="1"/>
  <c r="I46" i="1"/>
  <c r="F46" i="1"/>
  <c r="E46" i="1" s="1"/>
  <c r="I45" i="1"/>
  <c r="F45" i="1"/>
  <c r="E45" i="1" s="1"/>
  <c r="F12" i="1"/>
  <c r="E12" i="1" s="1"/>
  <c r="I12" i="1"/>
  <c r="F17" i="1"/>
  <c r="E17" i="1" s="1"/>
  <c r="I17" i="1"/>
  <c r="E5" i="1" l="1"/>
  <c r="F89" i="1"/>
  <c r="F34" i="2"/>
</calcChain>
</file>

<file path=xl/sharedStrings.xml><?xml version="1.0" encoding="utf-8"?>
<sst xmlns="http://schemas.openxmlformats.org/spreadsheetml/2006/main" count="238" uniqueCount="162">
  <si>
    <t>Наименование</t>
  </si>
  <si>
    <t>Материал</t>
  </si>
  <si>
    <t>08Х18Н10</t>
  </si>
  <si>
    <t>ЛС59-1</t>
  </si>
  <si>
    <t>Итого</t>
  </si>
  <si>
    <t>ЛИСТ ПЛАСТИКОВЫЙ</t>
  </si>
  <si>
    <t>Кол.</t>
  </si>
  <si>
    <t>Обозначение</t>
  </si>
  <si>
    <t>Масса
/1 м2/
кг</t>
  </si>
  <si>
    <t>Количество
/изделие/
кг</t>
  </si>
  <si>
    <t>Коэффициент
/поставка/</t>
  </si>
  <si>
    <t>Количество
/поставка/
кг</t>
  </si>
  <si>
    <t>Длина
/поставка/
п.м</t>
  </si>
  <si>
    <t>Количество
/поставка/
(коэф. 1,1), кг</t>
  </si>
  <si>
    <t>Количество
/поставка/
(коэф. 1,2), кг</t>
  </si>
  <si>
    <t>МД000_ВЕДОМОСТЬ ПЛОСКОГО ПРОКАТА</t>
  </si>
  <si>
    <t>Поставщик</t>
  </si>
  <si>
    <t>Артикул</t>
  </si>
  <si>
    <t>МД000_ВЕДОМОСТЬ УНИФИЦИРОВАННЫХ ИЗДЕЛИЙ</t>
  </si>
  <si>
    <t>МД000_ВЕДОМОСТЬ ПОКУПНЫХ ИЗДЕЛИЙ</t>
  </si>
  <si>
    <t>МД000_ВЕДОМОСТЬ ПРОФИЛЬНОГО ПРОКАТА</t>
  </si>
  <si>
    <t>Масса 
/1 п.м./
кг</t>
  </si>
  <si>
    <t>Длина
/поставка/
(коэф. 1,1), м</t>
  </si>
  <si>
    <t>Площадь
/поставка/
м2</t>
  </si>
  <si>
    <t>Площадь
/поставка/
(коэф. 1,2), м2</t>
  </si>
  <si>
    <t>Сортамент</t>
  </si>
  <si>
    <t>1,5х1250х2500</t>
  </si>
  <si>
    <t>С8-0,55х1150х2000</t>
  </si>
  <si>
    <t>2х1000х2000 Rv 3-5</t>
  </si>
  <si>
    <t>1Ф-1-ТМКЩ-С-3</t>
  </si>
  <si>
    <t>БАЛКА ДВУТАВРОВАЯ СПЕЦИАЛЬНАЯ ГОСТ 19425-74</t>
  </si>
  <si>
    <t>Ст3сп ГОСТ 535-2005</t>
  </si>
  <si>
    <t>КВАДРАТ ГОСТ 2591-2006</t>
  </si>
  <si>
    <t>КРУГ ГОСТ 2590-2006</t>
  </si>
  <si>
    <t>ПОЛОСА ГОСТ 103-2006</t>
  </si>
  <si>
    <t>ТРУБА ВГП ГОСТ 3262-75</t>
  </si>
  <si>
    <t>Ст3сп ГОСТ 10705-80</t>
  </si>
  <si>
    <t>ТРУБА ЭЛЕКТРОСВАРНАЯ ГОСТ 10704-91</t>
  </si>
  <si>
    <t>ТРУБА КВАДРАТНАЯ ГОСТ 8639-82</t>
  </si>
  <si>
    <t>Ст3сп ГОСТ 13663-86</t>
  </si>
  <si>
    <t>ТРУБА ПРЯМОУГОЛЬНАЯ ГОСТ 8645-68</t>
  </si>
  <si>
    <t>УГОЛОК ГОСТ 8509-93</t>
  </si>
  <si>
    <t>ШВЕЛЛЕР ГОСТ 8240-97</t>
  </si>
  <si>
    <t>2,0х1250х2500</t>
  </si>
  <si>
    <t>3,0х1250х2500</t>
  </si>
  <si>
    <t>3,0х1500х6000</t>
  </si>
  <si>
    <t>4,0х1500х6000</t>
  </si>
  <si>
    <t>6,0х1500х6000</t>
  </si>
  <si>
    <t>КРУГ НЕРЖ ГОСТ 2590-2006</t>
  </si>
  <si>
    <t>08Х18Н10 ГОСТ 5949-2018</t>
  </si>
  <si>
    <t>ТРУБА КВАДРАТНАЯ НЕРЖ ГОСТ 8639-82</t>
  </si>
  <si>
    <t>ТРУБА ПРЯМОУГОЛЬНАЯ НЕРЖ ГОСТ 8645-68</t>
  </si>
  <si>
    <t>УГОЛОК НЕРЖ ГОСТ 8509-93</t>
  </si>
  <si>
    <t>Ф-4</t>
  </si>
  <si>
    <t>квадрат 10</t>
  </si>
  <si>
    <t>квадрат 16</t>
  </si>
  <si>
    <t>круг 8</t>
  </si>
  <si>
    <t>круг 10</t>
  </si>
  <si>
    <t>круг 12</t>
  </si>
  <si>
    <t>круг 16</t>
  </si>
  <si>
    <t>круг 25</t>
  </si>
  <si>
    <t>полоса 4х20</t>
  </si>
  <si>
    <t>полоса 4х40</t>
  </si>
  <si>
    <t>полоса 8х80</t>
  </si>
  <si>
    <t>полоса 10х100</t>
  </si>
  <si>
    <t>уголок 25х25х4</t>
  </si>
  <si>
    <t>уголок 40х40х4</t>
  </si>
  <si>
    <t>уголок 50х50х5</t>
  </si>
  <si>
    <t>уголок 63х63х5</t>
  </si>
  <si>
    <t>швеллер 8П</t>
  </si>
  <si>
    <t>швеллер 10П</t>
  </si>
  <si>
    <t>швеллер 16П</t>
  </si>
  <si>
    <t>двутавр 18</t>
  </si>
  <si>
    <t>двутавр 20Б1</t>
  </si>
  <si>
    <t>двутавр 20Ш1</t>
  </si>
  <si>
    <t>двутавр 20К1</t>
  </si>
  <si>
    <t>двутавр 24М</t>
  </si>
  <si>
    <t>труба 15х2,8</t>
  </si>
  <si>
    <t>труба 20х2,8</t>
  </si>
  <si>
    <t>труба 25х3,2</t>
  </si>
  <si>
    <t>труба 32х3,2</t>
  </si>
  <si>
    <t>труба 40х3,5</t>
  </si>
  <si>
    <t>труба 50х3,5</t>
  </si>
  <si>
    <t>труба 12х2</t>
  </si>
  <si>
    <t>труба 76х4</t>
  </si>
  <si>
    <t>труба 89х4</t>
  </si>
  <si>
    <t>труба 108х4</t>
  </si>
  <si>
    <t>труба 114х5</t>
  </si>
  <si>
    <t>труба 159х4</t>
  </si>
  <si>
    <t>труба 25х25х2</t>
  </si>
  <si>
    <t>труба 40х40х3</t>
  </si>
  <si>
    <t>труба 100х100х6</t>
  </si>
  <si>
    <t>труба 40х20х2,5</t>
  </si>
  <si>
    <t>труба 50х25х2,5</t>
  </si>
  <si>
    <t>труба 60х30х3</t>
  </si>
  <si>
    <t>труба 60х40х4</t>
  </si>
  <si>
    <t>труба 80х40х4</t>
  </si>
  <si>
    <t>арматура 32-А500С</t>
  </si>
  <si>
    <t>круг 45</t>
  </si>
  <si>
    <t>труба 10х1,5</t>
  </si>
  <si>
    <t>труба 21х3</t>
  </si>
  <si>
    <t>труба 27х3</t>
  </si>
  <si>
    <t>труба 34х3</t>
  </si>
  <si>
    <t>труба 42х3,5</t>
  </si>
  <si>
    <t>труба 48х3,5</t>
  </si>
  <si>
    <t>труба 40х20х2</t>
  </si>
  <si>
    <t>уголок 35х35х3</t>
  </si>
  <si>
    <t>круг 20</t>
  </si>
  <si>
    <t>шестигранник 19</t>
  </si>
  <si>
    <t>стержень 40</t>
  </si>
  <si>
    <t>ФТОРОПЛАСТ ТУ 6-05-810-88</t>
  </si>
  <si>
    <t>КАПРОЛОН (ПОЛИАМИД 6 БЛОЧНЫЙ) ТУ 2224-001-78534599-2006</t>
  </si>
  <si>
    <t>стержень 80</t>
  </si>
  <si>
    <t>маслонаполненный ПА-6</t>
  </si>
  <si>
    <t>Ст3сп ГОСТ 16523-97</t>
  </si>
  <si>
    <t>Ст3сп ГОСТ 14637-89</t>
  </si>
  <si>
    <t>08Х18Н10 ГОСТ 5582-75</t>
  </si>
  <si>
    <t>08Х18Н10 ГОСТ 7350-77</t>
  </si>
  <si>
    <t>12Х17 ГОСТ 5582-75</t>
  </si>
  <si>
    <t>оцинкованный</t>
  </si>
  <si>
    <t>PP-C(полипропилен-сополимер)</t>
  </si>
  <si>
    <t>1,0х1250х2500</t>
  </si>
  <si>
    <t>0,55х1250х2500</t>
  </si>
  <si>
    <t>3,0х1500х3000</t>
  </si>
  <si>
    <t>5,0х1500х3000</t>
  </si>
  <si>
    <t>ПРОФНАСТИЛ ГОСТ 24045-2016</t>
  </si>
  <si>
    <t>Ст3сп ГОСТ 380-2005</t>
  </si>
  <si>
    <t>ЛИСТ ПЕРФОРИРОВАННЫЙ ГОСТ Р 58602-2019</t>
  </si>
  <si>
    <t>08пс ГОСТ 1050-2013</t>
  </si>
  <si>
    <t>ПЛАСТИНЫ РЕЗИНОВЫЕ И РЕЗИНОТКАНЕВЫЕ ГОСТ 7338-90</t>
  </si>
  <si>
    <r>
      <t>ДВУТАВР ГОСТ 8239-89</t>
    </r>
    <r>
      <rPr>
        <sz val="11"/>
        <color theme="1"/>
        <rFont val="Calibri"/>
        <family val="2"/>
        <charset val="204"/>
        <scheme val="minor"/>
      </rPr>
      <t xml:space="preserve"> (ТУ 24107-044-001)</t>
    </r>
  </si>
  <si>
    <r>
      <t>ДВУТАВР С ПАРАЛЛЕЛЬНЫМИ ГРАНЯМИ ГОСТ Р 57837-2017</t>
    </r>
    <r>
      <rPr>
        <sz val="11"/>
        <color theme="1"/>
        <rFont val="Calibri"/>
        <family val="2"/>
        <charset val="204"/>
        <scheme val="minor"/>
      </rPr>
      <t xml:space="preserve"> (СТО АСЧМ 20-93, ГОСТ 26020-83)</t>
    </r>
  </si>
  <si>
    <r>
      <t>АРМАТУРА ГОСТ Р 52544-2006</t>
    </r>
    <r>
      <rPr>
        <sz val="11"/>
        <color theme="1"/>
        <rFont val="Calibri"/>
        <family val="2"/>
        <charset val="204"/>
        <scheme val="minor"/>
      </rPr>
      <t xml:space="preserve"> (ГОСТ 34028-2016)</t>
    </r>
  </si>
  <si>
    <r>
      <t>ПРУТОК ЛАТУНЬ ГОСТ Р 52597-2006</t>
    </r>
    <r>
      <rPr>
        <sz val="11"/>
        <color theme="1"/>
        <rFont val="Calibri"/>
        <family val="2"/>
        <charset val="204"/>
        <scheme val="minor"/>
      </rPr>
      <t xml:space="preserve"> (ГОСТ 2060-2006)</t>
    </r>
  </si>
  <si>
    <r>
      <t>ЛИСТ ГОСТ 19903-2015</t>
    </r>
    <r>
      <rPr>
        <sz val="11"/>
        <color theme="1"/>
        <rFont val="Calibri"/>
        <family val="2"/>
        <charset val="204"/>
        <scheme val="minor"/>
      </rPr>
      <t xml:space="preserve"> (горячекатанный)</t>
    </r>
  </si>
  <si>
    <r>
      <t>ЛИСТ ГОСТ 19904-90</t>
    </r>
    <r>
      <rPr>
        <sz val="11"/>
        <color theme="1"/>
        <rFont val="Calibri"/>
        <family val="2"/>
        <charset val="204"/>
        <scheme val="minor"/>
      </rPr>
      <t xml:space="preserve"> (холоднокатанный)</t>
    </r>
  </si>
  <si>
    <r>
      <t>ЛИСТ НЕРЖ ГОСТ 19903-2015</t>
    </r>
    <r>
      <rPr>
        <sz val="11"/>
        <color theme="1"/>
        <rFont val="Calibri"/>
        <family val="2"/>
        <charset val="204"/>
        <scheme val="minor"/>
      </rPr>
      <t xml:space="preserve"> (горячекатанный)</t>
    </r>
  </si>
  <si>
    <r>
      <t>ЛИСТ НЕРЖ ГОСТ 19904-90</t>
    </r>
    <r>
      <rPr>
        <sz val="11"/>
        <color theme="1"/>
        <rFont val="Calibri"/>
        <family val="2"/>
        <charset val="204"/>
        <scheme val="minor"/>
      </rPr>
      <t xml:space="preserve"> (холоднокатанный)</t>
    </r>
  </si>
  <si>
    <r>
      <t>ЛИСТ ОЦИНК ГОСТ Р 52246-2004</t>
    </r>
    <r>
      <rPr>
        <sz val="11"/>
        <color theme="1"/>
        <rFont val="Calibri"/>
        <family val="2"/>
        <charset val="204"/>
        <scheme val="minor"/>
      </rPr>
      <t xml:space="preserve"> (ГОСТ 14918-80)</t>
    </r>
  </si>
  <si>
    <r>
      <t>ПРОСЕЧНО-ВЫТЯЖНОЙ ЛИСТ ТУ 36.26.11-5-89</t>
    </r>
    <r>
      <rPr>
        <sz val="11"/>
        <color theme="1"/>
        <rFont val="Calibri"/>
        <family val="2"/>
        <charset val="204"/>
        <scheme val="minor"/>
      </rPr>
      <t xml:space="preserve"> (ТУ 0971-001-55980712-2012)</t>
    </r>
  </si>
  <si>
    <t>508х1250х2300</t>
  </si>
  <si>
    <t>ТРУБА НЕРЖ ГОСТ 9941-81</t>
  </si>
  <si>
    <t>труба 21,3х3</t>
  </si>
  <si>
    <t>труба 26,9х3</t>
  </si>
  <si>
    <t>труба 33,7х3</t>
  </si>
  <si>
    <t>ТРУБА НЕРЖ ЭЛЕКТРОСВАРНАЯ ГОСТ 11068-81</t>
  </si>
  <si>
    <t>круг 40</t>
  </si>
  <si>
    <t>№</t>
  </si>
  <si>
    <t>Труба 15х2,8 Ст3</t>
  </si>
  <si>
    <t>Труба 20х2,8 Ст3</t>
  </si>
  <si>
    <t>Труба 25х3,2 Ст3</t>
  </si>
  <si>
    <t>Труба 32х3,2 Ст3</t>
  </si>
  <si>
    <t>Труба 40х3,5 Ст3</t>
  </si>
  <si>
    <t>Труба 50х3,5 Ст3</t>
  </si>
  <si>
    <t>Труба 25х25х2 Ст3</t>
  </si>
  <si>
    <t>Круг 12 Ст3</t>
  </si>
  <si>
    <t>Круг 16 Ст3</t>
  </si>
  <si>
    <t>Лист 3 Ст3</t>
  </si>
  <si>
    <t>Лист 1,5 Ст3</t>
  </si>
  <si>
    <t>Лист перфорированный 2 Rv 5-8 08ПС</t>
  </si>
  <si>
    <t>Полоса 4х20 Ст3</t>
  </si>
  <si>
    <t>Лист 2 Ст3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</si>
</sst>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0" borderId="0"/>
  </cellStyleXfs>
  <cellXfs count="39">
    <xf numFmtId="0" fontId="0" fillId="0" borderId="0" xfId="0"/>
    <xf numFmtId="0" fontId="5" fillId="0" borderId="0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left"/>
    </xf>
    <xf numFmtId="2" fontId="5" fillId="3" borderId="0" xfId="0" applyNumberFormat="1" applyFont="1" applyFill="1" applyBorder="1"/>
    <xf numFmtId="2" fontId="10" fillId="2" borderId="0" xfId="0" applyNumberFormat="1" applyFont="1" applyFill="1" applyBorder="1"/>
    <xf numFmtId="2" fontId="10" fillId="0" borderId="0" xfId="0" applyNumberFormat="1" applyFont="1" applyBorder="1"/>
    <xf numFmtId="2" fontId="10" fillId="0" borderId="0" xfId="0" applyNumberFormat="1" applyFont="1" applyFill="1" applyBorder="1"/>
    <xf numFmtId="0" fontId="11" fillId="0" borderId="0" xfId="0" applyFont="1" applyBorder="1"/>
    <xf numFmtId="0" fontId="5" fillId="0" borderId="0" xfId="0" applyFont="1" applyFill="1" applyBorder="1"/>
    <xf numFmtId="2" fontId="9" fillId="0" borderId="0" xfId="0" applyNumberFormat="1" applyFont="1" applyFill="1" applyBorder="1"/>
    <xf numFmtId="2" fontId="5" fillId="0" borderId="0" xfId="0" applyNumberFormat="1" applyFont="1" applyFill="1" applyBorder="1"/>
    <xf numFmtId="2" fontId="5" fillId="2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Border="1" applyAlignment="1">
      <alignment wrapText="1"/>
    </xf>
    <xf numFmtId="0" fontId="9" fillId="0" borderId="0" xfId="0" applyNumberFormat="1" applyFont="1" applyFill="1" applyBorder="1" applyAlignment="1">
      <alignment horizontal="center" vertical="center" textRotation="90" wrapText="1"/>
    </xf>
    <xf numFmtId="2" fontId="10" fillId="2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5" fillId="3" borderId="0" xfId="0" applyFont="1" applyFill="1" applyBorder="1"/>
    <xf numFmtId="0" fontId="9" fillId="0" borderId="0" xfId="0" applyFont="1" applyBorder="1" applyAlignment="1">
      <alignment horizontal="right"/>
    </xf>
    <xf numFmtId="2" fontId="5" fillId="3" borderId="0" xfId="0" applyNumberFormat="1" applyFont="1" applyFill="1" applyBorder="1" applyAlignment="1">
      <alignment horizontal="left"/>
    </xf>
    <xf numFmtId="2" fontId="5" fillId="2" borderId="0" xfId="0" applyNumberFormat="1" applyFont="1" applyFill="1" applyBorder="1" applyAlignment="1">
      <alignment horizontal="right"/>
    </xf>
    <xf numFmtId="0" fontId="5" fillId="3" borderId="0" xfId="0" applyFont="1" applyFill="1" applyBorder="1" applyAlignment="1">
      <alignment horizontal="left"/>
    </xf>
    <xf numFmtId="0" fontId="5" fillId="2" borderId="0" xfId="0" applyFont="1" applyFill="1" applyBorder="1"/>
    <xf numFmtId="0" fontId="9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Border="1"/>
  </cellXfs>
  <cellStyles count="6">
    <cellStyle name="Обычный" xfId="0" builtinId="0"/>
    <cellStyle name="Обычный 2" xfId="1"/>
    <cellStyle name="Обычный 2 2" xfId="2"/>
    <cellStyle name="Обычный 2 2 2" xfId="4"/>
    <cellStyle name="Обычный 2 3" xfId="5"/>
    <cellStyle name="Обычный 2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view="pageLayout" zoomScaleNormal="100" workbookViewId="0">
      <selection activeCell="J17" sqref="J17"/>
    </sheetView>
  </sheetViews>
  <sheetFormatPr defaultColWidth="9.140625" defaultRowHeight="15" x14ac:dyDescent="0.25"/>
  <cols>
    <col min="1" max="1" width="17.5703125" style="1" customWidth="1"/>
    <col min="2" max="2" width="27.5703125" style="1" customWidth="1"/>
    <col min="3" max="3" width="7.42578125" style="5" customWidth="1"/>
    <col min="4" max="4" width="7.42578125" style="13" customWidth="1"/>
    <col min="5" max="5" width="4.85546875" style="14" customWidth="1"/>
    <col min="6" max="6" width="7.42578125" style="14" customWidth="1"/>
    <col min="7" max="7" width="7.42578125" style="13" customWidth="1"/>
    <col min="8" max="9" width="7.42578125" style="1" customWidth="1"/>
    <col min="10" max="10" width="17" style="1" customWidth="1"/>
    <col min="11" max="16384" width="9.140625" style="1"/>
  </cols>
  <sheetData>
    <row r="1" spans="1:10" x14ac:dyDescent="0.25">
      <c r="A1" s="34" t="s">
        <v>20</v>
      </c>
      <c r="B1" s="34"/>
      <c r="C1" s="34"/>
      <c r="D1" s="34"/>
      <c r="E1" s="34"/>
      <c r="F1" s="34"/>
      <c r="G1" s="34"/>
      <c r="H1" s="34"/>
      <c r="I1" s="34"/>
    </row>
    <row r="2" spans="1:10" ht="84.95" customHeight="1" x14ac:dyDescent="0.25">
      <c r="A2" s="2" t="s">
        <v>25</v>
      </c>
      <c r="B2" s="2" t="s">
        <v>1</v>
      </c>
      <c r="C2" s="3" t="s">
        <v>21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22</v>
      </c>
    </row>
    <row r="3" spans="1:10" x14ac:dyDescent="0.25">
      <c r="A3" s="34" t="s">
        <v>32</v>
      </c>
      <c r="B3" s="34"/>
      <c r="C3" s="34"/>
      <c r="D3" s="34"/>
      <c r="E3" s="34"/>
      <c r="F3" s="34"/>
      <c r="G3" s="34"/>
      <c r="H3" s="34"/>
      <c r="I3" s="34"/>
    </row>
    <row r="4" spans="1:10" x14ac:dyDescent="0.25">
      <c r="A4" s="4" t="s">
        <v>54</v>
      </c>
      <c r="B4" s="1" t="s">
        <v>31</v>
      </c>
      <c r="C4" s="5">
        <f>(10^2)*10^(-6)*7850</f>
        <v>0.78499999999999992</v>
      </c>
      <c r="D4" s="6">
        <v>10</v>
      </c>
      <c r="E4" s="7">
        <f>F4/D4</f>
        <v>7.8499999999999986E-2</v>
      </c>
      <c r="F4" s="7">
        <f>G4*C4</f>
        <v>0.78499999999999992</v>
      </c>
      <c r="G4" s="6">
        <v>1</v>
      </c>
      <c r="H4" s="8">
        <f>D4*1.1</f>
        <v>11</v>
      </c>
      <c r="I4" s="7">
        <f>H4/C4</f>
        <v>14.012738853503187</v>
      </c>
    </row>
    <row r="5" spans="1:10" x14ac:dyDescent="0.25">
      <c r="A5" s="4" t="s">
        <v>55</v>
      </c>
      <c r="B5" s="1" t="s">
        <v>31</v>
      </c>
      <c r="C5" s="5">
        <f>(16^2)*10^(-6)*7850</f>
        <v>2.0095999999999998</v>
      </c>
      <c r="D5" s="6">
        <v>10</v>
      </c>
      <c r="E5" s="7">
        <f>F5/D5</f>
        <v>0.20095999999999997</v>
      </c>
      <c r="F5" s="7">
        <f>G5*C5</f>
        <v>2.0095999999999998</v>
      </c>
      <c r="G5" s="6">
        <v>1</v>
      </c>
      <c r="H5" s="8">
        <f>D5*1.1</f>
        <v>11</v>
      </c>
      <c r="I5" s="7">
        <f>H5/C5</f>
        <v>5.4737261146496818</v>
      </c>
    </row>
    <row r="6" spans="1:10" x14ac:dyDescent="0.25">
      <c r="A6" s="34" t="s">
        <v>33</v>
      </c>
      <c r="B6" s="34"/>
      <c r="C6" s="34"/>
      <c r="D6" s="34"/>
      <c r="E6" s="34"/>
      <c r="F6" s="34"/>
      <c r="G6" s="34"/>
      <c r="H6" s="34"/>
      <c r="I6" s="34"/>
    </row>
    <row r="7" spans="1:10" x14ac:dyDescent="0.25">
      <c r="A7" s="4" t="s">
        <v>56</v>
      </c>
      <c r="B7" s="1" t="s">
        <v>31</v>
      </c>
      <c r="C7" s="5">
        <f>3.14159/4*(8^2)*10^(-6)*7850</f>
        <v>0.39458370399999998</v>
      </c>
      <c r="D7" s="6">
        <v>10</v>
      </c>
      <c r="E7" s="7">
        <f t="shared" ref="E7:E11" si="0">F7/D7</f>
        <v>3.9458370399999998E-2</v>
      </c>
      <c r="F7" s="7">
        <f t="shared" ref="F7:F11" si="1">G7*C7</f>
        <v>0.39458370399999998</v>
      </c>
      <c r="G7" s="6">
        <v>1</v>
      </c>
      <c r="H7" s="8">
        <f t="shared" ref="H7:H11" si="2">D7*1.1</f>
        <v>11</v>
      </c>
      <c r="I7" s="7">
        <f t="shared" ref="I7:I11" si="3">H7/C7</f>
        <v>27.877481731987594</v>
      </c>
    </row>
    <row r="8" spans="1:10" x14ac:dyDescent="0.25">
      <c r="A8" s="4" t="s">
        <v>57</v>
      </c>
      <c r="B8" s="1" t="s">
        <v>31</v>
      </c>
      <c r="C8" s="5">
        <f>3.14159/4*(10^2)*10^(-6)*7850</f>
        <v>0.6165370375</v>
      </c>
      <c r="D8" s="6">
        <v>10</v>
      </c>
      <c r="E8" s="7">
        <f t="shared" si="0"/>
        <v>6.1653703749999997E-2</v>
      </c>
      <c r="F8" s="7">
        <f t="shared" si="1"/>
        <v>0.6165370375</v>
      </c>
      <c r="G8" s="6">
        <v>1</v>
      </c>
      <c r="H8" s="8">
        <f t="shared" si="2"/>
        <v>11</v>
      </c>
      <c r="I8" s="7">
        <f t="shared" si="3"/>
        <v>17.841588308472058</v>
      </c>
    </row>
    <row r="9" spans="1:10" x14ac:dyDescent="0.25">
      <c r="A9" s="4" t="s">
        <v>58</v>
      </c>
      <c r="B9" s="1" t="s">
        <v>31</v>
      </c>
      <c r="C9" s="5">
        <f>3.14159/4*(12^2)*10^(-6)*7850</f>
        <v>0.88781333399999995</v>
      </c>
      <c r="D9" s="6">
        <v>10</v>
      </c>
      <c r="E9" s="7">
        <f t="shared" ref="E9" si="4">F9/D9</f>
        <v>8.8781333399999995E-2</v>
      </c>
      <c r="F9" s="7">
        <f t="shared" ref="F9" si="5">G9*C9</f>
        <v>0.88781333399999995</v>
      </c>
      <c r="G9" s="6">
        <v>1</v>
      </c>
      <c r="H9" s="8">
        <f t="shared" ref="H9" si="6">D9*1.1</f>
        <v>11</v>
      </c>
      <c r="I9" s="7">
        <f t="shared" ref="I9" si="7">H9/C9</f>
        <v>12.389991880883375</v>
      </c>
      <c r="J9" s="38" t="s">
        <v>155</v>
      </c>
    </row>
    <row r="10" spans="1:10" x14ac:dyDescent="0.25">
      <c r="A10" s="4" t="s">
        <v>59</v>
      </c>
      <c r="B10" s="1" t="s">
        <v>31</v>
      </c>
      <c r="C10" s="5">
        <f>3.14159/4*(16^2)*10^(-6)*7850</f>
        <v>1.5783348159999999</v>
      </c>
      <c r="D10" s="6">
        <v>10</v>
      </c>
      <c r="E10" s="7">
        <f t="shared" si="0"/>
        <v>0.15783348159999999</v>
      </c>
      <c r="F10" s="7">
        <f t="shared" si="1"/>
        <v>1.5783348159999999</v>
      </c>
      <c r="G10" s="6">
        <v>1</v>
      </c>
      <c r="H10" s="8">
        <f t="shared" si="2"/>
        <v>11</v>
      </c>
      <c r="I10" s="7">
        <f t="shared" si="3"/>
        <v>6.9693704329968984</v>
      </c>
      <c r="J10" s="38" t="s">
        <v>156</v>
      </c>
    </row>
    <row r="11" spans="1:10" x14ac:dyDescent="0.25">
      <c r="A11" s="4" t="s">
        <v>60</v>
      </c>
      <c r="B11" s="1" t="s">
        <v>31</v>
      </c>
      <c r="C11" s="5">
        <f>3.14159/4*(25^2)*10^(-6)*7850</f>
        <v>3.8533564843749994</v>
      </c>
      <c r="D11" s="6">
        <v>10</v>
      </c>
      <c r="E11" s="7">
        <f t="shared" si="0"/>
        <v>0.38533564843749996</v>
      </c>
      <c r="F11" s="7">
        <f t="shared" si="1"/>
        <v>3.8533564843749994</v>
      </c>
      <c r="G11" s="6">
        <v>1</v>
      </c>
      <c r="H11" s="8">
        <f t="shared" si="2"/>
        <v>11</v>
      </c>
      <c r="I11" s="7">
        <f t="shared" si="3"/>
        <v>2.8546541293555299</v>
      </c>
    </row>
    <row r="12" spans="1:10" x14ac:dyDescent="0.25">
      <c r="A12" s="31" t="s">
        <v>146</v>
      </c>
      <c r="B12" s="1" t="s">
        <v>31</v>
      </c>
      <c r="C12" s="5">
        <f>3.14159/4*(40^2)*10^(-6)*7850</f>
        <v>9.8645925999999999</v>
      </c>
      <c r="D12" s="6">
        <v>10</v>
      </c>
      <c r="E12" s="7">
        <f t="shared" ref="E12" si="8">F12/D12</f>
        <v>0.98645925999999995</v>
      </c>
      <c r="F12" s="7">
        <f t="shared" ref="F12" si="9">G12*C12</f>
        <v>9.8645925999999999</v>
      </c>
      <c r="G12" s="6">
        <v>1</v>
      </c>
      <c r="H12" s="8">
        <f t="shared" ref="H12" si="10">D12*1.1</f>
        <v>11</v>
      </c>
      <c r="I12" s="7">
        <f t="shared" ref="I12" si="11">H12/C12</f>
        <v>1.1150992692795036</v>
      </c>
    </row>
    <row r="13" spans="1:10" x14ac:dyDescent="0.25">
      <c r="A13" s="34" t="s">
        <v>34</v>
      </c>
      <c r="B13" s="34"/>
      <c r="C13" s="34"/>
      <c r="D13" s="34"/>
      <c r="E13" s="34"/>
      <c r="F13" s="34"/>
      <c r="G13" s="34"/>
      <c r="H13" s="34"/>
      <c r="I13" s="34"/>
    </row>
    <row r="14" spans="1:10" x14ac:dyDescent="0.25">
      <c r="A14" s="1" t="s">
        <v>61</v>
      </c>
      <c r="B14" s="1" t="s">
        <v>31</v>
      </c>
      <c r="C14" s="5">
        <f>(4*20)*10^(-6)*7850</f>
        <v>0.62799999999999989</v>
      </c>
      <c r="D14" s="6">
        <v>10</v>
      </c>
      <c r="E14" s="7">
        <f t="shared" ref="E14:E17" si="12">F14/D14</f>
        <v>6.2799999999999995E-2</v>
      </c>
      <c r="F14" s="7">
        <f t="shared" ref="F14:F17" si="13">G14*C14</f>
        <v>0.62799999999999989</v>
      </c>
      <c r="G14" s="6">
        <v>1</v>
      </c>
      <c r="H14" s="8">
        <f t="shared" ref="H14:H17" si="14">D14*1.1</f>
        <v>11</v>
      </c>
      <c r="I14" s="7">
        <f t="shared" ref="I14:I17" si="15">H14/C14</f>
        <v>17.515923566878985</v>
      </c>
      <c r="J14" s="38" t="s">
        <v>160</v>
      </c>
    </row>
    <row r="15" spans="1:10" x14ac:dyDescent="0.25">
      <c r="A15" s="1" t="s">
        <v>62</v>
      </c>
      <c r="B15" s="1" t="s">
        <v>31</v>
      </c>
      <c r="C15" s="5">
        <f>(4*40)*10^(-6)*7850</f>
        <v>1.2559999999999998</v>
      </c>
      <c r="D15" s="6">
        <v>10</v>
      </c>
      <c r="E15" s="7">
        <f t="shared" ref="E15" si="16">F15/D15</f>
        <v>0.12559999999999999</v>
      </c>
      <c r="F15" s="7">
        <f t="shared" ref="F15" si="17">G15*C15</f>
        <v>1.2559999999999998</v>
      </c>
      <c r="G15" s="6">
        <v>1</v>
      </c>
      <c r="H15" s="8">
        <f t="shared" ref="H15" si="18">D15*1.1</f>
        <v>11</v>
      </c>
      <c r="I15" s="7">
        <f t="shared" ref="I15" si="19">H15/C15</f>
        <v>8.7579617834394927</v>
      </c>
    </row>
    <row r="16" spans="1:10" x14ac:dyDescent="0.25">
      <c r="A16" s="1" t="s">
        <v>63</v>
      </c>
      <c r="B16" s="1" t="s">
        <v>31</v>
      </c>
      <c r="C16" s="5">
        <f>(8*80)*10^(-6)*7850</f>
        <v>5.0239999999999991</v>
      </c>
      <c r="D16" s="6">
        <v>10</v>
      </c>
      <c r="E16" s="7">
        <f t="shared" si="12"/>
        <v>0.50239999999999996</v>
      </c>
      <c r="F16" s="7">
        <f t="shared" si="13"/>
        <v>5.0239999999999991</v>
      </c>
      <c r="G16" s="6">
        <v>1</v>
      </c>
      <c r="H16" s="8">
        <f t="shared" si="14"/>
        <v>11</v>
      </c>
      <c r="I16" s="7">
        <f t="shared" si="15"/>
        <v>2.1894904458598732</v>
      </c>
    </row>
    <row r="17" spans="1:9" x14ac:dyDescent="0.25">
      <c r="A17" s="1" t="s">
        <v>64</v>
      </c>
      <c r="B17" s="1" t="s">
        <v>31</v>
      </c>
      <c r="C17" s="5">
        <f>(10*100)*10^(-6)*7850</f>
        <v>7.8500000000000005</v>
      </c>
      <c r="D17" s="6">
        <v>10</v>
      </c>
      <c r="E17" s="7">
        <f t="shared" si="12"/>
        <v>0.78500000000000003</v>
      </c>
      <c r="F17" s="7">
        <f t="shared" si="13"/>
        <v>7.8500000000000005</v>
      </c>
      <c r="G17" s="6">
        <v>1</v>
      </c>
      <c r="H17" s="8">
        <f t="shared" si="14"/>
        <v>11</v>
      </c>
      <c r="I17" s="7">
        <f t="shared" si="15"/>
        <v>1.4012738853503184</v>
      </c>
    </row>
    <row r="18" spans="1:9" x14ac:dyDescent="0.25">
      <c r="A18" s="34" t="s">
        <v>41</v>
      </c>
      <c r="B18" s="34"/>
      <c r="C18" s="34"/>
      <c r="D18" s="34"/>
      <c r="E18" s="34"/>
      <c r="F18" s="34"/>
      <c r="G18" s="34"/>
      <c r="H18" s="34"/>
      <c r="I18" s="34"/>
    </row>
    <row r="19" spans="1:9" x14ac:dyDescent="0.25">
      <c r="A19" s="1" t="s">
        <v>65</v>
      </c>
      <c r="B19" s="1" t="s">
        <v>31</v>
      </c>
      <c r="C19" s="5">
        <v>1.46</v>
      </c>
      <c r="D19" s="6">
        <v>10</v>
      </c>
      <c r="E19" s="7">
        <f t="shared" ref="E19:E22" si="20">F19/D19</f>
        <v>0.14599999999999999</v>
      </c>
      <c r="F19" s="7">
        <f t="shared" ref="F19:F22" si="21">G19*C19</f>
        <v>1.46</v>
      </c>
      <c r="G19" s="6">
        <v>1</v>
      </c>
      <c r="H19" s="8">
        <f t="shared" ref="H19:H22" si="22">D19*1.1</f>
        <v>11</v>
      </c>
      <c r="I19" s="7">
        <f t="shared" ref="I19:I22" si="23">H19/C19</f>
        <v>7.5342465753424657</v>
      </c>
    </row>
    <row r="20" spans="1:9" x14ac:dyDescent="0.25">
      <c r="A20" s="1" t="s">
        <v>66</v>
      </c>
      <c r="B20" s="1" t="s">
        <v>31</v>
      </c>
      <c r="C20" s="5">
        <v>2.42</v>
      </c>
      <c r="D20" s="6">
        <v>10</v>
      </c>
      <c r="E20" s="7">
        <f t="shared" si="20"/>
        <v>0.24199999999999999</v>
      </c>
      <c r="F20" s="7">
        <f t="shared" si="21"/>
        <v>2.42</v>
      </c>
      <c r="G20" s="6">
        <v>1</v>
      </c>
      <c r="H20" s="8">
        <f t="shared" si="22"/>
        <v>11</v>
      </c>
      <c r="I20" s="7">
        <f t="shared" si="23"/>
        <v>4.5454545454545459</v>
      </c>
    </row>
    <row r="21" spans="1:9" x14ac:dyDescent="0.25">
      <c r="A21" s="1" t="s">
        <v>67</v>
      </c>
      <c r="B21" s="1" t="s">
        <v>31</v>
      </c>
      <c r="C21" s="5">
        <v>3.77</v>
      </c>
      <c r="D21" s="6">
        <v>10</v>
      </c>
      <c r="E21" s="7">
        <f t="shared" ref="E21" si="24">F21/D21</f>
        <v>0.377</v>
      </c>
      <c r="F21" s="7">
        <f t="shared" ref="F21" si="25">G21*C21</f>
        <v>3.77</v>
      </c>
      <c r="G21" s="6">
        <v>1</v>
      </c>
      <c r="H21" s="8">
        <f t="shared" ref="H21" si="26">D21*1.1</f>
        <v>11</v>
      </c>
      <c r="I21" s="7">
        <f t="shared" ref="I21" si="27">H21/C21</f>
        <v>2.9177718832891246</v>
      </c>
    </row>
    <row r="22" spans="1:9" x14ac:dyDescent="0.25">
      <c r="A22" s="1" t="s">
        <v>68</v>
      </c>
      <c r="B22" s="1" t="s">
        <v>31</v>
      </c>
      <c r="C22" s="5">
        <v>4.8099999999999996</v>
      </c>
      <c r="D22" s="6">
        <v>10</v>
      </c>
      <c r="E22" s="7">
        <f t="shared" si="20"/>
        <v>0.48099999999999998</v>
      </c>
      <c r="F22" s="7">
        <f t="shared" si="21"/>
        <v>4.8099999999999996</v>
      </c>
      <c r="G22" s="6">
        <v>1</v>
      </c>
      <c r="H22" s="8">
        <f t="shared" si="22"/>
        <v>11</v>
      </c>
      <c r="I22" s="7">
        <f t="shared" si="23"/>
        <v>2.2869022869022873</v>
      </c>
    </row>
    <row r="23" spans="1:9" x14ac:dyDescent="0.25">
      <c r="A23" s="34" t="s">
        <v>42</v>
      </c>
      <c r="B23" s="34"/>
      <c r="C23" s="34"/>
      <c r="D23" s="34"/>
      <c r="E23" s="34"/>
      <c r="F23" s="34"/>
      <c r="G23" s="34"/>
      <c r="H23" s="34"/>
      <c r="I23" s="34"/>
    </row>
    <row r="24" spans="1:9" x14ac:dyDescent="0.25">
      <c r="A24" s="1" t="s">
        <v>69</v>
      </c>
      <c r="B24" s="1" t="s">
        <v>31</v>
      </c>
      <c r="C24" s="5">
        <v>7.05</v>
      </c>
      <c r="D24" s="6">
        <v>10</v>
      </c>
      <c r="E24" s="7">
        <f>F24/D24</f>
        <v>0.70499999999999996</v>
      </c>
      <c r="F24" s="7">
        <f>G24*C24</f>
        <v>7.05</v>
      </c>
      <c r="G24" s="6">
        <v>1</v>
      </c>
      <c r="H24" s="8">
        <f>D24*1.1</f>
        <v>11</v>
      </c>
      <c r="I24" s="7">
        <f>H24/C24</f>
        <v>1.5602836879432624</v>
      </c>
    </row>
    <row r="25" spans="1:9" x14ac:dyDescent="0.25">
      <c r="A25" s="1" t="s">
        <v>70</v>
      </c>
      <c r="B25" s="1" t="s">
        <v>31</v>
      </c>
      <c r="C25" s="5">
        <v>8.59</v>
      </c>
      <c r="D25" s="6">
        <v>10</v>
      </c>
      <c r="E25" s="7">
        <f>F25/D25</f>
        <v>0.85899999999999999</v>
      </c>
      <c r="F25" s="7">
        <f>G25*C25</f>
        <v>8.59</v>
      </c>
      <c r="G25" s="6">
        <v>1</v>
      </c>
      <c r="H25" s="8">
        <f>D25*1.1</f>
        <v>11</v>
      </c>
      <c r="I25" s="7">
        <f>H25/C25</f>
        <v>1.280558789289872</v>
      </c>
    </row>
    <row r="26" spans="1:9" x14ac:dyDescent="0.25">
      <c r="A26" s="1" t="s">
        <v>71</v>
      </c>
      <c r="B26" s="1" t="s">
        <v>31</v>
      </c>
      <c r="C26" s="5">
        <v>14.2</v>
      </c>
      <c r="D26" s="6">
        <v>10</v>
      </c>
      <c r="E26" s="7">
        <f>F26/D26</f>
        <v>1.42</v>
      </c>
      <c r="F26" s="7">
        <f>G26*C26</f>
        <v>14.2</v>
      </c>
      <c r="G26" s="6">
        <v>1</v>
      </c>
      <c r="H26" s="8">
        <f>D26*1.1</f>
        <v>11</v>
      </c>
      <c r="I26" s="7">
        <f>H26/C26</f>
        <v>0.77464788732394374</v>
      </c>
    </row>
    <row r="27" spans="1:9" x14ac:dyDescent="0.25">
      <c r="A27" s="34" t="s">
        <v>130</v>
      </c>
      <c r="B27" s="34"/>
      <c r="C27" s="34"/>
      <c r="D27" s="34"/>
      <c r="E27" s="34"/>
      <c r="F27" s="34"/>
      <c r="G27" s="34"/>
      <c r="H27" s="34"/>
      <c r="I27" s="34"/>
    </row>
    <row r="28" spans="1:9" x14ac:dyDescent="0.25">
      <c r="A28" s="4" t="s">
        <v>72</v>
      </c>
      <c r="B28" s="1" t="s">
        <v>31</v>
      </c>
      <c r="C28" s="5">
        <v>18.399999999999999</v>
      </c>
      <c r="D28" s="6">
        <v>10</v>
      </c>
      <c r="E28" s="7">
        <f>F28/D28</f>
        <v>1.8399999999999999</v>
      </c>
      <c r="F28" s="7">
        <f>G28*C28</f>
        <v>18.399999999999999</v>
      </c>
      <c r="G28" s="6">
        <v>1</v>
      </c>
      <c r="H28" s="8">
        <f>D28*1.1</f>
        <v>11</v>
      </c>
      <c r="I28" s="7">
        <f>H28/C28</f>
        <v>0.59782608695652184</v>
      </c>
    </row>
    <row r="29" spans="1:9" x14ac:dyDescent="0.25">
      <c r="A29" s="34" t="s">
        <v>131</v>
      </c>
      <c r="B29" s="34"/>
      <c r="C29" s="34"/>
      <c r="D29" s="34"/>
      <c r="E29" s="34"/>
      <c r="F29" s="34"/>
      <c r="G29" s="34"/>
      <c r="H29" s="34"/>
      <c r="I29" s="34"/>
    </row>
    <row r="30" spans="1:9" x14ac:dyDescent="0.25">
      <c r="A30" s="1" t="s">
        <v>73</v>
      </c>
      <c r="B30" s="1" t="s">
        <v>31</v>
      </c>
      <c r="C30" s="5">
        <v>21.3</v>
      </c>
      <c r="D30" s="6">
        <v>10</v>
      </c>
      <c r="E30" s="7">
        <f>F30/D30</f>
        <v>2.13</v>
      </c>
      <c r="F30" s="7">
        <f>G30*C30</f>
        <v>21.3</v>
      </c>
      <c r="G30" s="6">
        <v>1</v>
      </c>
      <c r="H30" s="8">
        <f>D30*1.1</f>
        <v>11</v>
      </c>
      <c r="I30" s="7">
        <f>H30/C30</f>
        <v>0.51643192488262912</v>
      </c>
    </row>
    <row r="31" spans="1:9" x14ac:dyDescent="0.25">
      <c r="A31" s="1" t="s">
        <v>74</v>
      </c>
      <c r="B31" s="1" t="s">
        <v>31</v>
      </c>
      <c r="C31" s="5">
        <v>30.6</v>
      </c>
      <c r="D31" s="6">
        <v>10</v>
      </c>
      <c r="E31" s="7">
        <f>F31/D31</f>
        <v>3.06</v>
      </c>
      <c r="F31" s="7">
        <f>G31*C31</f>
        <v>30.6</v>
      </c>
      <c r="G31" s="6">
        <v>1</v>
      </c>
      <c r="H31" s="8">
        <f>D31*1.1</f>
        <v>11</v>
      </c>
      <c r="I31" s="7">
        <f>H31/C31</f>
        <v>0.35947712418300654</v>
      </c>
    </row>
    <row r="32" spans="1:9" x14ac:dyDescent="0.25">
      <c r="A32" s="1" t="s">
        <v>75</v>
      </c>
      <c r="B32" s="1" t="s">
        <v>31</v>
      </c>
      <c r="C32" s="5">
        <v>41.4</v>
      </c>
      <c r="D32" s="6">
        <v>10</v>
      </c>
      <c r="E32" s="7">
        <f>F32/D32</f>
        <v>4.1399999999999997</v>
      </c>
      <c r="F32" s="7">
        <f>G32*C32</f>
        <v>41.4</v>
      </c>
      <c r="G32" s="6">
        <v>1</v>
      </c>
      <c r="H32" s="8">
        <f>D32*1.1</f>
        <v>11</v>
      </c>
      <c r="I32" s="7">
        <f>H32/C32</f>
        <v>0.26570048309178745</v>
      </c>
    </row>
    <row r="33" spans="1:10" x14ac:dyDescent="0.25">
      <c r="A33" s="34" t="s">
        <v>30</v>
      </c>
      <c r="B33" s="34"/>
      <c r="C33" s="34"/>
      <c r="D33" s="34"/>
      <c r="E33" s="34"/>
      <c r="F33" s="34"/>
      <c r="G33" s="34"/>
      <c r="H33" s="34"/>
      <c r="I33" s="34"/>
    </row>
    <row r="34" spans="1:10" x14ac:dyDescent="0.25">
      <c r="A34" s="1" t="s">
        <v>76</v>
      </c>
      <c r="B34" s="1" t="s">
        <v>31</v>
      </c>
      <c r="C34" s="5">
        <v>38.299999999999997</v>
      </c>
      <c r="D34" s="6">
        <v>10</v>
      </c>
      <c r="E34" s="7">
        <f>F34/D34</f>
        <v>3.8299999999999996</v>
      </c>
      <c r="F34" s="7">
        <f>G34*C34</f>
        <v>38.299999999999997</v>
      </c>
      <c r="G34" s="6">
        <v>1</v>
      </c>
      <c r="H34" s="8">
        <f>D34*1.1</f>
        <v>11</v>
      </c>
      <c r="I34" s="7">
        <f>H34/C34</f>
        <v>0.28720626631853791</v>
      </c>
    </row>
    <row r="35" spans="1:10" x14ac:dyDescent="0.25">
      <c r="A35" s="34" t="s">
        <v>35</v>
      </c>
      <c r="B35" s="34"/>
      <c r="C35" s="34"/>
      <c r="D35" s="34"/>
      <c r="E35" s="34"/>
      <c r="F35" s="34"/>
      <c r="G35" s="34"/>
      <c r="H35" s="34"/>
      <c r="I35" s="34"/>
    </row>
    <row r="36" spans="1:10" x14ac:dyDescent="0.25">
      <c r="A36" s="1" t="s">
        <v>77</v>
      </c>
      <c r="B36" s="9"/>
      <c r="C36" s="5">
        <f>3.14159/4*(21.3^2-(21.3-2*2.8)^2)*10^(-6)*7850</f>
        <v>1.2774647417</v>
      </c>
      <c r="D36" s="6">
        <v>10</v>
      </c>
      <c r="E36" s="7">
        <f t="shared" ref="E36:E41" si="28">F36/D36</f>
        <v>0.12774647417000001</v>
      </c>
      <c r="F36" s="7">
        <f t="shared" ref="F36:F41" si="29">G36*C36</f>
        <v>1.2774647417</v>
      </c>
      <c r="G36" s="6">
        <v>1</v>
      </c>
      <c r="H36" s="8">
        <f t="shared" ref="H36:H41" si="30">D36*1.1</f>
        <v>11</v>
      </c>
      <c r="I36" s="7">
        <f t="shared" ref="I36:I41" si="31">H36/C36</f>
        <v>8.6108051681814963</v>
      </c>
      <c r="J36" s="38" t="s">
        <v>148</v>
      </c>
    </row>
    <row r="37" spans="1:10" x14ac:dyDescent="0.25">
      <c r="A37" s="1" t="s">
        <v>78</v>
      </c>
      <c r="B37" s="9"/>
      <c r="C37" s="5">
        <f>3.14159/4*(26.8^2-(26.8-2*2.8)^2)*10^(-6)*7850</f>
        <v>1.6572515567999992</v>
      </c>
      <c r="D37" s="6">
        <v>10</v>
      </c>
      <c r="E37" s="7">
        <f t="shared" si="28"/>
        <v>0.16572515567999993</v>
      </c>
      <c r="F37" s="7">
        <f t="shared" si="29"/>
        <v>1.6572515567999992</v>
      </c>
      <c r="G37" s="6">
        <v>1</v>
      </c>
      <c r="H37" s="8">
        <f t="shared" si="30"/>
        <v>11</v>
      </c>
      <c r="I37" s="7">
        <f t="shared" si="31"/>
        <v>6.6374956504732392</v>
      </c>
      <c r="J37" s="38" t="s">
        <v>149</v>
      </c>
    </row>
    <row r="38" spans="1:10" x14ac:dyDescent="0.25">
      <c r="A38" s="1" t="s">
        <v>79</v>
      </c>
      <c r="B38" s="9"/>
      <c r="C38" s="5">
        <f>3.14159/4*(33.5^2-(33.5-2*3.2)^2)*10^(-6)*7850</f>
        <v>2.3911772462399994</v>
      </c>
      <c r="D38" s="6">
        <v>10</v>
      </c>
      <c r="E38" s="7">
        <f t="shared" si="28"/>
        <v>0.23911772462399994</v>
      </c>
      <c r="F38" s="7">
        <f t="shared" si="29"/>
        <v>2.3911772462399994</v>
      </c>
      <c r="G38" s="6">
        <v>1</v>
      </c>
      <c r="H38" s="8">
        <f t="shared" si="30"/>
        <v>11</v>
      </c>
      <c r="I38" s="7">
        <f t="shared" si="31"/>
        <v>4.6002445102289773</v>
      </c>
      <c r="J38" s="38" t="s">
        <v>150</v>
      </c>
    </row>
    <row r="39" spans="1:10" x14ac:dyDescent="0.25">
      <c r="A39" s="1" t="s">
        <v>80</v>
      </c>
      <c r="B39" s="9"/>
      <c r="C39" s="5">
        <f>3.14159/4*(42.3^2-(42.3-2*3.2)^2)*10^(-6)*7850</f>
        <v>3.0856445652799982</v>
      </c>
      <c r="D39" s="6">
        <v>10</v>
      </c>
      <c r="E39" s="7">
        <f t="shared" si="28"/>
        <v>0.3085644565279998</v>
      </c>
      <c r="F39" s="7">
        <f t="shared" si="29"/>
        <v>3.0856445652799982</v>
      </c>
      <c r="G39" s="6">
        <v>1</v>
      </c>
      <c r="H39" s="8">
        <f t="shared" si="30"/>
        <v>11</v>
      </c>
      <c r="I39" s="7">
        <f t="shared" si="31"/>
        <v>3.5648953621467534</v>
      </c>
      <c r="J39" s="38" t="s">
        <v>151</v>
      </c>
    </row>
    <row r="40" spans="1:10" x14ac:dyDescent="0.25">
      <c r="A40" s="1" t="s">
        <v>81</v>
      </c>
      <c r="B40" s="9"/>
      <c r="C40" s="5">
        <f>3.14159/4*(48^2-(48-2*3.5)^2)*10^(-6)*7850</f>
        <v>3.8410257436249999</v>
      </c>
      <c r="D40" s="6">
        <v>10</v>
      </c>
      <c r="E40" s="7">
        <f t="shared" si="28"/>
        <v>0.3841025743625</v>
      </c>
      <c r="F40" s="7">
        <f t="shared" si="29"/>
        <v>3.8410257436249999</v>
      </c>
      <c r="G40" s="6">
        <v>1</v>
      </c>
      <c r="H40" s="8">
        <f t="shared" si="30"/>
        <v>11</v>
      </c>
      <c r="I40" s="7">
        <f t="shared" si="31"/>
        <v>2.8638183480693518</v>
      </c>
      <c r="J40" s="38" t="s">
        <v>152</v>
      </c>
    </row>
    <row r="41" spans="1:10" x14ac:dyDescent="0.25">
      <c r="A41" s="1" t="s">
        <v>82</v>
      </c>
      <c r="B41" s="9"/>
      <c r="C41" s="5">
        <f>3.14159/4*(60^2-(60-2*3.5)^2)*10^(-6)*7850</f>
        <v>4.876807966624999</v>
      </c>
      <c r="D41" s="6">
        <v>10</v>
      </c>
      <c r="E41" s="7">
        <f t="shared" si="28"/>
        <v>0.48768079666249992</v>
      </c>
      <c r="F41" s="7">
        <f t="shared" si="29"/>
        <v>4.876807966624999</v>
      </c>
      <c r="G41" s="6">
        <v>1</v>
      </c>
      <c r="H41" s="8">
        <f t="shared" si="30"/>
        <v>11</v>
      </c>
      <c r="I41" s="7">
        <f t="shared" si="31"/>
        <v>2.2555737431696667</v>
      </c>
      <c r="J41" s="38" t="s">
        <v>153</v>
      </c>
    </row>
    <row r="42" spans="1:10" x14ac:dyDescent="0.25">
      <c r="A42" s="34" t="s">
        <v>37</v>
      </c>
      <c r="B42" s="34"/>
      <c r="C42" s="34"/>
      <c r="D42" s="34"/>
      <c r="E42" s="34"/>
      <c r="F42" s="34"/>
      <c r="G42" s="34"/>
      <c r="H42" s="34"/>
      <c r="I42" s="34"/>
    </row>
    <row r="43" spans="1:10" x14ac:dyDescent="0.25">
      <c r="A43" s="1" t="s">
        <v>83</v>
      </c>
      <c r="B43" s="1" t="s">
        <v>36</v>
      </c>
      <c r="C43" s="5">
        <f>3.14159/4*(12^2-(12-2*2)^2)*10^(-6)*7850</f>
        <v>0.49322962999999997</v>
      </c>
      <c r="D43" s="6">
        <v>10</v>
      </c>
      <c r="E43" s="7">
        <f t="shared" ref="E43" si="32">F43/D43</f>
        <v>4.9322962999999997E-2</v>
      </c>
      <c r="F43" s="7">
        <f t="shared" ref="F43" si="33">G43*C43</f>
        <v>0.49322962999999997</v>
      </c>
      <c r="G43" s="6">
        <v>1</v>
      </c>
      <c r="H43" s="8">
        <f t="shared" ref="H43" si="34">D43*1.1</f>
        <v>11</v>
      </c>
      <c r="I43" s="7">
        <f t="shared" ref="I43" si="35">H43/C43</f>
        <v>22.301985385590076</v>
      </c>
    </row>
    <row r="44" spans="1:10" x14ac:dyDescent="0.25">
      <c r="A44" s="1" t="s">
        <v>84</v>
      </c>
      <c r="B44" s="1" t="s">
        <v>36</v>
      </c>
      <c r="C44" s="5">
        <f>3.14159/4*(76^2-(76-2*4)^2)*10^(-6)*7850</f>
        <v>7.1025066719999996</v>
      </c>
      <c r="D44" s="6">
        <v>10</v>
      </c>
      <c r="E44" s="7">
        <f t="shared" ref="E44:E48" si="36">F44/D44</f>
        <v>0.71025066719999996</v>
      </c>
      <c r="F44" s="7">
        <f t="shared" ref="F44:F48" si="37">G44*C44</f>
        <v>7.1025066719999996</v>
      </c>
      <c r="G44" s="6">
        <v>1</v>
      </c>
      <c r="H44" s="8">
        <f t="shared" ref="H44:H48" si="38">D44*1.1</f>
        <v>11</v>
      </c>
      <c r="I44" s="7">
        <f t="shared" ref="I44:I48" si="39">H44/C44</f>
        <v>1.5487489851104219</v>
      </c>
    </row>
    <row r="45" spans="1:10" x14ac:dyDescent="0.25">
      <c r="A45" s="1" t="s">
        <v>85</v>
      </c>
      <c r="B45" s="1" t="s">
        <v>36</v>
      </c>
      <c r="C45" s="5">
        <f>3.14159/4*(89^2-(89-2*4)^2)*10^(-6)*7850</f>
        <v>8.3849037099999997</v>
      </c>
      <c r="D45" s="6">
        <v>10</v>
      </c>
      <c r="E45" s="7">
        <f t="shared" si="36"/>
        <v>0.83849037100000001</v>
      </c>
      <c r="F45" s="7">
        <f t="shared" si="37"/>
        <v>8.3849037099999997</v>
      </c>
      <c r="G45" s="6">
        <v>1</v>
      </c>
      <c r="H45" s="8">
        <f t="shared" si="38"/>
        <v>11</v>
      </c>
      <c r="I45" s="7">
        <f t="shared" si="39"/>
        <v>1.3118814932700045</v>
      </c>
    </row>
    <row r="46" spans="1:10" x14ac:dyDescent="0.25">
      <c r="A46" s="1" t="s">
        <v>86</v>
      </c>
      <c r="B46" s="1" t="s">
        <v>36</v>
      </c>
      <c r="C46" s="5">
        <f>3.14159/4*(108^2-(108-2*4)^2)*10^(-6)*7850</f>
        <v>10.259176303999999</v>
      </c>
      <c r="D46" s="6">
        <v>10</v>
      </c>
      <c r="E46" s="7">
        <f t="shared" si="36"/>
        <v>1.0259176303999999</v>
      </c>
      <c r="F46" s="7">
        <f t="shared" si="37"/>
        <v>10.259176303999999</v>
      </c>
      <c r="G46" s="6">
        <v>1</v>
      </c>
      <c r="H46" s="8">
        <f t="shared" si="38"/>
        <v>11</v>
      </c>
      <c r="I46" s="7">
        <f t="shared" si="39"/>
        <v>1.0722108358456768</v>
      </c>
    </row>
    <row r="47" spans="1:10" x14ac:dyDescent="0.25">
      <c r="A47" s="1" t="s">
        <v>87</v>
      </c>
      <c r="B47" s="1" t="s">
        <v>36</v>
      </c>
      <c r="C47" s="5">
        <f>3.14159/4*(114^2-(114-2*5)^2)*10^(-6)*7850</f>
        <v>13.440507417499997</v>
      </c>
      <c r="D47" s="6">
        <v>10</v>
      </c>
      <c r="E47" s="7">
        <f t="shared" ref="E47" si="40">F47/D47</f>
        <v>1.3440507417499998</v>
      </c>
      <c r="F47" s="7">
        <f t="shared" ref="F47" si="41">G47*C47</f>
        <v>13.440507417499997</v>
      </c>
      <c r="G47" s="6">
        <v>1</v>
      </c>
      <c r="H47" s="8">
        <f t="shared" ref="H47" si="42">D47*1.1</f>
        <v>11</v>
      </c>
      <c r="I47" s="7">
        <f t="shared" ref="I47" si="43">H47/C47</f>
        <v>0.81842148204000287</v>
      </c>
    </row>
    <row r="48" spans="1:10" x14ac:dyDescent="0.25">
      <c r="A48" s="1" t="s">
        <v>88</v>
      </c>
      <c r="B48" s="1" t="s">
        <v>36</v>
      </c>
      <c r="C48" s="5">
        <f>3.14159/4*(159^2-(159-2*4)^2)*10^(-6)*7850</f>
        <v>15.290118529999999</v>
      </c>
      <c r="D48" s="6">
        <v>10</v>
      </c>
      <c r="E48" s="7">
        <f t="shared" si="36"/>
        <v>1.5290118529999999</v>
      </c>
      <c r="F48" s="7">
        <f t="shared" si="37"/>
        <v>15.290118529999999</v>
      </c>
      <c r="G48" s="6">
        <v>1</v>
      </c>
      <c r="H48" s="8">
        <f t="shared" si="38"/>
        <v>11</v>
      </c>
      <c r="I48" s="7">
        <f t="shared" si="39"/>
        <v>0.71941888340613147</v>
      </c>
    </row>
    <row r="49" spans="1:10" x14ac:dyDescent="0.25">
      <c r="A49" s="34" t="s">
        <v>38</v>
      </c>
      <c r="B49" s="34"/>
      <c r="C49" s="34"/>
      <c r="D49" s="34"/>
      <c r="E49" s="34"/>
      <c r="F49" s="34"/>
      <c r="G49" s="34"/>
      <c r="H49" s="34"/>
      <c r="I49" s="34"/>
    </row>
    <row r="50" spans="1:10" x14ac:dyDescent="0.25">
      <c r="A50" s="1" t="s">
        <v>89</v>
      </c>
      <c r="B50" s="1" t="s">
        <v>39</v>
      </c>
      <c r="C50" s="5">
        <v>1.39</v>
      </c>
      <c r="D50" s="6">
        <v>10</v>
      </c>
      <c r="E50" s="7">
        <f t="shared" ref="E50:E52" si="44">F50/D50</f>
        <v>0.13899999999999998</v>
      </c>
      <c r="F50" s="7">
        <f t="shared" ref="F50:F52" si="45">G50*C50</f>
        <v>1.39</v>
      </c>
      <c r="G50" s="6">
        <v>1</v>
      </c>
      <c r="H50" s="8">
        <f t="shared" ref="H50:H52" si="46">D50*1.1</f>
        <v>11</v>
      </c>
      <c r="I50" s="7">
        <f t="shared" ref="I50:I52" si="47">H50/C50</f>
        <v>7.913669064748202</v>
      </c>
      <c r="J50" s="38" t="s">
        <v>154</v>
      </c>
    </row>
    <row r="51" spans="1:10" x14ac:dyDescent="0.25">
      <c r="A51" s="1" t="s">
        <v>90</v>
      </c>
      <c r="B51" s="1" t="s">
        <v>39</v>
      </c>
      <c r="C51" s="5">
        <v>3.36</v>
      </c>
      <c r="D51" s="6">
        <v>10</v>
      </c>
      <c r="E51" s="7">
        <f t="shared" si="44"/>
        <v>0.33599999999999997</v>
      </c>
      <c r="F51" s="7">
        <f t="shared" si="45"/>
        <v>3.36</v>
      </c>
      <c r="G51" s="6">
        <v>1</v>
      </c>
      <c r="H51" s="8">
        <f t="shared" si="46"/>
        <v>11</v>
      </c>
      <c r="I51" s="7">
        <f t="shared" si="47"/>
        <v>3.2738095238095237</v>
      </c>
    </row>
    <row r="52" spans="1:10" x14ac:dyDescent="0.25">
      <c r="A52" s="1" t="s">
        <v>91</v>
      </c>
      <c r="B52" s="1" t="s">
        <v>39</v>
      </c>
      <c r="C52" s="5">
        <v>17.22</v>
      </c>
      <c r="D52" s="6">
        <v>10</v>
      </c>
      <c r="E52" s="7">
        <f t="shared" si="44"/>
        <v>1.722</v>
      </c>
      <c r="F52" s="7">
        <f t="shared" si="45"/>
        <v>17.22</v>
      </c>
      <c r="G52" s="6">
        <v>1</v>
      </c>
      <c r="H52" s="8">
        <f t="shared" si="46"/>
        <v>11</v>
      </c>
      <c r="I52" s="7">
        <f t="shared" si="47"/>
        <v>0.63879210220673643</v>
      </c>
    </row>
    <row r="53" spans="1:10" x14ac:dyDescent="0.25">
      <c r="A53" s="34" t="s">
        <v>40</v>
      </c>
      <c r="B53" s="34"/>
      <c r="C53" s="34"/>
      <c r="D53" s="34"/>
      <c r="E53" s="34"/>
      <c r="F53" s="34"/>
      <c r="G53" s="34"/>
      <c r="H53" s="34"/>
      <c r="I53" s="34"/>
    </row>
    <row r="54" spans="1:10" x14ac:dyDescent="0.25">
      <c r="A54" s="1" t="s">
        <v>92</v>
      </c>
      <c r="B54" s="1" t="s">
        <v>39</v>
      </c>
      <c r="C54" s="5">
        <v>2.0699999999999998</v>
      </c>
      <c r="D54" s="6">
        <v>10</v>
      </c>
      <c r="E54" s="7">
        <f t="shared" ref="E54:E58" si="48">F54/D54</f>
        <v>0.20699999999999999</v>
      </c>
      <c r="F54" s="7">
        <f t="shared" ref="F54:F58" si="49">G54*C54</f>
        <v>2.0699999999999998</v>
      </c>
      <c r="G54" s="6">
        <v>1</v>
      </c>
      <c r="H54" s="8">
        <f t="shared" ref="H54:H58" si="50">D54*1.1</f>
        <v>11</v>
      </c>
      <c r="I54" s="7">
        <f t="shared" ref="I54:I58" si="51">H54/C54</f>
        <v>5.3140096618357493</v>
      </c>
    </row>
    <row r="55" spans="1:10" x14ac:dyDescent="0.25">
      <c r="A55" s="1" t="s">
        <v>93</v>
      </c>
      <c r="B55" s="1" t="s">
        <v>39</v>
      </c>
      <c r="C55" s="5">
        <v>2.66</v>
      </c>
      <c r="D55" s="6">
        <v>10</v>
      </c>
      <c r="E55" s="7">
        <f t="shared" ref="E55" si="52">F55/D55</f>
        <v>0.26600000000000001</v>
      </c>
      <c r="F55" s="7">
        <f t="shared" ref="F55" si="53">G55*C55</f>
        <v>2.66</v>
      </c>
      <c r="G55" s="6">
        <v>1</v>
      </c>
      <c r="H55" s="8">
        <f t="shared" ref="H55" si="54">D55*1.1</f>
        <v>11</v>
      </c>
      <c r="I55" s="7">
        <f t="shared" ref="I55" si="55">H55/C55</f>
        <v>4.1353383458646613</v>
      </c>
    </row>
    <row r="56" spans="1:10" x14ac:dyDescent="0.25">
      <c r="A56" s="1" t="s">
        <v>94</v>
      </c>
      <c r="B56" s="1" t="s">
        <v>39</v>
      </c>
      <c r="C56" s="5">
        <v>3.83</v>
      </c>
      <c r="D56" s="6">
        <v>10</v>
      </c>
      <c r="E56" s="7">
        <f t="shared" si="48"/>
        <v>0.38300000000000001</v>
      </c>
      <c r="F56" s="7">
        <f t="shared" si="49"/>
        <v>3.83</v>
      </c>
      <c r="G56" s="6">
        <v>1</v>
      </c>
      <c r="H56" s="8">
        <f t="shared" si="50"/>
        <v>11</v>
      </c>
      <c r="I56" s="7">
        <f t="shared" si="51"/>
        <v>2.8720626631853787</v>
      </c>
    </row>
    <row r="57" spans="1:10" x14ac:dyDescent="0.25">
      <c r="A57" s="1" t="s">
        <v>95</v>
      </c>
      <c r="B57" s="1" t="s">
        <v>39</v>
      </c>
      <c r="C57" s="5">
        <v>5.56</v>
      </c>
      <c r="D57" s="6">
        <v>10</v>
      </c>
      <c r="E57" s="7">
        <f t="shared" ref="E57" si="56">F57/D57</f>
        <v>0.55599999999999994</v>
      </c>
      <c r="F57" s="7">
        <f t="shared" ref="F57" si="57">G57*C57</f>
        <v>5.56</v>
      </c>
      <c r="G57" s="6">
        <v>1</v>
      </c>
      <c r="H57" s="8">
        <f t="shared" ref="H57" si="58">D57*1.1</f>
        <v>11</v>
      </c>
      <c r="I57" s="7">
        <f t="shared" ref="I57" si="59">H57/C57</f>
        <v>1.9784172661870505</v>
      </c>
    </row>
    <row r="58" spans="1:10" x14ac:dyDescent="0.25">
      <c r="A58" s="1" t="s">
        <v>96</v>
      </c>
      <c r="B58" s="1" t="s">
        <v>39</v>
      </c>
      <c r="C58" s="5">
        <v>6.82</v>
      </c>
      <c r="D58" s="6">
        <v>10</v>
      </c>
      <c r="E58" s="7">
        <f t="shared" si="48"/>
        <v>0.68200000000000005</v>
      </c>
      <c r="F58" s="7">
        <f t="shared" si="49"/>
        <v>6.82</v>
      </c>
      <c r="G58" s="6">
        <v>1</v>
      </c>
      <c r="H58" s="8">
        <f t="shared" si="50"/>
        <v>11</v>
      </c>
      <c r="I58" s="7">
        <f t="shared" si="51"/>
        <v>1.6129032258064515</v>
      </c>
    </row>
    <row r="59" spans="1:10" x14ac:dyDescent="0.25">
      <c r="A59" s="35" t="s">
        <v>132</v>
      </c>
      <c r="B59" s="35"/>
      <c r="C59" s="35"/>
      <c r="D59" s="35"/>
      <c r="E59" s="35"/>
      <c r="F59" s="35"/>
      <c r="G59" s="35"/>
      <c r="H59" s="35"/>
      <c r="I59" s="35"/>
    </row>
    <row r="60" spans="1:10" x14ac:dyDescent="0.25">
      <c r="A60" s="1" t="s">
        <v>97</v>
      </c>
      <c r="C60" s="5">
        <v>6.3129999999999997</v>
      </c>
      <c r="D60" s="6">
        <v>10</v>
      </c>
      <c r="E60" s="7">
        <f>F60/D60</f>
        <v>0.63129999999999997</v>
      </c>
      <c r="F60" s="7">
        <f>G60*C60</f>
        <v>6.3129999999999997</v>
      </c>
      <c r="G60" s="6">
        <v>1</v>
      </c>
      <c r="H60" s="8">
        <f>D60*1.1</f>
        <v>11</v>
      </c>
      <c r="I60" s="7">
        <f>H60/C60</f>
        <v>1.7424362426738478</v>
      </c>
    </row>
    <row r="61" spans="1:10" x14ac:dyDescent="0.25">
      <c r="A61" s="34" t="s">
        <v>48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5">
      <c r="A62" s="4" t="s">
        <v>98</v>
      </c>
      <c r="B62" s="1" t="s">
        <v>49</v>
      </c>
      <c r="C62" s="5">
        <f>3.14159/4*(45^2)*10^(-6)*7900</f>
        <v>12.564396506249999</v>
      </c>
      <c r="D62" s="6">
        <v>10</v>
      </c>
      <c r="E62" s="7">
        <f t="shared" ref="E62" si="60">F62/D62</f>
        <v>1.256439650625</v>
      </c>
      <c r="F62" s="7">
        <f t="shared" ref="F62" si="61">G62*C62</f>
        <v>12.564396506249999</v>
      </c>
      <c r="G62" s="6">
        <v>1</v>
      </c>
      <c r="H62" s="8">
        <f t="shared" ref="H62" si="62">D62*1.1</f>
        <v>11</v>
      </c>
      <c r="I62" s="7">
        <f t="shared" ref="I62" si="63">H62/C62</f>
        <v>0.87548972165341887</v>
      </c>
    </row>
    <row r="63" spans="1:10" x14ac:dyDescent="0.25">
      <c r="A63" s="34" t="s">
        <v>145</v>
      </c>
      <c r="B63" s="34"/>
      <c r="C63" s="34"/>
      <c r="D63" s="34"/>
      <c r="E63" s="34"/>
      <c r="F63" s="34"/>
      <c r="G63" s="34"/>
      <c r="H63" s="34"/>
      <c r="I63" s="34"/>
    </row>
    <row r="64" spans="1:10" x14ac:dyDescent="0.25">
      <c r="A64" s="30" t="s">
        <v>142</v>
      </c>
      <c r="B64" s="1" t="s">
        <v>2</v>
      </c>
      <c r="C64" s="5">
        <f>3.14159/4*(21.3^2-(21.3-2*3)^2)*10^(-6)*7900</f>
        <v>1.3625389989000001</v>
      </c>
      <c r="D64" s="6">
        <v>10</v>
      </c>
      <c r="E64" s="7">
        <f t="shared" ref="E64:E66" si="64">F64/D64</f>
        <v>0.13625389989</v>
      </c>
      <c r="F64" s="7">
        <f t="shared" ref="F64:F66" si="65">G64*C64</f>
        <v>1.3625389989000001</v>
      </c>
      <c r="G64" s="6">
        <v>1</v>
      </c>
      <c r="H64" s="8">
        <f t="shared" ref="H64:H66" si="66">D64*1.1</f>
        <v>11</v>
      </c>
      <c r="I64" s="7">
        <f t="shared" ref="I64:I66" si="67">H64/C64</f>
        <v>8.0731634168860342</v>
      </c>
    </row>
    <row r="65" spans="1:9" x14ac:dyDescent="0.25">
      <c r="A65" s="30" t="s">
        <v>143</v>
      </c>
      <c r="B65" s="1" t="s">
        <v>2</v>
      </c>
      <c r="C65" s="5">
        <f>3.14159/4*(26.9^2-(26.9-2*3)^2)*10^(-6)*7900</f>
        <v>1.7794908236999996</v>
      </c>
      <c r="D65" s="6">
        <v>10</v>
      </c>
      <c r="E65" s="7">
        <f t="shared" si="64"/>
        <v>0.17794908236999996</v>
      </c>
      <c r="F65" s="7">
        <f t="shared" si="65"/>
        <v>1.7794908236999996</v>
      </c>
      <c r="G65" s="6">
        <v>1</v>
      </c>
      <c r="H65" s="8">
        <f t="shared" si="66"/>
        <v>11</v>
      </c>
      <c r="I65" s="7">
        <f t="shared" si="67"/>
        <v>6.1815435367788476</v>
      </c>
    </row>
    <row r="66" spans="1:9" x14ac:dyDescent="0.25">
      <c r="A66" s="30" t="s">
        <v>144</v>
      </c>
      <c r="B66" s="1" t="s">
        <v>2</v>
      </c>
      <c r="C66" s="5">
        <f>3.14159/4*(33.7^2-(33.7-2*3)^2)*10^(-6)*7900</f>
        <v>2.2857894681000004</v>
      </c>
      <c r="D66" s="6">
        <v>10</v>
      </c>
      <c r="E66" s="7">
        <f t="shared" si="64"/>
        <v>0.22857894681000004</v>
      </c>
      <c r="F66" s="7">
        <f t="shared" si="65"/>
        <v>2.2857894681000004</v>
      </c>
      <c r="G66" s="6">
        <v>1</v>
      </c>
      <c r="H66" s="8">
        <f t="shared" si="66"/>
        <v>11</v>
      </c>
      <c r="I66" s="7">
        <f t="shared" si="67"/>
        <v>4.8123417110428139</v>
      </c>
    </row>
    <row r="67" spans="1:9" x14ac:dyDescent="0.25">
      <c r="A67" s="34" t="s">
        <v>141</v>
      </c>
      <c r="B67" s="34"/>
      <c r="C67" s="34"/>
      <c r="D67" s="34"/>
      <c r="E67" s="34"/>
      <c r="F67" s="34"/>
      <c r="G67" s="34"/>
      <c r="H67" s="34"/>
      <c r="I67" s="34"/>
    </row>
    <row r="68" spans="1:9" x14ac:dyDescent="0.25">
      <c r="A68" s="1" t="s">
        <v>99</v>
      </c>
      <c r="B68" s="1" t="s">
        <v>2</v>
      </c>
      <c r="C68" s="5">
        <f>3.14159/4*(10^2-(10-2*1.5)^2)*10^(-6)*7900</f>
        <v>0.31643665274999999</v>
      </c>
      <c r="D68" s="6">
        <v>10</v>
      </c>
      <c r="E68" s="7">
        <f t="shared" ref="E68:E73" si="68">F68/D68</f>
        <v>3.1643665274999996E-2</v>
      </c>
      <c r="F68" s="7">
        <f t="shared" ref="F68:F73" si="69">G68*C68</f>
        <v>0.31643665274999999</v>
      </c>
      <c r="G68" s="6">
        <v>1</v>
      </c>
      <c r="H68" s="8">
        <f t="shared" ref="H68:H73" si="70">D68*1.1</f>
        <v>11</v>
      </c>
      <c r="I68" s="7">
        <f t="shared" ref="I68:I73" si="71">H68/C68</f>
        <v>34.762091889179864</v>
      </c>
    </row>
    <row r="69" spans="1:9" x14ac:dyDescent="0.25">
      <c r="A69" s="1" t="s">
        <v>100</v>
      </c>
      <c r="B69" s="1" t="s">
        <v>2</v>
      </c>
      <c r="C69" s="5">
        <f>3.14159/4*(21^2-(21-2*3)^2)*10^(-6)*7900</f>
        <v>1.3402022939999998</v>
      </c>
      <c r="D69" s="6">
        <v>10</v>
      </c>
      <c r="E69" s="7">
        <f t="shared" si="68"/>
        <v>0.13402022939999997</v>
      </c>
      <c r="F69" s="7">
        <f t="shared" si="69"/>
        <v>1.3402022939999998</v>
      </c>
      <c r="G69" s="6">
        <v>1</v>
      </c>
      <c r="H69" s="8">
        <f t="shared" si="70"/>
        <v>11</v>
      </c>
      <c r="I69" s="7">
        <f t="shared" si="71"/>
        <v>8.2077161405008017</v>
      </c>
    </row>
    <row r="70" spans="1:9" x14ac:dyDescent="0.25">
      <c r="A70" s="1" t="s">
        <v>101</v>
      </c>
      <c r="B70" s="1" t="s">
        <v>2</v>
      </c>
      <c r="C70" s="5">
        <f>3.14159/4*(27^2-(27-2*3)^2)*10^(-6)*7900</f>
        <v>1.7869363919999999</v>
      </c>
      <c r="D70" s="6">
        <v>10</v>
      </c>
      <c r="E70" s="7">
        <f t="shared" si="68"/>
        <v>0.17869363919999998</v>
      </c>
      <c r="F70" s="7">
        <f t="shared" si="69"/>
        <v>1.7869363919999999</v>
      </c>
      <c r="G70" s="6">
        <v>1</v>
      </c>
      <c r="H70" s="8">
        <f t="shared" si="70"/>
        <v>11</v>
      </c>
      <c r="I70" s="7">
        <f t="shared" si="71"/>
        <v>6.1557871053756017</v>
      </c>
    </row>
    <row r="71" spans="1:9" x14ac:dyDescent="0.25">
      <c r="A71" s="1" t="s">
        <v>102</v>
      </c>
      <c r="B71" s="1" t="s">
        <v>2</v>
      </c>
      <c r="C71" s="5">
        <f>3.14159/4*(34^2-(34-2*3)^2)*10^(-6)*7900</f>
        <v>2.3081261729999998</v>
      </c>
      <c r="D71" s="6">
        <v>10</v>
      </c>
      <c r="E71" s="7">
        <f t="shared" si="68"/>
        <v>0.23081261729999997</v>
      </c>
      <c r="F71" s="7">
        <f t="shared" si="69"/>
        <v>2.3081261729999998</v>
      </c>
      <c r="G71" s="6">
        <v>1</v>
      </c>
      <c r="H71" s="8">
        <f t="shared" si="70"/>
        <v>11</v>
      </c>
      <c r="I71" s="7">
        <f t="shared" si="71"/>
        <v>4.7657706622262719</v>
      </c>
    </row>
    <row r="72" spans="1:9" x14ac:dyDescent="0.25">
      <c r="A72" s="1" t="s">
        <v>103</v>
      </c>
      <c r="B72" s="1" t="s">
        <v>2</v>
      </c>
      <c r="C72" s="5">
        <f>3.14159/4*(42^2-(42-2*3.5)^2)*10^(-6)*7900</f>
        <v>3.34430109475</v>
      </c>
      <c r="D72" s="6">
        <v>10</v>
      </c>
      <c r="E72" s="7">
        <f t="shared" si="68"/>
        <v>0.33443010947500001</v>
      </c>
      <c r="F72" s="7">
        <f t="shared" si="69"/>
        <v>3.34430109475</v>
      </c>
      <c r="G72" s="6">
        <v>1</v>
      </c>
      <c r="H72" s="8">
        <f t="shared" si="70"/>
        <v>11</v>
      </c>
      <c r="I72" s="7">
        <f t="shared" si="71"/>
        <v>3.2891775256923435</v>
      </c>
    </row>
    <row r="73" spans="1:9" x14ac:dyDescent="0.25">
      <c r="A73" s="1" t="s">
        <v>104</v>
      </c>
      <c r="B73" s="1" t="s">
        <v>2</v>
      </c>
      <c r="C73" s="5">
        <f>3.14159/4*(48^2-(48-2*3.5)^2)*10^(-6)*7900</f>
        <v>3.8654908757499999</v>
      </c>
      <c r="D73" s="6">
        <v>10</v>
      </c>
      <c r="E73" s="7">
        <f t="shared" si="68"/>
        <v>0.38654908757500001</v>
      </c>
      <c r="F73" s="7">
        <f t="shared" si="69"/>
        <v>3.8654908757499999</v>
      </c>
      <c r="G73" s="6">
        <v>1</v>
      </c>
      <c r="H73" s="8">
        <f t="shared" si="70"/>
        <v>11</v>
      </c>
      <c r="I73" s="7">
        <f t="shared" si="71"/>
        <v>2.8456929154866342</v>
      </c>
    </row>
    <row r="74" spans="1:9" x14ac:dyDescent="0.25">
      <c r="A74" s="34" t="s">
        <v>50</v>
      </c>
      <c r="B74" s="34"/>
      <c r="C74" s="34"/>
      <c r="D74" s="34"/>
      <c r="E74" s="34"/>
      <c r="F74" s="34"/>
      <c r="G74" s="34"/>
      <c r="H74" s="34"/>
      <c r="I74" s="34"/>
    </row>
    <row r="75" spans="1:9" x14ac:dyDescent="0.25">
      <c r="A75" s="1" t="s">
        <v>89</v>
      </c>
      <c r="B75" s="1" t="s">
        <v>2</v>
      </c>
      <c r="C75" s="5">
        <f>(1.77)*10^(-4)*7900</f>
        <v>1.3983000000000001</v>
      </c>
      <c r="D75" s="6">
        <v>10</v>
      </c>
      <c r="E75" s="7">
        <f>F75/D75</f>
        <v>0.13983000000000001</v>
      </c>
      <c r="F75" s="7">
        <f>G75*C75</f>
        <v>1.3983000000000001</v>
      </c>
      <c r="G75" s="6">
        <v>1</v>
      </c>
      <c r="H75" s="8">
        <f>D75*1.1</f>
        <v>11</v>
      </c>
      <c r="I75" s="7">
        <f>H75/C75</f>
        <v>7.8666952728312944</v>
      </c>
    </row>
    <row r="76" spans="1:9" x14ac:dyDescent="0.25">
      <c r="A76" s="32" t="s">
        <v>90</v>
      </c>
      <c r="B76" s="1" t="s">
        <v>2</v>
      </c>
      <c r="C76" s="5">
        <f>(4.28)*10^(-4)*7900</f>
        <v>3.3812000000000002</v>
      </c>
      <c r="D76" s="6">
        <v>10</v>
      </c>
      <c r="E76" s="7">
        <f>F76/D76</f>
        <v>0.33812000000000003</v>
      </c>
      <c r="F76" s="7">
        <f>G76*C76</f>
        <v>3.3812000000000002</v>
      </c>
      <c r="G76" s="6">
        <v>1</v>
      </c>
      <c r="H76" s="8">
        <f>D76*1.1</f>
        <v>11</v>
      </c>
      <c r="I76" s="7">
        <f>H76/C76</f>
        <v>3.2532828581568674</v>
      </c>
    </row>
    <row r="77" spans="1:9" x14ac:dyDescent="0.25">
      <c r="A77" s="34" t="s">
        <v>51</v>
      </c>
      <c r="B77" s="34"/>
      <c r="C77" s="34"/>
      <c r="D77" s="34"/>
      <c r="E77" s="34"/>
      <c r="F77" s="34"/>
      <c r="G77" s="34"/>
      <c r="H77" s="34"/>
      <c r="I77" s="34"/>
    </row>
    <row r="78" spans="1:9" x14ac:dyDescent="0.25">
      <c r="A78" s="1" t="s">
        <v>105</v>
      </c>
      <c r="B78" s="1" t="s">
        <v>2</v>
      </c>
      <c r="C78" s="5">
        <f>(2.17)*10^(-4)*7900</f>
        <v>1.7143000000000002</v>
      </c>
      <c r="D78" s="6">
        <v>10</v>
      </c>
      <c r="E78" s="7">
        <f>F78/D78</f>
        <v>0.17143000000000003</v>
      </c>
      <c r="F78" s="7">
        <f>G78*C78</f>
        <v>1.7143000000000002</v>
      </c>
      <c r="G78" s="6">
        <v>1</v>
      </c>
      <c r="H78" s="8">
        <f>D78*1.1</f>
        <v>11</v>
      </c>
      <c r="I78" s="7">
        <f>H78/C78</f>
        <v>6.4166131948900418</v>
      </c>
    </row>
    <row r="79" spans="1:9" x14ac:dyDescent="0.25">
      <c r="A79" s="34" t="s">
        <v>52</v>
      </c>
      <c r="B79" s="34"/>
      <c r="C79" s="34"/>
      <c r="D79" s="34"/>
      <c r="E79" s="34"/>
      <c r="F79" s="34"/>
      <c r="G79" s="34"/>
      <c r="H79" s="34"/>
      <c r="I79" s="34"/>
    </row>
    <row r="80" spans="1:9" x14ac:dyDescent="0.25">
      <c r="A80" s="1" t="s">
        <v>106</v>
      </c>
      <c r="B80" s="1" t="s">
        <v>2</v>
      </c>
      <c r="C80" s="5">
        <f>(2.04)*10^(-4)*7900</f>
        <v>1.6116000000000001</v>
      </c>
      <c r="D80" s="6">
        <v>10</v>
      </c>
      <c r="E80" s="7">
        <f>F80/D80</f>
        <v>0.16116000000000003</v>
      </c>
      <c r="F80" s="7">
        <f>G80*C80</f>
        <v>1.6116000000000001</v>
      </c>
      <c r="G80" s="6">
        <v>1</v>
      </c>
      <c r="H80" s="8">
        <f>D80*1.1</f>
        <v>11</v>
      </c>
      <c r="I80" s="7">
        <f>H80/C80</f>
        <v>6.8255150161330347</v>
      </c>
    </row>
    <row r="81" spans="1:9" x14ac:dyDescent="0.25">
      <c r="A81" s="34" t="s">
        <v>133</v>
      </c>
      <c r="B81" s="34"/>
      <c r="C81" s="34"/>
      <c r="D81" s="34"/>
      <c r="E81" s="34"/>
      <c r="F81" s="34"/>
      <c r="G81" s="34"/>
      <c r="H81" s="34"/>
      <c r="I81" s="34"/>
    </row>
    <row r="82" spans="1:9" x14ac:dyDescent="0.25">
      <c r="A82" s="4" t="s">
        <v>107</v>
      </c>
      <c r="B82" s="1" t="s">
        <v>3</v>
      </c>
      <c r="C82" s="5">
        <f>3.14159/4*(20^2)*10^(-6)*8400</f>
        <v>2.6389355999999999</v>
      </c>
      <c r="D82" s="6">
        <v>10</v>
      </c>
      <c r="E82" s="7">
        <f t="shared" ref="E82" si="72">F82/D82</f>
        <v>0.26389355999999997</v>
      </c>
      <c r="F82" s="7">
        <f t="shared" ref="F82" si="73">G82*C82</f>
        <v>2.6389355999999999</v>
      </c>
      <c r="G82" s="6">
        <v>1</v>
      </c>
      <c r="H82" s="8">
        <f t="shared" ref="H82" si="74">D82*1.1</f>
        <v>11</v>
      </c>
      <c r="I82" s="7">
        <f t="shared" ref="I82" si="75">H82/C82</f>
        <v>4.1683472684971923</v>
      </c>
    </row>
    <row r="83" spans="1:9" x14ac:dyDescent="0.25">
      <c r="A83" s="4" t="s">
        <v>108</v>
      </c>
      <c r="B83" s="1" t="s">
        <v>3</v>
      </c>
      <c r="C83" s="5">
        <f>(3.126)*10^(-4)*8400</f>
        <v>2.6258400000000002</v>
      </c>
      <c r="D83" s="6">
        <v>10</v>
      </c>
      <c r="E83" s="7">
        <f t="shared" ref="E83" si="76">F83/D83</f>
        <v>0.26258400000000004</v>
      </c>
      <c r="F83" s="7">
        <f t="shared" ref="F83" si="77">G83*C83</f>
        <v>2.6258400000000002</v>
      </c>
      <c r="G83" s="6">
        <v>1</v>
      </c>
      <c r="H83" s="8">
        <f t="shared" ref="H83" si="78">D83*1.1</f>
        <v>11</v>
      </c>
      <c r="I83" s="7">
        <f t="shared" ref="I83" si="79">H83/C83</f>
        <v>4.1891356670627298</v>
      </c>
    </row>
    <row r="84" spans="1:9" x14ac:dyDescent="0.25">
      <c r="A84" s="34" t="s">
        <v>110</v>
      </c>
      <c r="B84" s="34"/>
      <c r="C84" s="34"/>
      <c r="D84" s="34"/>
      <c r="E84" s="34"/>
      <c r="F84" s="34"/>
      <c r="G84" s="34"/>
      <c r="H84" s="34"/>
      <c r="I84" s="34"/>
    </row>
    <row r="85" spans="1:9" x14ac:dyDescent="0.25">
      <c r="A85" s="4" t="s">
        <v>109</v>
      </c>
      <c r="B85" s="9" t="s">
        <v>53</v>
      </c>
      <c r="C85" s="5">
        <f>3.14159/4*(40^2)*10^(-6)*2200</f>
        <v>2.7645992000000001</v>
      </c>
      <c r="D85" s="6">
        <v>10</v>
      </c>
      <c r="E85" s="7">
        <f>F85/D85</f>
        <v>0.27645992000000003</v>
      </c>
      <c r="F85" s="7">
        <f>G85*C85</f>
        <v>2.7645992000000001</v>
      </c>
      <c r="G85" s="6">
        <v>1</v>
      </c>
      <c r="H85" s="8">
        <f>D85*1.1</f>
        <v>11</v>
      </c>
      <c r="I85" s="7">
        <f>H85/C85</f>
        <v>3.9788769381109566</v>
      </c>
    </row>
    <row r="86" spans="1:9" x14ac:dyDescent="0.25">
      <c r="A86" s="34" t="s">
        <v>111</v>
      </c>
      <c r="B86" s="34"/>
      <c r="C86" s="34"/>
      <c r="D86" s="34"/>
      <c r="E86" s="34"/>
      <c r="F86" s="34"/>
      <c r="G86" s="34"/>
      <c r="H86" s="34"/>
      <c r="I86" s="34"/>
    </row>
    <row r="87" spans="1:9" x14ac:dyDescent="0.25">
      <c r="A87" s="1" t="s">
        <v>112</v>
      </c>
      <c r="B87" s="1" t="s">
        <v>113</v>
      </c>
      <c r="C87" s="5">
        <f>3.14159/4*(80^2)*10^(-6)*1140</f>
        <v>5.7302601600000003</v>
      </c>
      <c r="D87" s="6">
        <v>10</v>
      </c>
      <c r="E87" s="7">
        <f>F87/D87</f>
        <v>0.57302601600000003</v>
      </c>
      <c r="F87" s="7">
        <f>G87*C87</f>
        <v>5.7302601600000003</v>
      </c>
      <c r="G87" s="6">
        <v>1</v>
      </c>
      <c r="H87" s="8">
        <f>D87*1.1</f>
        <v>11</v>
      </c>
      <c r="I87" s="7">
        <f>H87/C87</f>
        <v>1.9196336104921281</v>
      </c>
    </row>
    <row r="88" spans="1:9" x14ac:dyDescent="0.25">
      <c r="A88" s="36"/>
      <c r="B88" s="36"/>
      <c r="C88" s="36"/>
      <c r="D88" s="36"/>
      <c r="E88" s="36"/>
      <c r="F88" s="36"/>
      <c r="G88" s="36"/>
      <c r="H88" s="36"/>
      <c r="I88" s="36"/>
    </row>
    <row r="89" spans="1:9" s="10" customFormat="1" x14ac:dyDescent="0.25">
      <c r="C89" s="11" t="s">
        <v>4</v>
      </c>
      <c r="D89" s="11">
        <f>SUM(D3:D88)</f>
        <v>630</v>
      </c>
      <c r="E89" s="12"/>
      <c r="F89" s="11">
        <f>SUM(F3:F88)</f>
        <v>401.18937629884488</v>
      </c>
      <c r="G89" s="12"/>
      <c r="H89" s="11">
        <f>SUM(H3:H88)</f>
        <v>693</v>
      </c>
    </row>
    <row r="92" spans="1:9" x14ac:dyDescent="0.25">
      <c r="B92" s="15"/>
    </row>
  </sheetData>
  <mergeCells count="24">
    <mergeCell ref="A84:I84"/>
    <mergeCell ref="A86:I86"/>
    <mergeCell ref="A88:I88"/>
    <mergeCell ref="A74:I74"/>
    <mergeCell ref="A77:I77"/>
    <mergeCell ref="A79:I79"/>
    <mergeCell ref="A81:I81"/>
    <mergeCell ref="A61:I61"/>
    <mergeCell ref="A67:I67"/>
    <mergeCell ref="A35:I35"/>
    <mergeCell ref="A42:I42"/>
    <mergeCell ref="A49:I49"/>
    <mergeCell ref="A53:I53"/>
    <mergeCell ref="A63:I63"/>
    <mergeCell ref="A13:I13"/>
    <mergeCell ref="A1:I1"/>
    <mergeCell ref="A59:I59"/>
    <mergeCell ref="A29:I29"/>
    <mergeCell ref="A3:I3"/>
    <mergeCell ref="A6:I6"/>
    <mergeCell ref="A33:I33"/>
    <mergeCell ref="A27:I27"/>
    <mergeCell ref="A23:I23"/>
    <mergeCell ref="A18:I18"/>
  </mergeCells>
  <pageMargins left="0.59055118110236215" right="0.19685039370078741" top="0.39370078740157483" bottom="0.3937007874015748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view="pageLayout" zoomScaleNormal="100" workbookViewId="0">
      <selection activeCell="J9" sqref="J9"/>
    </sheetView>
  </sheetViews>
  <sheetFormatPr defaultColWidth="9.140625" defaultRowHeight="15" x14ac:dyDescent="0.25"/>
  <cols>
    <col min="1" max="1" width="17.5703125" style="1" customWidth="1"/>
    <col min="2" max="2" width="27.5703125" style="1" customWidth="1"/>
    <col min="3" max="3" width="7.42578125" style="21" customWidth="1"/>
    <col min="4" max="4" width="7.42578125" style="26" customWidth="1"/>
    <col min="5" max="5" width="4.85546875" style="10" customWidth="1"/>
    <col min="6" max="6" width="7.42578125" style="10" customWidth="1"/>
    <col min="7" max="7" width="7.42578125" style="26" customWidth="1"/>
    <col min="8" max="9" width="7.42578125" style="1" customWidth="1"/>
    <col min="10" max="10" width="12.5703125" style="1" customWidth="1"/>
    <col min="11" max="16384" width="9.140625" style="1"/>
  </cols>
  <sheetData>
    <row r="1" spans="1:10" x14ac:dyDescent="0.25">
      <c r="A1" s="34" t="s">
        <v>15</v>
      </c>
      <c r="B1" s="34"/>
      <c r="C1" s="34"/>
      <c r="D1" s="34"/>
      <c r="E1" s="34"/>
      <c r="F1" s="34"/>
      <c r="G1" s="34"/>
      <c r="H1" s="34"/>
      <c r="I1" s="34"/>
    </row>
    <row r="2" spans="1:10" ht="84.95" customHeight="1" x14ac:dyDescent="0.25">
      <c r="A2" s="2" t="s">
        <v>25</v>
      </c>
      <c r="B2" s="2" t="s">
        <v>1</v>
      </c>
      <c r="C2" s="3" t="s">
        <v>8</v>
      </c>
      <c r="D2" s="3" t="s">
        <v>9</v>
      </c>
      <c r="E2" s="3" t="s">
        <v>10</v>
      </c>
      <c r="F2" s="16" t="s">
        <v>11</v>
      </c>
      <c r="G2" s="16" t="s">
        <v>23</v>
      </c>
      <c r="H2" s="3" t="s">
        <v>14</v>
      </c>
      <c r="I2" s="3" t="s">
        <v>24</v>
      </c>
    </row>
    <row r="3" spans="1:10" x14ac:dyDescent="0.25">
      <c r="A3" s="35" t="s">
        <v>134</v>
      </c>
      <c r="B3" s="35"/>
      <c r="C3" s="35"/>
      <c r="D3" s="35"/>
      <c r="E3" s="35"/>
      <c r="F3" s="35"/>
      <c r="G3" s="35"/>
      <c r="H3" s="35"/>
      <c r="I3" s="35"/>
    </row>
    <row r="4" spans="1:10" x14ac:dyDescent="0.25">
      <c r="A4" s="1" t="s">
        <v>26</v>
      </c>
      <c r="B4" s="1" t="s">
        <v>114</v>
      </c>
      <c r="C4" s="5">
        <f>0.0015*7850</f>
        <v>11.775</v>
      </c>
      <c r="D4" s="17">
        <v>10</v>
      </c>
      <c r="E4" s="18">
        <f t="shared" ref="E4:E9" si="0">F4/D4</f>
        <v>1.1775</v>
      </c>
      <c r="F4" s="18">
        <f t="shared" ref="F4:F9" si="1">C4*G4</f>
        <v>11.775</v>
      </c>
      <c r="G4" s="17">
        <v>1</v>
      </c>
      <c r="H4" s="19">
        <f t="shared" ref="H4:H9" si="2">D4*1.2</f>
        <v>12</v>
      </c>
      <c r="I4" s="19">
        <f t="shared" ref="I4:I9" si="3">H4/C4</f>
        <v>1.0191082802547771</v>
      </c>
      <c r="J4" s="38" t="s">
        <v>158</v>
      </c>
    </row>
    <row r="5" spans="1:10" x14ac:dyDescent="0.25">
      <c r="A5" s="1" t="s">
        <v>43</v>
      </c>
      <c r="B5" s="1" t="s">
        <v>114</v>
      </c>
      <c r="C5" s="5">
        <f>0.002*7850</f>
        <v>15.700000000000001</v>
      </c>
      <c r="D5" s="17">
        <v>10</v>
      </c>
      <c r="E5" s="18">
        <f t="shared" si="0"/>
        <v>1.57</v>
      </c>
      <c r="F5" s="18">
        <f t="shared" si="1"/>
        <v>15.700000000000001</v>
      </c>
      <c r="G5" s="17">
        <v>1</v>
      </c>
      <c r="H5" s="19">
        <f t="shared" si="2"/>
        <v>12</v>
      </c>
      <c r="I5" s="19">
        <f t="shared" si="3"/>
        <v>0.76433121019108274</v>
      </c>
      <c r="J5" s="38" t="s">
        <v>161</v>
      </c>
    </row>
    <row r="6" spans="1:10" x14ac:dyDescent="0.25">
      <c r="A6" s="1" t="s">
        <v>44</v>
      </c>
      <c r="B6" s="1" t="s">
        <v>114</v>
      </c>
      <c r="C6" s="5">
        <f>0.003*7850</f>
        <v>23.55</v>
      </c>
      <c r="D6" s="17">
        <v>10</v>
      </c>
      <c r="E6" s="18">
        <f t="shared" ref="E6" si="4">F6/D6</f>
        <v>2.355</v>
      </c>
      <c r="F6" s="18">
        <f t="shared" ref="F6" si="5">C6*G6</f>
        <v>23.55</v>
      </c>
      <c r="G6" s="17">
        <v>1</v>
      </c>
      <c r="H6" s="19">
        <f t="shared" ref="H6" si="6">D6*1.2</f>
        <v>12</v>
      </c>
      <c r="I6" s="19">
        <f t="shared" ref="I6" si="7">H6/C6</f>
        <v>0.50955414012738853</v>
      </c>
      <c r="J6" s="38" t="s">
        <v>157</v>
      </c>
    </row>
    <row r="7" spans="1:10" x14ac:dyDescent="0.25">
      <c r="A7" s="1" t="s">
        <v>45</v>
      </c>
      <c r="B7" s="1" t="s">
        <v>114</v>
      </c>
      <c r="C7" s="5">
        <f>0.003*7850</f>
        <v>23.55</v>
      </c>
      <c r="D7" s="17">
        <v>10</v>
      </c>
      <c r="E7" s="18">
        <f t="shared" si="0"/>
        <v>2.355</v>
      </c>
      <c r="F7" s="18">
        <f t="shared" si="1"/>
        <v>23.55</v>
      </c>
      <c r="G7" s="17">
        <v>1</v>
      </c>
      <c r="H7" s="19">
        <f t="shared" si="2"/>
        <v>12</v>
      </c>
      <c r="I7" s="19">
        <f t="shared" si="3"/>
        <v>0.50955414012738853</v>
      </c>
    </row>
    <row r="8" spans="1:10" x14ac:dyDescent="0.25">
      <c r="A8" s="1" t="s">
        <v>46</v>
      </c>
      <c r="B8" s="1" t="s">
        <v>115</v>
      </c>
      <c r="C8" s="5">
        <f>0.004*7850</f>
        <v>31.400000000000002</v>
      </c>
      <c r="D8" s="17">
        <v>10</v>
      </c>
      <c r="E8" s="18">
        <f t="shared" si="0"/>
        <v>3.14</v>
      </c>
      <c r="F8" s="18">
        <f t="shared" si="1"/>
        <v>31.400000000000002</v>
      </c>
      <c r="G8" s="17">
        <v>1</v>
      </c>
      <c r="H8" s="19">
        <f t="shared" si="2"/>
        <v>12</v>
      </c>
      <c r="I8" s="19">
        <f t="shared" si="3"/>
        <v>0.38216560509554137</v>
      </c>
    </row>
    <row r="9" spans="1:10" x14ac:dyDescent="0.25">
      <c r="A9" s="1" t="s">
        <v>47</v>
      </c>
      <c r="B9" s="1" t="s">
        <v>115</v>
      </c>
      <c r="C9" s="5">
        <f>0.006*7850</f>
        <v>47.1</v>
      </c>
      <c r="D9" s="17">
        <v>10</v>
      </c>
      <c r="E9" s="18">
        <f t="shared" si="0"/>
        <v>4.71</v>
      </c>
      <c r="F9" s="18">
        <f t="shared" si="1"/>
        <v>47.1</v>
      </c>
      <c r="G9" s="17">
        <v>1</v>
      </c>
      <c r="H9" s="19">
        <f t="shared" si="2"/>
        <v>12</v>
      </c>
      <c r="I9" s="19">
        <f t="shared" si="3"/>
        <v>0.25477707006369427</v>
      </c>
    </row>
    <row r="10" spans="1:10" x14ac:dyDescent="0.25">
      <c r="A10" s="35" t="s">
        <v>135</v>
      </c>
      <c r="B10" s="35"/>
      <c r="C10" s="35"/>
      <c r="D10" s="35"/>
      <c r="E10" s="35"/>
      <c r="F10" s="35"/>
      <c r="G10" s="35"/>
      <c r="H10" s="35"/>
      <c r="I10" s="35"/>
    </row>
    <row r="11" spans="1:10" x14ac:dyDescent="0.25">
      <c r="A11" s="1" t="s">
        <v>26</v>
      </c>
      <c r="B11" s="1" t="s">
        <v>114</v>
      </c>
      <c r="C11" s="5">
        <f>0.0015*7850</f>
        <v>11.775</v>
      </c>
      <c r="D11" s="17">
        <v>10</v>
      </c>
      <c r="E11" s="18">
        <f t="shared" ref="E11:E13" si="8">F11/D11</f>
        <v>1.1775</v>
      </c>
      <c r="F11" s="18">
        <f t="shared" ref="F11:F13" si="9">C11*G11</f>
        <v>11.775</v>
      </c>
      <c r="G11" s="17">
        <v>1</v>
      </c>
      <c r="H11" s="19">
        <f t="shared" ref="H11:H13" si="10">D11*1.2</f>
        <v>12</v>
      </c>
      <c r="I11" s="19">
        <f t="shared" ref="I11:I13" si="11">H11/C11</f>
        <v>1.0191082802547771</v>
      </c>
    </row>
    <row r="12" spans="1:10" x14ac:dyDescent="0.25">
      <c r="A12" s="1" t="s">
        <v>43</v>
      </c>
      <c r="B12" s="1" t="s">
        <v>114</v>
      </c>
      <c r="C12" s="5">
        <f>0.002*7850</f>
        <v>15.700000000000001</v>
      </c>
      <c r="D12" s="17">
        <v>10</v>
      </c>
      <c r="E12" s="18">
        <f t="shared" si="8"/>
        <v>1.57</v>
      </c>
      <c r="F12" s="18">
        <f t="shared" si="9"/>
        <v>15.700000000000001</v>
      </c>
      <c r="G12" s="17">
        <v>1</v>
      </c>
      <c r="H12" s="19">
        <f t="shared" si="10"/>
        <v>12</v>
      </c>
      <c r="I12" s="19">
        <f t="shared" si="11"/>
        <v>0.76433121019108274</v>
      </c>
    </row>
    <row r="13" spans="1:10" x14ac:dyDescent="0.25">
      <c r="A13" s="1" t="s">
        <v>44</v>
      </c>
      <c r="B13" s="1" t="s">
        <v>114</v>
      </c>
      <c r="C13" s="5">
        <f>0.003*7850</f>
        <v>23.55</v>
      </c>
      <c r="D13" s="17">
        <v>10</v>
      </c>
      <c r="E13" s="18">
        <f t="shared" si="8"/>
        <v>2.355</v>
      </c>
      <c r="F13" s="18">
        <f t="shared" si="9"/>
        <v>23.55</v>
      </c>
      <c r="G13" s="17">
        <v>1</v>
      </c>
      <c r="H13" s="19">
        <f t="shared" si="10"/>
        <v>12</v>
      </c>
      <c r="I13" s="19">
        <f t="shared" si="11"/>
        <v>0.50955414012738853</v>
      </c>
    </row>
    <row r="14" spans="1:10" x14ac:dyDescent="0.25">
      <c r="A14" s="34" t="s">
        <v>136</v>
      </c>
      <c r="B14" s="34"/>
      <c r="C14" s="34"/>
      <c r="D14" s="34"/>
      <c r="E14" s="34"/>
      <c r="F14" s="34"/>
      <c r="G14" s="34"/>
      <c r="H14" s="34"/>
      <c r="I14" s="34"/>
    </row>
    <row r="15" spans="1:10" x14ac:dyDescent="0.25">
      <c r="A15" s="32" t="s">
        <v>43</v>
      </c>
      <c r="B15" s="1" t="s">
        <v>116</v>
      </c>
      <c r="C15" s="5">
        <f>0.002*7900</f>
        <v>15.8</v>
      </c>
      <c r="D15" s="17">
        <v>10</v>
      </c>
      <c r="E15" s="18">
        <f t="shared" ref="E15" si="12">F15/D15</f>
        <v>1.58</v>
      </c>
      <c r="F15" s="18">
        <f t="shared" ref="F15" si="13">C15*G15</f>
        <v>15.8</v>
      </c>
      <c r="G15" s="17">
        <v>1</v>
      </c>
      <c r="H15" s="19">
        <f t="shared" ref="H15" si="14">D15*1.2</f>
        <v>12</v>
      </c>
      <c r="I15" s="19">
        <f t="shared" ref="I15" si="15">H15/C15</f>
        <v>0.75949367088607589</v>
      </c>
    </row>
    <row r="16" spans="1:10" x14ac:dyDescent="0.25">
      <c r="A16" s="1" t="s">
        <v>44</v>
      </c>
      <c r="B16" s="1" t="s">
        <v>116</v>
      </c>
      <c r="C16" s="5">
        <f>0.003*7900</f>
        <v>23.7</v>
      </c>
      <c r="D16" s="17">
        <v>10</v>
      </c>
      <c r="E16" s="18">
        <f t="shared" ref="E16" si="16">F16/D16</f>
        <v>2.37</v>
      </c>
      <c r="F16" s="18">
        <f t="shared" ref="F16" si="17">C16*G16</f>
        <v>23.7</v>
      </c>
      <c r="G16" s="17">
        <v>1</v>
      </c>
      <c r="H16" s="19">
        <f t="shared" ref="H16" si="18">D16*1.2</f>
        <v>12</v>
      </c>
      <c r="I16" s="19">
        <f t="shared" ref="I16" si="19">H16/C16</f>
        <v>0.50632911392405067</v>
      </c>
    </row>
    <row r="17" spans="1:10" x14ac:dyDescent="0.25">
      <c r="A17" s="1" t="s">
        <v>46</v>
      </c>
      <c r="B17" s="1" t="s">
        <v>117</v>
      </c>
      <c r="C17" s="5">
        <f>0.003*7900</f>
        <v>23.7</v>
      </c>
      <c r="D17" s="17">
        <v>10</v>
      </c>
      <c r="E17" s="18">
        <f t="shared" ref="E17" si="20">F17/D17</f>
        <v>2.37</v>
      </c>
      <c r="F17" s="18">
        <f t="shared" ref="F17" si="21">C17*G17</f>
        <v>23.7</v>
      </c>
      <c r="G17" s="17">
        <v>1</v>
      </c>
      <c r="H17" s="19">
        <f t="shared" ref="H17" si="22">D17*1.2</f>
        <v>12</v>
      </c>
      <c r="I17" s="19">
        <f t="shared" ref="I17" si="23">H17/C17</f>
        <v>0.50632911392405067</v>
      </c>
    </row>
    <row r="18" spans="1:10" x14ac:dyDescent="0.25">
      <c r="A18" s="34" t="s">
        <v>137</v>
      </c>
      <c r="B18" s="34"/>
      <c r="C18" s="34"/>
      <c r="D18" s="34"/>
      <c r="E18" s="34"/>
      <c r="F18" s="34"/>
      <c r="G18" s="34"/>
      <c r="H18" s="34"/>
      <c r="I18" s="34"/>
    </row>
    <row r="19" spans="1:10" x14ac:dyDescent="0.25">
      <c r="A19" s="1" t="s">
        <v>121</v>
      </c>
      <c r="B19" s="1" t="s">
        <v>118</v>
      </c>
      <c r="C19" s="5">
        <f>0.001*7720</f>
        <v>7.72</v>
      </c>
      <c r="D19" s="17">
        <v>10</v>
      </c>
      <c r="E19" s="18">
        <f t="shared" ref="E19" si="24">F19/D19</f>
        <v>0.77200000000000002</v>
      </c>
      <c r="F19" s="18">
        <f t="shared" ref="F19" si="25">C19*G19</f>
        <v>7.72</v>
      </c>
      <c r="G19" s="17">
        <v>1</v>
      </c>
      <c r="H19" s="19">
        <f t="shared" ref="H19" si="26">D19*1.2</f>
        <v>12</v>
      </c>
      <c r="I19" s="19">
        <f t="shared" ref="I19" si="27">H19/C19</f>
        <v>1.5544041450777202</v>
      </c>
    </row>
    <row r="20" spans="1:10" x14ac:dyDescent="0.25">
      <c r="A20" s="34" t="s">
        <v>138</v>
      </c>
      <c r="B20" s="34"/>
      <c r="C20" s="34"/>
      <c r="D20" s="34"/>
      <c r="E20" s="34"/>
      <c r="F20" s="34"/>
      <c r="G20" s="34"/>
      <c r="H20" s="34"/>
      <c r="I20" s="34"/>
    </row>
    <row r="21" spans="1:10" x14ac:dyDescent="0.25">
      <c r="A21" s="1" t="s">
        <v>122</v>
      </c>
      <c r="B21" s="1" t="s">
        <v>119</v>
      </c>
      <c r="C21" s="5">
        <f>0.00055*7850</f>
        <v>4.3174999999999999</v>
      </c>
      <c r="D21" s="17">
        <v>10</v>
      </c>
      <c r="E21" s="18">
        <f t="shared" ref="E21" si="28">F21/D21</f>
        <v>0.43174999999999997</v>
      </c>
      <c r="F21" s="18">
        <f>C21*G21</f>
        <v>4.3174999999999999</v>
      </c>
      <c r="G21" s="17">
        <v>1</v>
      </c>
      <c r="H21" s="19">
        <f>D21*1.2</f>
        <v>12</v>
      </c>
      <c r="I21" s="19">
        <f>H21/C21</f>
        <v>2.7793862188766649</v>
      </c>
    </row>
    <row r="22" spans="1:10" x14ac:dyDescent="0.25">
      <c r="A22" s="34" t="s">
        <v>5</v>
      </c>
      <c r="B22" s="34"/>
      <c r="C22" s="34"/>
      <c r="D22" s="34"/>
      <c r="E22" s="34"/>
      <c r="F22" s="34"/>
      <c r="G22" s="34"/>
      <c r="H22" s="34"/>
      <c r="I22" s="34"/>
    </row>
    <row r="23" spans="1:10" x14ac:dyDescent="0.25">
      <c r="A23" s="20" t="s">
        <v>123</v>
      </c>
      <c r="B23" s="1" t="s">
        <v>120</v>
      </c>
      <c r="C23" s="5">
        <f>0.003*910</f>
        <v>2.73</v>
      </c>
      <c r="D23" s="17">
        <v>10</v>
      </c>
      <c r="E23" s="18">
        <f t="shared" ref="E23:E24" si="29">F23/D23</f>
        <v>0.27300000000000002</v>
      </c>
      <c r="F23" s="18">
        <f>C23*G23</f>
        <v>2.73</v>
      </c>
      <c r="G23" s="17">
        <v>1</v>
      </c>
      <c r="H23" s="19">
        <f>D23*1.2</f>
        <v>12</v>
      </c>
      <c r="I23" s="19">
        <f>H23/C23</f>
        <v>4.395604395604396</v>
      </c>
    </row>
    <row r="24" spans="1:10" x14ac:dyDescent="0.25">
      <c r="A24" s="20" t="s">
        <v>124</v>
      </c>
      <c r="B24" s="1" t="s">
        <v>120</v>
      </c>
      <c r="C24" s="5">
        <f>0.005*910</f>
        <v>4.55</v>
      </c>
      <c r="D24" s="17">
        <v>10</v>
      </c>
      <c r="E24" s="18">
        <f t="shared" si="29"/>
        <v>0.45499999999999996</v>
      </c>
      <c r="F24" s="18">
        <f>C24*G24</f>
        <v>4.55</v>
      </c>
      <c r="G24" s="17">
        <v>1</v>
      </c>
      <c r="H24" s="19">
        <f>D24*1.2</f>
        <v>12</v>
      </c>
      <c r="I24" s="19">
        <f>H24/C24</f>
        <v>2.6373626373626373</v>
      </c>
    </row>
    <row r="25" spans="1:10" x14ac:dyDescent="0.25">
      <c r="A25" s="34" t="s">
        <v>125</v>
      </c>
      <c r="B25" s="34"/>
      <c r="C25" s="34"/>
      <c r="D25" s="34"/>
      <c r="E25" s="34"/>
      <c r="F25" s="34"/>
      <c r="G25" s="34"/>
      <c r="H25" s="34"/>
      <c r="I25" s="34"/>
    </row>
    <row r="26" spans="1:10" x14ac:dyDescent="0.25">
      <c r="A26" s="1" t="s">
        <v>27</v>
      </c>
      <c r="B26" s="1" t="s">
        <v>119</v>
      </c>
      <c r="C26" s="21">
        <v>5.13</v>
      </c>
      <c r="D26" s="17">
        <v>10</v>
      </c>
      <c r="E26" s="18">
        <f t="shared" ref="E26" si="30">F26/D26</f>
        <v>0.51300000000000001</v>
      </c>
      <c r="F26" s="18">
        <f>C26*G26</f>
        <v>5.13</v>
      </c>
      <c r="G26" s="17">
        <v>1</v>
      </c>
      <c r="H26" s="19">
        <f>D26*1.2</f>
        <v>12</v>
      </c>
      <c r="I26" s="19">
        <f>H26/C26</f>
        <v>2.3391812865497075</v>
      </c>
    </row>
    <row r="27" spans="1:10" x14ac:dyDescent="0.25">
      <c r="A27" s="34" t="s">
        <v>139</v>
      </c>
      <c r="B27" s="34"/>
      <c r="C27" s="34"/>
      <c r="D27" s="34"/>
      <c r="E27" s="34"/>
      <c r="F27" s="34"/>
      <c r="G27" s="34"/>
      <c r="H27" s="34"/>
      <c r="I27" s="34"/>
    </row>
    <row r="28" spans="1:10" x14ac:dyDescent="0.25">
      <c r="A28" s="29" t="s">
        <v>140</v>
      </c>
      <c r="B28" s="10" t="s">
        <v>126</v>
      </c>
      <c r="C28" s="21">
        <v>20</v>
      </c>
      <c r="D28" s="17">
        <v>10</v>
      </c>
      <c r="E28" s="18">
        <f t="shared" ref="E28" si="31">F28/D28</f>
        <v>2</v>
      </c>
      <c r="F28" s="18">
        <f>C28*G28</f>
        <v>20</v>
      </c>
      <c r="G28" s="17">
        <v>1</v>
      </c>
      <c r="H28" s="19">
        <f>D28*1.2</f>
        <v>12</v>
      </c>
      <c r="I28" s="19">
        <f>H28/C28</f>
        <v>0.6</v>
      </c>
    </row>
    <row r="29" spans="1:10" x14ac:dyDescent="0.25">
      <c r="A29" s="34" t="s">
        <v>127</v>
      </c>
      <c r="B29" s="34"/>
      <c r="C29" s="34"/>
      <c r="D29" s="34"/>
      <c r="E29" s="34"/>
      <c r="F29" s="34"/>
      <c r="G29" s="34"/>
      <c r="H29" s="34"/>
      <c r="I29" s="34"/>
    </row>
    <row r="30" spans="1:10" x14ac:dyDescent="0.25">
      <c r="A30" s="1" t="s">
        <v>28</v>
      </c>
      <c r="B30" s="1" t="s">
        <v>128</v>
      </c>
      <c r="C30" s="5">
        <f>0.002*7850*(1-0.3265)</f>
        <v>10.57395</v>
      </c>
      <c r="D30" s="17">
        <v>10</v>
      </c>
      <c r="E30" s="18">
        <f t="shared" ref="E30" si="32">F30/D30</f>
        <v>1.0573950000000001</v>
      </c>
      <c r="F30" s="18">
        <f>C30*G30</f>
        <v>10.57395</v>
      </c>
      <c r="G30" s="17">
        <v>1</v>
      </c>
      <c r="H30" s="19">
        <f>D30*1.2</f>
        <v>12</v>
      </c>
      <c r="I30" s="19">
        <f>H30/C30</f>
        <v>1.1348644546267006</v>
      </c>
      <c r="J30" s="38" t="s">
        <v>159</v>
      </c>
    </row>
    <row r="31" spans="1:10" x14ac:dyDescent="0.25">
      <c r="A31" s="34" t="s">
        <v>129</v>
      </c>
      <c r="B31" s="34"/>
      <c r="C31" s="34"/>
      <c r="D31" s="34"/>
      <c r="E31" s="34"/>
      <c r="F31" s="34"/>
      <c r="G31" s="34"/>
      <c r="H31" s="34"/>
      <c r="I31" s="34"/>
    </row>
    <row r="32" spans="1:10" x14ac:dyDescent="0.25">
      <c r="A32" s="1" t="s">
        <v>29</v>
      </c>
      <c r="C32" s="12"/>
      <c r="D32" s="12"/>
      <c r="E32" s="12"/>
      <c r="F32" s="12"/>
      <c r="G32" s="13">
        <v>1</v>
      </c>
    </row>
    <row r="33" spans="1:9" x14ac:dyDescent="0.25">
      <c r="A33" s="36"/>
      <c r="B33" s="36"/>
      <c r="C33" s="36"/>
      <c r="D33" s="36"/>
      <c r="E33" s="36"/>
      <c r="F33" s="36"/>
      <c r="G33" s="36"/>
      <c r="H33" s="36"/>
      <c r="I33" s="36"/>
    </row>
    <row r="34" spans="1:9" s="10" customFormat="1" x14ac:dyDescent="0.25">
      <c r="C34" s="11" t="s">
        <v>4</v>
      </c>
      <c r="D34" s="11">
        <f>SUM(D3:D33)</f>
        <v>190</v>
      </c>
      <c r="E34" s="12"/>
      <c r="F34" s="11">
        <f>SUM(F3:F33)</f>
        <v>322.32145000000008</v>
      </c>
      <c r="G34" s="11"/>
      <c r="H34" s="11">
        <f>SUM(H3:H33)</f>
        <v>228</v>
      </c>
    </row>
    <row r="35" spans="1:9" x14ac:dyDescent="0.25">
      <c r="C35" s="5"/>
      <c r="D35" s="13"/>
      <c r="E35" s="12"/>
      <c r="F35" s="12"/>
      <c r="G35" s="13"/>
    </row>
    <row r="36" spans="1:9" x14ac:dyDescent="0.25">
      <c r="A36" s="22"/>
      <c r="C36" s="23"/>
      <c r="D36" s="24"/>
      <c r="E36" s="12"/>
      <c r="F36" s="12"/>
      <c r="G36" s="13"/>
    </row>
    <row r="37" spans="1:9" x14ac:dyDescent="0.25">
      <c r="C37" s="23"/>
      <c r="D37" s="24"/>
      <c r="E37" s="12"/>
      <c r="F37" s="12"/>
      <c r="G37" s="13"/>
    </row>
    <row r="38" spans="1:9" x14ac:dyDescent="0.25">
      <c r="C38" s="23"/>
      <c r="D38" s="24"/>
      <c r="E38" s="12"/>
      <c r="F38" s="12"/>
      <c r="G38" s="13"/>
    </row>
    <row r="39" spans="1:9" x14ac:dyDescent="0.25">
      <c r="C39" s="23"/>
      <c r="D39" s="24"/>
      <c r="E39" s="12"/>
      <c r="F39" s="12"/>
      <c r="G39" s="13"/>
    </row>
    <row r="40" spans="1:9" x14ac:dyDescent="0.25">
      <c r="C40" s="23"/>
      <c r="D40" s="24"/>
      <c r="E40" s="12"/>
      <c r="F40" s="12"/>
      <c r="G40" s="13"/>
    </row>
    <row r="41" spans="1:9" x14ac:dyDescent="0.25">
      <c r="C41" s="25"/>
      <c r="D41" s="24"/>
    </row>
  </sheetData>
  <mergeCells count="12">
    <mergeCell ref="A1:I1"/>
    <mergeCell ref="A10:I10"/>
    <mergeCell ref="A18:I18"/>
    <mergeCell ref="A20:I20"/>
    <mergeCell ref="A14:I14"/>
    <mergeCell ref="A3:I3"/>
    <mergeCell ref="A22:I22"/>
    <mergeCell ref="A33:I33"/>
    <mergeCell ref="A31:I31"/>
    <mergeCell ref="A29:I29"/>
    <mergeCell ref="A27:I27"/>
    <mergeCell ref="A25:I25"/>
  </mergeCells>
  <pageMargins left="0.59055118110236227" right="0.19685039370078741" top="0.39370078740157483" bottom="0.3937007874015748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view="pageLayout" zoomScaleNormal="100" workbookViewId="0">
      <selection activeCell="B9" sqref="B9"/>
    </sheetView>
  </sheetViews>
  <sheetFormatPr defaultColWidth="9.140625" defaultRowHeight="15" x14ac:dyDescent="0.25"/>
  <cols>
    <col min="1" max="1" width="3.42578125" style="28" customWidth="1"/>
    <col min="2" max="2" width="47.140625" style="28" customWidth="1"/>
    <col min="3" max="3" width="18.42578125" style="28" customWidth="1"/>
    <col min="4" max="4" width="12.5703125" style="28" customWidth="1"/>
    <col min="5" max="5" width="4.85546875" style="28" customWidth="1"/>
    <col min="6" max="6" width="8.5703125" style="28" customWidth="1"/>
    <col min="7" max="7" width="10.7109375" style="28" bestFit="1" customWidth="1"/>
    <col min="8" max="16384" width="9.140625" style="28"/>
  </cols>
  <sheetData>
    <row r="1" spans="1:7" x14ac:dyDescent="0.25">
      <c r="A1" s="34" t="s">
        <v>19</v>
      </c>
      <c r="B1" s="34"/>
      <c r="C1" s="34"/>
      <c r="D1" s="34"/>
      <c r="E1" s="34"/>
      <c r="F1" s="34"/>
      <c r="G1" s="27"/>
    </row>
    <row r="2" spans="1:7" x14ac:dyDescent="0.25">
      <c r="A2" s="33" t="s">
        <v>147</v>
      </c>
      <c r="B2" s="27" t="s">
        <v>0</v>
      </c>
      <c r="C2" s="27" t="s">
        <v>7</v>
      </c>
      <c r="D2" s="27" t="s">
        <v>16</v>
      </c>
      <c r="E2" s="27" t="s">
        <v>6</v>
      </c>
      <c r="F2" s="27" t="s">
        <v>17</v>
      </c>
    </row>
  </sheetData>
  <mergeCells count="1">
    <mergeCell ref="A1:F1"/>
  </mergeCells>
  <pageMargins left="0.59055118110236215" right="0.19685039370078741" top="0.39370078740157483" bottom="0.39370078740157483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view="pageLayout" zoomScaleNormal="100" workbookViewId="0">
      <selection activeCell="B12" sqref="B12"/>
    </sheetView>
  </sheetViews>
  <sheetFormatPr defaultColWidth="9.140625" defaultRowHeight="15" x14ac:dyDescent="0.25"/>
  <cols>
    <col min="1" max="1" width="3.42578125" style="28" customWidth="1"/>
    <col min="2" max="2" width="40.140625" style="28" customWidth="1"/>
    <col min="3" max="3" width="44.7109375" style="28" customWidth="1"/>
    <col min="4" max="4" width="6.5703125" style="28" customWidth="1"/>
    <col min="5" max="16384" width="9.140625" style="28"/>
  </cols>
  <sheetData>
    <row r="1" spans="1:4" x14ac:dyDescent="0.25">
      <c r="A1" s="37" t="s">
        <v>18</v>
      </c>
      <c r="B1" s="37"/>
      <c r="C1" s="37"/>
      <c r="D1" s="37"/>
    </row>
    <row r="2" spans="1:4" x14ac:dyDescent="0.25">
      <c r="A2" s="33" t="s">
        <v>147</v>
      </c>
      <c r="B2" s="27" t="s">
        <v>7</v>
      </c>
      <c r="C2" s="27" t="s">
        <v>0</v>
      </c>
      <c r="D2" s="27" t="s">
        <v>6</v>
      </c>
    </row>
  </sheetData>
  <mergeCells count="1">
    <mergeCell ref="A1:D1"/>
  </mergeCells>
  <pageMargins left="0.59055118110236215" right="0.19685039370078741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ПрофильныйПрокат</vt:lpstr>
      <vt:lpstr>ПлоскийПрокат</vt:lpstr>
      <vt:lpstr>ПокупныеИзделия</vt:lpstr>
      <vt:lpstr>УнифицированныеИзделия</vt:lpstr>
      <vt:lpstr>ПлоскийПрокат!Область_печати</vt:lpstr>
      <vt:lpstr>ПрофильныйПрокат!Область_печати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2023-06-08T12:44:55Z</dcterms:modified>
</cp:coreProperties>
</file>